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3.xml" ContentType="application/vnd.openxmlformats-officedocument.drawing+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ables/table1.xml" ContentType="application/vnd.openxmlformats-officedocument.spreadsheetml.table+xml"/>
  <Override PartName="/xl/calcChain.xml" ContentType="application/vnd.openxmlformats-officedocument.spreadsheetml.calcChain+xml"/>
  <Override PartName="/xl/metadata.xml" ContentType="application/vnd.openxmlformats-officedocument.spreadsheetml.sheetMetadata+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hidePivotFieldList="1" defaultThemeVersion="124226"/>
  <mc:AlternateContent xmlns:mc="http://schemas.openxmlformats.org/markup-compatibility/2006">
    <mc:Choice Requires="x15">
      <x15ac:absPath xmlns:x15ac="http://schemas.microsoft.com/office/spreadsheetml/2010/11/ac" url="https://gobiernobogota-my.sharepoint.com/personal/luisa_ibagon_gobiernobogota_gov_co/Documents/SDG/Planeación Institucional/Publicación de documentos/5. Publicación de documentos/2022/4. Abril/Caso HOLA 241903/"/>
    </mc:Choice>
  </mc:AlternateContent>
  <xr:revisionPtr revIDLastSave="0" documentId="8_{5966944A-86F5-42BA-8140-9EFD66D1592B}" xr6:coauthVersionLast="47" xr6:coauthVersionMax="47" xr10:uidLastSave="{00000000-0000-0000-0000-000000000000}"/>
  <bookViews>
    <workbookView xWindow="-120" yWindow="-120" windowWidth="20730" windowHeight="11160" tabRatio="882" firstSheet="2" activeTab="2" xr2:uid="{00000000-000D-0000-FFFF-FFFF00000000}"/>
  </bookViews>
  <sheets>
    <sheet name="Instructivo" sheetId="20" r:id="rId1"/>
    <sheet name="Contexto proceso" sheetId="21" r:id="rId2"/>
    <sheet name="Mapa final" sheetId="1" r:id="rId3"/>
    <sheet name="Impacto-clasificacion" sheetId="22" state="hidden" r:id="rId4"/>
    <sheet name="Matriz Calor Inherente" sheetId="18" r:id="rId5"/>
    <sheet name="Matriz Calor Residual" sheetId="19" r:id="rId6"/>
    <sheet name="Tabla probabilidad" sheetId="12" r:id="rId7"/>
    <sheet name="Tabla Impacto" sheetId="13" r:id="rId8"/>
    <sheet name="Criterios riesgos amb." sheetId="23" r:id="rId9"/>
    <sheet name="Tabla Valoración controles" sheetId="15" r:id="rId10"/>
    <sheet name="Opciones Tratamiento" sheetId="16" state="hidden" r:id="rId11"/>
    <sheet name="Hoja1" sheetId="11" state="hidden" r:id="rId12"/>
  </sheets>
  <externalReferences>
    <externalReference r:id="rId13"/>
    <externalReference r:id="rId14"/>
    <externalReference r:id="rId15"/>
    <externalReference r:id="rId16"/>
    <externalReference r:id="rId17"/>
  </externalReferences>
  <definedNames>
    <definedName name="_1_SE">#REF!</definedName>
    <definedName name="A">#REF!</definedName>
    <definedName name="AA">#REF!</definedName>
    <definedName name="aaaa">#REF!</definedName>
    <definedName name="accion">#REF!</definedName>
    <definedName name="AGENTE">#REF!</definedName>
    <definedName name="AREA_IMPACTO">#REF!</definedName>
    <definedName name="areaimpacto">'[1]SM-FO-27'!$BQ$476:$BQ$482</definedName>
    <definedName name="B">#REF!</definedName>
    <definedName name="CALIFICACION">#REF!</definedName>
    <definedName name="CAUSAS">[2]CAUSAS!$C$6:$O$11</definedName>
    <definedName name="cl">'[1]SM-FO-27'!#REF!</definedName>
    <definedName name="CLAVE">#REF!</definedName>
    <definedName name="CLAVECAUSA">[2]CAUSAS!$C$12:$O$12</definedName>
    <definedName name="CLAVECONT">#REF!</definedName>
    <definedName name="CLAVECONTROL">'[2]NO BORRAR'!$B$41:$B$57</definedName>
    <definedName name="CLAVEOBJ">#REF!</definedName>
    <definedName name="CLAVEPOL">#REF!</definedName>
    <definedName name="CLAVEPOLITICA">'[2]NO BORRAR'!$B$3:$B$17</definedName>
    <definedName name="CLAVEPROC">#REF!</definedName>
    <definedName name="CLAVEPROCEDIMIENTO">'[2]NO BORRAR'!$B$22:$B$38</definedName>
    <definedName name="CLAVERIESGO">#REF!</definedName>
    <definedName name="CODIGO">#REF!</definedName>
    <definedName name="CODIGO_RIESGO">#REF!</definedName>
    <definedName name="CODIGO1">#REF!</definedName>
    <definedName name="Con">#REF!</definedName>
    <definedName name="CONFLICTOS_SOCIALES">#REF!</definedName>
    <definedName name="CONTROL">'[2]NO BORRAR'!$C$41:$C$53</definedName>
    <definedName name="Control_Existente">[3]Hoja4!$H$3:$H$4</definedName>
    <definedName name="CONTROLES">#REF!</definedName>
    <definedName name="DIRECCION_ACTIVIDADES_MARITIMAS">#REF!</definedName>
    <definedName name="ESTABILIDAD_POLITICA">#REF!</definedName>
    <definedName name="EVENTOS_NATURALES">#REF!</definedName>
    <definedName name="FRECUENCIA">#REF!</definedName>
    <definedName name="FUENTE">#REF!</definedName>
    <definedName name="FUENTES_RIESGO">#REF!</definedName>
    <definedName name="fuentesriesgo">'[1]SM-FO-27'!$BP$476:$BP$480</definedName>
    <definedName name="g">#REF!</definedName>
    <definedName name="GRAVEDAD">#REF!</definedName>
    <definedName name="Impacto">[3]Hoja4!$F$3:$F$7</definedName>
    <definedName name="INSTALACIONES">#REF!</definedName>
    <definedName name="LET">#REF!</definedName>
    <definedName name="MACROPROCESO">#REF!</definedName>
    <definedName name="nivelorgriesgo">'[1]SM-FO-27'!$BR$481:$BR$483</definedName>
    <definedName name="NN">#REF!</definedName>
    <definedName name="NOMBRE_RIESGO">#REF!</definedName>
    <definedName name="NUM">#REF!</definedName>
    <definedName name="OBJETIVOS">#REF!</definedName>
    <definedName name="PERSONAS">#REF!</definedName>
    <definedName name="PESO">#REF!</definedName>
    <definedName name="POLITICA">'[2]NO BORRAR'!$C$3:$C$17</definedName>
    <definedName name="POLITICAS_GUBERNAMENTALES">#REF!</definedName>
    <definedName name="Probabilidad">[3]Hoja4!$E$3:$E$7</definedName>
    <definedName name="PROCEDIMIENTO">#REF!</definedName>
    <definedName name="PROCESO">#REF!</definedName>
    <definedName name="PUNTAJE">#REF!</definedName>
    <definedName name="PUNTAJEF">#REF!</definedName>
    <definedName name="PUNTAJEG">#REF!</definedName>
    <definedName name="q">#REF!</definedName>
    <definedName name="RELACIONADO">#REF!</definedName>
    <definedName name="RESPUESTA">'[2]NO BORRAR'!$G$1:$G$5</definedName>
    <definedName name="RIESGOS">#REF!</definedName>
    <definedName name="SE">#REF!</definedName>
    <definedName name="SI_NO">'[4]NO BORRAR'!$F$1:$F$2</definedName>
    <definedName name="SINO">#REF!</definedName>
    <definedName name="SISTEMAS">#REF!</definedName>
    <definedName name="TECNOLOGIA">#REF!</definedName>
    <definedName name="Tipificacionriesgo">'[1]SM-FO-27'!$BR$486:$BR$499</definedName>
    <definedName name="TIPO">'[5]Base de Datos'!$A$4:$A$8</definedName>
    <definedName name="Tipo_de_Riesgo">[3]Hoja4!$D$3:$D$9</definedName>
    <definedName name="TIPOACCION">'[2]NO BORRAR'!$I$1:$I$9</definedName>
    <definedName name="TOTAL_PUNTAJE_RIESGO">#REF!</definedName>
    <definedName name="TRATAMIENTO">#REF!</definedName>
    <definedName name="TRATAMIENTO_RIESGO">'[4]NO BORRAR'!$G$1:$G$5</definedName>
    <definedName name="trIANGULO">#REF!</definedName>
    <definedName name="X">#REF!</definedName>
    <definedName name="Y">#REF!</definedName>
    <definedName name="Z">#REF!</definedName>
    <definedName name="zona">#REF!</definedName>
  </definedNames>
  <calcPr calcId="191028"/>
  <pivotCaches>
    <pivotCache cacheId="0" r:id="rId18"/>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2" i="1" l="1"/>
  <c r="L22" i="1"/>
  <c r="M22" i="1" s="1"/>
  <c r="J4" i="23"/>
  <c r="T22" i="1"/>
  <c r="Q22" i="1"/>
  <c r="H22" i="1"/>
  <c r="I22" i="1"/>
  <c r="K70" i="1"/>
  <c r="K67" i="1"/>
  <c r="K65" i="1"/>
  <c r="K43" i="1"/>
  <c r="K77" i="1"/>
  <c r="K29" i="1"/>
  <c r="K41" i="1"/>
  <c r="K68" i="1"/>
  <c r="K62" i="1"/>
  <c r="K42" i="1"/>
  <c r="K50" i="1"/>
  <c r="K39" i="1"/>
  <c r="K47" i="1"/>
  <c r="K71" i="1"/>
  <c r="K59" i="1"/>
  <c r="K64" i="1"/>
  <c r="K51" i="1"/>
  <c r="K36" i="1"/>
  <c r="K73" i="1"/>
  <c r="K74" i="1"/>
  <c r="K49" i="1"/>
  <c r="K53" i="1"/>
  <c r="K33" i="1"/>
  <c r="K31" i="1"/>
  <c r="K63" i="1"/>
  <c r="K30" i="1"/>
  <c r="K44" i="1"/>
  <c r="K38" i="1"/>
  <c r="K45" i="1"/>
  <c r="K54" i="1"/>
  <c r="K32" i="1"/>
  <c r="K48" i="1"/>
  <c r="K75" i="1"/>
  <c r="K35" i="1"/>
  <c r="K76" i="1"/>
  <c r="K61" i="1"/>
  <c r="K55" i="1"/>
  <c r="K37" i="1"/>
  <c r="K69" i="1"/>
  <c r="K56" i="1"/>
  <c r="K57" i="1"/>
  <c r="F221" i="13"/>
  <c r="F211" i="13"/>
  <c r="F212" i="13"/>
  <c r="F213" i="13"/>
  <c r="F214" i="13"/>
  <c r="F215" i="13"/>
  <c r="F216" i="13"/>
  <c r="F217" i="13"/>
  <c r="F218" i="13"/>
  <c r="F219" i="13"/>
  <c r="F220" i="13"/>
  <c r="F210" i="13"/>
  <c r="K27" i="1"/>
  <c r="K26" i="1"/>
  <c r="K23" i="1"/>
  <c r="K24" i="1"/>
  <c r="B221" i="13" a="1"/>
  <c r="K25" i="1"/>
  <c r="B221" i="13"/>
  <c r="Q60" i="1"/>
  <c r="Q53" i="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77" i="1"/>
  <c r="Q77" i="1"/>
  <c r="T76" i="1"/>
  <c r="Q76" i="1"/>
  <c r="T75" i="1"/>
  <c r="Q75" i="1"/>
  <c r="T74" i="1"/>
  <c r="Q74" i="1"/>
  <c r="T73" i="1"/>
  <c r="Q73" i="1"/>
  <c r="T72" i="1"/>
  <c r="Q72" i="1"/>
  <c r="H72" i="1"/>
  <c r="I72" i="1"/>
  <c r="T71" i="1"/>
  <c r="Q71" i="1"/>
  <c r="T70" i="1"/>
  <c r="Q70" i="1"/>
  <c r="T69" i="1"/>
  <c r="Q69" i="1"/>
  <c r="T68" i="1"/>
  <c r="Q68" i="1"/>
  <c r="T67" i="1"/>
  <c r="Q67" i="1"/>
  <c r="T66" i="1"/>
  <c r="Q66" i="1"/>
  <c r="H66" i="1"/>
  <c r="I66" i="1"/>
  <c r="T65" i="1"/>
  <c r="Q65" i="1"/>
  <c r="T64" i="1"/>
  <c r="Q64" i="1"/>
  <c r="T63" i="1"/>
  <c r="Q63" i="1"/>
  <c r="T62" i="1"/>
  <c r="Q62" i="1"/>
  <c r="T61" i="1"/>
  <c r="Q61" i="1"/>
  <c r="AB61" i="1"/>
  <c r="T60" i="1"/>
  <c r="H60" i="1"/>
  <c r="I60" i="1"/>
  <c r="T58" i="1"/>
  <c r="Q58" i="1"/>
  <c r="H58" i="1"/>
  <c r="I58" i="1"/>
  <c r="T57" i="1"/>
  <c r="Q57" i="1"/>
  <c r="T56" i="1"/>
  <c r="Q56" i="1"/>
  <c r="T55" i="1"/>
  <c r="Q55" i="1"/>
  <c r="T54" i="1"/>
  <c r="Q54" i="1"/>
  <c r="T53" i="1"/>
  <c r="T52" i="1"/>
  <c r="Q52" i="1"/>
  <c r="AB53" i="1"/>
  <c r="H52" i="1"/>
  <c r="I52" i="1"/>
  <c r="T51" i="1"/>
  <c r="Q51" i="1"/>
  <c r="T50" i="1"/>
  <c r="Q50" i="1"/>
  <c r="T49" i="1"/>
  <c r="Q49" i="1"/>
  <c r="T48" i="1"/>
  <c r="Q48" i="1"/>
  <c r="T47" i="1"/>
  <c r="Q47" i="1"/>
  <c r="T46" i="1"/>
  <c r="Q46" i="1"/>
  <c r="H46" i="1"/>
  <c r="I46" i="1"/>
  <c r="T45" i="1"/>
  <c r="Q45" i="1"/>
  <c r="T44" i="1"/>
  <c r="Q44" i="1"/>
  <c r="T43" i="1"/>
  <c r="Q43" i="1"/>
  <c r="T42" i="1"/>
  <c r="Q42" i="1"/>
  <c r="T41" i="1"/>
  <c r="Q41" i="1"/>
  <c r="T40" i="1"/>
  <c r="Q40" i="1"/>
  <c r="H40" i="1"/>
  <c r="I40" i="1"/>
  <c r="T39" i="1"/>
  <c r="Q39" i="1"/>
  <c r="T38" i="1"/>
  <c r="Q38" i="1"/>
  <c r="T37" i="1"/>
  <c r="Q37" i="1"/>
  <c r="T36" i="1"/>
  <c r="Q36" i="1"/>
  <c r="T35" i="1"/>
  <c r="Q35" i="1"/>
  <c r="T34" i="1"/>
  <c r="Q34" i="1"/>
  <c r="H34" i="1"/>
  <c r="I34" i="1"/>
  <c r="H28" i="1"/>
  <c r="Q27" i="1"/>
  <c r="Q26" i="1"/>
  <c r="Q25" i="1"/>
  <c r="T33" i="1"/>
  <c r="Q33" i="1"/>
  <c r="T32" i="1"/>
  <c r="Q32" i="1"/>
  <c r="T31" i="1"/>
  <c r="Q31" i="1"/>
  <c r="T30" i="1"/>
  <c r="Q30" i="1"/>
  <c r="T29" i="1"/>
  <c r="Q29" i="1"/>
  <c r="T28" i="1"/>
  <c r="Q28" i="1"/>
  <c r="AB41" i="1"/>
  <c r="AB35" i="1"/>
  <c r="AB73" i="1"/>
  <c r="AB29" i="1"/>
  <c r="AB47" i="1"/>
  <c r="AB67" i="1"/>
  <c r="I28" i="1"/>
  <c r="X72" i="1"/>
  <c r="X66" i="1"/>
  <c r="X60" i="1"/>
  <c r="X58" i="1"/>
  <c r="X52" i="1"/>
  <c r="X46" i="1"/>
  <c r="X40" i="1"/>
  <c r="X34" i="1"/>
  <c r="X28" i="1"/>
  <c r="Y72" i="1"/>
  <c r="Z72" i="1"/>
  <c r="X73" i="1"/>
  <c r="Y73" i="1"/>
  <c r="Y66" i="1"/>
  <c r="Z66" i="1"/>
  <c r="X67" i="1"/>
  <c r="Z67" i="1"/>
  <c r="X68" i="1"/>
  <c r="Y60" i="1"/>
  <c r="Z60" i="1"/>
  <c r="X61" i="1"/>
  <c r="Z61" i="1"/>
  <c r="X62" i="1"/>
  <c r="Y58" i="1"/>
  <c r="Z58" i="1"/>
  <c r="Y52" i="1"/>
  <c r="Z52" i="1"/>
  <c r="X53" i="1"/>
  <c r="Z53" i="1"/>
  <c r="X54" i="1"/>
  <c r="Y46" i="1"/>
  <c r="Z46" i="1"/>
  <c r="Y40" i="1"/>
  <c r="Z40" i="1"/>
  <c r="X41" i="1"/>
  <c r="Z41" i="1"/>
  <c r="X42" i="1"/>
  <c r="Y42" i="1"/>
  <c r="Y34" i="1"/>
  <c r="Z34" i="1"/>
  <c r="X35" i="1"/>
  <c r="Y35" i="1"/>
  <c r="Y28" i="1"/>
  <c r="Z28" i="1"/>
  <c r="X29" i="1"/>
  <c r="Y67" i="1"/>
  <c r="Y61" i="1"/>
  <c r="Z35" i="1"/>
  <c r="X36" i="1"/>
  <c r="Y36" i="1"/>
  <c r="Y53" i="1"/>
  <c r="Y41" i="1"/>
  <c r="Y54" i="1"/>
  <c r="Z54" i="1"/>
  <c r="Z68" i="1"/>
  <c r="X69" i="1"/>
  <c r="Y68" i="1"/>
  <c r="Z62" i="1"/>
  <c r="X63" i="1"/>
  <c r="Y62" i="1"/>
  <c r="Z73" i="1"/>
  <c r="X74" i="1"/>
  <c r="X47" i="1"/>
  <c r="X59" i="1"/>
  <c r="Z42"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T23" i="1"/>
  <c r="T24" i="1"/>
  <c r="T25" i="1"/>
  <c r="T26" i="1"/>
  <c r="T27" i="1"/>
  <c r="Y69" i="1"/>
  <c r="Z69" i="1"/>
  <c r="Y63" i="1"/>
  <c r="Z63" i="1"/>
  <c r="X64" i="1"/>
  <c r="Z36" i="1"/>
  <c r="X37" i="1"/>
  <c r="Z37" i="1"/>
  <c r="Y74" i="1"/>
  <c r="Z74" i="1"/>
  <c r="X75" i="1"/>
  <c r="X55" i="1"/>
  <c r="Y47" i="1"/>
  <c r="Z47" i="1"/>
  <c r="X48" i="1"/>
  <c r="Y48" i="1"/>
  <c r="X44" i="1"/>
  <c r="Y44" i="1"/>
  <c r="X43" i="1"/>
  <c r="Y29" i="1"/>
  <c r="Z29" i="1"/>
  <c r="X30" i="1"/>
  <c r="Y30" i="1"/>
  <c r="Z48" i="1"/>
  <c r="X49" i="1"/>
  <c r="Z49" i="1"/>
  <c r="X50" i="1"/>
  <c r="Y64" i="1"/>
  <c r="Z64" i="1"/>
  <c r="X65" i="1"/>
  <c r="X70" i="1"/>
  <c r="X71" i="1"/>
  <c r="Y37" i="1"/>
  <c r="Y55" i="1"/>
  <c r="Z55" i="1"/>
  <c r="X56" i="1"/>
  <c r="Y56" i="1"/>
  <c r="X38" i="1"/>
  <c r="Z75" i="1"/>
  <c r="Y75" i="1"/>
  <c r="Y43" i="1"/>
  <c r="Z43" i="1"/>
  <c r="Z44" i="1"/>
  <c r="X45" i="1"/>
  <c r="Z30" i="1"/>
  <c r="X31" i="1"/>
  <c r="Y31" i="1"/>
  <c r="Q24" i="1"/>
  <c r="Y49" i="1"/>
  <c r="Y71" i="1"/>
  <c r="Z71" i="1"/>
  <c r="Y70" i="1"/>
  <c r="Z70" i="1"/>
  <c r="Y65" i="1"/>
  <c r="Z65" i="1"/>
  <c r="X76" i="1"/>
  <c r="X77" i="1"/>
  <c r="Z56" i="1"/>
  <c r="X57" i="1"/>
  <c r="Y57" i="1"/>
  <c r="Z50" i="1"/>
  <c r="X51" i="1"/>
  <c r="Y50" i="1"/>
  <c r="Y38" i="1"/>
  <c r="Z38" i="1"/>
  <c r="X39" i="1"/>
  <c r="Y39" i="1"/>
  <c r="Y45" i="1"/>
  <c r="Z45" i="1"/>
  <c r="Z31" i="1"/>
  <c r="X32" i="1"/>
  <c r="Z32" i="1"/>
  <c r="X33" i="1"/>
  <c r="X22" i="1"/>
  <c r="Y22" i="1"/>
  <c r="Y77" i="1"/>
  <c r="Z77" i="1"/>
  <c r="Y76" i="1"/>
  <c r="Z76" i="1"/>
  <c r="Y51" i="1"/>
  <c r="Z51" i="1"/>
  <c r="Z57" i="1"/>
  <c r="Z39" i="1"/>
  <c r="Y32" i="1"/>
  <c r="Y33" i="1"/>
  <c r="Z33" i="1"/>
  <c r="Q23" i="1"/>
  <c r="AB23" i="1"/>
  <c r="AA23" i="1" s="1"/>
  <c r="Z22" i="1"/>
  <c r="X23" i="1"/>
  <c r="Y23" i="1"/>
  <c r="Z23" i="1"/>
  <c r="X24" i="1"/>
  <c r="Y24" i="1"/>
  <c r="Z24" i="1"/>
  <c r="X25" i="1"/>
  <c r="Z25" i="1"/>
  <c r="X26" i="1"/>
  <c r="Y26" i="1"/>
  <c r="Z26" i="1"/>
  <c r="X27" i="1"/>
  <c r="Y25" i="1"/>
  <c r="Y27" i="1"/>
  <c r="Z27" i="1"/>
  <c r="AB40" i="1"/>
  <c r="AA40" i="1"/>
  <c r="AB74" i="1"/>
  <c r="AB66" i="1"/>
  <c r="AB52" i="1"/>
  <c r="AA52" i="1"/>
  <c r="AB60" i="1"/>
  <c r="AA60" i="1"/>
  <c r="AB28" i="1"/>
  <c r="AA28" i="1"/>
  <c r="AB34" i="1"/>
  <c r="AA34" i="1"/>
  <c r="AB46" i="1"/>
  <c r="AA46" i="1"/>
  <c r="J40" i="19"/>
  <c r="V30" i="19"/>
  <c r="AH20" i="19"/>
  <c r="J30" i="19"/>
  <c r="V20" i="19"/>
  <c r="AH10" i="19"/>
  <c r="P10" i="19"/>
  <c r="AB50" i="19"/>
  <c r="J50" i="19"/>
  <c r="AB40" i="19"/>
  <c r="P30" i="19"/>
  <c r="V50" i="19"/>
  <c r="P50" i="19"/>
  <c r="AB10" i="19"/>
  <c r="AH30" i="19"/>
  <c r="AH40" i="19"/>
  <c r="J10" i="19"/>
  <c r="AB20" i="19"/>
  <c r="AH50" i="19"/>
  <c r="AC46" i="1"/>
  <c r="V10" i="19"/>
  <c r="P20" i="19"/>
  <c r="J20" i="19"/>
  <c r="P40" i="19"/>
  <c r="V40" i="19"/>
  <c r="AB30" i="19"/>
  <c r="J11" i="19"/>
  <c r="V11" i="19"/>
  <c r="AB21" i="19"/>
  <c r="P31" i="19"/>
  <c r="J31" i="19"/>
  <c r="AB41" i="19"/>
  <c r="AC52" i="1"/>
  <c r="AH41" i="19"/>
  <c r="P41" i="19"/>
  <c r="J21" i="19"/>
  <c r="AB31" i="19"/>
  <c r="AB51" i="19"/>
  <c r="P21" i="19"/>
  <c r="V41" i="19"/>
  <c r="V31" i="19"/>
  <c r="AH21" i="19"/>
  <c r="AB11" i="19"/>
  <c r="P51" i="19"/>
  <c r="V21" i="19"/>
  <c r="AH31" i="19"/>
  <c r="V51" i="19"/>
  <c r="J51" i="19"/>
  <c r="AH51" i="19"/>
  <c r="AH11" i="19"/>
  <c r="J41" i="19"/>
  <c r="P11" i="19"/>
  <c r="AA35" i="1"/>
  <c r="AB36" i="1"/>
  <c r="J47" i="19"/>
  <c r="V27" i="19"/>
  <c r="AH7" i="19"/>
  <c r="P47" i="19"/>
  <c r="AB27" i="19"/>
  <c r="J17" i="19"/>
  <c r="V47" i="19"/>
  <c r="J37" i="19"/>
  <c r="AC28" i="1"/>
  <c r="AB37" i="19"/>
  <c r="J27" i="19"/>
  <c r="V7" i="19"/>
  <c r="AH37" i="19"/>
  <c r="P27" i="19"/>
  <c r="AB7" i="19"/>
  <c r="P17" i="19"/>
  <c r="V17" i="19"/>
  <c r="AH47" i="19"/>
  <c r="P37" i="19"/>
  <c r="AB17" i="19"/>
  <c r="J7" i="19"/>
  <c r="V37" i="19"/>
  <c r="AH17" i="19"/>
  <c r="P7" i="19"/>
  <c r="AH27" i="19"/>
  <c r="AB47" i="19"/>
  <c r="AC60"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A66" i="1"/>
  <c r="AA73" i="1"/>
  <c r="AC40"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C34" i="1"/>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AB24" i="1"/>
  <c r="AA24" i="1" s="1"/>
  <c r="AA74" i="1"/>
  <c r="AB75" i="1"/>
  <c r="AB48" i="1"/>
  <c r="AA47" i="1"/>
  <c r="AA53" i="1"/>
  <c r="AB54" i="1"/>
  <c r="AA54" i="1"/>
  <c r="AB55" i="1"/>
  <c r="AB30" i="1"/>
  <c r="AA29" i="1"/>
  <c r="AA61" i="1"/>
  <c r="AB62" i="1"/>
  <c r="AA67" i="1"/>
  <c r="AB68" i="1"/>
  <c r="AA41" i="1"/>
  <c r="AB42" i="1"/>
  <c r="W37" i="19"/>
  <c r="AI7" i="19"/>
  <c r="W17" i="19"/>
  <c r="W27" i="19"/>
  <c r="Q47" i="19"/>
  <c r="W7" i="19"/>
  <c r="AI17" i="19"/>
  <c r="K47" i="19"/>
  <c r="AI47" i="19"/>
  <c r="Q27" i="19"/>
  <c r="AC27" i="19"/>
  <c r="AC47" i="19"/>
  <c r="AC37" i="19"/>
  <c r="AI37" i="19"/>
  <c r="AC29" i="1"/>
  <c r="AC17" i="19"/>
  <c r="K37" i="19"/>
  <c r="AC7" i="19"/>
  <c r="W47" i="19"/>
  <c r="Q37" i="19"/>
  <c r="AI27" i="19"/>
  <c r="Q7" i="19"/>
  <c r="K27" i="19"/>
  <c r="K17" i="19"/>
  <c r="K7" i="19"/>
  <c r="Q17" i="19"/>
  <c r="AA75" i="1"/>
  <c r="AB76" i="1"/>
  <c r="K35" i="19"/>
  <c r="AC25" i="19"/>
  <c r="K45" i="19"/>
  <c r="AI45" i="19"/>
  <c r="W45" i="19"/>
  <c r="Q35" i="19"/>
  <c r="K55" i="19"/>
  <c r="AC15" i="19"/>
  <c r="Q15" i="19"/>
  <c r="AC35" i="19"/>
  <c r="AI35" i="19"/>
  <c r="Q55" i="19"/>
  <c r="AI25" i="19"/>
  <c r="AC73"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C67"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53" i="1"/>
  <c r="AD55" i="19"/>
  <c r="R15" i="19"/>
  <c r="AJ35" i="19"/>
  <c r="AC74" i="1"/>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AC66" i="1"/>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J21" i="19"/>
  <c r="AD31" i="19"/>
  <c r="R21" i="19"/>
  <c r="AD41" i="19"/>
  <c r="AJ11" i="19"/>
  <c r="AJ51" i="19"/>
  <c r="AC54" i="1"/>
  <c r="L41" i="19"/>
  <c r="AD11" i="19"/>
  <c r="L21" i="19"/>
  <c r="L11" i="19"/>
  <c r="X51" i="19"/>
  <c r="X21" i="19"/>
  <c r="R11" i="19"/>
  <c r="R31" i="19"/>
  <c r="AJ41" i="19"/>
  <c r="L31" i="19"/>
  <c r="R51" i="19"/>
  <c r="X31" i="19"/>
  <c r="X11" i="19"/>
  <c r="X41" i="19"/>
  <c r="AJ31" i="19"/>
  <c r="AD51" i="19"/>
  <c r="R41" i="19"/>
  <c r="AD21" i="19"/>
  <c r="L51" i="19"/>
  <c r="AB31" i="1"/>
  <c r="AA30" i="1"/>
  <c r="AA42" i="1"/>
  <c r="AB43" i="1"/>
  <c r="AA62" i="1"/>
  <c r="AB63" i="1"/>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AC47" i="1"/>
  <c r="K10" i="19"/>
  <c r="Q40" i="19"/>
  <c r="K30" i="19"/>
  <c r="AI50" i="19"/>
  <c r="AI20" i="19"/>
  <c r="K50" i="19"/>
  <c r="AI40" i="19"/>
  <c r="W40" i="19"/>
  <c r="K20" i="19"/>
  <c r="AC10" i="19"/>
  <c r="AI10" i="19"/>
  <c r="AC20" i="19"/>
  <c r="AI30" i="19"/>
  <c r="AC30" i="19"/>
  <c r="W30" i="19"/>
  <c r="Q20" i="19"/>
  <c r="AB37" i="1"/>
  <c r="AA36" i="1"/>
  <c r="AA68" i="1"/>
  <c r="AB69" i="1"/>
  <c r="K39" i="19"/>
  <c r="AC39" i="19"/>
  <c r="W29" i="19"/>
  <c r="AI49" i="19"/>
  <c r="W9" i="19"/>
  <c r="AC19" i="19"/>
  <c r="Q49" i="19"/>
  <c r="W49" i="19"/>
  <c r="AC9" i="19"/>
  <c r="AI9" i="19"/>
  <c r="Q29" i="19"/>
  <c r="W39" i="19"/>
  <c r="Q39" i="19"/>
  <c r="AC41"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61" i="1"/>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AA55" i="1"/>
  <c r="AB57" i="1"/>
  <c r="AA57" i="1"/>
  <c r="AB56" i="1"/>
  <c r="AA56" i="1"/>
  <c r="AA48" i="1"/>
  <c r="AB49" i="1"/>
  <c r="AB25" i="1"/>
  <c r="AA25" i="1" s="1"/>
  <c r="AB26" i="1"/>
  <c r="AA26" i="1" s="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35" i="1"/>
  <c r="AB27" i="1"/>
  <c r="AA27" i="1" s="1"/>
  <c r="R40" i="19"/>
  <c r="AD10" i="19"/>
  <c r="X40" i="19"/>
  <c r="AJ10" i="19"/>
  <c r="R50" i="19"/>
  <c r="X10" i="19"/>
  <c r="R30" i="19"/>
  <c r="AC48" i="1"/>
  <c r="L10" i="19"/>
  <c r="L50" i="19"/>
  <c r="AJ20" i="19"/>
  <c r="AJ40" i="19"/>
  <c r="AD30" i="19"/>
  <c r="R20" i="19"/>
  <c r="AD50" i="19"/>
  <c r="AJ30" i="19"/>
  <c r="AJ50" i="19"/>
  <c r="X30" i="19"/>
  <c r="AD20" i="19"/>
  <c r="L40" i="19"/>
  <c r="X50" i="19"/>
  <c r="X20" i="19"/>
  <c r="AD40" i="19"/>
  <c r="R10" i="19"/>
  <c r="L30" i="19"/>
  <c r="L20" i="19"/>
  <c r="AA63" i="1"/>
  <c r="AB64" i="1"/>
  <c r="AA76" i="1"/>
  <c r="AB77" i="1"/>
  <c r="AA77" i="1"/>
  <c r="AD47" i="19"/>
  <c r="AJ27" i="19"/>
  <c r="AD27" i="19"/>
  <c r="AJ7" i="19"/>
  <c r="AJ37" i="19"/>
  <c r="L27" i="19"/>
  <c r="AD17" i="19"/>
  <c r="L37" i="19"/>
  <c r="R17" i="19"/>
  <c r="AJ17" i="19"/>
  <c r="X7" i="19"/>
  <c r="X47" i="19"/>
  <c r="L7" i="19"/>
  <c r="L17" i="19"/>
  <c r="R27" i="19"/>
  <c r="X27" i="19"/>
  <c r="R7" i="19"/>
  <c r="X17" i="19"/>
  <c r="AJ47" i="19"/>
  <c r="L47" i="19"/>
  <c r="R37" i="19"/>
  <c r="AD7" i="19"/>
  <c r="X37" i="19"/>
  <c r="AC30" i="1"/>
  <c r="R47" i="19"/>
  <c r="AD37" i="19"/>
  <c r="AB38" i="1"/>
  <c r="AA38" i="1"/>
  <c r="AA37" i="1"/>
  <c r="AB39" i="1"/>
  <c r="AA39" i="1"/>
  <c r="AJ43" i="19"/>
  <c r="AD33" i="19"/>
  <c r="X33" i="19"/>
  <c r="X13" i="19"/>
  <c r="AD43" i="19"/>
  <c r="L43" i="19"/>
  <c r="AC62" i="1"/>
  <c r="X23" i="19"/>
  <c r="R33" i="19"/>
  <c r="R43" i="19"/>
  <c r="AD53" i="19"/>
  <c r="AJ13" i="19"/>
  <c r="R23" i="19"/>
  <c r="R13" i="19"/>
  <c r="AJ53" i="19"/>
  <c r="L33" i="19"/>
  <c r="L23" i="19"/>
  <c r="X43" i="19"/>
  <c r="X53" i="19"/>
  <c r="AD13" i="19"/>
  <c r="L53" i="19"/>
  <c r="L13" i="19"/>
  <c r="AD23" i="19"/>
  <c r="AJ33" i="19"/>
  <c r="AJ23" i="19"/>
  <c r="R53" i="19"/>
  <c r="AA31" i="1"/>
  <c r="AB32" i="1"/>
  <c r="M55" i="19"/>
  <c r="AK15" i="19"/>
  <c r="AE25" i="19"/>
  <c r="AC75" i="1"/>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36"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56" i="1"/>
  <c r="AL21" i="19"/>
  <c r="T41" i="19"/>
  <c r="AF41" i="19"/>
  <c r="O11" i="19"/>
  <c r="O21" i="19"/>
  <c r="O51" i="19"/>
  <c r="AA31" i="19"/>
  <c r="AM31" i="19"/>
  <c r="AG51" i="19"/>
  <c r="AA41" i="19"/>
  <c r="AM11" i="19"/>
  <c r="U21" i="19"/>
  <c r="AG41" i="19"/>
  <c r="AM21" i="19"/>
  <c r="AM51" i="19"/>
  <c r="O41" i="19"/>
  <c r="U11" i="19"/>
  <c r="AG31" i="19"/>
  <c r="U41" i="19"/>
  <c r="AC57" i="1"/>
  <c r="AG11" i="19"/>
  <c r="AM41" i="19"/>
  <c r="AA21" i="19"/>
  <c r="AA51" i="19"/>
  <c r="U51" i="19"/>
  <c r="U31" i="19"/>
  <c r="AA11" i="19"/>
  <c r="AG21" i="19"/>
  <c r="O31" i="19"/>
  <c r="AA69" i="1"/>
  <c r="AB70" i="1"/>
  <c r="AA43" i="1"/>
  <c r="AB44" i="1"/>
  <c r="AA44" i="1"/>
  <c r="AB45" i="1"/>
  <c r="AA45" i="1"/>
  <c r="AA49" i="1"/>
  <c r="AB50" i="1"/>
  <c r="AE11" i="19"/>
  <c r="Y41" i="19"/>
  <c r="M41" i="19"/>
  <c r="Y21" i="19"/>
  <c r="AK41" i="19"/>
  <c r="S31" i="19"/>
  <c r="M31" i="19"/>
  <c r="M51" i="19"/>
  <c r="Y51" i="19"/>
  <c r="AK21" i="19"/>
  <c r="AK31" i="19"/>
  <c r="Y11" i="19"/>
  <c r="AE41" i="19"/>
  <c r="AE21" i="19"/>
  <c r="S51" i="19"/>
  <c r="AE51" i="19"/>
  <c r="AK51" i="19"/>
  <c r="M21" i="19"/>
  <c r="AE31" i="19"/>
  <c r="AC55" i="1"/>
  <c r="S41" i="19"/>
  <c r="AK11" i="19"/>
  <c r="S11" i="19"/>
  <c r="Y31" i="19"/>
  <c r="S21" i="19"/>
  <c r="M11" i="19"/>
  <c r="L54" i="19"/>
  <c r="AJ14" i="19"/>
  <c r="AD44" i="19"/>
  <c r="X54" i="19"/>
  <c r="R14" i="19"/>
  <c r="AD24" i="19"/>
  <c r="AD34" i="19"/>
  <c r="R54" i="19"/>
  <c r="L34" i="19"/>
  <c r="AJ34" i="19"/>
  <c r="X24" i="19"/>
  <c r="AJ24" i="19"/>
  <c r="X44" i="19"/>
  <c r="R24" i="19"/>
  <c r="AC68" i="1"/>
  <c r="X34" i="19"/>
  <c r="L14" i="19"/>
  <c r="AD14" i="19"/>
  <c r="L44" i="19"/>
  <c r="R44" i="19"/>
  <c r="AD54" i="19"/>
  <c r="X14" i="19"/>
  <c r="AJ44" i="19"/>
  <c r="R34" i="19"/>
  <c r="AJ54" i="19"/>
  <c r="L24" i="19"/>
  <c r="AD29" i="19"/>
  <c r="AD19" i="19"/>
  <c r="R39" i="19"/>
  <c r="R9" i="19"/>
  <c r="X49" i="19"/>
  <c r="X9" i="19"/>
  <c r="AD39" i="19"/>
  <c r="R29" i="19"/>
  <c r="L49" i="19"/>
  <c r="X19" i="19"/>
  <c r="X29" i="19"/>
  <c r="X39" i="19"/>
  <c r="L9" i="19"/>
  <c r="AC42" i="1"/>
  <c r="AD9" i="19"/>
  <c r="AJ49" i="19"/>
  <c r="L39" i="19"/>
  <c r="R19" i="19"/>
  <c r="AJ39" i="19"/>
  <c r="AJ29" i="19"/>
  <c r="AJ19" i="19"/>
  <c r="AJ9" i="19"/>
  <c r="AD49" i="19"/>
  <c r="L19" i="19"/>
  <c r="L29" i="19"/>
  <c r="R49" i="19"/>
  <c r="AA50" i="1"/>
  <c r="AB51" i="1"/>
  <c r="AA51" i="1"/>
  <c r="AG39" i="19"/>
  <c r="AG29" i="19"/>
  <c r="AM19" i="19"/>
  <c r="O39" i="19"/>
  <c r="AC45"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C69" i="1"/>
  <c r="AE24" i="19"/>
  <c r="S14" i="19"/>
  <c r="AK17" i="19"/>
  <c r="S27" i="19"/>
  <c r="S37" i="19"/>
  <c r="AE27" i="19"/>
  <c r="Y47" i="19"/>
  <c r="S7" i="19"/>
  <c r="M17" i="19"/>
  <c r="AE17" i="19"/>
  <c r="AK27" i="19"/>
  <c r="Y7" i="19"/>
  <c r="Y37" i="19"/>
  <c r="AE37" i="19"/>
  <c r="Y27" i="19"/>
  <c r="M47" i="19"/>
  <c r="AC31"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37" i="1"/>
  <c r="AE28" i="19"/>
  <c r="AA55" i="19"/>
  <c r="O45" i="19"/>
  <c r="AA15" i="19"/>
  <c r="AM55" i="19"/>
  <c r="O55" i="19"/>
  <c r="AG35" i="19"/>
  <c r="AM25" i="19"/>
  <c r="AM35" i="19"/>
  <c r="AA25" i="19"/>
  <c r="AM45" i="19"/>
  <c r="AG25" i="19"/>
  <c r="AA35" i="19"/>
  <c r="O25" i="19"/>
  <c r="U25" i="19"/>
  <c r="AG45" i="19"/>
  <c r="U35" i="19"/>
  <c r="AA45" i="19"/>
  <c r="AM15" i="19"/>
  <c r="U45" i="19"/>
  <c r="O35" i="19"/>
  <c r="O15" i="19"/>
  <c r="AC77" i="1"/>
  <c r="AG15" i="19"/>
  <c r="U15" i="19"/>
  <c r="AG55" i="19"/>
  <c r="U55" i="19"/>
  <c r="AE40" i="19"/>
  <c r="Y30" i="19"/>
  <c r="M20" i="19"/>
  <c r="AC49"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44" i="1"/>
  <c r="T19" i="19"/>
  <c r="AL49" i="19"/>
  <c r="T29" i="19"/>
  <c r="AF29" i="19"/>
  <c r="T18" i="19"/>
  <c r="N48" i="19"/>
  <c r="N8" i="19"/>
  <c r="T28" i="19"/>
  <c r="AF38" i="19"/>
  <c r="Z28" i="19"/>
  <c r="Z18" i="19"/>
  <c r="AF8" i="19"/>
  <c r="AC38"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C76"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43" i="1"/>
  <c r="M9" i="19"/>
  <c r="Y29" i="19"/>
  <c r="AA64" i="1"/>
  <c r="AB65" i="1"/>
  <c r="AA65" i="1"/>
  <c r="AG36" i="19"/>
  <c r="AA70" i="1"/>
  <c r="AB71" i="1"/>
  <c r="AA71" i="1"/>
  <c r="AB33" i="1"/>
  <c r="AA33" i="1"/>
  <c r="AA32" i="1"/>
  <c r="O8" i="19"/>
  <c r="AA48" i="19"/>
  <c r="AM38" i="19"/>
  <c r="U48" i="19"/>
  <c r="AA18" i="19"/>
  <c r="AG18" i="19"/>
  <c r="AG48" i="19"/>
  <c r="AM18" i="19"/>
  <c r="AA28" i="19"/>
  <c r="AG28" i="19"/>
  <c r="AA8" i="19"/>
  <c r="U18" i="19"/>
  <c r="AG38" i="19"/>
  <c r="U38" i="19"/>
  <c r="AM8" i="19"/>
  <c r="AA38" i="19"/>
  <c r="AM48" i="19"/>
  <c r="U28" i="19"/>
  <c r="O38" i="19"/>
  <c r="U8" i="19"/>
  <c r="AG8" i="19"/>
  <c r="AC39"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63" i="1"/>
  <c r="M33" i="19"/>
  <c r="T6" i="19"/>
  <c r="AG24" i="19"/>
  <c r="O44" i="19"/>
  <c r="O24" i="19"/>
  <c r="AM14" i="19"/>
  <c r="AG34" i="19"/>
  <c r="O34" i="19"/>
  <c r="AA44" i="19"/>
  <c r="O14" i="19"/>
  <c r="AA54" i="19"/>
  <c r="U14" i="19"/>
  <c r="AM44" i="19"/>
  <c r="AA34" i="19"/>
  <c r="AM24" i="19"/>
  <c r="AM54" i="19"/>
  <c r="AG14" i="19"/>
  <c r="AM34" i="19"/>
  <c r="U54" i="19"/>
  <c r="AG44" i="19"/>
  <c r="AA24" i="19"/>
  <c r="AG54" i="19"/>
  <c r="U34" i="19"/>
  <c r="U24" i="19"/>
  <c r="AC71" i="1"/>
  <c r="AA14" i="19"/>
  <c r="O54" i="19"/>
  <c r="U44" i="19"/>
  <c r="U43" i="19"/>
  <c r="U13" i="19"/>
  <c r="AM53" i="19"/>
  <c r="AA53" i="19"/>
  <c r="AA43" i="19"/>
  <c r="O53" i="19"/>
  <c r="O23" i="19"/>
  <c r="O13" i="19"/>
  <c r="AG43" i="19"/>
  <c r="U33" i="19"/>
  <c r="U23" i="19"/>
  <c r="AM13" i="19"/>
  <c r="AM23" i="19"/>
  <c r="AG13" i="19"/>
  <c r="AA23" i="19"/>
  <c r="AG33" i="19"/>
  <c r="AA33" i="19"/>
  <c r="AM33" i="19"/>
  <c r="AA13" i="19"/>
  <c r="AC65"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C70" i="1"/>
  <c r="AF53" i="19"/>
  <c r="T43" i="19"/>
  <c r="Z53" i="19"/>
  <c r="N43" i="19"/>
  <c r="T23" i="19"/>
  <c r="AF43" i="19"/>
  <c r="Z13" i="19"/>
  <c r="Z43" i="19"/>
  <c r="AF23" i="19"/>
  <c r="AL13" i="19"/>
  <c r="Z23" i="19"/>
  <c r="AL43" i="19"/>
  <c r="AF13" i="19"/>
  <c r="AL23" i="19"/>
  <c r="N13" i="19"/>
  <c r="T33" i="19"/>
  <c r="AL53" i="19"/>
  <c r="N23" i="19"/>
  <c r="N53" i="19"/>
  <c r="AF33" i="19"/>
  <c r="N33" i="19"/>
  <c r="AC64" i="1"/>
  <c r="T53" i="19"/>
  <c r="AL33" i="19"/>
  <c r="T13" i="19"/>
  <c r="Z33" i="19"/>
  <c r="Z47" i="19"/>
  <c r="T7" i="19"/>
  <c r="AL37" i="19"/>
  <c r="T17" i="19"/>
  <c r="Z17" i="19"/>
  <c r="AF7" i="19"/>
  <c r="AF37" i="19"/>
  <c r="N17" i="19"/>
  <c r="AF27" i="19"/>
  <c r="AC32"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51"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33" i="1"/>
  <c r="AA17" i="19"/>
  <c r="O7" i="19"/>
  <c r="AA37" i="19"/>
  <c r="AA27" i="19"/>
  <c r="AM27" i="19"/>
  <c r="U17" i="19"/>
  <c r="U47" i="19"/>
  <c r="AG17" i="19"/>
  <c r="O47" i="19"/>
  <c r="Z40" i="19"/>
  <c r="AC50"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K52" i="1"/>
  <c r="L52" i="1"/>
  <c r="K22" i="1"/>
  <c r="K40" i="1"/>
  <c r="L40" i="1"/>
  <c r="K34" i="1"/>
  <c r="L34" i="1"/>
  <c r="K60" i="1"/>
  <c r="L60" i="1"/>
  <c r="K58" i="1"/>
  <c r="K46" i="1"/>
  <c r="L46" i="1"/>
  <c r="K28" i="1"/>
  <c r="L28" i="1"/>
  <c r="K72" i="1"/>
  <c r="L72" i="1"/>
  <c r="K66" i="1"/>
  <c r="L66" i="1"/>
  <c r="X6" i="18"/>
  <c r="AJ30" i="18"/>
  <c r="R22" i="18"/>
  <c r="L6" i="18"/>
  <c r="R30" i="18"/>
  <c r="X22" i="18"/>
  <c r="X38" i="18"/>
  <c r="AD38" i="18"/>
  <c r="N28" i="1"/>
  <c r="AD22" i="18"/>
  <c r="M28" i="1"/>
  <c r="X14" i="18"/>
  <c r="L30" i="18"/>
  <c r="R38" i="18"/>
  <c r="AJ14" i="18"/>
  <c r="R14" i="18"/>
  <c r="AD6" i="18"/>
  <c r="AD30" i="18"/>
  <c r="AJ38" i="18"/>
  <c r="AJ22" i="18"/>
  <c r="X30" i="18"/>
  <c r="L14" i="18"/>
  <c r="L22" i="18"/>
  <c r="AJ6" i="18"/>
  <c r="L38" i="18"/>
  <c r="AD14" i="18"/>
  <c r="R6" i="18"/>
  <c r="L16" i="18"/>
  <c r="R24" i="18"/>
  <c r="L8" i="18"/>
  <c r="R32" i="18"/>
  <c r="AJ16" i="18"/>
  <c r="R8" i="18"/>
  <c r="AD24" i="18"/>
  <c r="AJ32" i="18"/>
  <c r="AD8" i="18"/>
  <c r="X40" i="18"/>
  <c r="N46" i="1"/>
  <c r="L32" i="18"/>
  <c r="X8" i="18"/>
  <c r="X24" i="18"/>
  <c r="AJ8" i="18"/>
  <c r="M46" i="1"/>
  <c r="R40" i="18"/>
  <c r="L40" i="18"/>
  <c r="X16" i="18"/>
  <c r="L24" i="18"/>
  <c r="AJ24" i="18"/>
  <c r="X32" i="18"/>
  <c r="AJ40" i="18"/>
  <c r="R16" i="18"/>
  <c r="AD40" i="18"/>
  <c r="AD32" i="18"/>
  <c r="AD16" i="18"/>
  <c r="M58" i="1"/>
  <c r="AB58" i="1"/>
  <c r="AA58" i="1"/>
  <c r="J42" i="18"/>
  <c r="P34" i="18"/>
  <c r="AB18" i="18"/>
  <c r="AB42" i="18"/>
  <c r="AH34" i="18"/>
  <c r="P10" i="18"/>
  <c r="V34" i="18"/>
  <c r="P42" i="18"/>
  <c r="V42" i="18"/>
  <c r="AH42" i="18"/>
  <c r="AB26" i="18"/>
  <c r="AH26" i="18"/>
  <c r="V26" i="18"/>
  <c r="AB34" i="18"/>
  <c r="V10" i="18"/>
  <c r="AH18" i="18"/>
  <c r="J34" i="18"/>
  <c r="J10" i="18"/>
  <c r="AB10" i="18"/>
  <c r="J18" i="18"/>
  <c r="N58" i="1"/>
  <c r="P26" i="18"/>
  <c r="J26" i="18"/>
  <c r="AH10" i="18"/>
  <c r="P18" i="18"/>
  <c r="V18" i="18"/>
  <c r="X42" i="18"/>
  <c r="AD34" i="18"/>
  <c r="AD10" i="18"/>
  <c r="AD26" i="18"/>
  <c r="L10" i="18"/>
  <c r="L42" i="18"/>
  <c r="L26" i="18"/>
  <c r="X18" i="18"/>
  <c r="X34" i="18"/>
  <c r="X10" i="18"/>
  <c r="R18" i="18"/>
  <c r="AJ10" i="18"/>
  <c r="AD42" i="18"/>
  <c r="AJ34" i="18"/>
  <c r="R26" i="18"/>
  <c r="M60" i="1"/>
  <c r="L18" i="18"/>
  <c r="AJ26" i="18"/>
  <c r="AD18" i="18"/>
  <c r="R34" i="18"/>
  <c r="L34" i="18"/>
  <c r="AJ42" i="18"/>
  <c r="R10" i="18"/>
  <c r="R42" i="18"/>
  <c r="X26" i="18"/>
  <c r="AJ18" i="18"/>
  <c r="N60" i="1"/>
  <c r="T14" i="18"/>
  <c r="AL38" i="18"/>
  <c r="N14" i="18"/>
  <c r="Z6" i="18"/>
  <c r="T38" i="18"/>
  <c r="T22" i="18"/>
  <c r="AL14" i="18"/>
  <c r="N22" i="18"/>
  <c r="N34" i="1"/>
  <c r="AF22" i="18"/>
  <c r="N6" i="18"/>
  <c r="AF6" i="18"/>
  <c r="AF38" i="18"/>
  <c r="M34" i="1"/>
  <c r="N38" i="18"/>
  <c r="AL30" i="18"/>
  <c r="AL22" i="18"/>
  <c r="T6" i="18"/>
  <c r="AF14" i="18"/>
  <c r="AF30" i="18"/>
  <c r="Z22" i="18"/>
  <c r="T30" i="18"/>
  <c r="Z30" i="18"/>
  <c r="AL6" i="18"/>
  <c r="Z14" i="18"/>
  <c r="Z38" i="18"/>
  <c r="N30" i="18"/>
  <c r="J40" i="18"/>
  <c r="AB40" i="18"/>
  <c r="AH32" i="18"/>
  <c r="AB24" i="18"/>
  <c r="V16" i="18"/>
  <c r="M40" i="1"/>
  <c r="J16" i="18"/>
  <c r="P32" i="18"/>
  <c r="V24" i="18"/>
  <c r="P24" i="18"/>
  <c r="V40" i="18"/>
  <c r="P16" i="18"/>
  <c r="P40" i="18"/>
  <c r="V32" i="18"/>
  <c r="AH16" i="18"/>
  <c r="AB16" i="18"/>
  <c r="V8" i="18"/>
  <c r="AH24" i="18"/>
  <c r="AH8" i="18"/>
  <c r="AH40" i="18"/>
  <c r="J8" i="18"/>
  <c r="AB32" i="18"/>
  <c r="AB8" i="18"/>
  <c r="J24" i="18"/>
  <c r="J32" i="18"/>
  <c r="P8" i="18"/>
  <c r="N40" i="1"/>
  <c r="Z42" i="18"/>
  <c r="T18" i="18"/>
  <c r="AF34" i="18"/>
  <c r="AF42" i="18"/>
  <c r="N42" i="18"/>
  <c r="Z18" i="18"/>
  <c r="AL10" i="18"/>
  <c r="AL26" i="18"/>
  <c r="AF26" i="18"/>
  <c r="Z10" i="18"/>
  <c r="N18" i="18"/>
  <c r="T26" i="18"/>
  <c r="AF10" i="18"/>
  <c r="T34" i="18"/>
  <c r="N26" i="18"/>
  <c r="AL18" i="18"/>
  <c r="N10" i="18"/>
  <c r="AF18" i="18"/>
  <c r="Z26" i="18"/>
  <c r="AL34" i="18"/>
  <c r="M66" i="1"/>
  <c r="Z34" i="18"/>
  <c r="T10" i="18"/>
  <c r="N66" i="1"/>
  <c r="AL42" i="18"/>
  <c r="N34" i="18"/>
  <c r="T42" i="18"/>
  <c r="P14" i="18"/>
  <c r="V22" i="18"/>
  <c r="V14" i="18"/>
  <c r="P22" i="18"/>
  <c r="V38" i="18"/>
  <c r="AH14" i="18"/>
  <c r="AH38" i="18"/>
  <c r="J14" i="18"/>
  <c r="AB22" i="18"/>
  <c r="V30" i="18"/>
  <c r="AB14" i="18"/>
  <c r="AB38" i="18"/>
  <c r="J30" i="18"/>
  <c r="P38" i="18"/>
  <c r="AB6" i="18"/>
  <c r="AB22" i="1"/>
  <c r="AA22" i="1"/>
  <c r="V46" i="19" s="1"/>
  <c r="AH30" i="18"/>
  <c r="J38" i="18"/>
  <c r="AH6" i="18"/>
  <c r="V6" i="18"/>
  <c r="AB30" i="18"/>
  <c r="J22" i="18"/>
  <c r="J6" i="18"/>
  <c r="P30" i="18"/>
  <c r="AH22" i="18"/>
  <c r="P6" i="18"/>
  <c r="AH12" i="18"/>
  <c r="J20" i="18"/>
  <c r="J44" i="18"/>
  <c r="AB28" i="18"/>
  <c r="P28" i="18"/>
  <c r="N72" i="1"/>
  <c r="P12" i="18"/>
  <c r="AH20" i="18"/>
  <c r="P44" i="18"/>
  <c r="AB12" i="18"/>
  <c r="P20" i="18"/>
  <c r="J36" i="18"/>
  <c r="P36" i="18"/>
  <c r="AB44" i="18"/>
  <c r="V44" i="18"/>
  <c r="J28" i="18"/>
  <c r="AH36" i="18"/>
  <c r="V12" i="18"/>
  <c r="V28" i="18"/>
  <c r="AH44" i="18"/>
  <c r="AB20" i="18"/>
  <c r="AB36" i="18"/>
  <c r="AH28" i="18"/>
  <c r="V36" i="18"/>
  <c r="V20" i="18"/>
  <c r="M72" i="1"/>
  <c r="AB72" i="1"/>
  <c r="AA72" i="1"/>
  <c r="J12" i="18"/>
  <c r="AF24" i="18"/>
  <c r="AF32" i="18"/>
  <c r="T40" i="18"/>
  <c r="M52" i="1"/>
  <c r="Z40" i="18"/>
  <c r="AL8" i="18"/>
  <c r="AF8" i="18"/>
  <c r="T8" i="18"/>
  <c r="Z16" i="18"/>
  <c r="T24" i="18"/>
  <c r="AL24" i="18"/>
  <c r="Z32" i="18"/>
  <c r="N32" i="18"/>
  <c r="N16" i="18"/>
  <c r="Z8" i="18"/>
  <c r="AL40" i="18"/>
  <c r="N8" i="18"/>
  <c r="N24" i="18"/>
  <c r="T32" i="18"/>
  <c r="T16" i="18"/>
  <c r="AF40" i="18"/>
  <c r="AF16" i="18"/>
  <c r="AL32" i="18"/>
  <c r="N40" i="18"/>
  <c r="Z24" i="18"/>
  <c r="AL16" i="18"/>
  <c r="N52" i="1"/>
  <c r="AB32" i="19"/>
  <c r="V32" i="19"/>
  <c r="J52" i="19"/>
  <c r="AB42" i="19"/>
  <c r="P12" i="19"/>
  <c r="J12" i="19"/>
  <c r="V12" i="19"/>
  <c r="P42" i="19"/>
  <c r="AH12" i="19"/>
  <c r="V42" i="19"/>
  <c r="P52" i="19"/>
  <c r="J42" i="19"/>
  <c r="AB12" i="19"/>
  <c r="J32" i="19"/>
  <c r="AH42" i="19"/>
  <c r="V52" i="19"/>
  <c r="AC58" i="1"/>
  <c r="AH52" i="19"/>
  <c r="AB52" i="19"/>
  <c r="P32" i="19"/>
  <c r="AB22" i="19"/>
  <c r="J22" i="19"/>
  <c r="AH32" i="19"/>
  <c r="AH22" i="19"/>
  <c r="V22" i="19"/>
  <c r="P22" i="19"/>
  <c r="J16" i="19"/>
  <c r="V16" i="19"/>
  <c r="V25" i="19"/>
  <c r="V45" i="19"/>
  <c r="J15" i="19"/>
  <c r="AB45" i="19"/>
  <c r="AH25" i="19"/>
  <c r="AH55" i="19"/>
  <c r="AB15" i="19"/>
  <c r="P15" i="19"/>
  <c r="P45" i="19"/>
  <c r="V15" i="19"/>
  <c r="J35" i="19"/>
  <c r="AH45" i="19"/>
  <c r="J25" i="19"/>
  <c r="AB35" i="19"/>
  <c r="AH15" i="19"/>
  <c r="V35" i="19"/>
  <c r="J55" i="19"/>
  <c r="AB55" i="19"/>
  <c r="AC72" i="1"/>
  <c r="AB25" i="19"/>
  <c r="AH35" i="19"/>
  <c r="P55" i="19"/>
  <c r="J45" i="19"/>
  <c r="P25" i="19"/>
  <c r="P35" i="19"/>
  <c r="V55" i="19"/>
  <c r="AF6" i="19" l="1"/>
  <c r="AL36" i="19"/>
  <c r="Z46" i="19"/>
  <c r="AF36" i="19"/>
  <c r="Z36" i="19"/>
  <c r="AF16" i="19"/>
  <c r="AL16" i="19"/>
  <c r="N46" i="19"/>
  <c r="AF26" i="19"/>
  <c r="AF46" i="19"/>
  <c r="N26" i="19"/>
  <c r="N36" i="19"/>
  <c r="N6" i="19"/>
  <c r="T16" i="19"/>
  <c r="Z26" i="19"/>
  <c r="Z6" i="19"/>
  <c r="T46" i="19"/>
  <c r="Z16" i="19"/>
  <c r="AL46" i="19"/>
  <c r="N16" i="19"/>
  <c r="X16" i="19"/>
  <c r="R36" i="19"/>
  <c r="AD36" i="19"/>
  <c r="AD16" i="19"/>
  <c r="L26" i="19"/>
  <c r="AJ46" i="19"/>
  <c r="AJ26" i="19"/>
  <c r="X36" i="19"/>
  <c r="R46" i="19"/>
  <c r="AC24" i="1"/>
  <c r="R26" i="19"/>
  <c r="R16" i="19"/>
  <c r="AD46" i="19"/>
  <c r="L46" i="19"/>
  <c r="R6" i="19"/>
  <c r="AD26" i="19"/>
  <c r="X46" i="19"/>
  <c r="AD6" i="19"/>
  <c r="AJ16" i="19"/>
  <c r="L36" i="19"/>
  <c r="X6" i="19"/>
  <c r="AJ6" i="19"/>
  <c r="L16" i="19"/>
  <c r="X26" i="19"/>
  <c r="L6" i="19"/>
  <c r="AJ36" i="19"/>
  <c r="J36" i="19"/>
  <c r="P46" i="19"/>
  <c r="AC26" i="1"/>
  <c r="T26" i="19"/>
  <c r="O6" i="19"/>
  <c r="AG6" i="19"/>
  <c r="O36" i="19"/>
  <c r="AM6" i="19"/>
  <c r="AM46" i="19"/>
  <c r="AA36" i="19"/>
  <c r="AA16" i="19"/>
  <c r="AA46" i="19"/>
  <c r="U26" i="19"/>
  <c r="U46" i="19"/>
  <c r="O26" i="19"/>
  <c r="U36" i="19"/>
  <c r="AM16" i="19"/>
  <c r="AC27" i="1"/>
  <c r="AM26" i="19"/>
  <c r="O46" i="19"/>
  <c r="AG26" i="19"/>
  <c r="AM36" i="19"/>
  <c r="AG16" i="19"/>
  <c r="U6" i="19"/>
  <c r="AA6" i="19"/>
  <c r="U16" i="19"/>
  <c r="AA26" i="19"/>
  <c r="O16" i="19"/>
  <c r="AG46" i="19"/>
  <c r="Y16" i="19"/>
  <c r="M6" i="19"/>
  <c r="AE26" i="19"/>
  <c r="S16" i="19"/>
  <c r="AE6" i="19"/>
  <c r="Y36" i="19"/>
  <c r="AK46" i="19"/>
  <c r="AK16" i="19"/>
  <c r="M16" i="19"/>
  <c r="Y6" i="19"/>
  <c r="M46" i="19"/>
  <c r="S6" i="19"/>
  <c r="AE46" i="19"/>
  <c r="S36" i="19"/>
  <c r="M26" i="19"/>
  <c r="Y46" i="19"/>
  <c r="AK36" i="19"/>
  <c r="Y26" i="19"/>
  <c r="AE36" i="19"/>
  <c r="M36" i="19"/>
  <c r="AE16" i="19"/>
  <c r="S46" i="19"/>
  <c r="AK26" i="19"/>
  <c r="S26" i="19"/>
  <c r="AK6" i="19"/>
  <c r="AC25" i="1"/>
  <c r="V6" i="19"/>
  <c r="T36" i="19"/>
  <c r="AL6" i="19"/>
  <c r="P16" i="19"/>
  <c r="AH46" i="19"/>
  <c r="AB26" i="19"/>
  <c r="V26" i="19"/>
  <c r="V36" i="19"/>
  <c r="AB36" i="19"/>
  <c r="J26" i="19"/>
  <c r="P6" i="19"/>
  <c r="AB46" i="19"/>
  <c r="AB16" i="19"/>
  <c r="AH36" i="19"/>
  <c r="AC22" i="1"/>
  <c r="AB6" i="19"/>
  <c r="J46" i="19"/>
  <c r="AH6" i="19"/>
  <c r="J6" i="19"/>
  <c r="AH26" i="19"/>
  <c r="P26" i="19"/>
  <c r="AH16" i="19"/>
  <c r="P36" i="19"/>
  <c r="AL26" i="19"/>
  <c r="AI6" i="19"/>
  <c r="K46" i="19"/>
  <c r="AI46" i="19"/>
  <c r="Q36" i="19"/>
  <c r="AC46" i="19"/>
  <c r="W6" i="19"/>
  <c r="W26" i="19"/>
  <c r="Q46" i="19"/>
  <c r="K26" i="19"/>
  <c r="AC26" i="19"/>
  <c r="W46" i="19"/>
  <c r="AC16" i="19"/>
  <c r="AI36" i="19"/>
  <c r="W16" i="19"/>
  <c r="AI26" i="19"/>
  <c r="K36" i="19"/>
  <c r="AC6" i="19"/>
  <c r="Q26" i="19"/>
  <c r="AC23" i="1"/>
  <c r="W36" i="19"/>
  <c r="Q6" i="19"/>
  <c r="AC36" i="19"/>
  <c r="K6" i="19"/>
  <c r="K16" i="19"/>
  <c r="Q16" i="19"/>
  <c r="AI16"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<sst xmlns="http://schemas.openxmlformats.org/spreadsheetml/2006/main" count="447" uniqueCount="337">
  <si>
    <t>Matriz Mapa de Riesgos</t>
  </si>
  <si>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</si>
  <si>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</si>
  <si>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</si>
  <si>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</si>
  <si>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</si>
  <si>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</si>
  <si>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</si>
  <si>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</si>
  <si>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</si>
  <si>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</si>
  <si>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</si>
  <si>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</si>
  <si>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</si>
  <si>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</si>
  <si>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</si>
  <si>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</si>
  <si>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</si>
  <si>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</si>
  <si>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</si>
  <si>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</si>
  <si>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</si>
  <si>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</si>
  <si>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</si>
  <si>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</si>
  <si>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</si>
  <si>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</si>
  <si>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</si>
  <si>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</si>
  <si>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</si>
  <si>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</si>
  <si>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</si>
  <si>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</si>
  <si>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</si>
  <si>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</si>
  <si>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</si>
  <si>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</si>
  <si>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</si>
  <si>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</si>
  <si>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</si>
  <si>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</si>
  <si>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</si>
  <si>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</si>
  <si>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</si>
  <si>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</si>
  <si>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</si>
  <si>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</si>
  <si>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</si>
  <si>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</si>
  <si>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</si>
  <si>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</si>
  <si>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</si>
  <si>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</si>
  <si>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</si>
  <si>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</si>
  <si>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</si>
  <si>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</si>
  <si>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</si>
  <si>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t>Proceso:</t>
  </si>
  <si>
    <t>Objetivo:</t>
  </si>
  <si>
    <t>Alcance:</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</si>
  <si>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</si>
  <si>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</si>
  <si>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</si>
  <si>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</si>
  <si>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</si>
  <si>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</si>
  <si>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</si>
  <si>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</si>
  <si>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</si>
  <si>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</si>
  <si>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</si>
  <si>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</si>
  <si>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</si>
  <si>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</si>
  <si>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</si>
  <si>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</si>
  <si>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</si>
  <si>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</si>
  <si>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</si>
  <si>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Implementación</t>
  </si>
  <si>
    <t>Fecha Seguimiento</t>
  </si>
  <si>
    <t>Seguimiento</t>
  </si>
  <si>
    <t>Tipo</t>
  </si>
  <si>
    <t>Implementación</t>
  </si>
  <si>
    <t>Calificación</t>
  </si>
  <si>
    <t>Documentación</t>
  </si>
  <si>
    <t>Frecuencia</t>
  </si>
  <si>
    <t>Evidencia</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</si>
  <si>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</si>
  <si>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</si>
  <si>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</si>
  <si>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</si>
  <si>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</si>
  <si>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</si>
  <si>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</si>
  <si>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</si>
  <si>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</si>
  <si>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</si>
  <si>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</si>
  <si>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</si>
  <si>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</si>
  <si>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</si>
  <si>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</si>
  <si>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</si>
  <si>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</si>
  <si>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</si>
  <si>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</si>
  <si>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</si>
  <si>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</si>
  <si>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</si>
  <si>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</si>
  <si>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</si>
  <si>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</si>
  <si>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</si>
  <si>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</si>
  <si>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</si>
  <si>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</si>
  <si>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</si>
  <si>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</si>
  <si>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</si>
  <si>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</si>
  <si>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</si>
  <si>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</si>
  <si>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</si>
  <si>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</si>
  <si>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</si>
  <si>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</si>
  <si>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</si>
  <si>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</si>
  <si>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</si>
  <si>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</si>
  <si>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</si>
  <si>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</si>
  <si>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</si>
  <si>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</si>
  <si>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</si>
  <si>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</si>
  <si>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</si>
  <si>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</si>
  <si>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</si>
  <si>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</si>
  <si>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</si>
  <si>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</si>
  <si>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</si>
  <si>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</si>
  <si>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</si>
  <si>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</si>
  <si>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El riesgo afecta la imagen de la entidad con algunos usuarios de relevancia frente al logro de los objetivos</t>
  </si>
  <si>
    <t xml:space="preserve">     Entre 100 y 500 SMLMV </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</si>
  <si>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</si>
  <si>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</si>
  <si>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</si>
  <si>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</si>
  <si>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</si>
  <si>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</si>
  <si>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</si>
  <si>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</si>
  <si>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</si>
  <si>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</si>
  <si>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</si>
  <si>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</si>
  <si>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</si>
  <si>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</si>
  <si>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Preventivo</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</si>
  <si>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</si>
  <si>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</si>
  <si>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</si>
  <si>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</si>
  <si>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</si>
  <si>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</si>
  <si>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</si>
  <si>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Manual</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</si>
  <si>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</si>
  <si>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</si>
  <si>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Documentado</t>
  </si>
  <si>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</si>
  <si>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</si>
  <si>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</si>
  <si>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</si>
  <si>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Continua</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</si>
  <si>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</si>
  <si>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</si>
  <si>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</si>
  <si>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Con Registro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</si>
  <si>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</si>
  <si>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</si>
  <si>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</si>
  <si>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</si>
  <si>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</si>
  <si>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</si>
  <si>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Evitar</t>
  </si>
  <si>
    <t>Reputacional</t>
  </si>
  <si>
    <t>Reducir (compartir)</t>
  </si>
  <si>
    <t>Económico y Reputacional</t>
  </si>
  <si>
    <t>Reducir (mitigar)</t>
  </si>
  <si>
    <t>Plan de accion (solo para la opción reducir)</t>
  </si>
  <si>
    <t>Finalizado</t>
  </si>
  <si>
    <t>En curso</t>
  </si>
  <si>
    <t>Daños Activos Fisicos</t>
  </si>
  <si>
    <t>Ejecucion y Administracion de procesos</t>
  </si>
  <si>
    <t>Fallas Tecnologicas</t>
  </si>
  <si>
    <t>Fraude Externo</t>
  </si>
  <si>
    <t>Fraude Interno</t>
  </si>
  <si>
    <t>Relaciones Laborales</t>
  </si>
  <si>
    <t>Usuarios, productos y practicas , organizacionales</t>
  </si>
  <si>
    <t>Registro Sustancial</t>
  </si>
  <si>
    <t>Registro Material</t>
  </si>
  <si>
    <t>Sin registro</t>
  </si>
  <si>
    <t>Reducir</t>
  </si>
  <si>
    <t>|</t>
  </si>
  <si>
    <t xml:space="preserve">ANÁLISIS DOFA        </t>
  </si>
  <si>
    <t>Origen Interno</t>
  </si>
  <si>
    <t>Fortalezas</t>
  </si>
  <si>
    <t>Debilidades</t>
  </si>
  <si>
    <t>F1</t>
  </si>
  <si>
    <t>D1</t>
  </si>
  <si>
    <t>F2</t>
  </si>
  <si>
    <t>D2</t>
  </si>
  <si>
    <t>F3</t>
  </si>
  <si>
    <t>D3</t>
  </si>
  <si>
    <t>F4</t>
  </si>
  <si>
    <t>D4</t>
  </si>
  <si>
    <t>F5</t>
  </si>
  <si>
    <t>D5</t>
  </si>
  <si>
    <t>F6</t>
  </si>
  <si>
    <t>D6</t>
  </si>
  <si>
    <t>F7</t>
  </si>
  <si>
    <t>D7</t>
  </si>
  <si>
    <t>F8</t>
  </si>
  <si>
    <t>D8</t>
  </si>
  <si>
    <t>F9</t>
  </si>
  <si>
    <t>D9</t>
  </si>
  <si>
    <t>F10</t>
  </si>
  <si>
    <t>D10</t>
  </si>
  <si>
    <t>F11</t>
  </si>
  <si>
    <t>D11</t>
  </si>
  <si>
    <t>F12</t>
  </si>
  <si>
    <t>D12</t>
  </si>
  <si>
    <t>Origen Externo</t>
  </si>
  <si>
    <t>Oportunidades</t>
  </si>
  <si>
    <t>Amenazas</t>
  </si>
  <si>
    <t>O1</t>
  </si>
  <si>
    <t>A1</t>
  </si>
  <si>
    <t>O2</t>
  </si>
  <si>
    <t>A2</t>
  </si>
  <si>
    <t>O3</t>
  </si>
  <si>
    <t>A3</t>
  </si>
  <si>
    <t>O4</t>
  </si>
  <si>
    <t>A4</t>
  </si>
  <si>
    <t>O5</t>
  </si>
  <si>
    <t>A5</t>
  </si>
  <si>
    <t>O6</t>
  </si>
  <si>
    <t>A6</t>
  </si>
  <si>
    <t>O7</t>
  </si>
  <si>
    <t>A7</t>
  </si>
  <si>
    <t>O8</t>
  </si>
  <si>
    <t>A8</t>
  </si>
  <si>
    <t>O9</t>
  </si>
  <si>
    <t>A9</t>
  </si>
  <si>
    <t>O10</t>
  </si>
  <si>
    <t>A10</t>
  </si>
  <si>
    <t>O11</t>
  </si>
  <si>
    <t>A11</t>
  </si>
  <si>
    <t>O12</t>
  </si>
  <si>
    <t>A12</t>
  </si>
  <si>
    <r>
      <t xml:space="preserve">El archivo contiene las siguientes hojas:
- Instructivo
-   </t>
    </r>
    <r>
      <rPr>
        <b/>
        <sz val="11"/>
        <rFont val="Arial Narrow"/>
        <family val="2"/>
      </rPr>
      <t xml:space="preserve">Hoja 1 Contexto del proceso:  </t>
    </r>
    <r>
      <rPr>
        <sz val="11"/>
        <rFont val="Arial Narrow"/>
        <family val="2"/>
      </rPr>
      <t xml:space="preserve">Diligenciar analisis DOFA para cada proceso </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</si>
  <si>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Código</t>
  </si>
  <si>
    <t>PLE-PIN-F001</t>
  </si>
  <si>
    <t>Versión</t>
  </si>
  <si>
    <t>Vigencia</t>
  </si>
  <si>
    <t>Caso HOLA:</t>
  </si>
  <si>
    <t>CONTROL DE CAMBIOS MATRIZ DE RIESGOS</t>
  </si>
  <si>
    <t>VERSIÓN</t>
  </si>
  <si>
    <t>FECHA</t>
  </si>
  <si>
    <t>DESCRIPCIÓN DE LA MODIFICACIÓN</t>
  </si>
  <si>
    <t>NOTA: Para el diligenciamiento de esta matriz tenga en cuenta el manual "Gestión del Riesgo" PLE-PIN-M001</t>
  </si>
  <si>
    <t>MATRIZ MAPA DE RIESGO</t>
  </si>
  <si>
    <t>Ambiental</t>
  </si>
  <si>
    <t>Daños Activos Físicos</t>
  </si>
  <si>
    <t>Ejecución y Administración de Procesos</t>
  </si>
  <si>
    <t>Fallas Tecnológicas</t>
  </si>
  <si>
    <t>Usuarios, productos y prácticas organizacionales</t>
  </si>
  <si>
    <t>Ambientales</t>
  </si>
  <si>
    <t>Afectación Ambiental</t>
  </si>
  <si>
    <t>Entre 1-12.500</t>
  </si>
  <si>
    <t>&gt; 12.500 - 25.000</t>
  </si>
  <si>
    <t>&gt; 25.000 – 125.000</t>
  </si>
  <si>
    <t>&gt; 125.000 – 500.000</t>
  </si>
  <si>
    <t>El riesgo afecta la imagen de la entidad internamente, de conocimiento general, nivel interno, de junta directiva y accionistas y/o de provedores</t>
  </si>
  <si>
    <t>&gt; 500.000 – 1.000.000</t>
  </si>
  <si>
    <t>No.</t>
  </si>
  <si>
    <t>CRITERIOS DE VALORACIÓN</t>
  </si>
  <si>
    <t>ESCALA DE VALOR</t>
  </si>
  <si>
    <t>Se refiere al área de influencia del impacto en relación con el entorno donde se genera.</t>
  </si>
  <si>
    <t>Puntual 1</t>
  </si>
  <si>
    <t>El impacto queda confinado dentro del área donde se genera.</t>
  </si>
  <si>
    <t>Local 5</t>
  </si>
  <si>
    <t>Trasciende los límites del área de influencia.</t>
  </si>
  <si>
    <t>Regional o nacional 10</t>
  </si>
  <si>
    <t>Tiene consecuencias a nivel regional o trasciende los límites del Distrito.</t>
  </si>
  <si>
    <t>Se refiere a la posibilidad que se dé el impacto y está relacionada con la "REGULARIDAD" (Normal, anormal o</t>
  </si>
  <si>
    <t>de emergencia).</t>
  </si>
  <si>
    <t>Baja 1</t>
  </si>
  <si>
    <t>Existe una posibilidad muy remota de que suceda</t>
  </si>
  <si>
    <t>Media 5</t>
  </si>
  <si>
    <t>Existe una posibilidad media de que suceda.</t>
  </si>
  <si>
    <t>Alta 10</t>
  </si>
  <si>
    <t>Es muy posible que suceda en cualquier momento.</t>
  </si>
  <si>
    <t>Duración</t>
  </si>
  <si>
    <t>Se refiere al tiempo que permanecerá el efecto positivo o negativo del impacto en el ambiente.</t>
  </si>
  <si>
    <t>Breve 1</t>
  </si>
  <si>
    <t>Alteración del recurso durante un lapso muy pequeño.</t>
  </si>
  <si>
    <t>Temporal 5</t>
  </si>
  <si>
    <t>Alteración del recurso durante un lapso moderado.</t>
  </si>
  <si>
    <t>Permanente 10</t>
  </si>
  <si>
    <t>Alteración del recurso permanente en el tiempo</t>
  </si>
  <si>
    <t>Recuperabilidad</t>
  </si>
  <si>
    <t>Se refiere a la posibilidad de reconstrucción, total o parcial del recurso afectado por el impacto.</t>
  </si>
  <si>
    <t>Reversible 1</t>
  </si>
  <si>
    <t>Recuperable 5</t>
  </si>
  <si>
    <t>Irrecuperable /irreversible 10</t>
  </si>
  <si>
    <t>El/los recursos afectados no retornan a las condiciones originales a través de ningún medio.</t>
  </si>
  <si>
    <t>Cantidad</t>
  </si>
  <si>
    <t>Se refiere a la magnitud del impacto, es decir, la severidad con la que ocurrirá la afectación y/o riesgo sobre el recurso.</t>
  </si>
  <si>
    <t>Alteración mínima del recurso. Existe bajo potencial de riesgo sobre el recurso o el ambiente.</t>
  </si>
  <si>
    <t>Moderada 5</t>
  </si>
  <si>
    <t>Alteración moderada del recurso. Tiene un potencial de riesgo medio sobre el recurso o el ambiente.</t>
  </si>
  <si>
    <t>Alteración Significativa del recurso. Tiene efectos importantes sobre el recurso o el ambiente.</t>
  </si>
  <si>
    <t>Normatividad</t>
  </si>
  <si>
    <t>Hace referencia a la normatividad ambiental aplicable    al    aspecto    y/o    el    impacto ambiental.</t>
  </si>
  <si>
    <t>No tiene normatividad relacionada.</t>
  </si>
  <si>
    <t>N/A</t>
  </si>
  <si>
    <t>Tiene normatividad relacionada.</t>
  </si>
  <si>
    <t>Se puede disminuir el efecto a través de medidas de control hasta un estándar determinado.</t>
  </si>
  <si>
    <t>Puede eliminarse el efecto por medio de actividades humanas tendientes a restablecer las condiciones originales del recurso.</t>
  </si>
  <si>
    <t>27 de abril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</si>
</sst>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80"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8"/>
      <color indexed="60"/>
      <name val="Arial"/>
      <family val="2"/>
    </font>
    <font>
      <b/>
      <sz val="48"/>
      <color indexed="60"/>
      <name val="Arial"/>
      <family val="2"/>
    </font>
    <font>
      <b/>
      <sz val="10"/>
      <name val="Arial"/>
      <family val="2"/>
    </font>
    <font>
      <b/>
      <sz val="12"/>
      <color indexed="16"/>
      <name val="Arial"/>
      <family val="2"/>
    </font>
    <font>
      <b/>
      <sz val="12"/>
      <color rgb="FFA6A6A6"/>
      <name val="Titillium Web"/>
    </font>
    <font>
      <b/>
      <sz val="20"/>
      <color rgb="FFC00000"/>
      <name val="Arial Narrow"/>
      <family val="2"/>
    </font>
    <font>
      <sz val="11"/>
      <color rgb="FF000000"/>
      <name val="Calibri"/>
      <family val="2"/>
      <scheme val="minor"/>
    </font>
    <font>
      <b/>
      <sz val="48"/>
      <color rgb="FF993300"/>
      <name val="Arial"/>
      <family val="2"/>
    </font>
    <font>
      <b/>
      <sz val="18"/>
      <name val="Arial"/>
      <family val="2"/>
    </font>
    <font>
      <b/>
      <sz val="12"/>
      <name val="Arial"/>
      <family val="2"/>
    </font>
    <font>
      <sz val="10"/>
      <color rgb="FF000000"/>
      <name val="Arial"/>
      <family val="2"/>
    </font>
    <font>
      <sz val="12"/>
      <name val="Arial"/>
      <family val="2"/>
    </font>
    <font>
      <b/>
      <sz val="11"/>
      <color rgb="FF800000"/>
      <name val="Arial"/>
      <family val="2"/>
    </font>
    <font>
      <sz val="11"/>
      <color rgb="FF000000"/>
      <name val="Arial"/>
      <family val="2"/>
    </font>
    <font>
      <b/>
      <sz val="11"/>
      <color rgb="FF000000"/>
      <name val="Arial"/>
      <family val="2"/>
    </font>
    <font>
      <sz val="10"/>
      <color rgb="FFFFFFFF"/>
      <name val="Arial"/>
      <family val="2"/>
    </font>
    <font>
      <b/>
      <sz val="12"/>
      <color rgb="FFFF0000"/>
      <name val="Arial"/>
      <family val="2"/>
    </font>
    <font>
      <b/>
      <sz val="9"/>
      <color rgb="FFFFFFFF"/>
      <name val="Arial"/>
      <family val="2"/>
    </font>
    <font>
      <b/>
      <sz val="11"/>
      <name val="Arial"/>
      <family val="2"/>
    </font>
    <font>
      <b/>
      <i/>
      <sz val="14"/>
      <color rgb="FFA6A6A6"/>
      <name val="Arial"/>
      <family val="2"/>
    </font>
    <font>
      <b/>
      <sz val="28"/>
      <color rgb="FF993300"/>
      <name val="Arial"/>
      <family val="2"/>
    </font>
    <font>
      <sz val="12"/>
      <color theme="1"/>
      <name val="Garamond"/>
      <family val="1"/>
    </font>
    <font>
      <sz val="12"/>
      <color rgb="FF000000"/>
      <name val="Garamond"/>
      <family val="1"/>
    </font>
  </fonts>
  <fills count="24">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FF"/>
        <bgColor rgb="FF000000"/>
      </patternFill>
    </fill>
    <fill>
      <patternFill patternType="solid">
        <fgColor theme="0"/>
        <bgColor rgb="FF000000"/>
      </patternFill>
    </fill>
    <fill>
      <patternFill patternType="solid">
        <fgColor rgb="FFB8CCE4"/>
        <bgColor indexed="64"/>
      </patternFill>
    </fill>
    <fill>
      <patternFill patternType="solid">
        <fgColor rgb="FFDBE5F1"/>
        <bgColor indexed="64"/>
      </patternFill>
    </fill>
    <fill>
      <patternFill patternType="solid">
        <fgColor rgb="FFFF9900"/>
        <bgColor indexed="64"/>
      </patternFill>
    </fill>
  </fills>
  <borders count="92">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rgb="FFFFFFFF"/>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4F81BD"/>
      </left>
      <right style="medium">
        <color rgb="FF4F81BD"/>
      </right>
      <top style="medium">
        <color rgb="FF4F81BD"/>
      </top>
      <bottom style="medium">
        <color rgb="FF4F81BD"/>
      </bottom>
      <diagonal/>
    </border>
    <border>
      <left/>
      <right style="medium">
        <color rgb="FF4F81BD"/>
      </right>
      <top style="medium">
        <color rgb="FF4F81BD"/>
      </top>
      <bottom style="medium">
        <color rgb="FF4F81BD"/>
      </bottom>
      <diagonal/>
    </border>
    <border>
      <left/>
      <right/>
      <top style="medium">
        <color rgb="FF4F81BD"/>
      </top>
      <bottom style="medium">
        <color rgb="FF4F81BD"/>
      </bottom>
      <diagonal/>
    </border>
    <border>
      <left style="medium">
        <color rgb="FF4F81BD"/>
      </left>
      <right style="medium">
        <color rgb="FF4F81BD"/>
      </right>
      <top/>
      <bottom style="medium">
        <color rgb="FF4F81BD"/>
      </bottom>
      <diagonal/>
    </border>
    <border>
      <left style="medium">
        <color rgb="FF4F81BD"/>
      </left>
      <right style="medium">
        <color rgb="FF4F81BD"/>
      </right>
      <top/>
      <bottom/>
      <diagonal/>
    </border>
    <border>
      <left/>
      <right style="medium">
        <color rgb="FF4F81BD"/>
      </right>
      <top/>
      <bottom style="medium">
        <color rgb="FF4F81BD"/>
      </bottom>
      <diagonal/>
    </border>
    <border>
      <left/>
      <right style="medium">
        <color rgb="FF4F81BD"/>
      </right>
      <top/>
      <bottom/>
      <diagonal/>
    </border>
    <border>
      <left style="medium">
        <color rgb="FF4F81BD"/>
      </left>
      <right/>
      <top style="medium">
        <color rgb="FF4F81BD"/>
      </top>
      <bottom style="medium">
        <color rgb="FF4F81BD"/>
      </bottom>
      <diagonal/>
    </border>
    <border>
      <left style="medium">
        <color rgb="FF4F81BD"/>
      </left>
      <right style="medium">
        <color rgb="FF4F81BD"/>
      </right>
      <top style="medium">
        <color rgb="FF4F81BD"/>
      </top>
      <bottom/>
      <diagonal/>
    </border>
    <border>
      <left/>
      <right style="medium">
        <color rgb="FF4F81BD"/>
      </right>
      <top style="medium">
        <color rgb="FF4F81BD"/>
      </top>
      <bottom/>
      <diagonal/>
    </border>
    <border>
      <left/>
      <right/>
      <top style="medium">
        <color rgb="FF4F81BD"/>
      </top>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501">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50" fillId="3" borderId="51" xfId="2" applyFont="1" applyFill="1" applyBorder="1"/>
    <xf numFmtId="0" fontId="50" fillId="3" borderId="52" xfId="2" applyFont="1" applyFill="1" applyBorder="1"/>
    <xf numFmtId="0" fontId="50" fillId="3" borderId="53" xfId="2" applyFont="1" applyFill="1" applyBorder="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5" borderId="45" xfId="0" applyFont="1" applyFill="1" applyBorder="1" applyAlignment="1">
      <alignment horizontal="center" vertical="center" wrapText="1" readingOrder="1"/>
    </xf>
    <xf numFmtId="0" fontId="38" fillId="15"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50" fillId="3" borderId="14" xfId="2" applyFont="1" applyFill="1" applyBorder="1"/>
    <xf numFmtId="0" fontId="54" fillId="3" borderId="0" xfId="0" applyFont="1" applyFill="1" applyAlignment="1">
      <alignment horizontal="left" vertical="center" wrapText="1"/>
    </xf>
    <xf numFmtId="0" fontId="55" fillId="3" borderId="0" xfId="0" applyFont="1" applyFill="1" applyAlignment="1">
      <alignment horizontal="left" vertical="top" wrapText="1"/>
    </xf>
    <xf numFmtId="0" fontId="50" fillId="3" borderId="0" xfId="2" applyFont="1" applyFill="1"/>
    <xf numFmtId="0" fontId="50" fillId="3" borderId="15" xfId="2" applyFont="1" applyFill="1" applyBorder="1"/>
    <xf numFmtId="0" fontId="50" fillId="3" borderId="16" xfId="2" applyFont="1" applyFill="1" applyBorder="1"/>
    <xf numFmtId="0" fontId="50" fillId="3" borderId="18" xfId="2" applyFont="1" applyFill="1" applyBorder="1"/>
    <xf numFmtId="0" fontId="50" fillId="3" borderId="17" xfId="2" applyFont="1" applyFill="1" applyBorder="1"/>
    <xf numFmtId="0" fontId="53" fillId="3" borderId="0" xfId="2" applyFont="1" applyFill="1" applyAlignment="1">
      <alignment horizontal="left" vertical="center" wrapText="1"/>
    </xf>
    <xf numFmtId="0" fontId="50" fillId="3" borderId="0" xfId="2" applyFont="1" applyFill="1" applyAlignment="1">
      <alignment horizontal="left" vertical="center" wrapText="1"/>
    </xf>
    <xf numFmtId="0" fontId="50" fillId="3" borderId="0" xfId="2" quotePrefix="1" applyFont="1" applyFill="1" applyAlignment="1">
      <alignment horizontal="left" vertical="center" wrapText="1"/>
    </xf>
    <xf numFmtId="0" fontId="51" fillId="3" borderId="14" xfId="2" quotePrefix="1" applyFont="1" applyFill="1" applyBorder="1" applyAlignment="1">
      <alignment horizontal="left" vertical="top" wrapText="1"/>
    </xf>
    <xf numFmtId="0" fontId="52" fillId="3" borderId="0" xfId="2" quotePrefix="1" applyFont="1" applyFill="1" applyAlignment="1">
      <alignment horizontal="left" vertical="top" wrapText="1"/>
    </xf>
    <xf numFmtId="0" fontId="52" fillId="3" borderId="15" xfId="2" quotePrefix="1" applyFont="1" applyFill="1" applyBorder="1" applyAlignment="1">
      <alignment horizontal="left" vertical="top" wrapText="1"/>
    </xf>
    <xf numFmtId="0" fontId="1" fillId="0" borderId="2" xfId="0" applyFont="1" applyBorder="1" applyAlignment="1">
      <alignment horizontal="center" vertical="top"/>
    </xf>
    <xf numFmtId="0" fontId="6" fillId="0" borderId="2" xfId="0" applyFont="1" applyBorder="1" applyAlignment="1" applyProtection="1">
      <alignment horizontal="justify" vertical="top" wrapText="1"/>
      <protection locked="0"/>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1" fillId="0" borderId="2" xfId="0" applyFont="1" applyBorder="1" applyAlignment="1" applyProtection="1">
      <alignment horizontal="justify" vertical="top"/>
      <protection locked="0"/>
    </xf>
    <xf numFmtId="164" fontId="1" fillId="9" borderId="2" xfId="1" applyNumberFormat="1" applyFont="1" applyFill="1" applyBorder="1" applyAlignment="1">
      <alignment horizontal="center" vertical="top"/>
    </xf>
    <xf numFmtId="49" fontId="58" fillId="16" borderId="0" xfId="0" applyNumberFormat="1" applyFont="1" applyFill="1" applyAlignment="1" applyProtection="1">
      <alignment horizontal="center" vertical="center" wrapText="1"/>
      <protection locked="0"/>
    </xf>
    <xf numFmtId="0" fontId="60" fillId="18" borderId="33" xfId="0" applyFont="1" applyFill="1" applyBorder="1" applyAlignment="1" applyProtection="1">
      <alignment horizontal="center" vertical="center" wrapText="1"/>
      <protection locked="0"/>
    </xf>
    <xf numFmtId="0" fontId="61" fillId="0" borderId="33" xfId="0" applyFont="1" applyBorder="1" applyAlignment="1">
      <alignment horizontal="left" vertical="top" wrapText="1"/>
    </xf>
    <xf numFmtId="0" fontId="61" fillId="0" borderId="38" xfId="0" applyFont="1" applyBorder="1" applyAlignment="1">
      <alignment horizontal="left" vertical="top" wrapText="1"/>
    </xf>
    <xf numFmtId="0" fontId="61" fillId="0" borderId="40" xfId="0" applyFont="1" applyBorder="1" applyAlignment="1">
      <alignment horizontal="left" vertical="top" wrapText="1"/>
    </xf>
    <xf numFmtId="0" fontId="61" fillId="0" borderId="41" xfId="0" applyFont="1" applyBorder="1" applyAlignment="1">
      <alignment horizontal="left" vertical="top" wrapText="1"/>
    </xf>
    <xf numFmtId="49" fontId="65" fillId="19" borderId="0" xfId="0" applyNumberFormat="1" applyFont="1" applyFill="1" applyAlignment="1" applyProtection="1">
      <alignment vertical="center" wrapText="1"/>
      <protection locked="0"/>
    </xf>
    <xf numFmtId="0" fontId="63" fillId="19" borderId="0" xfId="0" applyFont="1" applyFill="1" applyProtection="1">
      <protection locked="0"/>
    </xf>
    <xf numFmtId="0" fontId="66" fillId="19" borderId="0" xfId="0" applyFont="1" applyFill="1" applyAlignment="1" applyProtection="1">
      <alignment horizontal="left" vertical="center" wrapText="1"/>
      <protection locked="0"/>
    </xf>
    <xf numFmtId="0" fontId="67" fillId="19" borderId="0" xfId="0" applyFont="1" applyFill="1" applyAlignment="1" applyProtection="1">
      <alignment vertical="center" wrapText="1"/>
      <protection locked="0"/>
    </xf>
    <xf numFmtId="0" fontId="67" fillId="19" borderId="0" xfId="0" applyFont="1" applyFill="1" applyProtection="1">
      <protection locked="0"/>
    </xf>
    <xf numFmtId="0" fontId="67" fillId="19" borderId="0" xfId="0" applyFont="1" applyFill="1" applyAlignment="1" applyProtection="1">
      <alignment horizontal="center"/>
      <protection locked="0"/>
    </xf>
    <xf numFmtId="0" fontId="63" fillId="19" borderId="0" xfId="0" applyFont="1" applyFill="1" applyAlignment="1" applyProtection="1">
      <alignment horizontal="center"/>
      <protection locked="0"/>
    </xf>
    <xf numFmtId="0" fontId="68" fillId="0" borderId="69" xfId="0" applyFont="1" applyBorder="1" applyAlignment="1" applyProtection="1">
      <alignment horizontal="right"/>
      <protection locked="0"/>
    </xf>
    <xf numFmtId="0" fontId="70" fillId="19" borderId="0" xfId="0" applyFont="1" applyFill="1" applyAlignment="1" applyProtection="1">
      <alignment horizontal="center" vertical="center" wrapText="1"/>
      <protection locked="0"/>
    </xf>
    <xf numFmtId="14" fontId="68" fillId="0" borderId="69" xfId="0" applyNumberFormat="1" applyFont="1" applyBorder="1" applyAlignment="1" applyProtection="1">
      <alignment horizontal="right"/>
      <protection locked="0"/>
    </xf>
    <xf numFmtId="0" fontId="70" fillId="19" borderId="0" xfId="0" applyFont="1" applyFill="1" applyAlignment="1" applyProtection="1">
      <alignment vertical="center" wrapText="1"/>
      <protection locked="0"/>
    </xf>
    <xf numFmtId="0" fontId="71" fillId="19" borderId="0" xfId="0" applyFont="1" applyFill="1" applyAlignment="1" applyProtection="1">
      <alignment vertical="center" wrapText="1"/>
      <protection locked="0"/>
    </xf>
    <xf numFmtId="0" fontId="66" fillId="19" borderId="0" xfId="0" applyFont="1" applyFill="1" applyAlignment="1" applyProtection="1">
      <alignment horizontal="center" vertical="center" wrapText="1"/>
      <protection locked="0"/>
    </xf>
    <xf numFmtId="0" fontId="63" fillId="19" borderId="0" xfId="0" applyFont="1" applyFill="1" applyAlignment="1" applyProtection="1">
      <alignment horizontal="center" vertical="center"/>
      <protection locked="0"/>
    </xf>
    <xf numFmtId="0" fontId="67" fillId="19" borderId="0" xfId="0" applyFont="1" applyFill="1" applyAlignment="1" applyProtection="1">
      <alignment horizontal="center" vertical="center" wrapText="1"/>
      <protection locked="0"/>
    </xf>
    <xf numFmtId="0" fontId="67" fillId="19" borderId="0" xfId="0" applyFont="1" applyFill="1" applyAlignment="1" applyProtection="1">
      <alignment horizontal="center" vertical="center"/>
      <protection locked="0"/>
    </xf>
    <xf numFmtId="0" fontId="72" fillId="19" borderId="0" xfId="0" applyFont="1" applyFill="1" applyAlignment="1" applyProtection="1">
      <alignment horizontal="center" vertical="center"/>
      <protection locked="0"/>
    </xf>
    <xf numFmtId="2" fontId="68" fillId="19" borderId="0" xfId="0" applyNumberFormat="1" applyFont="1" applyFill="1" applyAlignment="1" applyProtection="1">
      <alignment horizontal="center" vertical="center" wrapText="1"/>
      <protection locked="0"/>
    </xf>
    <xf numFmtId="0" fontId="72" fillId="19" borderId="0" xfId="0" applyFont="1" applyFill="1" applyProtection="1">
      <protection locked="0"/>
    </xf>
    <xf numFmtId="0" fontId="72" fillId="19" borderId="0" xfId="0" applyFont="1" applyFill="1" applyAlignment="1" applyProtection="1">
      <alignment horizontal="center"/>
      <protection locked="0"/>
    </xf>
    <xf numFmtId="0" fontId="73" fillId="19" borderId="0" xfId="0" applyFont="1" applyFill="1" applyAlignment="1" applyProtection="1">
      <alignment horizontal="left" vertical="center"/>
      <protection locked="0"/>
    </xf>
    <xf numFmtId="165" fontId="66" fillId="19" borderId="0" xfId="0" applyNumberFormat="1" applyFont="1" applyFill="1" applyAlignment="1" applyProtection="1">
      <alignment horizontal="center" vertical="center"/>
      <protection locked="0"/>
    </xf>
    <xf numFmtId="0" fontId="68" fillId="19" borderId="0" xfId="0" applyFont="1" applyFill="1" applyAlignment="1" applyProtection="1">
      <alignment horizontal="left" vertical="center" wrapText="1"/>
      <protection locked="0"/>
    </xf>
    <xf numFmtId="0" fontId="68" fillId="19" borderId="0" xfId="0" applyFont="1" applyFill="1" applyAlignment="1" applyProtection="1">
      <alignment vertical="justify" wrapText="1"/>
      <protection locked="0"/>
    </xf>
    <xf numFmtId="0" fontId="63" fillId="0" borderId="0" xfId="0" applyFont="1" applyProtection="1">
      <protection locked="0"/>
    </xf>
    <xf numFmtId="0" fontId="48" fillId="19" borderId="0" xfId="0" applyFont="1" applyFill="1" applyAlignment="1" applyProtection="1">
      <alignment vertical="center" wrapText="1"/>
      <protection locked="0"/>
    </xf>
    <xf numFmtId="0" fontId="74" fillId="20" borderId="0" xfId="0" applyFont="1" applyFill="1" applyBorder="1" applyAlignment="1" applyProtection="1">
      <alignment horizontal="center" vertical="center" wrapText="1"/>
      <protection locked="0"/>
    </xf>
    <xf numFmtId="2" fontId="68" fillId="20" borderId="0" xfId="0" applyNumberFormat="1" applyFont="1" applyFill="1" applyBorder="1" applyAlignment="1" applyProtection="1">
      <alignment horizontal="center" vertical="center" wrapText="1"/>
      <protection hidden="1"/>
    </xf>
    <xf numFmtId="0" fontId="75" fillId="20" borderId="0" xfId="0" applyFont="1" applyFill="1" applyBorder="1" applyAlignment="1" applyProtection="1">
      <alignment horizontal="center" vertical="center" wrapText="1"/>
      <protection hidden="1"/>
    </xf>
    <xf numFmtId="0" fontId="68" fillId="20" borderId="0" xfId="0" applyFont="1" applyFill="1" applyBorder="1" applyAlignment="1" applyProtection="1">
      <alignment horizontal="center" vertical="justify" wrapText="1"/>
      <protection locked="0"/>
    </xf>
    <xf numFmtId="0" fontId="68" fillId="20" borderId="0" xfId="0" applyFont="1" applyFill="1" applyBorder="1" applyAlignment="1" applyProtection="1">
      <alignment vertical="justify" wrapText="1"/>
      <protection locked="0"/>
    </xf>
    <xf numFmtId="0" fontId="70" fillId="19" borderId="69" xfId="0" applyFont="1" applyFill="1" applyBorder="1" applyAlignment="1" applyProtection="1">
      <alignment vertical="center" wrapText="1"/>
      <protection locked="0"/>
    </xf>
    <xf numFmtId="0" fontId="70" fillId="19" borderId="0" xfId="0" applyFont="1" applyFill="1" applyBorder="1" applyAlignment="1" applyProtection="1">
      <alignment vertical="center" wrapText="1"/>
      <protection locked="0"/>
    </xf>
    <xf numFmtId="0" fontId="69" fillId="0" borderId="33" xfId="0" applyFont="1" applyBorder="1" applyAlignment="1" applyProtection="1">
      <alignment horizontal="center" vertical="center" wrapText="1"/>
      <protection locked="0"/>
    </xf>
    <xf numFmtId="0" fontId="68" fillId="19" borderId="33" xfId="0" applyFont="1" applyFill="1" applyBorder="1" applyAlignment="1" applyProtection="1">
      <alignment horizontal="left" vertical="center" wrapText="1"/>
      <protection locked="0"/>
    </xf>
    <xf numFmtId="0" fontId="69" fillId="19" borderId="0" xfId="0" applyFont="1" applyFill="1" applyBorder="1" applyAlignment="1" applyProtection="1">
      <alignment horizontal="right" wrapText="1"/>
      <protection locked="0"/>
    </xf>
    <xf numFmtId="49" fontId="64" fillId="19" borderId="0" xfId="0" applyNumberFormat="1" applyFont="1" applyFill="1" applyAlignment="1" applyProtection="1">
      <alignment vertical="center" wrapText="1"/>
      <protection locked="0"/>
    </xf>
    <xf numFmtId="0" fontId="37" fillId="0" borderId="0" xfId="0" applyFont="1" applyAlignment="1">
      <alignment vertical="center"/>
    </xf>
    <xf numFmtId="0" fontId="78" fillId="21" borderId="81" xfId="0" applyFont="1" applyFill="1" applyBorder="1" applyAlignment="1">
      <alignment horizontal="center" vertical="center" wrapText="1"/>
    </xf>
    <xf numFmtId="0" fontId="79" fillId="21" borderId="82" xfId="0" applyFont="1" applyFill="1" applyBorder="1" applyAlignment="1">
      <alignment horizontal="center" vertical="center" wrapText="1"/>
    </xf>
    <xf numFmtId="0" fontId="79" fillId="22" borderId="87" xfId="0" applyFont="1" applyFill="1" applyBorder="1" applyAlignment="1">
      <alignment horizontal="center" vertical="center" wrapText="1"/>
    </xf>
    <xf numFmtId="0" fontId="78" fillId="0" borderId="87" xfId="0" applyFont="1" applyBorder="1" applyAlignment="1">
      <alignment horizontal="center" vertical="center" wrapText="1"/>
    </xf>
    <xf numFmtId="0" fontId="79" fillId="22" borderId="86" xfId="0" applyFont="1" applyFill="1" applyBorder="1" applyAlignment="1">
      <alignment horizontal="center" vertical="center" wrapText="1"/>
    </xf>
    <xf numFmtId="0" fontId="78" fillId="0" borderId="86" xfId="0" applyFont="1" applyBorder="1" applyAlignment="1">
      <alignment horizontal="center" vertical="center" wrapText="1"/>
    </xf>
    <xf numFmtId="0" fontId="37" fillId="0" borderId="86" xfId="0" applyFont="1" applyBorder="1" applyAlignment="1">
      <alignment vertical="center" wrapText="1"/>
    </xf>
    <xf numFmtId="0" fontId="37" fillId="0" borderId="86" xfId="0" applyFont="1" applyBorder="1" applyAlignment="1">
      <alignment horizontal="center" vertical="center" wrapText="1"/>
    </xf>
    <xf numFmtId="0" fontId="79" fillId="22" borderId="90" xfId="0" applyFont="1" applyFill="1" applyBorder="1" applyAlignment="1">
      <alignment horizontal="center" vertical="center" wrapText="1"/>
    </xf>
    <xf numFmtId="0" fontId="78" fillId="0" borderId="90" xfId="0" applyFont="1" applyBorder="1" applyAlignment="1">
      <alignment horizontal="center" vertical="center" wrapText="1"/>
    </xf>
    <xf numFmtId="164" fontId="1" fillId="0" borderId="2" xfId="1" applyNumberFormat="1" applyFont="1" applyBorder="1" applyAlignment="1">
      <alignment horizontal="center" vertical="center"/>
    </xf>
    <xf numFmtId="0" fontId="37" fillId="0" borderId="0" xfId="0" applyFont="1" applyFill="1" applyAlignment="1">
      <alignment vertical="center"/>
    </xf>
    <xf numFmtId="0" fontId="37" fillId="0" borderId="33" xfId="0" applyFont="1" applyBorder="1" applyAlignment="1">
      <alignment horizontal="center" vertical="center"/>
    </xf>
    <xf numFmtId="0" fontId="37" fillId="5" borderId="33" xfId="0" applyFont="1" applyFill="1" applyBorder="1" applyAlignment="1">
      <alignment horizontal="center" vertical="center"/>
    </xf>
    <xf numFmtId="0" fontId="78" fillId="0" borderId="0" xfId="0" applyFont="1" applyBorder="1" applyAlignment="1">
      <alignment horizontal="center" vertical="center" wrapText="1"/>
    </xf>
    <xf numFmtId="0" fontId="37" fillId="23" borderId="33" xfId="0" applyFont="1" applyFill="1" applyBorder="1" applyAlignment="1">
      <alignment vertical="center"/>
    </xf>
    <xf numFmtId="0" fontId="78" fillId="0" borderId="91" xfId="0" applyFont="1" applyBorder="1" applyAlignment="1">
      <alignment horizontal="center" vertical="center" wrapText="1"/>
    </xf>
    <xf numFmtId="0" fontId="55" fillId="3" borderId="64" xfId="2" applyFont="1" applyFill="1" applyBorder="1" applyAlignment="1">
      <alignment horizontal="justify" vertical="center" wrapText="1"/>
    </xf>
    <xf numFmtId="0" fontId="55" fillId="3" borderId="65" xfId="2" applyFont="1" applyFill="1" applyBorder="1" applyAlignment="1">
      <alignment horizontal="justify" vertical="center" wrapText="1"/>
    </xf>
    <xf numFmtId="0" fontId="54" fillId="3" borderId="71" xfId="0" applyFont="1" applyFill="1" applyBorder="1" applyAlignment="1">
      <alignment horizontal="left" vertical="center" wrapText="1"/>
    </xf>
    <xf numFmtId="0" fontId="54" fillId="3" borderId="72" xfId="0" applyFont="1" applyFill="1" applyBorder="1" applyAlignment="1">
      <alignment horizontal="left" vertical="center" wrapText="1"/>
    </xf>
    <xf numFmtId="0" fontId="54" fillId="3" borderId="58" xfId="3" applyFont="1" applyFill="1" applyBorder="1" applyAlignment="1">
      <alignment horizontal="left" vertical="top" wrapText="1" readingOrder="1"/>
    </xf>
    <xf numFmtId="0" fontId="54" fillId="3" borderId="59" xfId="3" applyFont="1" applyFill="1" applyBorder="1" applyAlignment="1">
      <alignment horizontal="left" vertical="top" wrapText="1" readingOrder="1"/>
    </xf>
    <xf numFmtId="0" fontId="55" fillId="3" borderId="60" xfId="2" applyFont="1" applyFill="1" applyBorder="1" applyAlignment="1">
      <alignment horizontal="justify" vertical="center" wrapText="1"/>
    </xf>
    <xf numFmtId="0" fontId="55" fillId="3" borderId="61" xfId="2" applyFont="1" applyFill="1" applyBorder="1" applyAlignment="1">
      <alignment horizontal="justify" vertical="center" wrapText="1"/>
    </xf>
    <xf numFmtId="0" fontId="54" fillId="3" borderId="62" xfId="0" applyFont="1" applyFill="1" applyBorder="1" applyAlignment="1">
      <alignment horizontal="left" vertical="center" wrapText="1"/>
    </xf>
    <xf numFmtId="0" fontId="54" fillId="3" borderId="63" xfId="0" applyFont="1" applyFill="1" applyBorder="1" applyAlignment="1">
      <alignment horizontal="left" vertical="center" wrapText="1"/>
    </xf>
    <xf numFmtId="0" fontId="50" fillId="3" borderId="14" xfId="2" applyFont="1" applyFill="1" applyBorder="1" applyAlignment="1">
      <alignment horizontal="left" vertical="top" wrapText="1"/>
    </xf>
    <xf numFmtId="0" fontId="50" fillId="3" borderId="0" xfId="2" applyFont="1" applyFill="1" applyAlignment="1">
      <alignment horizontal="left" vertical="top" wrapText="1"/>
    </xf>
    <xf numFmtId="0" fontId="50" fillId="3" borderId="15" xfId="2" applyFont="1" applyFill="1" applyBorder="1" applyAlignment="1">
      <alignment horizontal="left" vertical="top" wrapText="1"/>
    </xf>
    <xf numFmtId="0" fontId="54" fillId="3" borderId="73" xfId="0" applyFont="1" applyFill="1" applyBorder="1" applyAlignment="1">
      <alignment horizontal="left" vertical="center" wrapText="1"/>
    </xf>
    <xf numFmtId="0" fontId="54" fillId="3" borderId="74" xfId="0" applyFont="1" applyFill="1" applyBorder="1" applyAlignment="1">
      <alignment horizontal="left" vertical="center" wrapText="1"/>
    </xf>
    <xf numFmtId="0" fontId="55" fillId="3" borderId="66" xfId="0" applyFont="1" applyFill="1" applyBorder="1" applyAlignment="1">
      <alignment horizontal="justify" vertical="center" wrapText="1"/>
    </xf>
    <xf numFmtId="0" fontId="55" fillId="3" borderId="67" xfId="0" applyFont="1" applyFill="1" applyBorder="1" applyAlignment="1">
      <alignment horizontal="justify" vertical="center" wrapText="1"/>
    </xf>
    <xf numFmtId="0" fontId="62" fillId="3" borderId="48" xfId="2" applyFont="1" applyFill="1" applyBorder="1" applyAlignment="1">
      <alignment horizontal="center" vertical="center" wrapText="1"/>
    </xf>
    <xf numFmtId="0" fontId="62" fillId="3" borderId="49" xfId="2" applyFont="1" applyFill="1" applyBorder="1" applyAlignment="1">
      <alignment horizontal="center" vertical="center" wrapText="1"/>
    </xf>
    <xf numFmtId="0" fontId="62" fillId="3"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0" fillId="0" borderId="69" xfId="2" quotePrefix="1" applyFont="1" applyBorder="1" applyAlignment="1">
      <alignment horizontal="left" vertical="center" wrapText="1"/>
    </xf>
    <xf numFmtId="0" fontId="50" fillId="0" borderId="70" xfId="2" quotePrefix="1" applyFont="1" applyBorder="1" applyAlignment="1">
      <alignment horizontal="left" vertical="center" wrapText="1"/>
    </xf>
    <xf numFmtId="0" fontId="51" fillId="3" borderId="51" xfId="2" quotePrefix="1" applyFont="1" applyFill="1" applyBorder="1" applyAlignment="1">
      <alignment horizontal="left" vertical="top" wrapText="1"/>
    </xf>
    <xf numFmtId="0" fontId="52" fillId="3" borderId="52" xfId="2" quotePrefix="1" applyFont="1" applyFill="1" applyBorder="1" applyAlignment="1">
      <alignment horizontal="left" vertical="top" wrapText="1"/>
    </xf>
    <xf numFmtId="0" fontId="52" fillId="3" borderId="53" xfId="2" quotePrefix="1" applyFont="1" applyFill="1" applyBorder="1" applyAlignment="1">
      <alignment horizontal="left" vertical="top" wrapText="1"/>
    </xf>
    <xf numFmtId="0" fontId="50" fillId="0" borderId="14" xfId="2" quotePrefix="1" applyFont="1" applyBorder="1" applyAlignment="1">
      <alignment horizontal="left" vertical="top" wrapText="1"/>
    </xf>
    <xf numFmtId="0" fontId="50" fillId="0" borderId="0" xfId="2" quotePrefix="1" applyFont="1" applyAlignment="1">
      <alignment horizontal="left" vertical="top" wrapText="1"/>
    </xf>
    <xf numFmtId="0" fontId="50" fillId="0" borderId="15" xfId="2" quotePrefix="1" applyFont="1" applyBorder="1" applyAlignment="1">
      <alignment horizontal="left" vertical="top" wrapText="1"/>
    </xf>
    <xf numFmtId="0" fontId="54" fillId="14" borderId="54" xfId="3" applyFont="1" applyFill="1" applyBorder="1" applyAlignment="1">
      <alignment horizontal="center" vertical="center" wrapText="1"/>
    </xf>
    <xf numFmtId="0" fontId="54" fillId="14" borderId="55" xfId="3" applyFont="1" applyFill="1" applyBorder="1" applyAlignment="1">
      <alignment horizontal="center" vertical="center" wrapText="1"/>
    </xf>
    <xf numFmtId="0" fontId="54" fillId="14" borderId="56" xfId="2" applyFont="1" applyFill="1" applyBorder="1" applyAlignment="1">
      <alignment horizontal="center" vertical="center"/>
    </xf>
    <xf numFmtId="0" fontId="54" fillId="14" borderId="57" xfId="2" applyFont="1" applyFill="1" applyBorder="1" applyAlignment="1">
      <alignment horizontal="center" vertical="center"/>
    </xf>
    <xf numFmtId="0" fontId="2" fillId="3" borderId="68" xfId="2" quotePrefix="1" applyFont="1" applyFill="1" applyBorder="1" applyAlignment="1">
      <alignment horizontal="justify" vertical="center" wrapText="1"/>
    </xf>
    <xf numFmtId="0" fontId="2" fillId="3" borderId="69" xfId="2" quotePrefix="1" applyFont="1" applyFill="1" applyBorder="1" applyAlignment="1">
      <alignment horizontal="justify" vertical="center" wrapText="1"/>
    </xf>
    <xf numFmtId="0" fontId="2" fillId="3" borderId="70" xfId="2" quotePrefix="1" applyFont="1" applyFill="1" applyBorder="1" applyAlignment="1">
      <alignment horizontal="justify" vertical="center" wrapText="1"/>
    </xf>
    <xf numFmtId="49" fontId="57" fillId="16" borderId="0" xfId="0" applyNumberFormat="1" applyFont="1" applyFill="1" applyAlignment="1" applyProtection="1">
      <alignment horizontal="right" vertical="center" wrapText="1"/>
      <protection locked="0"/>
    </xf>
    <xf numFmtId="0" fontId="59" fillId="17" borderId="75" xfId="0" applyFont="1" applyFill="1" applyBorder="1" applyAlignment="1">
      <alignment horizontal="center" vertical="center" wrapText="1"/>
    </xf>
    <xf numFmtId="0" fontId="59" fillId="17" borderId="76" xfId="0" applyFont="1" applyFill="1" applyBorder="1" applyAlignment="1">
      <alignment horizontal="center" vertical="center" wrapText="1"/>
    </xf>
    <xf numFmtId="0" fontId="59" fillId="17" borderId="34" xfId="0" applyFont="1" applyFill="1" applyBorder="1" applyAlignment="1">
      <alignment horizontal="center" vertical="center" wrapText="1"/>
    </xf>
    <xf numFmtId="0" fontId="1" fillId="0" borderId="4"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4" fillId="0" borderId="4" xfId="0" applyFont="1" applyBorder="1" applyAlignment="1" applyProtection="1">
      <alignment horizontal="center" vertical="center" textRotation="90" wrapText="1"/>
      <protection hidden="1"/>
    </xf>
    <xf numFmtId="0" fontId="4" fillId="0" borderId="5"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9" fontId="1" fillId="0" borderId="5" xfId="0" applyNumberFormat="1" applyFont="1" applyBorder="1" applyAlignment="1" applyProtection="1">
      <alignment horizontal="center" vertical="center"/>
      <protection hidden="1"/>
    </xf>
    <xf numFmtId="0" fontId="4" fillId="0" borderId="4" xfId="0" applyFont="1" applyBorder="1" applyAlignment="1" applyProtection="1">
      <alignment horizontal="center" vertical="center" textRotation="90"/>
      <protection hidden="1"/>
    </xf>
    <xf numFmtId="0" fontId="4" fillId="0" borderId="5"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1" fillId="0" borderId="5" xfId="0" applyFont="1" applyBorder="1" applyAlignment="1" applyProtection="1">
      <alignment horizontal="center" vertical="center" textRotation="90"/>
      <protection locked="0"/>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6" fillId="0" borderId="4"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1" fillId="0" borderId="4" xfId="0" applyFont="1" applyBorder="1" applyAlignment="1" applyProtection="1">
      <alignment horizontal="center" vertical="center"/>
      <protection hidden="1"/>
    </xf>
    <xf numFmtId="0" fontId="1" fillId="0" borderId="5" xfId="0" applyFont="1" applyBorder="1" applyAlignment="1" applyProtection="1">
      <alignment horizontal="center" vertical="center"/>
      <protection hidden="1"/>
    </xf>
    <xf numFmtId="0" fontId="8" fillId="3" borderId="6"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protection locked="0"/>
    </xf>
    <xf numFmtId="0" fontId="8" fillId="3" borderId="7" xfId="0" applyFont="1" applyFill="1" applyBorder="1" applyAlignment="1" applyProtection="1">
      <alignment horizontal="left" vertical="center"/>
      <protection locked="0"/>
    </xf>
    <xf numFmtId="0" fontId="1" fillId="3" borderId="0" xfId="0" applyFont="1" applyFill="1" applyAlignment="1">
      <alignment horizontal="left" vertical="center"/>
    </xf>
    <xf numFmtId="0" fontId="26" fillId="2" borderId="28"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31" xfId="0" applyFont="1" applyFill="1" applyBorder="1" applyAlignment="1">
      <alignment horizontal="center" vertical="center"/>
    </xf>
    <xf numFmtId="0" fontId="26"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1" fillId="0" borderId="8" xfId="0" applyFont="1" applyBorder="1" applyAlignment="1">
      <alignment horizontal="center" vertical="center"/>
    </xf>
    <xf numFmtId="0" fontId="1" fillId="0" borderId="8"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1" fillId="0" borderId="4"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0" fontId="4" fillId="2" borderId="2"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2" borderId="2" xfId="0" applyFont="1" applyFill="1" applyBorder="1" applyAlignment="1">
      <alignment horizontal="center" vertical="center" textRotation="90"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49" fontId="77" fillId="19" borderId="0" xfId="0" applyNumberFormat="1" applyFont="1" applyFill="1" applyAlignment="1" applyProtection="1">
      <alignment horizontal="center" vertical="center" wrapText="1"/>
      <protection locked="0"/>
    </xf>
    <xf numFmtId="2" fontId="68" fillId="20" borderId="0" xfId="0" applyNumberFormat="1" applyFont="1" applyFill="1" applyBorder="1" applyAlignment="1" applyProtection="1">
      <alignment horizontal="center" vertical="center" wrapText="1"/>
      <protection hidden="1"/>
    </xf>
    <xf numFmtId="0" fontId="68" fillId="20" borderId="0" xfId="0" applyFont="1" applyFill="1" applyBorder="1" applyAlignment="1" applyProtection="1">
      <alignment horizontal="center" vertical="justify" wrapText="1"/>
      <protection locked="0"/>
    </xf>
    <xf numFmtId="0" fontId="76" fillId="19" borderId="0" xfId="0" applyFont="1" applyFill="1" applyAlignment="1" applyProtection="1">
      <alignment horizontal="left" vertical="top"/>
      <protection locked="0"/>
    </xf>
    <xf numFmtId="0" fontId="69" fillId="0" borderId="77" xfId="0" applyFont="1" applyBorder="1" applyAlignment="1" applyProtection="1">
      <alignment horizontal="center" vertical="center" wrapText="1"/>
      <protection locked="0"/>
    </xf>
    <xf numFmtId="0" fontId="74" fillId="20" borderId="0" xfId="0" applyFont="1" applyFill="1" applyBorder="1" applyAlignment="1" applyProtection="1">
      <alignment horizontal="center" vertical="center" wrapText="1"/>
      <protection locked="0"/>
    </xf>
    <xf numFmtId="0" fontId="69" fillId="0" borderId="78" xfId="0" applyFont="1" applyBorder="1" applyAlignment="1" applyProtection="1">
      <alignment horizontal="center" vertical="center" wrapText="1"/>
      <protection locked="0"/>
    </xf>
    <xf numFmtId="0" fontId="69" fillId="0" borderId="79" xfId="0" applyFont="1" applyBorder="1" applyAlignment="1" applyProtection="1">
      <alignment horizontal="center" vertical="center" wrapText="1"/>
      <protection locked="0"/>
    </xf>
    <xf numFmtId="0" fontId="69" fillId="0" borderId="80" xfId="0" applyFont="1" applyBorder="1" applyAlignment="1" applyProtection="1">
      <alignment horizontal="center" vertical="center" wrapText="1"/>
      <protection locked="0"/>
    </xf>
    <xf numFmtId="0" fontId="68" fillId="19" borderId="78" xfId="0" applyFont="1" applyFill="1" applyBorder="1" applyAlignment="1" applyProtection="1">
      <alignment horizontal="center" vertical="center" wrapText="1"/>
      <protection locked="0"/>
    </xf>
    <xf numFmtId="0" fontId="68" fillId="19" borderId="79" xfId="0" applyFont="1" applyFill="1" applyBorder="1" applyAlignment="1" applyProtection="1">
      <alignment horizontal="center" vertical="center" wrapText="1"/>
      <protection locked="0"/>
    </xf>
    <xf numFmtId="0" fontId="68" fillId="19" borderId="80" xfId="0" applyFont="1" applyFill="1" applyBorder="1" applyAlignment="1" applyProtection="1">
      <alignment horizontal="center" vertical="center" wrapText="1"/>
      <protection locked="0"/>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9" xfId="0" applyFont="1" applyBorder="1" applyAlignment="1">
      <alignment horizontal="center" vertical="center" wrapText="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4"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6" fillId="0" borderId="0" xfId="0" applyFont="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4" xfId="0" applyFont="1" applyBorder="1" applyAlignment="1">
      <alignment horizontal="center" vertical="center" wrapText="1"/>
    </xf>
    <xf numFmtId="0" fontId="44" fillId="0" borderId="0" xfId="0" applyFont="1" applyAlignment="1">
      <alignment horizontal="center" vertical="center"/>
    </xf>
    <xf numFmtId="0" fontId="44" fillId="0" borderId="14"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4" fillId="0" borderId="13" xfId="0" applyFont="1" applyBorder="1" applyAlignment="1">
      <alignment horizontal="center" vertical="center"/>
    </xf>
    <xf numFmtId="0" fontId="44" fillId="0" borderId="15" xfId="0" applyFont="1" applyBorder="1" applyAlignment="1">
      <alignment horizontal="center" vertical="center"/>
    </xf>
    <xf numFmtId="0" fontId="44" fillId="0" borderId="17" xfId="0" applyFont="1" applyBorder="1" applyAlignment="1">
      <alignment horizontal="center" vertical="center"/>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44" fillId="0" borderId="19" xfId="0" applyFont="1" applyBorder="1" applyAlignment="1">
      <alignment horizontal="center" vertical="center" wrapText="1"/>
    </xf>
    <xf numFmtId="0" fontId="25" fillId="0" borderId="0" xfId="0" applyFont="1" applyAlignment="1">
      <alignment horizontal="center" vertical="center"/>
    </xf>
    <xf numFmtId="0" fontId="46" fillId="0" borderId="0" xfId="0" applyFont="1" applyAlignment="1">
      <alignment horizontal="center" vertical="center"/>
    </xf>
    <xf numFmtId="0" fontId="79" fillId="22" borderId="89" xfId="0" applyFont="1" applyFill="1" applyBorder="1" applyAlignment="1">
      <alignment horizontal="center" vertical="center" wrapText="1"/>
    </xf>
    <xf numFmtId="0" fontId="79" fillId="22" borderId="84" xfId="0" applyFont="1" applyFill="1" applyBorder="1" applyAlignment="1">
      <alignment horizontal="center" vertical="center" wrapText="1"/>
    </xf>
    <xf numFmtId="0" fontId="78" fillId="0" borderId="89" xfId="0" applyFont="1" applyBorder="1" applyAlignment="1">
      <alignment horizontal="center" vertical="center" wrapText="1"/>
    </xf>
    <xf numFmtId="0" fontId="78" fillId="0" borderId="84" xfId="0" applyFont="1" applyBorder="1" applyAlignment="1">
      <alignment horizontal="center" vertical="center" wrapText="1"/>
    </xf>
    <xf numFmtId="0" fontId="79" fillId="21" borderId="88" xfId="0" applyFont="1" applyFill="1" applyBorder="1" applyAlignment="1">
      <alignment horizontal="center" vertical="center" wrapText="1"/>
    </xf>
    <xf numFmtId="0" fontId="79" fillId="21" borderId="83" xfId="0" applyFont="1" applyFill="1" applyBorder="1" applyAlignment="1">
      <alignment horizontal="center" vertical="center" wrapText="1"/>
    </xf>
    <xf numFmtId="0" fontId="79" fillId="21" borderId="82" xfId="0" applyFont="1" applyFill="1" applyBorder="1" applyAlignment="1">
      <alignment horizontal="center" vertical="center" wrapText="1"/>
    </xf>
    <xf numFmtId="0" fontId="79" fillId="22" borderId="85" xfId="0" applyFont="1" applyFill="1" applyBorder="1" applyAlignment="1">
      <alignment horizontal="center" vertical="center" wrapText="1"/>
    </xf>
    <xf numFmtId="0" fontId="41" fillId="15" borderId="35" xfId="0" applyFont="1" applyFill="1" applyBorder="1" applyAlignment="1">
      <alignment horizontal="center" vertical="center" wrapText="1" readingOrder="1"/>
    </xf>
    <xf numFmtId="0" fontId="41" fillId="15" borderId="36" xfId="0" applyFont="1" applyFill="1" applyBorder="1" applyAlignment="1">
      <alignment horizontal="center" vertical="center" wrapText="1" readingOrder="1"/>
    </xf>
    <xf numFmtId="0" fontId="41" fillId="15"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5" borderId="44" xfId="0" applyFont="1" applyFill="1" applyBorder="1" applyAlignment="1">
      <alignment horizontal="center" vertical="center" wrapText="1" readingOrder="1"/>
    </xf>
    <xf numFmtId="0" fontId="38" fillId="15"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70" fillId="0" borderId="0" xfId="0" applyFont="1" applyFill="1" applyAlignment="1" applyProtection="1">
      <alignment vertical="center" wrapText="1"/>
      <protection locked="0"/>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49">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9900"/>
      <color rgb="FFFFFF66"/>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pivotCacheDefinition" Target="pivotCache/pivotCacheDefinition1.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sheetMetadata" Target="metadata.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115454</xdr:colOff>
      <xdr:row>11</xdr:row>
      <xdr:rowOff>242454</xdr:rowOff>
    </xdr:from>
    <xdr:to>
      <xdr:col>2</xdr:col>
      <xdr:colOff>735445</xdr:colOff>
      <xdr:row>11</xdr:row>
      <xdr:rowOff>1013978</xdr:rowOff>
    </xdr:to>
    <xdr:pic>
      <xdr:nvPicPr>
        <xdr:cNvPr id="2" name="Imagen 135">
          <a:extLst>
            <a:ext uri="{FF2B5EF4-FFF2-40B4-BE49-F238E27FC236}">
              <a16:creationId xmlns:a16="http://schemas.microsoft.com/office/drawing/2014/main" id="{8A041215-B7E0-234C-BC46-44CB965B0C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4818" y="923636"/>
          <a:ext cx="2501900" cy="771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495300</xdr:colOff>
      <xdr:row>2</xdr:row>
      <xdr:rowOff>9526</xdr:rowOff>
    </xdr:from>
    <xdr:to>
      <xdr:col>2</xdr:col>
      <xdr:colOff>2171700</xdr:colOff>
      <xdr:row>3</xdr:row>
      <xdr:rowOff>590550</xdr:rowOff>
    </xdr:to>
    <xdr:pic>
      <xdr:nvPicPr>
        <xdr:cNvPr id="2" name="Imagen 135">
          <a:extLst>
            <a:ext uri="{FF2B5EF4-FFF2-40B4-BE49-F238E27FC236}">
              <a16:creationId xmlns:a16="http://schemas.microsoft.com/office/drawing/2014/main" id="{0446CEC4-8D36-6247-8AE3-2F67F317BA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0800" y="390526"/>
          <a:ext cx="2501900" cy="771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16</xdr:col>
      <xdr:colOff>25400</xdr:colOff>
      <xdr:row>10</xdr:row>
      <xdr:rowOff>0</xdr:rowOff>
    </xdr:from>
    <xdr:to>
      <xdr:col>16</xdr:col>
      <xdr:colOff>320675</xdr:colOff>
      <xdr:row>11</xdr:row>
      <xdr:rowOff>9525</xdr:rowOff>
    </xdr:to>
    <xdr:sp macro="" textlink="">
      <xdr:nvSpPr>
        <xdr:cNvPr id="2" name="AutoShape 38" descr="Resultado de imagen para boton agregar icono">
          <a:extLst>
            <a:ext uri="{FF2B5EF4-FFF2-40B4-BE49-F238E27FC236}">
              <a16:creationId xmlns:a16="http://schemas.microsoft.com/office/drawing/2014/main" id="{5CCAC519-8FCC-4ECD-BBC1-191D238B5548}"/>
            </a:ext>
          </a:extLst>
        </xdr:cNvPr>
        <xdr:cNvSpPr>
          <a:spLocks noChangeAspect="1" noChangeArrowheads="1"/>
        </xdr:cNvSpPr>
      </xdr:nvSpPr>
      <xdr:spPr bwMode="auto">
        <a:xfrm>
          <a:off x="16042105" y="603807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10</xdr:row>
      <xdr:rowOff>0</xdr:rowOff>
    </xdr:from>
    <xdr:to>
      <xdr:col>16</xdr:col>
      <xdr:colOff>320675</xdr:colOff>
      <xdr:row>11</xdr:row>
      <xdr:rowOff>9525</xdr:rowOff>
    </xdr:to>
    <xdr:sp macro="" textlink="">
      <xdr:nvSpPr>
        <xdr:cNvPr id="3" name="AutoShape 39" descr="Resultado de imagen para boton agregar icono">
          <a:extLst>
            <a:ext uri="{FF2B5EF4-FFF2-40B4-BE49-F238E27FC236}">
              <a16:creationId xmlns:a16="http://schemas.microsoft.com/office/drawing/2014/main" id="{212298C9-1C90-422A-B33A-5B9110C76EB4}"/>
            </a:ext>
          </a:extLst>
        </xdr:cNvPr>
        <xdr:cNvSpPr>
          <a:spLocks noChangeAspect="1" noChangeArrowheads="1"/>
        </xdr:cNvSpPr>
      </xdr:nvSpPr>
      <xdr:spPr bwMode="auto">
        <a:xfrm>
          <a:off x="16042105" y="603807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10</xdr:row>
      <xdr:rowOff>0</xdr:rowOff>
    </xdr:from>
    <xdr:to>
      <xdr:col>16</xdr:col>
      <xdr:colOff>320675</xdr:colOff>
      <xdr:row>11</xdr:row>
      <xdr:rowOff>9525</xdr:rowOff>
    </xdr:to>
    <xdr:sp macro="" textlink="">
      <xdr:nvSpPr>
        <xdr:cNvPr id="4" name="AutoShape 40" descr="Resultado de imagen para boton agregar icono">
          <a:extLst>
            <a:ext uri="{FF2B5EF4-FFF2-40B4-BE49-F238E27FC236}">
              <a16:creationId xmlns:a16="http://schemas.microsoft.com/office/drawing/2014/main" id="{B5279E58-EA1A-4043-A3F3-3775086B4600}"/>
            </a:ext>
          </a:extLst>
        </xdr:cNvPr>
        <xdr:cNvSpPr>
          <a:spLocks noChangeAspect="1" noChangeArrowheads="1"/>
        </xdr:cNvSpPr>
      </xdr:nvSpPr>
      <xdr:spPr bwMode="auto">
        <a:xfrm>
          <a:off x="16042105" y="603807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10</xdr:row>
      <xdr:rowOff>0</xdr:rowOff>
    </xdr:from>
    <xdr:to>
      <xdr:col>16</xdr:col>
      <xdr:colOff>320675</xdr:colOff>
      <xdr:row>11</xdr:row>
      <xdr:rowOff>9525</xdr:rowOff>
    </xdr:to>
    <xdr:sp macro="" textlink="">
      <xdr:nvSpPr>
        <xdr:cNvPr id="5" name="AutoShape 42" descr="Z">
          <a:extLst>
            <a:ext uri="{FF2B5EF4-FFF2-40B4-BE49-F238E27FC236}">
              <a16:creationId xmlns:a16="http://schemas.microsoft.com/office/drawing/2014/main" id="{72D5F597-052C-4F5A-9378-56A3A52B91F6}"/>
            </a:ext>
          </a:extLst>
        </xdr:cNvPr>
        <xdr:cNvSpPr>
          <a:spLocks noChangeAspect="1" noChangeArrowheads="1"/>
        </xdr:cNvSpPr>
      </xdr:nvSpPr>
      <xdr:spPr bwMode="auto">
        <a:xfrm>
          <a:off x="16042105" y="603807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8</xdr:row>
      <xdr:rowOff>127000</xdr:rowOff>
    </xdr:from>
    <xdr:to>
      <xdr:col>16</xdr:col>
      <xdr:colOff>25400</xdr:colOff>
      <xdr:row>9</xdr:row>
      <xdr:rowOff>195407</xdr:rowOff>
    </xdr:to>
    <xdr:sp macro="" textlink="">
      <xdr:nvSpPr>
        <xdr:cNvPr id="6" name="Rectangle 53">
          <a:extLst>
            <a:ext uri="{FF2B5EF4-FFF2-40B4-BE49-F238E27FC236}">
              <a16:creationId xmlns:a16="http://schemas.microsoft.com/office/drawing/2014/main" id="{30F52F8A-3743-471F-A917-088E199F2384}"/>
            </a:ext>
          </a:extLst>
        </xdr:cNvPr>
        <xdr:cNvSpPr>
          <a:spLocks noChangeArrowheads="1"/>
        </xdr:cNvSpPr>
      </xdr:nvSpPr>
      <xdr:spPr bwMode="auto">
        <a:xfrm>
          <a:off x="16042105" y="5760843"/>
          <a:ext cx="0" cy="27622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twoCellAnchor>
  <xdr:twoCellAnchor editAs="oneCell">
    <xdr:from>
      <xdr:col>0</xdr:col>
      <xdr:colOff>162791</xdr:colOff>
      <xdr:row>5</xdr:row>
      <xdr:rowOff>30018</xdr:rowOff>
    </xdr:from>
    <xdr:to>
      <xdr:col>31</xdr:col>
      <xdr:colOff>1028411</xdr:colOff>
      <xdr:row>5</xdr:row>
      <xdr:rowOff>95373</xdr:rowOff>
    </xdr:to>
    <xdr:cxnSp macro="">
      <xdr:nvCxnSpPr>
        <xdr:cNvPr id="7" name="Conector recto 6">
          <a:extLst>
            <a:ext uri="{FF2B5EF4-FFF2-40B4-BE49-F238E27FC236}">
              <a16:creationId xmlns:a16="http://schemas.microsoft.com/office/drawing/2014/main" id="{FF79EB7A-1C4D-4552-9713-538E56CE04FB}"/>
            </a:ext>
          </a:extLst>
        </xdr:cNvPr>
        <xdr:cNvCxnSpPr/>
      </xdr:nvCxnSpPr>
      <xdr:spPr>
        <a:xfrm flipV="1">
          <a:off x="162791" y="2608118"/>
          <a:ext cx="35990645" cy="65355"/>
        </a:xfrm>
        <a:prstGeom prst="line">
          <a:avLst/>
        </a:prstGeom>
        <a:ln w="57150">
          <a:solidFill>
            <a:srgbClr val="99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40409</xdr:colOff>
      <xdr:row>0</xdr:row>
      <xdr:rowOff>165101</xdr:rowOff>
    </xdr:from>
    <xdr:to>
      <xdr:col>4</xdr:col>
      <xdr:colOff>1866900</xdr:colOff>
      <xdr:row>5</xdr:row>
      <xdr:rowOff>15261</xdr:rowOff>
    </xdr:to>
    <xdr:pic>
      <xdr:nvPicPr>
        <xdr:cNvPr id="8" name="Imagen 7">
          <a:extLst>
            <a:ext uri="{FF2B5EF4-FFF2-40B4-BE49-F238E27FC236}">
              <a16:creationId xmlns:a16="http://schemas.microsoft.com/office/drawing/2014/main" id="{4F137EE6-AF90-4845-9503-7974EF38AF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28009" y="165101"/>
          <a:ext cx="3744191" cy="1259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leonardol/Dropbox/SGR/Gesti&#243;n%20de%20riesgos/Herramientas%20gesti&#243;n%20de%20riesgos/Formatos%20Matriz%20de%20riesg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nacional33/meci/CONTROL%20INTERNO%20CGC/TALLER/GESTION%20DEL%20RIESG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pyate\Downloads\MC-FO-07%20MAPA%20DE%20RIEGOS%20DEL%20PROCESO%20(1).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nacional33/meci/Documents%20and%20Settings/JENITH%20%20LINARES/Mis%20documentos/CONTROL%20INTERNO%20CGC/TALLER/GESTION%20DEL%20RIESGO%20Y%20CONTROL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JOSECAR\Downloads\2.%20Mapa%20de%20riesgos%20DIRyPLA__%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FO-25"/>
      <sheetName val="SM-FO-26"/>
      <sheetName val="SM-FO-27"/>
      <sheetName val="CODIGOS INTERNOS"/>
      <sheetName val="SM-FO-28"/>
      <sheetName val="SM-FO-29"/>
      <sheetName val="SM-FO-30"/>
      <sheetName val="Descripcion Fte-Aimp"/>
      <sheetName val="Perfil riesgo Inh"/>
      <sheetName val="Perfil riesgo Res"/>
      <sheetName val="Nivel organizacional riesgo"/>
      <sheetName val="Tipos riesgo"/>
      <sheetName val="Triangulo del fraude"/>
      <sheetName val="Controles existentes"/>
      <sheetName val="Escala probabilidad"/>
      <sheetName val="Escalas impacto"/>
      <sheetName val="Escalas Valoracion Controles"/>
      <sheetName val="Escalas efectividad controles"/>
      <sheetName val="Escalas riesgo residual"/>
      <sheetName val="definicionPoliticasManejo"/>
      <sheetName val="Formatos Matriz de riesgos"/>
    </sheetNames>
    <sheetDataSet>
      <sheetData sheetId="0" refreshError="1"/>
      <sheetData sheetId="1" refreshError="1"/>
      <sheetData sheetId="2" refreshError="1">
        <row r="476">
          <cell r="BP476" t="str">
            <v>Personas</v>
          </cell>
          <cell r="BQ476" t="str">
            <v>Vida, salud o Integridad Fìsica del usuario</v>
          </cell>
        </row>
        <row r="477">
          <cell r="BP477" t="str">
            <v>Tecnologìa</v>
          </cell>
          <cell r="BQ477" t="str">
            <v>Vida, salud o Integridad Fìsica
del Colaborador</v>
          </cell>
        </row>
        <row r="478">
          <cell r="BP478" t="str">
            <v>Procesos</v>
          </cell>
          <cell r="BQ478" t="str">
            <v>Recursos Financieros</v>
          </cell>
        </row>
        <row r="479">
          <cell r="BP479" t="str">
            <v>Infraestructura</v>
          </cell>
          <cell r="BQ479" t="str">
            <v>Credibilidad, Buen Nombre, Reputaciòn</v>
          </cell>
        </row>
        <row r="480">
          <cell r="BP480" t="str">
            <v>Externos (Eventos Naturales/Terceros)</v>
          </cell>
          <cell r="BQ480" t="str">
            <v>Instalaciones, equipos, insumos, elementos y demas bienes</v>
          </cell>
        </row>
        <row r="481">
          <cell r="BQ481" t="str">
            <v>Informaciòn y Conocimiento</v>
          </cell>
          <cell r="BR481" t="str">
            <v>Estratégicos</v>
          </cell>
        </row>
        <row r="482">
          <cell r="BQ482" t="str">
            <v>Medio Ambiente</v>
          </cell>
          <cell r="BR482" t="str">
            <v>Tácticos</v>
          </cell>
        </row>
        <row r="483">
          <cell r="BR483" t="str">
            <v>Operativos</v>
          </cell>
        </row>
        <row r="486">
          <cell r="BR486" t="str">
            <v>Financiero</v>
          </cell>
        </row>
        <row r="487">
          <cell r="BR487" t="str">
            <v>Social</v>
          </cell>
        </row>
        <row r="488">
          <cell r="BR488" t="str">
            <v>Tecnológico</v>
          </cell>
        </row>
        <row r="489">
          <cell r="BR489" t="str">
            <v>Medioambiental</v>
          </cell>
        </row>
        <row r="490">
          <cell r="BR490" t="str">
            <v>Legal</v>
          </cell>
        </row>
        <row r="491">
          <cell r="BR491" t="str">
            <v>Imagen</v>
          </cell>
        </row>
        <row r="492">
          <cell r="BR492" t="str">
            <v>Sistemas</v>
          </cell>
        </row>
        <row r="493">
          <cell r="BR493" t="str">
            <v>Salud Ocupacional y Seguridad Industrial</v>
          </cell>
        </row>
        <row r="494">
          <cell r="BR494" t="str">
            <v>Documental</v>
          </cell>
        </row>
        <row r="495">
          <cell r="BR495" t="str">
            <v>Fraude y/o Corrupción</v>
          </cell>
        </row>
        <row r="496">
          <cell r="BR496" t="str">
            <v>Seguridad del paciente - Procesos Institucionales seguros</v>
          </cell>
        </row>
        <row r="497">
          <cell r="BR497" t="str">
            <v>Seguridad del paciente - Procesos asistenciales seguros</v>
          </cell>
        </row>
        <row r="498">
          <cell r="BR498" t="str">
            <v>Seguridad del paciente - Usuarios y familia partícipes en la cultura de seguridad</v>
          </cell>
        </row>
        <row r="499">
          <cell r="BR499" t="str">
            <v>Seguridad del paciente -  
Equipo humano de salud idóneo para la atención segura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2">
          <cell r="C12" t="str">
            <v>A</v>
          </cell>
          <cell r="D12" t="str">
            <v>B</v>
          </cell>
          <cell r="E12" t="str">
            <v>C</v>
          </cell>
          <cell r="F12" t="str">
            <v>D</v>
          </cell>
          <cell r="G12" t="str">
            <v>E</v>
          </cell>
          <cell r="H12" t="str">
            <v>F</v>
          </cell>
          <cell r="I12" t="str">
            <v>G</v>
          </cell>
          <cell r="J12" t="str">
            <v>H</v>
          </cell>
          <cell r="K12" t="str">
            <v>I</v>
          </cell>
          <cell r="L12" t="str">
            <v>J</v>
          </cell>
          <cell r="M12" t="str">
            <v>K</v>
          </cell>
          <cell r="N12" t="str">
            <v>L</v>
          </cell>
          <cell r="O12" t="str">
            <v>M</v>
          </cell>
        </row>
      </sheetData>
      <sheetData sheetId="8" refreshError="1"/>
      <sheetData sheetId="9" refreshError="1"/>
      <sheetData sheetId="10" refreshError="1"/>
      <sheetData sheetId="11" refreshError="1">
        <row r="1">
          <cell r="G1" t="str">
            <v>EVITAR</v>
          </cell>
          <cell r="I1" t="str">
            <v>POLITICA</v>
          </cell>
        </row>
        <row r="2">
          <cell r="G2" t="str">
            <v>REDUCIR LA CAUSA</v>
          </cell>
          <cell r="I2" t="str">
            <v>PROCEDIMIENTO</v>
          </cell>
        </row>
        <row r="3">
          <cell r="B3">
            <v>1</v>
          </cell>
          <cell r="C3" t="str">
            <v>Cual es el Objetivo de la implementación de la nueva políticá?</v>
          </cell>
          <cell r="G3" t="str">
            <v>REDUCIR EL IMPACTO</v>
          </cell>
          <cell r="I3" t="str">
            <v>CONTROL</v>
          </cell>
        </row>
        <row r="4">
          <cell r="B4">
            <v>2</v>
          </cell>
          <cell r="C4" t="str">
            <v>Cual es el proceso para su implementación?</v>
          </cell>
          <cell r="G4" t="str">
            <v>TRANFERIR TOTALMENTE</v>
          </cell>
        </row>
        <row r="5">
          <cell r="B5">
            <v>3</v>
          </cell>
          <cell r="C5" t="str">
            <v>Quien será el responsable directo de su éxito?</v>
          </cell>
          <cell r="G5" t="str">
            <v>TRANSFERIR PARCIALMENTE</v>
          </cell>
        </row>
        <row r="6">
          <cell r="B6">
            <v>4</v>
          </cell>
          <cell r="C6" t="str">
            <v>En que Fecha o periodo se espera realizarla?</v>
          </cell>
        </row>
        <row r="7">
          <cell r="B7">
            <v>5</v>
          </cell>
          <cell r="C7" t="str">
            <v>Que recursos financieros se requieren?</v>
          </cell>
        </row>
        <row r="8">
          <cell r="B8">
            <v>6</v>
          </cell>
          <cell r="C8" t="str">
            <v>Que recursos Humanos se Requieren?</v>
          </cell>
        </row>
        <row r="9">
          <cell r="B9">
            <v>7</v>
          </cell>
          <cell r="C9" t="str">
            <v>Que recursos logísticos se Requieren?</v>
          </cell>
        </row>
        <row r="10">
          <cell r="B10">
            <v>9</v>
          </cell>
          <cell r="C10" t="str">
            <v>Quien será el responsable de su evaluación?</v>
          </cell>
        </row>
        <row r="11">
          <cell r="B11">
            <v>10</v>
          </cell>
          <cell r="C11" t="str">
            <v>Cual será el indicador para su evaluación? (Indique variables y su lectura)</v>
          </cell>
        </row>
        <row r="12">
          <cell r="B12">
            <v>11</v>
          </cell>
        </row>
        <row r="13">
          <cell r="B13">
            <v>12</v>
          </cell>
        </row>
        <row r="14">
          <cell r="B14">
            <v>13</v>
          </cell>
        </row>
        <row r="15">
          <cell r="B15">
            <v>14</v>
          </cell>
        </row>
        <row r="16">
          <cell r="B16">
            <v>15</v>
          </cell>
        </row>
        <row r="17">
          <cell r="B17">
            <v>16</v>
          </cell>
        </row>
        <row r="22">
          <cell r="B22">
            <v>1</v>
          </cell>
        </row>
        <row r="23">
          <cell r="B23">
            <v>2</v>
          </cell>
        </row>
        <row r="24">
          <cell r="B24">
            <v>3</v>
          </cell>
        </row>
        <row r="25">
          <cell r="B25">
            <v>4</v>
          </cell>
        </row>
        <row r="26">
          <cell r="B26">
            <v>5</v>
          </cell>
        </row>
        <row r="27">
          <cell r="B27">
            <v>6</v>
          </cell>
        </row>
        <row r="28">
          <cell r="B28">
            <v>7</v>
          </cell>
        </row>
        <row r="29">
          <cell r="B29">
            <v>8</v>
          </cell>
        </row>
        <row r="30">
          <cell r="B30">
            <v>9</v>
          </cell>
        </row>
        <row r="31">
          <cell r="B31">
            <v>10</v>
          </cell>
        </row>
        <row r="32">
          <cell r="B32">
            <v>11</v>
          </cell>
        </row>
        <row r="33">
          <cell r="B33">
            <v>12</v>
          </cell>
        </row>
        <row r="34">
          <cell r="B34">
            <v>13</v>
          </cell>
        </row>
        <row r="35">
          <cell r="B35">
            <v>14</v>
          </cell>
        </row>
        <row r="36">
          <cell r="B36">
            <v>15</v>
          </cell>
        </row>
        <row r="37">
          <cell r="B37">
            <v>16</v>
          </cell>
        </row>
        <row r="38">
          <cell r="B38">
            <v>17</v>
          </cell>
        </row>
        <row r="41">
          <cell r="B41">
            <v>1</v>
          </cell>
          <cell r="C41" t="str">
            <v>Que tipo de Control desea implementar?</v>
          </cell>
        </row>
        <row r="42">
          <cell r="B42">
            <v>2</v>
          </cell>
          <cell r="C42" t="str">
            <v>Que clase de Control desea implementar?</v>
          </cell>
        </row>
        <row r="43">
          <cell r="B43">
            <v>3</v>
          </cell>
          <cell r="C43" t="str">
            <v>Cual es el Objetivo del control?</v>
          </cell>
        </row>
        <row r="44">
          <cell r="B44">
            <v>4</v>
          </cell>
          <cell r="C44" t="str">
            <v>A que procedimiento corresponde?</v>
          </cell>
        </row>
        <row r="45">
          <cell r="B45">
            <v>5</v>
          </cell>
          <cell r="C45" t="str">
            <v>Que otros procedimientos afecta?</v>
          </cell>
        </row>
        <row r="46">
          <cell r="B46">
            <v>6</v>
          </cell>
          <cell r="C46" t="str">
            <v>Cual es el proceso para su implementación?</v>
          </cell>
        </row>
        <row r="47">
          <cell r="B47">
            <v>7</v>
          </cell>
          <cell r="C47" t="str">
            <v>Quien será el responsable directo de su éxito?</v>
          </cell>
        </row>
        <row r="48">
          <cell r="B48">
            <v>8</v>
          </cell>
          <cell r="C48" t="str">
            <v>En que Fecha o periodo se espera realizarla?</v>
          </cell>
        </row>
        <row r="49">
          <cell r="B49">
            <v>9</v>
          </cell>
          <cell r="C49" t="str">
            <v>Que recursos financieros se requieren?</v>
          </cell>
        </row>
        <row r="50">
          <cell r="B50">
            <v>10</v>
          </cell>
          <cell r="C50" t="str">
            <v>Que recursos Humanos se Requieren?</v>
          </cell>
        </row>
        <row r="51">
          <cell r="B51">
            <v>11</v>
          </cell>
          <cell r="C51" t="str">
            <v>Que recursos logísticos se Requieren?</v>
          </cell>
        </row>
        <row r="52">
          <cell r="B52">
            <v>12</v>
          </cell>
          <cell r="C52" t="str">
            <v>Quien será el responsable de su evaluación?</v>
          </cell>
        </row>
        <row r="53">
          <cell r="B53">
            <v>13</v>
          </cell>
          <cell r="C53" t="str">
            <v>Cual será el indicador para su evaluación? (Indique variables y su lectura)</v>
          </cell>
        </row>
        <row r="54">
          <cell r="B54">
            <v>14</v>
          </cell>
        </row>
        <row r="55">
          <cell r="B55">
            <v>15</v>
          </cell>
        </row>
        <row r="56">
          <cell r="B56">
            <v>16</v>
          </cell>
        </row>
        <row r="57">
          <cell r="B57">
            <v>17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sheetData sheetId="1"/>
      <sheetData sheetId="2"/>
      <sheetData sheetId="3"/>
      <sheetData sheetId="4"/>
      <sheetData sheetId="5"/>
      <sheetData sheetId="6"/>
      <sheetData sheetId="7"/>
      <sheetData sheetId="8"/>
      <sheetData sheetId="9"/>
      <sheetData sheetId="10"/>
      <sheetData sheetId="11" refreshError="1">
        <row r="1">
          <cell r="F1" t="str">
            <v>SI</v>
          </cell>
          <cell r="G1" t="str">
            <v>EVITAR</v>
          </cell>
        </row>
        <row r="2">
          <cell r="F2" t="str">
            <v>NO</v>
          </cell>
          <cell r="G2" t="str">
            <v>REDUCIR LA CAUSA</v>
          </cell>
        </row>
        <row r="3">
          <cell r="G3" t="str">
            <v>REDUCIR EL IMPACTO</v>
          </cell>
        </row>
        <row r="4">
          <cell r="G4" t="str">
            <v>TRANFERIR TOTALMENTE</v>
          </cell>
        </row>
        <row r="5">
          <cell r="G5" t="str">
            <v>TRANSFERIR PARCIALMENTE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tos2"/>
      <sheetName val="Base de Datos"/>
      <sheetName val="Contexto Estratégico MJD"/>
      <sheetName val="Contexto Estratégico (2)"/>
      <sheetName val="Administración de Riesgos de G"/>
      <sheetName val="Administración de Riesgos de C"/>
    </sheetNames>
    <sheetDataSet>
      <sheetData sheetId="0"/>
      <sheetData sheetId="1">
        <row r="4">
          <cell r="A4" t="str">
            <v>ESTRATÉGICO</v>
          </cell>
        </row>
        <row r="5">
          <cell r="A5" t="str">
            <v>MISIONAL</v>
          </cell>
        </row>
        <row r="6">
          <cell r="A6" t="str">
            <v>APOYO</v>
          </cell>
        </row>
        <row r="7">
          <cell r="A7" t="str">
            <v>EVALUACIÓN</v>
          </cell>
        </row>
      </sheetData>
      <sheetData sheetId="2"/>
      <sheetData sheetId="3"/>
      <sheetData sheetId="4"/>
      <sheetData sheetId="5"/>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248" dataDxfId="247">
  <autoFilter ref="B209:C219" xr:uid="{00000000-0009-0000-0100-000001000000}"/>
  <tableColumns count="2">
    <tableColumn id="1" xr3:uid="{00000000-0010-0000-0000-000001000000}" name="Criterios" dataDxfId="246"/>
    <tableColumn id="2" xr3:uid="{00000000-0010-0000-0000-000002000000}" name="Subcriterios" dataDxfId="245"/>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H55"/>
  <sheetViews>
    <sheetView topLeftCell="A4" zoomScale="110" zoomScaleNormal="110" workbookViewId="0">
      <selection activeCell="B12" sqref="B12:H12"/>
    </sheetView>
  </sheetViews>
  <sheetFormatPr baseColWidth="10" defaultColWidth="11.42578125" defaultRowHeight="15" x14ac:dyDescent="0.25"/>
  <cols>
    <col min="1" max="1" width="2.85546875" style="83" customWidth="1"/>
    <col min="2" max="3" width="24.7109375" style="83" customWidth="1"/>
    <col min="4" max="4" width="16" style="83" customWidth="1"/>
    <col min="5" max="5" width="24.7109375" style="83" customWidth="1"/>
    <col min="6" max="6" width="27.7109375" style="83" customWidth="1"/>
    <col min="7" max="8" width="24.7109375" style="83" customWidth="1"/>
    <col min="9" max="16384" width="11.42578125" style="83"/>
  </cols>
  <sheetData>
    <row r="4" spans="2:8" ht="6.95" customHeight="1" thickBot="1" x14ac:dyDescent="0.3"/>
    <row r="5" spans="2:8" hidden="1" x14ac:dyDescent="0.25"/>
    <row r="6" spans="2:8" ht="15.75" hidden="1" thickBot="1" x14ac:dyDescent="0.3"/>
    <row r="7" spans="2:8" ht="15.75" hidden="1" thickBot="1" x14ac:dyDescent="0.3"/>
    <row r="8" spans="2:8" ht="0.95" hidden="1" customHeight="1" thickBot="1" x14ac:dyDescent="0.3"/>
    <row r="9" spans="2:8" ht="15.75" hidden="1" thickBot="1" x14ac:dyDescent="0.3"/>
    <row r="10" spans="2:8" ht="15.75" hidden="1" thickBot="1" x14ac:dyDescent="0.3"/>
    <row r="11" spans="2:8" ht="15.75" hidden="1" thickBot="1" x14ac:dyDescent="0.3"/>
    <row r="12" spans="2:8" ht="95.1" customHeight="1" x14ac:dyDescent="0.25">
      <c r="B12" s="216" t="s">
        <v>0</v>
      </c>
      <c r="C12" s="217"/>
      <c r="D12" s="217"/>
      <c r="E12" s="217"/>
      <c r="F12" s="217"/>
      <c r="G12" s="217"/>
      <c r="H12" s="218"/>
    </row>
    <row r="13" spans="2:8" ht="11.1" customHeight="1" x14ac:dyDescent="0.25">
      <c r="B13" s="84"/>
      <c r="C13" s="85"/>
      <c r="D13" s="85"/>
      <c r="E13" s="85"/>
      <c r="F13" s="85"/>
      <c r="G13" s="85"/>
      <c r="H13" s="86"/>
    </row>
    <row r="14" spans="2:8" ht="29.1" hidden="1" customHeight="1" x14ac:dyDescent="0.25">
      <c r="B14" s="219" t="s">
        <v>210</v>
      </c>
      <c r="C14" s="220"/>
      <c r="D14" s="220"/>
      <c r="E14" s="220"/>
      <c r="F14" s="220"/>
      <c r="G14" s="220"/>
      <c r="H14" s="221"/>
    </row>
    <row r="15" spans="2:8" ht="63" hidden="1" customHeight="1" x14ac:dyDescent="0.25">
      <c r="B15" s="222"/>
      <c r="C15" s="223"/>
      <c r="D15" s="223"/>
      <c r="E15" s="223"/>
      <c r="F15" s="223"/>
      <c r="G15" s="223"/>
      <c r="H15" s="224"/>
    </row>
    <row r="16" spans="2:8" ht="16.5" x14ac:dyDescent="0.25">
      <c r="B16" s="225" t="s">
        <v>1</v>
      </c>
      <c r="C16" s="226"/>
      <c r="D16" s="226"/>
      <c r="E16" s="226"/>
      <c r="F16" s="226"/>
      <c r="G16" s="226"/>
      <c r="H16" s="227"/>
    </row>
    <row r="17" spans="2:8" ht="95.25" customHeight="1" x14ac:dyDescent="0.25">
      <c r="B17" s="235" t="s">
        <v>2</v>
      </c>
      <c r="C17" s="236"/>
      <c r="D17" s="236"/>
      <c r="E17" s="236"/>
      <c r="F17" s="236"/>
      <c r="G17" s="236"/>
      <c r="H17" s="237"/>
    </row>
    <row r="18" spans="2:8" ht="16.5" x14ac:dyDescent="0.25">
      <c r="B18" s="120"/>
      <c r="C18" s="121"/>
      <c r="D18" s="121"/>
      <c r="E18" s="121"/>
      <c r="F18" s="121"/>
      <c r="G18" s="121"/>
      <c r="H18" s="122"/>
    </row>
    <row r="19" spans="2:8" ht="16.5" customHeight="1" x14ac:dyDescent="0.25">
      <c r="B19" s="228" t="s">
        <v>266</v>
      </c>
      <c r="C19" s="229"/>
      <c r="D19" s="229"/>
      <c r="E19" s="229"/>
      <c r="F19" s="229"/>
      <c r="G19" s="229"/>
      <c r="H19" s="230"/>
    </row>
    <row r="20" spans="2:8" ht="44.25" customHeight="1" x14ac:dyDescent="0.25">
      <c r="B20" s="228"/>
      <c r="C20" s="229"/>
      <c r="D20" s="229"/>
      <c r="E20" s="229"/>
      <c r="F20" s="229"/>
      <c r="G20" s="229"/>
      <c r="H20" s="230"/>
    </row>
    <row r="21" spans="2:8" ht="15.75" thickBot="1" x14ac:dyDescent="0.3">
      <c r="B21" s="109"/>
      <c r="C21" s="112"/>
      <c r="D21" s="117"/>
      <c r="E21" s="118"/>
      <c r="F21" s="118"/>
      <c r="G21" s="119"/>
      <c r="H21" s="113"/>
    </row>
    <row r="22" spans="2:8" ht="15.75" thickTop="1" x14ac:dyDescent="0.25">
      <c r="B22" s="109"/>
      <c r="C22" s="231" t="s">
        <v>3</v>
      </c>
      <c r="D22" s="232"/>
      <c r="E22" s="233" t="s">
        <v>4</v>
      </c>
      <c r="F22" s="234"/>
      <c r="G22" s="112"/>
      <c r="H22" s="113"/>
    </row>
    <row r="23" spans="2:8" ht="35.25" customHeight="1" x14ac:dyDescent="0.25">
      <c r="B23" s="109"/>
      <c r="C23" s="203" t="s">
        <v>5</v>
      </c>
      <c r="D23" s="204"/>
      <c r="E23" s="205" t="s">
        <v>6</v>
      </c>
      <c r="F23" s="206"/>
      <c r="G23" s="112"/>
      <c r="H23" s="113"/>
    </row>
    <row r="24" spans="2:8" ht="17.25" customHeight="1" x14ac:dyDescent="0.25">
      <c r="B24" s="109"/>
      <c r="C24" s="203" t="s">
        <v>7</v>
      </c>
      <c r="D24" s="204"/>
      <c r="E24" s="205" t="s">
        <v>8</v>
      </c>
      <c r="F24" s="206"/>
      <c r="G24" s="112"/>
      <c r="H24" s="113"/>
    </row>
    <row r="25" spans="2:8" ht="19.5" customHeight="1" x14ac:dyDescent="0.25">
      <c r="B25" s="109"/>
      <c r="C25" s="203" t="s">
        <v>9</v>
      </c>
      <c r="D25" s="204"/>
      <c r="E25" s="205" t="s">
        <v>10</v>
      </c>
      <c r="F25" s="206"/>
      <c r="G25" s="112"/>
      <c r="H25" s="113"/>
    </row>
    <row r="26" spans="2:8" ht="69.75" customHeight="1" x14ac:dyDescent="0.25">
      <c r="B26" s="109"/>
      <c r="C26" s="203" t="s">
        <v>11</v>
      </c>
      <c r="D26" s="204"/>
      <c r="E26" s="205" t="s">
        <v>12</v>
      </c>
      <c r="F26" s="206"/>
      <c r="G26" s="112"/>
      <c r="H26" s="113"/>
    </row>
    <row r="27" spans="2:8" ht="34.5" customHeight="1" x14ac:dyDescent="0.25">
      <c r="B27" s="109"/>
      <c r="C27" s="207" t="s">
        <v>13</v>
      </c>
      <c r="D27" s="208"/>
      <c r="E27" s="199" t="s">
        <v>14</v>
      </c>
      <c r="F27" s="200"/>
      <c r="G27" s="112"/>
      <c r="H27" s="113"/>
    </row>
    <row r="28" spans="2:8" ht="27.75" customHeight="1" x14ac:dyDescent="0.25">
      <c r="B28" s="109"/>
      <c r="C28" s="207" t="s">
        <v>15</v>
      </c>
      <c r="D28" s="208"/>
      <c r="E28" s="199" t="s">
        <v>16</v>
      </c>
      <c r="F28" s="200"/>
      <c r="G28" s="112"/>
      <c r="H28" s="113"/>
    </row>
    <row r="29" spans="2:8" ht="28.5" customHeight="1" x14ac:dyDescent="0.25">
      <c r="B29" s="109"/>
      <c r="C29" s="207" t="s">
        <v>17</v>
      </c>
      <c r="D29" s="208"/>
      <c r="E29" s="199" t="s">
        <v>18</v>
      </c>
      <c r="F29" s="200"/>
      <c r="G29" s="112"/>
      <c r="H29" s="113"/>
    </row>
    <row r="30" spans="2:8" ht="72.75" customHeight="1" x14ac:dyDescent="0.25">
      <c r="B30" s="109"/>
      <c r="C30" s="207" t="s">
        <v>19</v>
      </c>
      <c r="D30" s="208"/>
      <c r="E30" s="199" t="s">
        <v>20</v>
      </c>
      <c r="F30" s="200"/>
      <c r="G30" s="112"/>
      <c r="H30" s="113"/>
    </row>
    <row r="31" spans="2:8" ht="64.5" customHeight="1" x14ac:dyDescent="0.25">
      <c r="B31" s="109"/>
      <c r="C31" s="207" t="s">
        <v>21</v>
      </c>
      <c r="D31" s="208"/>
      <c r="E31" s="199" t="s">
        <v>22</v>
      </c>
      <c r="F31" s="200"/>
      <c r="G31" s="112"/>
      <c r="H31" s="113"/>
    </row>
    <row r="32" spans="2:8" ht="71.25" customHeight="1" x14ac:dyDescent="0.25">
      <c r="B32" s="109"/>
      <c r="C32" s="207" t="s">
        <v>23</v>
      </c>
      <c r="D32" s="208"/>
      <c r="E32" s="199" t="s">
        <v>24</v>
      </c>
      <c r="F32" s="200"/>
      <c r="G32" s="112"/>
      <c r="H32" s="113"/>
    </row>
    <row r="33" spans="2:8" ht="55.5" customHeight="1" x14ac:dyDescent="0.25">
      <c r="B33" s="109"/>
      <c r="C33" s="201" t="s">
        <v>25</v>
      </c>
      <c r="D33" s="202"/>
      <c r="E33" s="199" t="s">
        <v>26</v>
      </c>
      <c r="F33" s="200"/>
      <c r="G33" s="112"/>
      <c r="H33" s="113"/>
    </row>
    <row r="34" spans="2:8" ht="42" customHeight="1" x14ac:dyDescent="0.25">
      <c r="B34" s="109"/>
      <c r="C34" s="201" t="s">
        <v>27</v>
      </c>
      <c r="D34" s="202"/>
      <c r="E34" s="199" t="s">
        <v>28</v>
      </c>
      <c r="F34" s="200"/>
      <c r="G34" s="112"/>
      <c r="H34" s="113"/>
    </row>
    <row r="35" spans="2:8" ht="59.25" customHeight="1" x14ac:dyDescent="0.25">
      <c r="B35" s="109"/>
      <c r="C35" s="201" t="s">
        <v>29</v>
      </c>
      <c r="D35" s="202"/>
      <c r="E35" s="199" t="s">
        <v>30</v>
      </c>
      <c r="F35" s="200"/>
      <c r="G35" s="112"/>
      <c r="H35" s="113"/>
    </row>
    <row r="36" spans="2:8" ht="23.25" customHeight="1" x14ac:dyDescent="0.25">
      <c r="B36" s="109"/>
      <c r="C36" s="201" t="s">
        <v>31</v>
      </c>
      <c r="D36" s="202"/>
      <c r="E36" s="199" t="s">
        <v>32</v>
      </c>
      <c r="F36" s="200"/>
      <c r="G36" s="112"/>
      <c r="H36" s="113"/>
    </row>
    <row r="37" spans="2:8" ht="30.75" customHeight="1" x14ac:dyDescent="0.25">
      <c r="B37" s="109"/>
      <c r="C37" s="201" t="s">
        <v>33</v>
      </c>
      <c r="D37" s="202"/>
      <c r="E37" s="199" t="s">
        <v>34</v>
      </c>
      <c r="F37" s="200"/>
      <c r="G37" s="112"/>
      <c r="H37" s="113"/>
    </row>
    <row r="38" spans="2:8" ht="35.25" customHeight="1" x14ac:dyDescent="0.25">
      <c r="B38" s="109"/>
      <c r="C38" s="201" t="s">
        <v>35</v>
      </c>
      <c r="D38" s="202"/>
      <c r="E38" s="199" t="s">
        <v>36</v>
      </c>
      <c r="F38" s="200"/>
      <c r="G38" s="112"/>
      <c r="H38" s="113"/>
    </row>
    <row r="39" spans="2:8" ht="33" customHeight="1" x14ac:dyDescent="0.25">
      <c r="B39" s="109"/>
      <c r="C39" s="201" t="s">
        <v>35</v>
      </c>
      <c r="D39" s="202"/>
      <c r="E39" s="199" t="s">
        <v>36</v>
      </c>
      <c r="F39" s="200"/>
      <c r="G39" s="112"/>
      <c r="H39" s="113"/>
    </row>
    <row r="40" spans="2:8" ht="30" customHeight="1" x14ac:dyDescent="0.25">
      <c r="B40" s="109"/>
      <c r="C40" s="201" t="s">
        <v>37</v>
      </c>
      <c r="D40" s="202"/>
      <c r="E40" s="199" t="s">
        <v>38</v>
      </c>
      <c r="F40" s="200"/>
      <c r="G40" s="112"/>
      <c r="H40" s="113"/>
    </row>
    <row r="41" spans="2:8" ht="35.25" customHeight="1" x14ac:dyDescent="0.25">
      <c r="B41" s="109"/>
      <c r="C41" s="201" t="s">
        <v>39</v>
      </c>
      <c r="D41" s="202"/>
      <c r="E41" s="199" t="s">
        <v>40</v>
      </c>
      <c r="F41" s="200"/>
      <c r="G41" s="112"/>
      <c r="H41" s="113"/>
    </row>
    <row r="42" spans="2:8" ht="31.5" customHeight="1" x14ac:dyDescent="0.25">
      <c r="B42" s="109"/>
      <c r="C42" s="201" t="s">
        <v>41</v>
      </c>
      <c r="D42" s="202"/>
      <c r="E42" s="199" t="s">
        <v>42</v>
      </c>
      <c r="F42" s="200"/>
      <c r="G42" s="112"/>
      <c r="H42" s="113"/>
    </row>
    <row r="43" spans="2:8" ht="35.25" customHeight="1" x14ac:dyDescent="0.25">
      <c r="B43" s="109"/>
      <c r="C43" s="201" t="s">
        <v>43</v>
      </c>
      <c r="D43" s="202"/>
      <c r="E43" s="199" t="s">
        <v>44</v>
      </c>
      <c r="F43" s="200"/>
      <c r="G43" s="112"/>
      <c r="H43" s="113"/>
    </row>
    <row r="44" spans="2:8" ht="59.25" customHeight="1" x14ac:dyDescent="0.25">
      <c r="B44" s="109"/>
      <c r="C44" s="201" t="s">
        <v>45</v>
      </c>
      <c r="D44" s="202"/>
      <c r="E44" s="199" t="s">
        <v>46</v>
      </c>
      <c r="F44" s="200"/>
      <c r="G44" s="112"/>
      <c r="H44" s="113"/>
    </row>
    <row r="45" spans="2:8" ht="29.25" customHeight="1" x14ac:dyDescent="0.25">
      <c r="B45" s="109"/>
      <c r="C45" s="201" t="s">
        <v>47</v>
      </c>
      <c r="D45" s="202"/>
      <c r="E45" s="199" t="s">
        <v>48</v>
      </c>
      <c r="F45" s="200"/>
      <c r="G45" s="112"/>
      <c r="H45" s="113"/>
    </row>
    <row r="46" spans="2:8" ht="82.5" customHeight="1" x14ac:dyDescent="0.25">
      <c r="B46" s="109"/>
      <c r="C46" s="201" t="s">
        <v>49</v>
      </c>
      <c r="D46" s="202"/>
      <c r="E46" s="199" t="s">
        <v>50</v>
      </c>
      <c r="F46" s="200"/>
      <c r="G46" s="112"/>
      <c r="H46" s="113"/>
    </row>
    <row r="47" spans="2:8" ht="46.5" customHeight="1" x14ac:dyDescent="0.25">
      <c r="B47" s="109"/>
      <c r="C47" s="201" t="s">
        <v>51</v>
      </c>
      <c r="D47" s="202"/>
      <c r="E47" s="199" t="s">
        <v>52</v>
      </c>
      <c r="F47" s="200"/>
      <c r="G47" s="112"/>
      <c r="H47" s="113"/>
    </row>
    <row r="48" spans="2:8" ht="6.75" customHeight="1" thickBot="1" x14ac:dyDescent="0.3">
      <c r="B48" s="109"/>
      <c r="C48" s="212"/>
      <c r="D48" s="213"/>
      <c r="E48" s="214"/>
      <c r="F48" s="215"/>
      <c r="G48" s="112"/>
      <c r="H48" s="113"/>
    </row>
    <row r="49" spans="2:8" ht="15.75" thickTop="1" x14ac:dyDescent="0.25">
      <c r="B49" s="109"/>
      <c r="C49" s="110"/>
      <c r="D49" s="110"/>
      <c r="E49" s="111"/>
      <c r="F49" s="111"/>
      <c r="G49" s="112"/>
      <c r="H49" s="113"/>
    </row>
    <row r="50" spans="2:8" ht="21" customHeight="1" x14ac:dyDescent="0.25">
      <c r="B50" s="209" t="s">
        <v>53</v>
      </c>
      <c r="C50" s="210"/>
      <c r="D50" s="210"/>
      <c r="E50" s="210"/>
      <c r="F50" s="210"/>
      <c r="G50" s="210"/>
      <c r="H50" s="211"/>
    </row>
    <row r="51" spans="2:8" ht="20.25" customHeight="1" x14ac:dyDescent="0.25">
      <c r="B51" s="209" t="s">
        <v>54</v>
      </c>
      <c r="C51" s="210"/>
      <c r="D51" s="210"/>
      <c r="E51" s="210"/>
      <c r="F51" s="210"/>
      <c r="G51" s="210"/>
      <c r="H51" s="211"/>
    </row>
    <row r="52" spans="2:8" ht="20.25" customHeight="1" x14ac:dyDescent="0.25">
      <c r="B52" s="209" t="s">
        <v>55</v>
      </c>
      <c r="C52" s="210"/>
      <c r="D52" s="210"/>
      <c r="E52" s="210"/>
      <c r="F52" s="210"/>
      <c r="G52" s="210"/>
      <c r="H52" s="211"/>
    </row>
    <row r="53" spans="2:8" ht="20.25" customHeight="1" x14ac:dyDescent="0.25">
      <c r="B53" s="209" t="s">
        <v>56</v>
      </c>
      <c r="C53" s="210"/>
      <c r="D53" s="210"/>
      <c r="E53" s="210"/>
      <c r="F53" s="210"/>
      <c r="G53" s="210"/>
      <c r="H53" s="211"/>
    </row>
    <row r="54" spans="2:8" x14ac:dyDescent="0.25">
      <c r="B54" s="209" t="s">
        <v>57</v>
      </c>
      <c r="C54" s="210"/>
      <c r="D54" s="210"/>
      <c r="E54" s="210"/>
      <c r="F54" s="210"/>
      <c r="G54" s="210"/>
      <c r="H54" s="211"/>
    </row>
    <row r="55" spans="2:8" ht="15.75" thickBot="1" x14ac:dyDescent="0.3">
      <c r="B55" s="114"/>
      <c r="C55" s="115"/>
      <c r="D55" s="115"/>
      <c r="E55" s="115"/>
      <c r="F55" s="115"/>
      <c r="G55" s="115"/>
      <c r="H55" s="116"/>
    </row>
  </sheetData>
  <mergeCells count="64">
    <mergeCell ref="B12:H12"/>
    <mergeCell ref="B14:H15"/>
    <mergeCell ref="B16:H16"/>
    <mergeCell ref="B19:H20"/>
    <mergeCell ref="C22:D22"/>
    <mergeCell ref="E22:F22"/>
    <mergeCell ref="B17:H17"/>
    <mergeCell ref="C23:D23"/>
    <mergeCell ref="E23:F23"/>
    <mergeCell ref="C27:D27"/>
    <mergeCell ref="E27:F27"/>
    <mergeCell ref="C31:D31"/>
    <mergeCell ref="C28:D28"/>
    <mergeCell ref="C29:D29"/>
    <mergeCell ref="C30:D30"/>
    <mergeCell ref="E28:F28"/>
    <mergeCell ref="E29:F29"/>
    <mergeCell ref="E30:F30"/>
    <mergeCell ref="E31:F31"/>
    <mergeCell ref="B52:H52"/>
    <mergeCell ref="B53:H53"/>
    <mergeCell ref="B54:H54"/>
    <mergeCell ref="E33:F33"/>
    <mergeCell ref="C33:D33"/>
    <mergeCell ref="C34:D34"/>
    <mergeCell ref="E34:F34"/>
    <mergeCell ref="C36:D36"/>
    <mergeCell ref="E36:F36"/>
    <mergeCell ref="E44:F44"/>
    <mergeCell ref="C42:D42"/>
    <mergeCell ref="C41:D41"/>
    <mergeCell ref="E41:F41"/>
    <mergeCell ref="E42:F42"/>
    <mergeCell ref="C37:D37"/>
    <mergeCell ref="E37:F37"/>
    <mergeCell ref="C43:D43"/>
    <mergeCell ref="B50:H50"/>
    <mergeCell ref="C39:D39"/>
    <mergeCell ref="E39:F39"/>
    <mergeCell ref="C40:D40"/>
    <mergeCell ref="E40:F40"/>
    <mergeCell ref="E43:F43"/>
    <mergeCell ref="C44:D44"/>
    <mergeCell ref="C45:D45"/>
    <mergeCell ref="E45:F45"/>
    <mergeCell ref="C46:D46"/>
    <mergeCell ref="E46:F46"/>
    <mergeCell ref="B51:H51"/>
    <mergeCell ref="C48:D48"/>
    <mergeCell ref="E48:F48"/>
    <mergeCell ref="C47:D47"/>
    <mergeCell ref="E47:F47"/>
    <mergeCell ref="E38:F38"/>
    <mergeCell ref="C38:D38"/>
    <mergeCell ref="C26:D26"/>
    <mergeCell ref="E26:F26"/>
    <mergeCell ref="C24:D24"/>
    <mergeCell ref="E24:F24"/>
    <mergeCell ref="C25:D25"/>
    <mergeCell ref="E25:F25"/>
    <mergeCell ref="E32:F32"/>
    <mergeCell ref="C32:D32"/>
    <mergeCell ref="C35:D35"/>
    <mergeCell ref="E35:F35"/>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workbookViewId="0">
      <selection activeCell="E22" sqref="E22"/>
    </sheetView>
  </sheetViews>
  <sheetFormatPr baseColWidth="10" defaultColWidth="14.28515625" defaultRowHeight="12.75" x14ac:dyDescent="0.2"/>
  <cols>
    <col min="1" max="2" width="14.28515625" style="88"/>
    <col min="3" max="3" width="17" style="88" customWidth="1"/>
    <col min="4" max="4" width="14.28515625" style="88"/>
    <col min="5" max="5" width="46" style="88" customWidth="1"/>
    <col min="6" max="16384" width="14.28515625" style="88"/>
  </cols>
  <sheetData>
    <row r="1" spans="2:6" ht="24" customHeight="1" thickBot="1" x14ac:dyDescent="0.25">
      <c r="B1" s="488" t="s">
        <v>159</v>
      </c>
      <c r="C1" s="489"/>
      <c r="D1" s="489"/>
      <c r="E1" s="489"/>
      <c r="F1" s="490"/>
    </row>
    <row r="2" spans="2:6" ht="16.5" thickBot="1" x14ac:dyDescent="0.3">
      <c r="B2" s="89"/>
      <c r="C2" s="89"/>
      <c r="D2" s="89"/>
      <c r="E2" s="89"/>
      <c r="F2" s="89"/>
    </row>
    <row r="3" spans="2:6" ht="16.5" thickBot="1" x14ac:dyDescent="0.25">
      <c r="B3" s="492" t="s">
        <v>160</v>
      </c>
      <c r="C3" s="493"/>
      <c r="D3" s="493"/>
      <c r="E3" s="101" t="s">
        <v>161</v>
      </c>
      <c r="F3" s="102" t="s">
        <v>162</v>
      </c>
    </row>
    <row r="4" spans="2:6" ht="31.5" x14ac:dyDescent="0.2">
      <c r="B4" s="494" t="s">
        <v>163</v>
      </c>
      <c r="C4" s="496" t="s">
        <v>83</v>
      </c>
      <c r="D4" s="90" t="s">
        <v>164</v>
      </c>
      <c r="E4" s="91" t="s">
        <v>165</v>
      </c>
      <c r="F4" s="92">
        <v>0.25</v>
      </c>
    </row>
    <row r="5" spans="2:6" ht="47.25" x14ac:dyDescent="0.2">
      <c r="B5" s="495"/>
      <c r="C5" s="497"/>
      <c r="D5" s="93" t="s">
        <v>166</v>
      </c>
      <c r="E5" s="94" t="s">
        <v>167</v>
      </c>
      <c r="F5" s="95">
        <v>0.15</v>
      </c>
    </row>
    <row r="6" spans="2:6" ht="47.25" x14ac:dyDescent="0.2">
      <c r="B6" s="495"/>
      <c r="C6" s="497"/>
      <c r="D6" s="93" t="s">
        <v>168</v>
      </c>
      <c r="E6" s="94" t="s">
        <v>169</v>
      </c>
      <c r="F6" s="95">
        <v>0.1</v>
      </c>
    </row>
    <row r="7" spans="2:6" ht="63" x14ac:dyDescent="0.2">
      <c r="B7" s="495"/>
      <c r="C7" s="497" t="s">
        <v>84</v>
      </c>
      <c r="D7" s="93" t="s">
        <v>170</v>
      </c>
      <c r="E7" s="94" t="s">
        <v>171</v>
      </c>
      <c r="F7" s="95">
        <v>0.25</v>
      </c>
    </row>
    <row r="8" spans="2:6" ht="31.5" x14ac:dyDescent="0.2">
      <c r="B8" s="495"/>
      <c r="C8" s="497"/>
      <c r="D8" s="93" t="s">
        <v>172</v>
      </c>
      <c r="E8" s="94" t="s">
        <v>173</v>
      </c>
      <c r="F8" s="95">
        <v>0.15</v>
      </c>
    </row>
    <row r="9" spans="2:6" ht="47.25" x14ac:dyDescent="0.2">
      <c r="B9" s="495" t="s">
        <v>174</v>
      </c>
      <c r="C9" s="497" t="s">
        <v>86</v>
      </c>
      <c r="D9" s="93" t="s">
        <v>175</v>
      </c>
      <c r="E9" s="94" t="s">
        <v>176</v>
      </c>
      <c r="F9" s="96" t="s">
        <v>177</v>
      </c>
    </row>
    <row r="10" spans="2:6" ht="63" x14ac:dyDescent="0.2">
      <c r="B10" s="495"/>
      <c r="C10" s="497"/>
      <c r="D10" s="93" t="s">
        <v>178</v>
      </c>
      <c r="E10" s="94" t="s">
        <v>179</v>
      </c>
      <c r="F10" s="96" t="s">
        <v>177</v>
      </c>
    </row>
    <row r="11" spans="2:6" ht="47.25" x14ac:dyDescent="0.2">
      <c r="B11" s="495"/>
      <c r="C11" s="497" t="s">
        <v>87</v>
      </c>
      <c r="D11" s="93" t="s">
        <v>180</v>
      </c>
      <c r="E11" s="94" t="s">
        <v>181</v>
      </c>
      <c r="F11" s="96" t="s">
        <v>177</v>
      </c>
    </row>
    <row r="12" spans="2:6" ht="47.25" x14ac:dyDescent="0.2">
      <c r="B12" s="495"/>
      <c r="C12" s="497"/>
      <c r="D12" s="93" t="s">
        <v>182</v>
      </c>
      <c r="E12" s="94" t="s">
        <v>183</v>
      </c>
      <c r="F12" s="96" t="s">
        <v>177</v>
      </c>
    </row>
    <row r="13" spans="2:6" ht="31.5" x14ac:dyDescent="0.2">
      <c r="B13" s="495"/>
      <c r="C13" s="497" t="s">
        <v>88</v>
      </c>
      <c r="D13" s="93" t="s">
        <v>184</v>
      </c>
      <c r="E13" s="94" t="s">
        <v>185</v>
      </c>
      <c r="F13" s="96" t="s">
        <v>177</v>
      </c>
    </row>
    <row r="14" spans="2:6" ht="32.25" thickBot="1" x14ac:dyDescent="0.25">
      <c r="B14" s="498"/>
      <c r="C14" s="499"/>
      <c r="D14" s="97" t="s">
        <v>186</v>
      </c>
      <c r="E14" s="98" t="s">
        <v>187</v>
      </c>
      <c r="F14" s="99" t="s">
        <v>177</v>
      </c>
    </row>
    <row r="15" spans="2:6" ht="49.5" customHeight="1" x14ac:dyDescent="0.2">
      <c r="B15" s="491" t="s">
        <v>188</v>
      </c>
      <c r="C15" s="491"/>
      <c r="D15" s="491"/>
      <c r="E15" s="491"/>
      <c r="F15" s="491"/>
    </row>
    <row r="16" spans="2:6" ht="27" customHeight="1" x14ac:dyDescent="0.25">
      <c r="B16" s="100"/>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topLeftCell="A4" workbookViewId="0">
      <selection activeCell="B13" sqref="B13:B19"/>
    </sheetView>
  </sheetViews>
  <sheetFormatPr baseColWidth="10" defaultColWidth="11.42578125" defaultRowHeight="15" x14ac:dyDescent="0.25"/>
  <sheetData>
    <row r="2" spans="2:5" x14ac:dyDescent="0.25">
      <c r="B2" t="s">
        <v>189</v>
      </c>
      <c r="E2" t="s">
        <v>190</v>
      </c>
    </row>
    <row r="3" spans="2:5" x14ac:dyDescent="0.25">
      <c r="B3" t="s">
        <v>191</v>
      </c>
      <c r="E3" t="s">
        <v>192</v>
      </c>
    </row>
    <row r="4" spans="2:5" x14ac:dyDescent="0.25">
      <c r="B4" t="s">
        <v>193</v>
      </c>
      <c r="E4" t="s">
        <v>194</v>
      </c>
    </row>
    <row r="5" spans="2:5" x14ac:dyDescent="0.25">
      <c r="B5" t="s">
        <v>195</v>
      </c>
    </row>
    <row r="8" spans="2:5" x14ac:dyDescent="0.25">
      <c r="B8" t="s">
        <v>196</v>
      </c>
    </row>
    <row r="9" spans="2:5" x14ac:dyDescent="0.25">
      <c r="B9" t="s">
        <v>197</v>
      </c>
    </row>
    <row r="10" spans="2:5" x14ac:dyDescent="0.25">
      <c r="B10" t="s">
        <v>198</v>
      </c>
    </row>
    <row r="13" spans="2:5" x14ac:dyDescent="0.25">
      <c r="B13" t="s">
        <v>199</v>
      </c>
    </row>
    <row r="14" spans="2:5" x14ac:dyDescent="0.25">
      <c r="B14" t="s">
        <v>200</v>
      </c>
    </row>
    <row r="15" spans="2:5" x14ac:dyDescent="0.25">
      <c r="B15" t="s">
        <v>201</v>
      </c>
    </row>
    <row r="16" spans="2:5" x14ac:dyDescent="0.25">
      <c r="B16" t="s">
        <v>202</v>
      </c>
    </row>
    <row r="17" spans="2:2" x14ac:dyDescent="0.25">
      <c r="B17" t="s">
        <v>203</v>
      </c>
    </row>
    <row r="18" spans="2:2" x14ac:dyDescent="0.25">
      <c r="B18" t="s">
        <v>204</v>
      </c>
    </row>
    <row r="19" spans="2:2" x14ac:dyDescent="0.25">
      <c r="B19" t="s">
        <v>205</v>
      </c>
    </row>
  </sheetData>
  <sortState xmlns:xlrd2="http://schemas.microsoft.com/office/spreadsheetml/2017/richdata2" ref="B2:B5">
    <sortCondition ref="B2:B5"/>
  </sortState>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164</v>
      </c>
    </row>
    <row r="4" spans="1:1" x14ac:dyDescent="0.2">
      <c r="A4" s="10" t="s">
        <v>166</v>
      </c>
    </row>
    <row r="5" spans="1:1" x14ac:dyDescent="0.2">
      <c r="A5" s="10" t="s">
        <v>168</v>
      </c>
    </row>
    <row r="6" spans="1:1" x14ac:dyDescent="0.2">
      <c r="A6" s="10" t="s">
        <v>170</v>
      </c>
    </row>
    <row r="7" spans="1:1" x14ac:dyDescent="0.2">
      <c r="A7" s="10" t="s">
        <v>172</v>
      </c>
    </row>
    <row r="8" spans="1:1" x14ac:dyDescent="0.2">
      <c r="A8" s="10" t="s">
        <v>175</v>
      </c>
    </row>
    <row r="9" spans="1:1" x14ac:dyDescent="0.2">
      <c r="A9" s="10" t="s">
        <v>178</v>
      </c>
    </row>
    <row r="10" spans="1:1" x14ac:dyDescent="0.2">
      <c r="A10" s="10" t="s">
        <v>180</v>
      </c>
    </row>
    <row r="11" spans="1:1" x14ac:dyDescent="0.2">
      <c r="A11" s="10" t="s">
        <v>182</v>
      </c>
    </row>
    <row r="12" spans="1:1" x14ac:dyDescent="0.2">
      <c r="A12" s="10" t="s">
        <v>206</v>
      </c>
    </row>
    <row r="13" spans="1:1" x14ac:dyDescent="0.2">
      <c r="A13" s="10" t="s">
        <v>207</v>
      </c>
    </row>
    <row r="14" spans="1:1" x14ac:dyDescent="0.2">
      <c r="A14" s="10" t="s">
        <v>208</v>
      </c>
    </row>
    <row r="16" spans="1:1" x14ac:dyDescent="0.2">
      <c r="A16" s="10" t="s">
        <v>209</v>
      </c>
    </row>
    <row r="17" spans="1:1" x14ac:dyDescent="0.2">
      <c r="A17" s="10" t="s">
        <v>189</v>
      </c>
    </row>
    <row r="18" spans="1:1" x14ac:dyDescent="0.2">
      <c r="A18" s="10" t="s">
        <v>191</v>
      </c>
    </row>
    <row r="20" spans="1:1" x14ac:dyDescent="0.2">
      <c r="A20" s="10" t="s">
        <v>197</v>
      </c>
    </row>
    <row r="21" spans="1:1" x14ac:dyDescent="0.2">
      <c r="A21" s="10"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8C7F2-2557-0141-AE89-C47E0A8CCE40}">
  <dimension ref="B4:D31"/>
  <sheetViews>
    <sheetView showGridLines="0" topLeftCell="A22" workbookViewId="0">
      <selection activeCell="C15" sqref="C15"/>
    </sheetView>
  </sheetViews>
  <sheetFormatPr baseColWidth="10" defaultRowHeight="15" x14ac:dyDescent="0.25"/>
  <cols>
    <col min="3" max="3" width="46.42578125" customWidth="1"/>
    <col min="4" max="4" width="58" customWidth="1"/>
  </cols>
  <sheetData>
    <row r="4" spans="2:4" ht="52.5" customHeight="1" x14ac:dyDescent="0.25">
      <c r="B4" s="238" t="s">
        <v>211</v>
      </c>
      <c r="C4" s="238"/>
      <c r="D4" s="238"/>
    </row>
    <row r="5" spans="2:4" ht="6.75" customHeight="1" x14ac:dyDescent="0.25">
      <c r="D5" s="138"/>
    </row>
    <row r="6" spans="2:4" ht="15" customHeight="1" x14ac:dyDescent="0.25">
      <c r="B6" s="239" t="s">
        <v>212</v>
      </c>
      <c r="C6" s="139" t="s">
        <v>213</v>
      </c>
      <c r="D6" s="139" t="s">
        <v>214</v>
      </c>
    </row>
    <row r="7" spans="2:4" ht="20.25" x14ac:dyDescent="0.25">
      <c r="B7" s="240"/>
      <c r="C7" s="140" t="s">
        <v>215</v>
      </c>
      <c r="D7" s="141" t="s">
        <v>216</v>
      </c>
    </row>
    <row r="8" spans="2:4" ht="20.25" x14ac:dyDescent="0.25">
      <c r="B8" s="240"/>
      <c r="C8" s="140" t="s">
        <v>217</v>
      </c>
      <c r="D8" s="141" t="s">
        <v>218</v>
      </c>
    </row>
    <row r="9" spans="2:4" ht="20.25" x14ac:dyDescent="0.25">
      <c r="B9" s="240"/>
      <c r="C9" s="140" t="s">
        <v>219</v>
      </c>
      <c r="D9" s="141" t="s">
        <v>220</v>
      </c>
    </row>
    <row r="10" spans="2:4" ht="20.25" x14ac:dyDescent="0.25">
      <c r="B10" s="240"/>
      <c r="C10" s="140" t="s">
        <v>221</v>
      </c>
      <c r="D10" s="141" t="s">
        <v>222</v>
      </c>
    </row>
    <row r="11" spans="2:4" ht="20.25" x14ac:dyDescent="0.25">
      <c r="B11" s="240"/>
      <c r="C11" s="140" t="s">
        <v>223</v>
      </c>
      <c r="D11" s="141" t="s">
        <v>224</v>
      </c>
    </row>
    <row r="12" spans="2:4" ht="20.25" x14ac:dyDescent="0.25">
      <c r="B12" s="240"/>
      <c r="C12" s="140" t="s">
        <v>225</v>
      </c>
      <c r="D12" s="141" t="s">
        <v>226</v>
      </c>
    </row>
    <row r="13" spans="2:4" ht="20.25" x14ac:dyDescent="0.25">
      <c r="B13" s="240"/>
      <c r="C13" s="140" t="s">
        <v>227</v>
      </c>
      <c r="D13" s="141" t="s">
        <v>228</v>
      </c>
    </row>
    <row r="14" spans="2:4" ht="20.25" x14ac:dyDescent="0.25">
      <c r="B14" s="240"/>
      <c r="C14" s="140" t="s">
        <v>229</v>
      </c>
      <c r="D14" s="141" t="s">
        <v>230</v>
      </c>
    </row>
    <row r="15" spans="2:4" ht="20.25" x14ac:dyDescent="0.25">
      <c r="B15" s="240"/>
      <c r="C15" s="140" t="s">
        <v>231</v>
      </c>
      <c r="D15" s="141" t="s">
        <v>232</v>
      </c>
    </row>
    <row r="16" spans="2:4" ht="20.25" x14ac:dyDescent="0.25">
      <c r="B16" s="240"/>
      <c r="C16" s="140" t="s">
        <v>233</v>
      </c>
      <c r="D16" s="141" t="s">
        <v>234</v>
      </c>
    </row>
    <row r="17" spans="2:4" ht="20.25" x14ac:dyDescent="0.25">
      <c r="B17" s="240"/>
      <c r="C17" s="140" t="s">
        <v>235</v>
      </c>
      <c r="D17" s="141" t="s">
        <v>236</v>
      </c>
    </row>
    <row r="18" spans="2:4" ht="20.25" x14ac:dyDescent="0.25">
      <c r="B18" s="241"/>
      <c r="C18" s="140" t="s">
        <v>237</v>
      </c>
      <c r="D18" s="141" t="s">
        <v>238</v>
      </c>
    </row>
    <row r="19" spans="2:4" ht="15.75" customHeight="1" x14ac:dyDescent="0.25">
      <c r="B19" s="239" t="s">
        <v>239</v>
      </c>
      <c r="C19" s="139" t="s">
        <v>240</v>
      </c>
      <c r="D19" s="139" t="s">
        <v>241</v>
      </c>
    </row>
    <row r="20" spans="2:4" ht="20.25" x14ac:dyDescent="0.25">
      <c r="B20" s="240"/>
      <c r="C20" s="140" t="s">
        <v>242</v>
      </c>
      <c r="D20" s="141" t="s">
        <v>243</v>
      </c>
    </row>
    <row r="21" spans="2:4" ht="20.25" x14ac:dyDescent="0.25">
      <c r="B21" s="240"/>
      <c r="C21" s="140" t="s">
        <v>244</v>
      </c>
      <c r="D21" s="141" t="s">
        <v>245</v>
      </c>
    </row>
    <row r="22" spans="2:4" ht="20.25" x14ac:dyDescent="0.25">
      <c r="B22" s="240"/>
      <c r="C22" s="140" t="s">
        <v>246</v>
      </c>
      <c r="D22" s="141" t="s">
        <v>247</v>
      </c>
    </row>
    <row r="23" spans="2:4" ht="20.25" x14ac:dyDescent="0.25">
      <c r="B23" s="240"/>
      <c r="C23" s="140" t="s">
        <v>248</v>
      </c>
      <c r="D23" s="141" t="s">
        <v>249</v>
      </c>
    </row>
    <row r="24" spans="2:4" ht="20.25" x14ac:dyDescent="0.25">
      <c r="B24" s="240"/>
      <c r="C24" s="140" t="s">
        <v>250</v>
      </c>
      <c r="D24" s="141" t="s">
        <v>251</v>
      </c>
    </row>
    <row r="25" spans="2:4" ht="20.25" x14ac:dyDescent="0.25">
      <c r="B25" s="240"/>
      <c r="C25" s="140" t="s">
        <v>252</v>
      </c>
      <c r="D25" s="141" t="s">
        <v>253</v>
      </c>
    </row>
    <row r="26" spans="2:4" ht="20.25" x14ac:dyDescent="0.25">
      <c r="B26" s="240"/>
      <c r="C26" s="140" t="s">
        <v>254</v>
      </c>
      <c r="D26" s="141" t="s">
        <v>255</v>
      </c>
    </row>
    <row r="27" spans="2:4" ht="20.25" x14ac:dyDescent="0.25">
      <c r="B27" s="240"/>
      <c r="C27" s="140" t="s">
        <v>256</v>
      </c>
      <c r="D27" s="141" t="s">
        <v>257</v>
      </c>
    </row>
    <row r="28" spans="2:4" ht="20.25" x14ac:dyDescent="0.25">
      <c r="B28" s="240"/>
      <c r="C28" s="140" t="s">
        <v>258</v>
      </c>
      <c r="D28" s="141" t="s">
        <v>259</v>
      </c>
    </row>
    <row r="29" spans="2:4" ht="20.25" x14ac:dyDescent="0.25">
      <c r="B29" s="240"/>
      <c r="C29" s="140" t="s">
        <v>260</v>
      </c>
      <c r="D29" s="141" t="s">
        <v>261</v>
      </c>
    </row>
    <row r="30" spans="2:4" ht="20.25" x14ac:dyDescent="0.25">
      <c r="B30" s="240"/>
      <c r="C30" s="140" t="s">
        <v>262</v>
      </c>
      <c r="D30" s="141" t="s">
        <v>263</v>
      </c>
    </row>
    <row r="31" spans="2:4" ht="21" thickBot="1" x14ac:dyDescent="0.3">
      <c r="B31" s="241"/>
      <c r="C31" s="142" t="s">
        <v>264</v>
      </c>
      <c r="D31" s="143" t="s">
        <v>265</v>
      </c>
    </row>
  </sheetData>
  <mergeCells count="3">
    <mergeCell ref="B4:D4"/>
    <mergeCell ref="B6:B18"/>
    <mergeCell ref="B19:B3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P80"/>
  <sheetViews>
    <sheetView showGridLines="0" tabSelected="1" zoomScale="80" zoomScaleNormal="80" workbookViewId="0">
      <selection activeCell="C16" sqref="C16:N16"/>
    </sheetView>
  </sheetViews>
  <sheetFormatPr baseColWidth="10" defaultColWidth="11.42578125" defaultRowHeight="16.5" x14ac:dyDescent="0.3"/>
  <cols>
    <col min="1" max="1" width="4" style="2" bestFit="1" customWidth="1"/>
    <col min="2" max="2" width="14.140625" style="2" customWidth="1"/>
    <col min="3" max="3" width="27.85546875" style="2" customWidth="1"/>
    <col min="4" max="4" width="21.7109375" style="2" customWidth="1"/>
    <col min="5" max="5" width="42.7109375" style="1" customWidth="1"/>
    <col min="6" max="6" width="19" style="5" customWidth="1"/>
    <col min="7" max="7" width="17.85546875" style="1" customWidth="1"/>
    <col min="8" max="8" width="16.42578125" style="1" customWidth="1"/>
    <col min="9" max="9" width="6.28515625" style="1" bestFit="1" customWidth="1"/>
    <col min="10" max="10" width="27.28515625" style="1" bestFit="1" customWidth="1"/>
    <col min="11" max="11" width="30.42578125" style="1" hidden="1" customWidth="1"/>
    <col min="12" max="12" width="17.42578125" style="1" customWidth="1"/>
    <col min="13" max="13" width="6.28515625" style="1" bestFit="1" customWidth="1"/>
    <col min="14" max="14" width="12.7109375" style="1" customWidth="1"/>
    <col min="15" max="15" width="21.7109375" style="1" customWidth="1"/>
    <col min="16" max="16" width="66.140625" style="1" customWidth="1"/>
    <col min="17" max="17" width="15.140625" style="1" bestFit="1" customWidth="1"/>
    <col min="18" max="18" width="6.85546875" style="1" customWidth="1"/>
    <col min="19" max="19" width="12" style="1" customWidth="1"/>
    <col min="20" max="20" width="5.42578125" style="1" customWidth="1"/>
    <col min="21" max="21" width="7.140625" style="1" customWidth="1"/>
    <col min="22" max="22" width="6.7109375" style="1" customWidth="1"/>
    <col min="23" max="23" width="7.42578125" style="1" customWidth="1"/>
    <col min="24" max="24" width="38.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3" width="27.7109375" style="1" customWidth="1"/>
    <col min="34" max="34" width="14.85546875" style="1" customWidth="1"/>
    <col min="35" max="35" width="18.42578125" style="1" customWidth="1"/>
    <col min="36" max="36" width="21" style="1" customWidth="1"/>
    <col min="37" max="16384" width="11.42578125" style="1"/>
  </cols>
  <sheetData>
    <row r="1" spans="1:68" ht="36.950000000000003" customHeight="1" x14ac:dyDescent="0.3">
      <c r="A1" s="331" t="s">
        <v>277</v>
      </c>
      <c r="B1" s="331"/>
      <c r="C1" s="331"/>
      <c r="D1" s="331"/>
      <c r="E1" s="331"/>
      <c r="F1" s="331"/>
      <c r="G1" s="331"/>
      <c r="H1" s="331"/>
      <c r="I1" s="331"/>
      <c r="J1" s="331"/>
      <c r="K1" s="331"/>
      <c r="L1" s="331"/>
      <c r="M1" s="331"/>
      <c r="N1" s="331"/>
      <c r="O1" s="331"/>
      <c r="P1" s="331"/>
      <c r="Q1" s="331"/>
      <c r="R1" s="331"/>
      <c r="S1" s="331"/>
      <c r="T1" s="331"/>
      <c r="U1" s="331"/>
      <c r="V1" s="331"/>
      <c r="W1" s="331"/>
      <c r="X1" s="331"/>
      <c r="Y1" s="331"/>
      <c r="Z1" s="331"/>
      <c r="AA1" s="331"/>
      <c r="AB1" s="331"/>
      <c r="AC1" s="331"/>
      <c r="AD1" s="331"/>
      <c r="AE1" s="331"/>
      <c r="AF1" s="146" t="s">
        <v>267</v>
      </c>
      <c r="AG1" s="151" t="s">
        <v>268</v>
      </c>
      <c r="AH1" s="180"/>
      <c r="AI1" s="180"/>
      <c r="AJ1" s="180"/>
      <c r="AK1" s="180"/>
      <c r="AL1" s="144"/>
      <c r="AM1" s="144"/>
      <c r="AN1" s="144"/>
      <c r="AO1" s="144"/>
      <c r="AP1" s="145"/>
      <c r="AQ1" s="145"/>
      <c r="AR1" s="145"/>
      <c r="AS1" s="145"/>
      <c r="AT1" s="145"/>
      <c r="AU1" s="145"/>
      <c r="AV1" s="145"/>
      <c r="AW1" s="145"/>
      <c r="AX1" s="145"/>
      <c r="AY1" s="145"/>
      <c r="AZ1" s="145"/>
    </row>
    <row r="2" spans="1:68" x14ac:dyDescent="0.3">
      <c r="A2" s="331"/>
      <c r="B2" s="331"/>
      <c r="C2" s="331"/>
      <c r="D2" s="331"/>
      <c r="E2" s="331"/>
      <c r="F2" s="331"/>
      <c r="G2" s="331"/>
      <c r="H2" s="331"/>
      <c r="I2" s="331"/>
      <c r="J2" s="331"/>
      <c r="K2" s="331"/>
      <c r="L2" s="331"/>
      <c r="M2" s="331"/>
      <c r="N2" s="331"/>
      <c r="O2" s="331"/>
      <c r="P2" s="331"/>
      <c r="Q2" s="331"/>
      <c r="R2" s="331"/>
      <c r="S2" s="331"/>
      <c r="T2" s="331"/>
      <c r="U2" s="331"/>
      <c r="V2" s="331"/>
      <c r="W2" s="331"/>
      <c r="X2" s="331"/>
      <c r="Y2" s="331"/>
      <c r="Z2" s="331"/>
      <c r="AA2" s="331"/>
      <c r="AB2" s="331"/>
      <c r="AC2" s="331"/>
      <c r="AD2" s="331"/>
      <c r="AE2" s="331"/>
      <c r="AF2" s="146" t="s">
        <v>269</v>
      </c>
      <c r="AG2" s="151">
        <v>6</v>
      </c>
      <c r="AH2" s="147"/>
      <c r="AI2" s="148"/>
      <c r="AJ2" s="148"/>
      <c r="AK2" s="149"/>
      <c r="AL2" s="148"/>
      <c r="AM2" s="148"/>
      <c r="AN2" s="145"/>
      <c r="AO2" s="150"/>
      <c r="AP2" s="145"/>
      <c r="AQ2" s="145"/>
      <c r="AR2" s="145"/>
      <c r="AS2" s="145"/>
      <c r="AT2" s="145"/>
      <c r="AU2" s="145"/>
      <c r="AV2" s="145"/>
      <c r="AW2" s="145"/>
      <c r="AX2" s="145"/>
      <c r="AY2" s="145"/>
      <c r="AZ2" s="145"/>
    </row>
    <row r="3" spans="1:68" x14ac:dyDescent="0.3">
      <c r="A3" s="331"/>
      <c r="B3" s="331"/>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146" t="s">
        <v>270</v>
      </c>
      <c r="AG3" s="153" t="s">
        <v>336</v>
      </c>
      <c r="AH3" s="147"/>
      <c r="AI3" s="148"/>
      <c r="AJ3" s="148"/>
      <c r="AK3" s="149"/>
      <c r="AL3" s="148"/>
      <c r="AM3" s="148"/>
      <c r="AN3" s="145"/>
      <c r="AO3" s="150"/>
      <c r="AP3" s="145"/>
      <c r="AQ3" s="145"/>
      <c r="AR3" s="145"/>
      <c r="AS3" s="145"/>
      <c r="AT3" s="145"/>
      <c r="AU3" s="145"/>
      <c r="AV3" s="145"/>
      <c r="AW3" s="145"/>
      <c r="AX3" s="145"/>
      <c r="AY3" s="145"/>
      <c r="AZ3" s="145"/>
    </row>
    <row r="4" spans="1:68" ht="15.95" customHeight="1" x14ac:dyDescent="0.3">
      <c r="A4" s="331"/>
      <c r="B4" s="331"/>
      <c r="C4" s="331"/>
      <c r="D4" s="331"/>
      <c r="E4" s="331"/>
      <c r="F4" s="331"/>
      <c r="G4" s="331"/>
      <c r="H4" s="331"/>
      <c r="I4" s="331"/>
      <c r="J4" s="331"/>
      <c r="K4" s="331"/>
      <c r="L4" s="331"/>
      <c r="M4" s="331"/>
      <c r="N4" s="331"/>
      <c r="O4" s="331"/>
      <c r="P4" s="331"/>
      <c r="Q4" s="331"/>
      <c r="R4" s="331"/>
      <c r="S4" s="331"/>
      <c r="T4" s="331"/>
      <c r="U4" s="331"/>
      <c r="V4" s="331"/>
      <c r="W4" s="331"/>
      <c r="X4" s="331"/>
      <c r="Y4" s="331"/>
      <c r="Z4" s="331"/>
      <c r="AA4" s="331"/>
      <c r="AB4" s="331"/>
      <c r="AC4" s="331"/>
      <c r="AD4" s="331"/>
      <c r="AE4" s="331"/>
      <c r="AF4" s="155" t="s">
        <v>271</v>
      </c>
      <c r="AG4" s="500">
        <v>241903</v>
      </c>
      <c r="AH4" s="147"/>
      <c r="AI4" s="148"/>
      <c r="AJ4" s="148"/>
      <c r="AK4" s="149"/>
      <c r="AL4" s="148"/>
      <c r="AM4" s="148"/>
      <c r="AN4" s="145"/>
      <c r="AO4" s="150"/>
      <c r="AP4" s="145"/>
      <c r="AQ4" s="145"/>
      <c r="AR4" s="145"/>
      <c r="AS4" s="145"/>
      <c r="AT4" s="145"/>
      <c r="AU4" s="145"/>
      <c r="AV4" s="145"/>
      <c r="AW4" s="145"/>
      <c r="AX4" s="145"/>
      <c r="AY4" s="145"/>
      <c r="AZ4" s="145"/>
    </row>
    <row r="5" spans="1:68" ht="24" customHeight="1" x14ac:dyDescent="0.3">
      <c r="A5" s="331"/>
      <c r="B5" s="331"/>
      <c r="C5" s="331"/>
      <c r="D5" s="331"/>
      <c r="E5" s="331"/>
      <c r="F5" s="331"/>
      <c r="G5" s="331"/>
      <c r="H5" s="331"/>
      <c r="I5" s="331"/>
      <c r="J5" s="331"/>
      <c r="K5" s="331"/>
      <c r="L5" s="331"/>
      <c r="M5" s="331"/>
      <c r="N5" s="331"/>
      <c r="O5" s="331"/>
      <c r="P5" s="331"/>
      <c r="Q5" s="331"/>
      <c r="R5" s="331"/>
      <c r="S5" s="331"/>
      <c r="T5" s="331"/>
      <c r="U5" s="331"/>
      <c r="V5" s="331"/>
      <c r="W5" s="331"/>
      <c r="X5" s="331"/>
      <c r="Y5" s="331"/>
      <c r="Z5" s="331"/>
      <c r="AA5" s="331"/>
      <c r="AB5" s="331"/>
      <c r="AC5" s="331"/>
      <c r="AD5" s="331"/>
      <c r="AE5" s="331"/>
      <c r="AH5" s="147"/>
      <c r="AI5" s="148"/>
      <c r="AJ5" s="148"/>
      <c r="AK5" s="149"/>
      <c r="AL5" s="148"/>
      <c r="AM5" s="148"/>
      <c r="AN5" s="145"/>
      <c r="AO5" s="150"/>
      <c r="AP5" s="145"/>
      <c r="AQ5" s="145"/>
      <c r="AR5" s="145"/>
      <c r="AS5" s="145"/>
      <c r="AT5" s="145"/>
      <c r="AU5" s="145"/>
      <c r="AV5" s="145"/>
      <c r="AW5" s="145"/>
      <c r="AX5" s="145"/>
      <c r="AY5" s="145"/>
      <c r="AZ5" s="145"/>
    </row>
    <row r="6" spans="1:68" x14ac:dyDescent="0.3">
      <c r="A6" s="152"/>
      <c r="B6" s="152"/>
      <c r="C6" s="179"/>
      <c r="D6" s="176"/>
      <c r="E6" s="176"/>
      <c r="F6" s="176"/>
      <c r="G6" s="176"/>
      <c r="H6" s="176"/>
      <c r="I6" s="176"/>
      <c r="J6" s="176"/>
      <c r="K6" s="175"/>
      <c r="L6" s="154"/>
      <c r="M6" s="145"/>
      <c r="N6" s="145"/>
      <c r="O6" s="145"/>
      <c r="P6" s="154"/>
      <c r="Q6" s="152"/>
      <c r="R6" s="152"/>
      <c r="S6" s="152"/>
      <c r="T6" s="156"/>
      <c r="U6" s="156"/>
      <c r="V6" s="156"/>
      <c r="W6" s="156"/>
      <c r="X6" s="156"/>
      <c r="Y6" s="156"/>
      <c r="Z6" s="156"/>
      <c r="AA6" s="157"/>
      <c r="AB6" s="157"/>
      <c r="AC6" s="157"/>
      <c r="AD6" s="157"/>
      <c r="AE6" s="157"/>
      <c r="AH6" s="158"/>
      <c r="AI6" s="159"/>
      <c r="AJ6" s="159"/>
      <c r="AK6" s="159"/>
      <c r="AL6" s="159"/>
      <c r="AM6" s="159"/>
      <c r="AN6" s="160"/>
      <c r="AO6" s="160"/>
      <c r="AP6" s="160"/>
      <c r="AQ6" s="160"/>
      <c r="AR6" s="157"/>
      <c r="AS6" s="157"/>
      <c r="AT6" s="157"/>
      <c r="AU6" s="157"/>
      <c r="AV6" s="157"/>
      <c r="AW6" s="157"/>
      <c r="AX6" s="157"/>
      <c r="AY6" s="157"/>
      <c r="AZ6" s="157"/>
    </row>
    <row r="7" spans="1:68" ht="27.95" customHeight="1" x14ac:dyDescent="0.3">
      <c r="A7" s="164"/>
      <c r="B7" s="164"/>
      <c r="C7" s="145"/>
      <c r="D7" s="145"/>
      <c r="E7" s="145"/>
      <c r="F7" s="145"/>
      <c r="G7" s="145"/>
      <c r="H7" s="145"/>
      <c r="I7" s="145"/>
      <c r="J7" s="145"/>
      <c r="L7" s="145"/>
      <c r="M7" s="145"/>
      <c r="N7" s="335" t="s">
        <v>272</v>
      </c>
      <c r="O7" s="335"/>
      <c r="P7" s="335"/>
      <c r="Q7" s="335"/>
      <c r="R7" s="335"/>
      <c r="S7" s="335"/>
      <c r="T7" s="146"/>
      <c r="U7" s="146"/>
      <c r="V7" s="146"/>
      <c r="W7" s="146"/>
      <c r="X7" s="146"/>
      <c r="Y7" s="146"/>
      <c r="Z7" s="146"/>
      <c r="AA7" s="161"/>
      <c r="AB7" s="161"/>
      <c r="AC7" s="161"/>
      <c r="AD7" s="161"/>
      <c r="AE7" s="161"/>
      <c r="AF7" s="161"/>
      <c r="AG7" s="161"/>
      <c r="AH7" s="147"/>
      <c r="AI7" s="148"/>
      <c r="AJ7" s="148"/>
      <c r="AK7" s="148"/>
      <c r="AL7" s="148"/>
      <c r="AM7" s="148"/>
      <c r="AN7" s="162">
        <v>0</v>
      </c>
      <c r="AO7" s="163"/>
      <c r="AP7" s="162"/>
      <c r="AQ7" s="162"/>
      <c r="AR7" s="145"/>
      <c r="AS7" s="145"/>
      <c r="AT7" s="145"/>
      <c r="AU7" s="145"/>
      <c r="AV7" s="145"/>
      <c r="AW7" s="145"/>
      <c r="AX7" s="145"/>
      <c r="AY7" s="145"/>
      <c r="AZ7" s="145"/>
    </row>
    <row r="8" spans="1:68" ht="16.5" customHeight="1" x14ac:dyDescent="0.3">
      <c r="A8" s="164"/>
      <c r="B8" s="164"/>
      <c r="C8" s="145"/>
      <c r="D8" s="145"/>
      <c r="E8" s="145"/>
      <c r="F8" s="145"/>
      <c r="G8" s="145"/>
      <c r="H8" s="145"/>
      <c r="I8" s="145"/>
      <c r="J8" s="145"/>
      <c r="L8" s="145"/>
      <c r="M8" s="145"/>
      <c r="N8" s="177" t="s">
        <v>273</v>
      </c>
      <c r="O8" s="177" t="s">
        <v>274</v>
      </c>
      <c r="P8" s="337" t="s">
        <v>275</v>
      </c>
      <c r="Q8" s="338"/>
      <c r="R8" s="338"/>
      <c r="S8" s="339"/>
      <c r="T8" s="146"/>
      <c r="U8" s="146"/>
      <c r="V8" s="146"/>
      <c r="W8" s="146"/>
      <c r="X8" s="146"/>
      <c r="Y8" s="146"/>
      <c r="Z8" s="146"/>
      <c r="AA8" s="161"/>
      <c r="AB8" s="161"/>
      <c r="AC8" s="161"/>
      <c r="AD8" s="161"/>
      <c r="AE8" s="161"/>
      <c r="AF8" s="161"/>
      <c r="AG8" s="161"/>
      <c r="AH8" s="147"/>
      <c r="AI8" s="148"/>
      <c r="AJ8" s="148"/>
      <c r="AK8" s="148"/>
      <c r="AL8" s="148"/>
      <c r="AM8" s="148"/>
      <c r="AN8" s="162">
        <v>0</v>
      </c>
      <c r="AO8" s="163"/>
      <c r="AP8" s="162"/>
      <c r="AQ8" s="162"/>
      <c r="AR8" s="145"/>
      <c r="AS8" s="145"/>
      <c r="AT8" s="145"/>
      <c r="AU8" s="145"/>
      <c r="AV8" s="145"/>
      <c r="AW8" s="145"/>
      <c r="AX8" s="145"/>
      <c r="AY8" s="145"/>
      <c r="AZ8" s="145"/>
    </row>
    <row r="9" spans="1:68" x14ac:dyDescent="0.3">
      <c r="A9" s="164"/>
      <c r="B9" s="164"/>
      <c r="C9" s="145"/>
      <c r="D9" s="145"/>
      <c r="E9" s="145"/>
      <c r="F9" s="145"/>
      <c r="G9" s="145"/>
      <c r="H9" s="145"/>
      <c r="I9" s="145"/>
      <c r="J9" s="145"/>
      <c r="L9" s="145"/>
      <c r="M9" s="145"/>
      <c r="N9" s="178"/>
      <c r="O9" s="178"/>
      <c r="P9" s="340"/>
      <c r="Q9" s="341"/>
      <c r="R9" s="341"/>
      <c r="S9" s="342"/>
      <c r="T9" s="146"/>
      <c r="U9" s="146"/>
      <c r="V9" s="146"/>
      <c r="W9" s="336"/>
      <c r="X9" s="336"/>
      <c r="Y9" s="336"/>
      <c r="Z9" s="336"/>
      <c r="AA9" s="336"/>
      <c r="AB9" s="336"/>
      <c r="AC9" s="170"/>
      <c r="AD9" s="170"/>
      <c r="AE9" s="170"/>
      <c r="AF9" s="145"/>
      <c r="AG9" s="145"/>
      <c r="AH9" s="147"/>
      <c r="AI9" s="148"/>
      <c r="AJ9" s="148"/>
      <c r="AK9" s="148"/>
      <c r="AL9" s="148"/>
      <c r="AM9" s="148"/>
      <c r="AN9" s="162">
        <v>0</v>
      </c>
      <c r="AO9" s="163"/>
      <c r="AP9" s="162"/>
      <c r="AQ9" s="162"/>
      <c r="AR9" s="145"/>
      <c r="AS9" s="145"/>
      <c r="AT9" s="145"/>
      <c r="AU9" s="145"/>
      <c r="AV9" s="145"/>
      <c r="AW9" s="145"/>
      <c r="AX9" s="145"/>
      <c r="AY9" s="145"/>
      <c r="AZ9" s="145"/>
    </row>
    <row r="10" spans="1:68" x14ac:dyDescent="0.3">
      <c r="A10" s="164"/>
      <c r="B10" s="164"/>
      <c r="C10" s="145"/>
      <c r="D10" s="145"/>
      <c r="E10" s="145"/>
      <c r="F10" s="145"/>
      <c r="G10" s="145"/>
      <c r="H10" s="145"/>
      <c r="I10" s="145"/>
      <c r="J10" s="145"/>
      <c r="L10" s="146"/>
      <c r="M10" s="146"/>
      <c r="N10" s="178"/>
      <c r="O10" s="178"/>
      <c r="P10" s="340"/>
      <c r="Q10" s="341"/>
      <c r="R10" s="341"/>
      <c r="S10" s="342"/>
      <c r="T10" s="146"/>
      <c r="U10" s="146"/>
      <c r="V10" s="146"/>
      <c r="W10" s="332"/>
      <c r="X10" s="332"/>
      <c r="Y10" s="332"/>
      <c r="Z10" s="332"/>
      <c r="AA10" s="332"/>
      <c r="AB10" s="332"/>
      <c r="AC10" s="171"/>
      <c r="AD10" s="171"/>
      <c r="AE10" s="172"/>
      <c r="AF10" s="145"/>
      <c r="AG10" s="145"/>
      <c r="AH10" s="147"/>
      <c r="AI10" s="148"/>
      <c r="AJ10" s="148"/>
      <c r="AK10" s="148"/>
      <c r="AL10" s="148"/>
      <c r="AM10" s="148"/>
      <c r="AN10" s="162">
        <v>0</v>
      </c>
      <c r="AO10" s="163"/>
      <c r="AP10" s="162"/>
      <c r="AQ10" s="162"/>
      <c r="AR10" s="145"/>
      <c r="AS10" s="145"/>
      <c r="AT10" s="145"/>
      <c r="AU10" s="145"/>
      <c r="AV10" s="145"/>
      <c r="AW10" s="145"/>
      <c r="AX10" s="145"/>
      <c r="AY10" s="145"/>
      <c r="AZ10" s="145"/>
    </row>
    <row r="11" spans="1:68" ht="23.25" customHeight="1" x14ac:dyDescent="0.3">
      <c r="A11" s="164"/>
      <c r="B11" s="164"/>
      <c r="C11" s="164"/>
      <c r="D11" s="164"/>
      <c r="E11" s="164"/>
      <c r="F11" s="145"/>
      <c r="G11" s="145"/>
      <c r="H11" s="145"/>
      <c r="I11" s="166"/>
      <c r="J11" s="166"/>
      <c r="K11" s="146"/>
      <c r="L11" s="146"/>
      <c r="M11" s="146"/>
      <c r="N11" s="178"/>
      <c r="O11" s="178"/>
      <c r="P11" s="340"/>
      <c r="Q11" s="341"/>
      <c r="R11" s="341"/>
      <c r="S11" s="342"/>
      <c r="T11" s="146"/>
      <c r="U11" s="146"/>
      <c r="V11" s="146"/>
      <c r="W11" s="333"/>
      <c r="X11" s="333"/>
      <c r="Y11" s="333"/>
      <c r="Z11" s="333"/>
      <c r="AA11" s="333"/>
      <c r="AB11" s="333"/>
      <c r="AC11" s="173"/>
      <c r="AD11" s="173"/>
      <c r="AE11" s="174"/>
      <c r="AF11" s="167"/>
      <c r="AG11" s="161"/>
      <c r="AH11" s="147"/>
      <c r="AI11" s="148"/>
      <c r="AJ11" s="148"/>
      <c r="AK11" s="148"/>
      <c r="AL11" s="148"/>
      <c r="AM11" s="148"/>
      <c r="AN11" s="162">
        <v>0</v>
      </c>
      <c r="AO11" s="163"/>
      <c r="AP11" s="162"/>
      <c r="AQ11" s="162"/>
      <c r="AR11" s="145"/>
      <c r="AS11" s="145"/>
      <c r="AT11" s="145"/>
      <c r="AU11" s="145"/>
      <c r="AV11" s="145"/>
      <c r="AW11" s="145"/>
      <c r="AX11" s="145"/>
      <c r="AY11" s="145"/>
      <c r="AZ11" s="145"/>
    </row>
    <row r="12" spans="1:68" ht="18.75" x14ac:dyDescent="0.3">
      <c r="A12" s="334" t="s">
        <v>276</v>
      </c>
      <c r="B12" s="334"/>
      <c r="C12" s="334"/>
      <c r="D12" s="334"/>
      <c r="E12" s="334"/>
      <c r="F12" s="334"/>
      <c r="G12" s="334"/>
      <c r="H12" s="334"/>
      <c r="I12" s="334"/>
      <c r="J12" s="334"/>
      <c r="K12" s="146"/>
      <c r="L12" s="146"/>
      <c r="M12" s="146"/>
      <c r="N12" s="146"/>
      <c r="O12" s="165"/>
      <c r="P12" s="146"/>
      <c r="Q12" s="146"/>
      <c r="R12" s="146"/>
      <c r="S12" s="146"/>
      <c r="T12" s="146"/>
      <c r="U12" s="146"/>
      <c r="V12" s="146"/>
      <c r="W12" s="161"/>
      <c r="X12" s="161"/>
      <c r="Y12" s="161"/>
      <c r="Z12" s="161"/>
      <c r="AA12" s="161"/>
      <c r="AB12" s="168"/>
      <c r="AC12" s="168"/>
      <c r="AD12" s="168"/>
      <c r="AE12" s="168"/>
      <c r="AF12" s="169"/>
      <c r="AG12" s="169"/>
      <c r="AH12" s="148"/>
      <c r="AI12" s="148"/>
      <c r="AJ12" s="148"/>
      <c r="AK12" s="148"/>
      <c r="AL12" s="148"/>
      <c r="AM12" s="149"/>
      <c r="AN12" s="162"/>
      <c r="AO12" s="162"/>
      <c r="AP12" s="145"/>
      <c r="AQ12" s="145"/>
      <c r="AR12" s="145"/>
      <c r="AS12" s="145"/>
      <c r="AT12" s="145"/>
      <c r="AU12" s="145"/>
      <c r="AV12" s="145"/>
      <c r="AW12" s="145"/>
      <c r="AX12" s="145"/>
      <c r="AY12" s="145"/>
      <c r="AZ12" s="145"/>
    </row>
    <row r="13" spans="1:68" ht="16.5" customHeight="1" x14ac:dyDescent="0.3">
      <c r="A13" s="262"/>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4"/>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24" customHeight="1" x14ac:dyDescent="0.3">
      <c r="A14" s="265"/>
      <c r="B14" s="266"/>
      <c r="C14" s="266"/>
      <c r="D14" s="266"/>
      <c r="E14" s="266"/>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7"/>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68" x14ac:dyDescent="0.3">
      <c r="A15" s="28"/>
      <c r="B15" s="29"/>
      <c r="C15" s="28"/>
      <c r="D15" s="28"/>
      <c r="E15" s="8"/>
      <c r="F15" s="27"/>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ht="26.25" customHeight="1" x14ac:dyDescent="0.3">
      <c r="A16" s="313" t="s">
        <v>58</v>
      </c>
      <c r="B16" s="314"/>
      <c r="C16" s="258"/>
      <c r="D16" s="259"/>
      <c r="E16" s="259"/>
      <c r="F16" s="259"/>
      <c r="G16" s="259"/>
      <c r="H16" s="259"/>
      <c r="I16" s="259"/>
      <c r="J16" s="259"/>
      <c r="K16" s="259"/>
      <c r="L16" s="259"/>
      <c r="M16" s="259"/>
      <c r="N16" s="260"/>
      <c r="O16" s="261"/>
      <c r="P16" s="261"/>
      <c r="Q16" s="261"/>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49.5" customHeight="1" x14ac:dyDescent="0.3">
      <c r="A17" s="313" t="s">
        <v>59</v>
      </c>
      <c r="B17" s="314"/>
      <c r="C17" s="323"/>
      <c r="D17" s="259"/>
      <c r="E17" s="259"/>
      <c r="F17" s="259"/>
      <c r="G17" s="259"/>
      <c r="H17" s="259"/>
      <c r="I17" s="259"/>
      <c r="J17" s="259"/>
      <c r="K17" s="259"/>
      <c r="L17" s="259"/>
      <c r="M17" s="259"/>
      <c r="N17" s="260"/>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ht="49.5" customHeight="1" x14ac:dyDescent="0.3">
      <c r="A18" s="313" t="s">
        <v>60</v>
      </c>
      <c r="B18" s="314"/>
      <c r="C18" s="323"/>
      <c r="D18" s="324"/>
      <c r="E18" s="324"/>
      <c r="F18" s="324"/>
      <c r="G18" s="324"/>
      <c r="H18" s="324"/>
      <c r="I18" s="324"/>
      <c r="J18" s="324"/>
      <c r="K18" s="324"/>
      <c r="L18" s="324"/>
      <c r="M18" s="324"/>
      <c r="N18" s="325"/>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x14ac:dyDescent="0.3">
      <c r="A19" s="268" t="s">
        <v>61</v>
      </c>
      <c r="B19" s="269"/>
      <c r="C19" s="269"/>
      <c r="D19" s="269"/>
      <c r="E19" s="269"/>
      <c r="F19" s="269"/>
      <c r="G19" s="270"/>
      <c r="H19" s="268" t="s">
        <v>62</v>
      </c>
      <c r="I19" s="269"/>
      <c r="J19" s="269"/>
      <c r="K19" s="269"/>
      <c r="L19" s="269"/>
      <c r="M19" s="269"/>
      <c r="N19" s="270"/>
      <c r="O19" s="268" t="s">
        <v>63</v>
      </c>
      <c r="P19" s="269"/>
      <c r="Q19" s="269"/>
      <c r="R19" s="269"/>
      <c r="S19" s="269"/>
      <c r="T19" s="269"/>
      <c r="U19" s="269"/>
      <c r="V19" s="269"/>
      <c r="W19" s="270"/>
      <c r="X19" s="268" t="s">
        <v>64</v>
      </c>
      <c r="Y19" s="269"/>
      <c r="Z19" s="269"/>
      <c r="AA19" s="269"/>
      <c r="AB19" s="269"/>
      <c r="AC19" s="269"/>
      <c r="AD19" s="270"/>
      <c r="AE19" s="268" t="s">
        <v>65</v>
      </c>
      <c r="AF19" s="269"/>
      <c r="AG19" s="269"/>
      <c r="AH19" s="269"/>
      <c r="AI19" s="269"/>
      <c r="AJ19" s="270"/>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16.5" customHeight="1" x14ac:dyDescent="0.3">
      <c r="A20" s="315" t="s">
        <v>66</v>
      </c>
      <c r="B20" s="320" t="s">
        <v>13</v>
      </c>
      <c r="C20" s="318" t="s">
        <v>15</v>
      </c>
      <c r="D20" s="318" t="s">
        <v>17</v>
      </c>
      <c r="E20" s="319" t="s">
        <v>19</v>
      </c>
      <c r="F20" s="317" t="s">
        <v>21</v>
      </c>
      <c r="G20" s="318" t="s">
        <v>67</v>
      </c>
      <c r="H20" s="327" t="s">
        <v>68</v>
      </c>
      <c r="I20" s="328" t="s">
        <v>69</v>
      </c>
      <c r="J20" s="317" t="s">
        <v>70</v>
      </c>
      <c r="K20" s="317" t="s">
        <v>71</v>
      </c>
      <c r="L20" s="330" t="s">
        <v>72</v>
      </c>
      <c r="M20" s="328" t="s">
        <v>69</v>
      </c>
      <c r="N20" s="318" t="s">
        <v>27</v>
      </c>
      <c r="O20" s="321" t="s">
        <v>73</v>
      </c>
      <c r="P20" s="312" t="s">
        <v>29</v>
      </c>
      <c r="Q20" s="317" t="s">
        <v>31</v>
      </c>
      <c r="R20" s="312" t="s">
        <v>74</v>
      </c>
      <c r="S20" s="312"/>
      <c r="T20" s="312"/>
      <c r="U20" s="312"/>
      <c r="V20" s="312"/>
      <c r="W20" s="312"/>
      <c r="X20" s="326" t="s">
        <v>75</v>
      </c>
      <c r="Y20" s="326" t="s">
        <v>76</v>
      </c>
      <c r="Z20" s="326" t="s">
        <v>69</v>
      </c>
      <c r="AA20" s="326" t="s">
        <v>77</v>
      </c>
      <c r="AB20" s="326" t="s">
        <v>69</v>
      </c>
      <c r="AC20" s="326" t="s">
        <v>78</v>
      </c>
      <c r="AD20" s="321" t="s">
        <v>47</v>
      </c>
      <c r="AE20" s="312" t="s">
        <v>65</v>
      </c>
      <c r="AF20" s="312" t="s">
        <v>79</v>
      </c>
      <c r="AG20" s="312" t="s">
        <v>80</v>
      </c>
      <c r="AH20" s="312" t="s">
        <v>81</v>
      </c>
      <c r="AI20" s="312" t="s">
        <v>82</v>
      </c>
      <c r="AJ20" s="312" t="s">
        <v>51</v>
      </c>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s="4" customFormat="1" ht="94.5" customHeight="1" x14ac:dyDescent="0.25">
      <c r="A21" s="316"/>
      <c r="B21" s="320"/>
      <c r="C21" s="312"/>
      <c r="D21" s="312"/>
      <c r="E21" s="320"/>
      <c r="F21" s="318"/>
      <c r="G21" s="312"/>
      <c r="H21" s="318"/>
      <c r="I21" s="329"/>
      <c r="J21" s="318"/>
      <c r="K21" s="318"/>
      <c r="L21" s="329"/>
      <c r="M21" s="329"/>
      <c r="N21" s="312"/>
      <c r="O21" s="322"/>
      <c r="P21" s="312"/>
      <c r="Q21" s="318"/>
      <c r="R21" s="7" t="s">
        <v>83</v>
      </c>
      <c r="S21" s="7" t="s">
        <v>84</v>
      </c>
      <c r="T21" s="7" t="s">
        <v>85</v>
      </c>
      <c r="U21" s="7" t="s">
        <v>86</v>
      </c>
      <c r="V21" s="7" t="s">
        <v>87</v>
      </c>
      <c r="W21" s="7" t="s">
        <v>88</v>
      </c>
      <c r="X21" s="326"/>
      <c r="Y21" s="326"/>
      <c r="Z21" s="326"/>
      <c r="AA21" s="326"/>
      <c r="AB21" s="326"/>
      <c r="AC21" s="326"/>
      <c r="AD21" s="322"/>
      <c r="AE21" s="312"/>
      <c r="AF21" s="312"/>
      <c r="AG21" s="312"/>
      <c r="AH21" s="312"/>
      <c r="AI21" s="312"/>
      <c r="AJ21" s="312"/>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row>
    <row r="22" spans="1:68" s="3" customFormat="1" ht="18" customHeight="1" x14ac:dyDescent="0.25">
      <c r="A22" s="252">
        <v>1</v>
      </c>
      <c r="B22" s="242"/>
      <c r="C22" s="242"/>
      <c r="D22" s="242"/>
      <c r="E22" s="282"/>
      <c r="F22" s="242"/>
      <c r="G22" s="285"/>
      <c r="H22" s="288" t="str">
        <f>IF(G22&lt;=0,"",IF(G22&lt;=2,"Muy Baja",IF(G22&lt;=24,"Baja",IF(G22&lt;=500,"Media",IF(G22&lt;=5000,"Alta","Muy Alta")))))</f>
        <v/>
      </c>
      <c r="I22" s="274" t="str">
        <f>IF(H22="","",IF(H22="Muy Baja",0.2,IF(H22="Baja",0.4,IF(H22="Media",0.6,IF(H22="Alta",0.8,IF(H22="Muy Alta",1,))))))</f>
        <v/>
      </c>
      <c r="J22" s="291"/>
      <c r="K22" s="274">
        <f>IF(NOT(ISERROR(MATCH(J22,'Tabla Impacto'!$B$221:$B$223,0))),'Tabla Impacto'!$F$228&amp;"Por favor no seleccionar los criterios de impacto(Afectación Económica o presupuestal y Pérdida Reputacional)",J22)</f>
        <v>0</v>
      </c>
      <c r="L22" s="288" t="str">
        <f>IF(OR(K22='Tabla Impacto'!$C$11,K22='Tabla Impacto'!$D$11),"Leve",IF(OR(K22='Tabla Impacto'!$C$12,K22='Tabla Impacto'!$D$12),"Menor",IF(OR(K22='Tabla Impacto'!$C$13,K22='Tabla Impacto'!$D$13),"Moderado",IF(OR(K22='Tabla Impacto'!$C$14,K22='Tabla Impacto'!$D$14),"Mayor",IF(OR(K22='Tabla Impacto'!$C$15,K22='Tabla Impacto'!$D$15),"Catastrófico","")))))</f>
        <v/>
      </c>
      <c r="M22" s="274" t="str">
        <f>IF(L22="","",IF(L22="Leve",0.2,IF(L22="Menor",0.4,IF(L22="Moderado",0.6,IF(L22="Mayor",0.8,IF(L22="Catastrófico",1,))))))</f>
        <v/>
      </c>
      <c r="N22" s="277" t="str">
        <f>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
      </c>
      <c r="O22" s="123">
        <v>1</v>
      </c>
      <c r="P22" s="124"/>
      <c r="Q22" s="125" t="str">
        <f>IF(OR(R22="Preventivo",R22="Detectivo"),"Probabilidad",IF(R22="Correctivo","Impacto",""))</f>
        <v/>
      </c>
      <c r="R22" s="126"/>
      <c r="S22" s="126"/>
      <c r="T22" s="127" t="str">
        <f>IF(AND(R22="Preventivo",S22="Automático"),"50%",IF(AND(R22="Preventivo",S22="Manual"),"40%",IF(AND(R22="Detectivo",S22="Automático"),"40%",IF(AND(R22="Detectivo",S22="Manual"),"30%",IF(AND(R22="Correctivo",S22="Automático"),"35%",IF(AND(R22="Correctivo",S22="Manual"),"25%",""))))))</f>
        <v/>
      </c>
      <c r="U22" s="126"/>
      <c r="V22" s="126"/>
      <c r="W22" s="126"/>
      <c r="X22" s="128" t="str">
        <f>IFERROR(IF(Q22="Probabilidad",(I22-(+I22*T22)),IF(Q22="Impacto",I22,"")),"")</f>
        <v/>
      </c>
      <c r="Y22" s="129" t="str">
        <f>IFERROR(IF(X22="","",IF(X22&lt;=0.2,"Muy Baja",IF(X22&lt;=0.4,"Baja",IF(X22&lt;=0.6,"Media",IF(X22&lt;=0.8,"Alta","Muy Alta"))))),"")</f>
        <v/>
      </c>
      <c r="Z22" s="130" t="str">
        <f>+X22</f>
        <v/>
      </c>
      <c r="AA22" s="129" t="str">
        <f>IFERROR(IF(AB22="","",IF(AB22&lt;=0.2,"Leve",IF(AB22&lt;=0.4,"Menor",IF(AB22&lt;=0.6,"Moderado",IF(AB22&lt;=0.8,"Mayor","Catastrófico"))))),"")</f>
        <v/>
      </c>
      <c r="AB22" s="130" t="str">
        <f>IFERROR(IF(Q22="Impacto",(M22-(+M22*T22)),IF(Q22="Probabilidad",M22,"")),"")</f>
        <v/>
      </c>
      <c r="AC22" s="131" t="str">
        <f>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32"/>
      <c r="AE22" s="133"/>
      <c r="AF22" s="134"/>
      <c r="AG22" s="135"/>
      <c r="AH22" s="135"/>
      <c r="AI22" s="133"/>
      <c r="AJ22" s="134"/>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row>
    <row r="23" spans="1:68" ht="18" customHeight="1" x14ac:dyDescent="0.3">
      <c r="A23" s="280"/>
      <c r="B23" s="281"/>
      <c r="C23" s="281"/>
      <c r="D23" s="281"/>
      <c r="E23" s="283"/>
      <c r="F23" s="281"/>
      <c r="G23" s="286"/>
      <c r="H23" s="289"/>
      <c r="I23" s="275"/>
      <c r="J23" s="292"/>
      <c r="K23" s="275">
        <f>IF(NOT(ISERROR(MATCH(J23,_xlfn.ANCHORARRAY(E34),0))),I36&amp;"Por favor no seleccionar los criterios de impacto",J23)</f>
        <v>0</v>
      </c>
      <c r="L23" s="289"/>
      <c r="M23" s="275"/>
      <c r="N23" s="278"/>
      <c r="O23" s="123">
        <v>2</v>
      </c>
      <c r="P23" s="124"/>
      <c r="Q23" s="125" t="str">
        <f>IF(OR(R23="Preventivo",R23="Detectivo"),"Probabilidad",IF(R23="Correctivo","Impacto",""))</f>
        <v/>
      </c>
      <c r="R23" s="126"/>
      <c r="S23" s="126"/>
      <c r="T23" s="127" t="str">
        <f t="shared" ref="T23:T27" si="0">IF(AND(R23="Preventivo",S23="Automático"),"50%",IF(AND(R23="Preventivo",S23="Manual"),"40%",IF(AND(R23="Detectivo",S23="Automático"),"40%",IF(AND(R23="Detectivo",S23="Manual"),"30%",IF(AND(R23="Correctivo",S23="Automático"),"35%",IF(AND(R23="Correctivo",S23="Manual"),"25%",""))))))</f>
        <v/>
      </c>
      <c r="U23" s="126"/>
      <c r="V23" s="126"/>
      <c r="W23" s="126"/>
      <c r="X23" s="128" t="str">
        <f>IFERROR(IF(AND(Q22="Probabilidad",Q23="Probabilidad"),(Z22-(+Z22*T23)),IF(Q23="Probabilidad",(I22-(+I22*T23)),IF(Q23="Impacto",Z22,""))),"")</f>
        <v/>
      </c>
      <c r="Y23" s="129" t="str">
        <f t="shared" ref="Y23:Y77" si="1">IFERROR(IF(X23="","",IF(X23&lt;=0.2,"Muy Baja",IF(X23&lt;=0.4,"Baja",IF(X23&lt;=0.6,"Media",IF(X23&lt;=0.8,"Alta","Muy Alta"))))),"")</f>
        <v/>
      </c>
      <c r="Z23" s="130" t="str">
        <f t="shared" ref="Z23:Z27" si="2">+X23</f>
        <v/>
      </c>
      <c r="AA23" s="129" t="str">
        <f t="shared" ref="AA23:AA77" si="3">IFERROR(IF(AB23="","",IF(AB23&lt;=0.2,"Leve",IF(AB23&lt;=0.4,"Menor",IF(AB23&lt;=0.6,"Moderado",IF(AB23&lt;=0.8,"Mayor","Catastrófico"))))),"")</f>
        <v/>
      </c>
      <c r="AB23" s="130" t="str">
        <f>IFERROR(IF(AND(Q22="Impacto",Q23="Impacto"),(AB22-(+AB22*T23)),IF(Q23="Impacto",(M22-(+M22*T23)),IF(Q23="Probabilidad",AB22,""))),"")</f>
        <v/>
      </c>
      <c r="AC23" s="131" t="str">
        <f t="shared" ref="AC23:AC27" si="4">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
      </c>
      <c r="AD23" s="132"/>
      <c r="AE23" s="133"/>
      <c r="AF23" s="134"/>
      <c r="AG23" s="135"/>
      <c r="AH23" s="135"/>
      <c r="AI23" s="133"/>
      <c r="AJ23" s="134"/>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18" customHeight="1" x14ac:dyDescent="0.3">
      <c r="A24" s="280"/>
      <c r="B24" s="281"/>
      <c r="C24" s="281"/>
      <c r="D24" s="281"/>
      <c r="E24" s="283"/>
      <c r="F24" s="281"/>
      <c r="G24" s="286"/>
      <c r="H24" s="289"/>
      <c r="I24" s="275"/>
      <c r="J24" s="292"/>
      <c r="K24" s="275">
        <f>IF(NOT(ISERROR(MATCH(J24,_xlfn.ANCHORARRAY(E35),0))),I37&amp;"Por favor no seleccionar los criterios de impacto",J24)</f>
        <v>0</v>
      </c>
      <c r="L24" s="289"/>
      <c r="M24" s="275"/>
      <c r="N24" s="278"/>
      <c r="O24" s="123">
        <v>3</v>
      </c>
      <c r="P24" s="136"/>
      <c r="Q24" s="125" t="str">
        <f>IF(OR(R24="Preventivo",R24="Detectivo"),"Probabilidad",IF(R24="Correctivo","Impacto",""))</f>
        <v/>
      </c>
      <c r="R24" s="126"/>
      <c r="S24" s="126"/>
      <c r="T24" s="127" t="str">
        <f t="shared" si="0"/>
        <v/>
      </c>
      <c r="U24" s="126"/>
      <c r="V24" s="126"/>
      <c r="W24" s="126"/>
      <c r="X24" s="128" t="str">
        <f>IFERROR(IF(AND(Q23="Probabilidad",Q24="Probabilidad"),(Z23-(+Z23*T24)),IF(AND(Q23="Impacto",Q24="Probabilidad"),(Z22-(+Z22*T24)),IF(Q24="Impacto",Z23,""))),"")</f>
        <v/>
      </c>
      <c r="Y24" s="129" t="str">
        <f t="shared" si="1"/>
        <v/>
      </c>
      <c r="Z24" s="130" t="str">
        <f t="shared" si="2"/>
        <v/>
      </c>
      <c r="AA24" s="129" t="str">
        <f t="shared" si="3"/>
        <v/>
      </c>
      <c r="AB24" s="130" t="str">
        <f>IFERROR(IF(AND(Q23="Impacto",Q24="Impacto"),(AB23-(+AB23*T24)),IF(AND(Q23="Probabilidad",Q24="Impacto"),(AB22-(+AB22*T24)),IF(Q24="Probabilidad",AB23,""))),"")</f>
        <v/>
      </c>
      <c r="AC24" s="131" t="str">
        <f t="shared" si="4"/>
        <v/>
      </c>
      <c r="AD24" s="132"/>
      <c r="AE24" s="133"/>
      <c r="AF24" s="134"/>
      <c r="AG24" s="135"/>
      <c r="AH24" s="135"/>
      <c r="AI24" s="133"/>
      <c r="AJ24" s="134"/>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18" customHeight="1" x14ac:dyDescent="0.3">
      <c r="A25" s="280"/>
      <c r="B25" s="281"/>
      <c r="C25" s="281"/>
      <c r="D25" s="281"/>
      <c r="E25" s="283"/>
      <c r="F25" s="281"/>
      <c r="G25" s="286"/>
      <c r="H25" s="289"/>
      <c r="I25" s="275"/>
      <c r="J25" s="292"/>
      <c r="K25" s="275">
        <f>IF(NOT(ISERROR(MATCH(J25,_xlfn.ANCHORARRAY(E36),0))),I38&amp;"Por favor no seleccionar los criterios de impacto",J25)</f>
        <v>0</v>
      </c>
      <c r="L25" s="289"/>
      <c r="M25" s="275"/>
      <c r="N25" s="278"/>
      <c r="O25" s="123">
        <v>4</v>
      </c>
      <c r="P25" s="124"/>
      <c r="Q25" s="125" t="str">
        <f t="shared" ref="Q25:Q27" si="5">IF(OR(R25="Preventivo",R25="Detectivo"),"Probabilidad",IF(R25="Correctivo","Impacto",""))</f>
        <v/>
      </c>
      <c r="R25" s="126"/>
      <c r="S25" s="126"/>
      <c r="T25" s="127" t="str">
        <f t="shared" si="0"/>
        <v/>
      </c>
      <c r="U25" s="126"/>
      <c r="V25" s="126"/>
      <c r="W25" s="126"/>
      <c r="X25" s="128" t="str">
        <f t="shared" ref="X25:X27" si="6">IFERROR(IF(AND(Q24="Probabilidad",Q25="Probabilidad"),(Z24-(+Z24*T25)),IF(AND(Q24="Impacto",Q25="Probabilidad"),(Z23-(+Z23*T25)),IF(Q25="Impacto",Z24,""))),"")</f>
        <v/>
      </c>
      <c r="Y25" s="129" t="str">
        <f t="shared" si="1"/>
        <v/>
      </c>
      <c r="Z25" s="130" t="str">
        <f t="shared" si="2"/>
        <v/>
      </c>
      <c r="AA25" s="129" t="str">
        <f t="shared" si="3"/>
        <v/>
      </c>
      <c r="AB25" s="130" t="str">
        <f t="shared" ref="AB25:AB27" si="7">IFERROR(IF(AND(Q24="Impacto",Q25="Impacto"),(AB24-(+AB24*T25)),IF(AND(Q24="Probabilidad",Q25="Impacto"),(AB23-(+AB23*T25)),IF(Q25="Probabilidad",AB24,""))),"")</f>
        <v/>
      </c>
      <c r="AC25" s="131"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32"/>
      <c r="AE25" s="133"/>
      <c r="AF25" s="134"/>
      <c r="AG25" s="135"/>
      <c r="AH25" s="135"/>
      <c r="AI25" s="133"/>
      <c r="AJ25" s="134"/>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18" customHeight="1" x14ac:dyDescent="0.3">
      <c r="A26" s="280"/>
      <c r="B26" s="281"/>
      <c r="C26" s="281"/>
      <c r="D26" s="281"/>
      <c r="E26" s="283"/>
      <c r="F26" s="281"/>
      <c r="G26" s="286"/>
      <c r="H26" s="289"/>
      <c r="I26" s="275"/>
      <c r="J26" s="292"/>
      <c r="K26" s="275">
        <f>IF(NOT(ISERROR(MATCH(J26,_xlfn.ANCHORARRAY(E37),0))),I39&amp;"Por favor no seleccionar los criterios de impacto",J26)</f>
        <v>0</v>
      </c>
      <c r="L26" s="289"/>
      <c r="M26" s="275"/>
      <c r="N26" s="278"/>
      <c r="O26" s="123">
        <v>5</v>
      </c>
      <c r="P26" s="124"/>
      <c r="Q26" s="125" t="str">
        <f t="shared" si="5"/>
        <v/>
      </c>
      <c r="R26" s="126"/>
      <c r="S26" s="126"/>
      <c r="T26" s="127" t="str">
        <f t="shared" si="0"/>
        <v/>
      </c>
      <c r="U26" s="126"/>
      <c r="V26" s="126"/>
      <c r="W26" s="126"/>
      <c r="X26" s="128" t="str">
        <f t="shared" si="6"/>
        <v/>
      </c>
      <c r="Y26" s="129" t="str">
        <f t="shared" si="1"/>
        <v/>
      </c>
      <c r="Z26" s="130" t="str">
        <f t="shared" si="2"/>
        <v/>
      </c>
      <c r="AA26" s="129" t="str">
        <f t="shared" si="3"/>
        <v/>
      </c>
      <c r="AB26" s="130" t="str">
        <f t="shared" si="7"/>
        <v/>
      </c>
      <c r="AC26" s="131" t="str">
        <f t="shared" si="4"/>
        <v/>
      </c>
      <c r="AD26" s="132"/>
      <c r="AE26" s="133"/>
      <c r="AF26" s="134"/>
      <c r="AG26" s="135"/>
      <c r="AH26" s="135"/>
      <c r="AI26" s="133"/>
      <c r="AJ26" s="134"/>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18" customHeight="1" x14ac:dyDescent="0.3">
      <c r="A27" s="253"/>
      <c r="B27" s="243"/>
      <c r="C27" s="243"/>
      <c r="D27" s="243"/>
      <c r="E27" s="284"/>
      <c r="F27" s="243"/>
      <c r="G27" s="287"/>
      <c r="H27" s="290"/>
      <c r="I27" s="276"/>
      <c r="J27" s="293"/>
      <c r="K27" s="276">
        <f>IF(NOT(ISERROR(MATCH(J27,_xlfn.ANCHORARRAY(E38),0))),I40&amp;"Por favor no seleccionar los criterios de impacto",J27)</f>
        <v>0</v>
      </c>
      <c r="L27" s="290"/>
      <c r="M27" s="276"/>
      <c r="N27" s="279"/>
      <c r="O27" s="123">
        <v>6</v>
      </c>
      <c r="P27" s="124"/>
      <c r="Q27" s="125" t="str">
        <f t="shared" si="5"/>
        <v/>
      </c>
      <c r="R27" s="126"/>
      <c r="S27" s="126"/>
      <c r="T27" s="127" t="str">
        <f t="shared" si="0"/>
        <v/>
      </c>
      <c r="U27" s="126"/>
      <c r="V27" s="126"/>
      <c r="W27" s="126"/>
      <c r="X27" s="128" t="str">
        <f t="shared" si="6"/>
        <v/>
      </c>
      <c r="Y27" s="129" t="str">
        <f t="shared" si="1"/>
        <v/>
      </c>
      <c r="Z27" s="130" t="str">
        <f t="shared" si="2"/>
        <v/>
      </c>
      <c r="AA27" s="129" t="str">
        <f t="shared" si="3"/>
        <v/>
      </c>
      <c r="AB27" s="130" t="str">
        <f t="shared" si="7"/>
        <v/>
      </c>
      <c r="AC27" s="131" t="str">
        <f t="shared" si="4"/>
        <v/>
      </c>
      <c r="AD27" s="132"/>
      <c r="AE27" s="133"/>
      <c r="AF27" s="134"/>
      <c r="AG27" s="135"/>
      <c r="AH27" s="135"/>
      <c r="AI27" s="133"/>
      <c r="AJ27" s="134"/>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18" customHeight="1" x14ac:dyDescent="0.3">
      <c r="A28" s="252">
        <v>2</v>
      </c>
      <c r="B28" s="242"/>
      <c r="C28" s="242"/>
      <c r="D28" s="242"/>
      <c r="E28" s="282"/>
      <c r="F28" s="242"/>
      <c r="G28" s="285"/>
      <c r="H28" s="288" t="str">
        <f>IF(G28&lt;=0,"",IF(G28&lt;=2,"Muy Baja",IF(G28&lt;=24,"Baja",IF(G28&lt;=500,"Media",IF(G28&lt;=5000,"Alta","Muy Alta")))))</f>
        <v/>
      </c>
      <c r="I28" s="274" t="str">
        <f>IF(H28="","",IF(H28="Muy Baja",0.2,IF(H28="Baja",0.4,IF(H28="Media",0.6,IF(H28="Alta",0.8,IF(H28="Muy Alta",1,))))))</f>
        <v/>
      </c>
      <c r="J28" s="291"/>
      <c r="K28" s="274">
        <f>IF(NOT(ISERROR(MATCH(J28,'Tabla Impacto'!$B$221:$B$223,0))),'Tabla Impacto'!$F$228&amp;"Por favor no seleccionar los criterios de impacto(Afectación Económica o presupuestal y Pérdida Reputacional)",J28)</f>
        <v>0</v>
      </c>
      <c r="L28" s="288" t="str">
        <f>IF(OR(K28='Tabla Impacto'!$C$11,K28='Tabla Impacto'!$D$11),"Leve",IF(OR(K28='Tabla Impacto'!$C$12,K28='Tabla Impacto'!$D$12),"Menor",IF(OR(K28='Tabla Impacto'!$C$13,K28='Tabla Impacto'!$D$13),"Moderado",IF(OR(K28='Tabla Impacto'!$C$14,K28='Tabla Impacto'!$D$14),"Mayor",IF(OR(K28='Tabla Impacto'!$C$15,K28='Tabla Impacto'!$D$15),"Catastrófico","")))))</f>
        <v/>
      </c>
      <c r="M28" s="274" t="str">
        <f>IF(L28="","",IF(L28="Leve",0.2,IF(L28="Menor",0.4,IF(L28="Moderado",0.6,IF(L28="Mayor",0.8,IF(L28="Catastrófico",1,))))))</f>
        <v/>
      </c>
      <c r="N28" s="277" t="str">
        <f>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
      </c>
      <c r="O28" s="123">
        <v>1</v>
      </c>
      <c r="P28" s="124"/>
      <c r="Q28" s="125" t="str">
        <f>IF(OR(R28="Preventivo",R28="Detectivo"),"Probabilidad",IF(R28="Correctivo","Impacto",""))</f>
        <v/>
      </c>
      <c r="R28" s="126"/>
      <c r="S28" s="126"/>
      <c r="T28" s="127" t="str">
        <f>IF(AND(R28="Preventivo",S28="Automático"),"50%",IF(AND(R28="Preventivo",S28="Manual"),"40%",IF(AND(R28="Detectivo",S28="Automático"),"40%",IF(AND(R28="Detectivo",S28="Manual"),"30%",IF(AND(R28="Correctivo",S28="Automático"),"35%",IF(AND(R28="Correctivo",S28="Manual"),"25%",""))))))</f>
        <v/>
      </c>
      <c r="U28" s="126"/>
      <c r="V28" s="126"/>
      <c r="W28" s="126"/>
      <c r="X28" s="128" t="str">
        <f>IFERROR(IF(Q28="Probabilidad",(I28-(+I28*T28)),IF(Q28="Impacto",I28,"")),"")</f>
        <v/>
      </c>
      <c r="Y28" s="129" t="str">
        <f>IFERROR(IF(X28="","",IF(X28&lt;=0.2,"Muy Baja",IF(X28&lt;=0.4,"Baja",IF(X28&lt;=0.6,"Media",IF(X28&lt;=0.8,"Alta","Muy Alta"))))),"")</f>
        <v/>
      </c>
      <c r="Z28" s="130" t="str">
        <f>+X28</f>
        <v/>
      </c>
      <c r="AA28" s="129" t="str">
        <f>IFERROR(IF(AB28="","",IF(AB28&lt;=0.2,"Leve",IF(AB28&lt;=0.4,"Menor",IF(AB28&lt;=0.6,"Moderado",IF(AB28&lt;=0.8,"Mayor","Catastrófico"))))),"")</f>
        <v/>
      </c>
      <c r="AB28" s="130" t="str">
        <f>IFERROR(IF(Q28="Impacto",(M28-(+M28*T28)),IF(Q28="Probabilidad",M28,"")),"")</f>
        <v/>
      </c>
      <c r="AC28" s="131" t="str">
        <f>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32"/>
      <c r="AE28" s="133"/>
      <c r="AF28" s="134"/>
      <c r="AG28" s="135"/>
      <c r="AH28" s="135"/>
      <c r="AI28" s="133"/>
      <c r="AJ28" s="134"/>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18" customHeight="1" x14ac:dyDescent="0.3">
      <c r="A29" s="280"/>
      <c r="B29" s="281"/>
      <c r="C29" s="281"/>
      <c r="D29" s="281"/>
      <c r="E29" s="283"/>
      <c r="F29" s="281"/>
      <c r="G29" s="286"/>
      <c r="H29" s="289"/>
      <c r="I29" s="275"/>
      <c r="J29" s="292"/>
      <c r="K29" s="275">
        <f>IF(NOT(ISERROR(MATCH(J29,_xlfn.ANCHORARRAY(E40),0))),I42&amp;"Por favor no seleccionar los criterios de impacto",J29)</f>
        <v>0</v>
      </c>
      <c r="L29" s="289"/>
      <c r="M29" s="275"/>
      <c r="N29" s="278"/>
      <c r="O29" s="123">
        <v>2</v>
      </c>
      <c r="P29" s="124"/>
      <c r="Q29" s="125" t="str">
        <f>IF(OR(R29="Preventivo",R29="Detectivo"),"Probabilidad",IF(R29="Correctivo","Impacto",""))</f>
        <v/>
      </c>
      <c r="R29" s="126"/>
      <c r="S29" s="126"/>
      <c r="T29" s="127" t="str">
        <f t="shared" ref="T29:T33" si="8">IF(AND(R29="Preventivo",S29="Automático"),"50%",IF(AND(R29="Preventivo",S29="Manual"),"40%",IF(AND(R29="Detectivo",S29="Automático"),"40%",IF(AND(R29="Detectivo",S29="Manual"),"30%",IF(AND(R29="Correctivo",S29="Automático"),"35%",IF(AND(R29="Correctivo",S29="Manual"),"25%",""))))))</f>
        <v/>
      </c>
      <c r="U29" s="126"/>
      <c r="V29" s="126"/>
      <c r="W29" s="126"/>
      <c r="X29" s="128" t="str">
        <f>IFERROR(IF(AND(Q28="Probabilidad",Q29="Probabilidad"),(Z28-(+Z28*T29)),IF(Q29="Probabilidad",(I28-(+I28*T29)),IF(Q29="Impacto",Z28,""))),"")</f>
        <v/>
      </c>
      <c r="Y29" s="129" t="str">
        <f t="shared" si="1"/>
        <v/>
      </c>
      <c r="Z29" s="130" t="str">
        <f t="shared" ref="Z29:Z33" si="9">+X29</f>
        <v/>
      </c>
      <c r="AA29" s="129" t="str">
        <f t="shared" si="3"/>
        <v/>
      </c>
      <c r="AB29" s="130" t="str">
        <f>IFERROR(IF(AND(Q28="Impacto",Q29="Impacto"),(AB28-(+AB28*T29)),IF(Q29="Impacto",(M28-(+M28*T29)),IF(Q29="Probabilidad",AB28,""))),"")</f>
        <v/>
      </c>
      <c r="AC29" s="131" t="str">
        <f t="shared" ref="AC29:AC30" si="10">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
      </c>
      <c r="AD29" s="132"/>
      <c r="AE29" s="133"/>
      <c r="AF29" s="134"/>
      <c r="AG29" s="135"/>
      <c r="AH29" s="135"/>
      <c r="AI29" s="133"/>
      <c r="AJ29" s="134"/>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18" customHeight="1" x14ac:dyDescent="0.3">
      <c r="A30" s="280"/>
      <c r="B30" s="281"/>
      <c r="C30" s="281"/>
      <c r="D30" s="281"/>
      <c r="E30" s="283"/>
      <c r="F30" s="281"/>
      <c r="G30" s="286"/>
      <c r="H30" s="289"/>
      <c r="I30" s="275"/>
      <c r="J30" s="292"/>
      <c r="K30" s="275">
        <f>IF(NOT(ISERROR(MATCH(J30,_xlfn.ANCHORARRAY(E41),0))),I43&amp;"Por favor no seleccionar los criterios de impacto",J30)</f>
        <v>0</v>
      </c>
      <c r="L30" s="289"/>
      <c r="M30" s="275"/>
      <c r="N30" s="278"/>
      <c r="O30" s="123">
        <v>3</v>
      </c>
      <c r="P30" s="136"/>
      <c r="Q30" s="125" t="str">
        <f>IF(OR(R30="Preventivo",R30="Detectivo"),"Probabilidad",IF(R30="Correctivo","Impacto",""))</f>
        <v/>
      </c>
      <c r="R30" s="126"/>
      <c r="S30" s="126"/>
      <c r="T30" s="127" t="str">
        <f t="shared" si="8"/>
        <v/>
      </c>
      <c r="U30" s="126"/>
      <c r="V30" s="126"/>
      <c r="W30" s="126"/>
      <c r="X30" s="128" t="str">
        <f>IFERROR(IF(AND(Q29="Probabilidad",Q30="Probabilidad"),(Z29-(+Z29*T30)),IF(AND(Q29="Impacto",Q30="Probabilidad"),(Z28-(+Z28*T30)),IF(Q30="Impacto",Z29,""))),"")</f>
        <v/>
      </c>
      <c r="Y30" s="129" t="str">
        <f t="shared" si="1"/>
        <v/>
      </c>
      <c r="Z30" s="130" t="str">
        <f t="shared" si="9"/>
        <v/>
      </c>
      <c r="AA30" s="129" t="str">
        <f t="shared" si="3"/>
        <v/>
      </c>
      <c r="AB30" s="130" t="str">
        <f>IFERROR(IF(AND(Q29="Impacto",Q30="Impacto"),(AB29-(+AB29*T30)),IF(AND(Q29="Probabilidad",Q30="Impacto"),(AB28-(+AB28*T30)),IF(Q30="Probabilidad",AB29,""))),"")</f>
        <v/>
      </c>
      <c r="AC30" s="131" t="str">
        <f t="shared" si="10"/>
        <v/>
      </c>
      <c r="AD30" s="132"/>
      <c r="AE30" s="133"/>
      <c r="AF30" s="134"/>
      <c r="AG30" s="135"/>
      <c r="AH30" s="135"/>
      <c r="AI30" s="133"/>
      <c r="AJ30" s="134"/>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18" customHeight="1" x14ac:dyDescent="0.3">
      <c r="A31" s="280"/>
      <c r="B31" s="281"/>
      <c r="C31" s="281"/>
      <c r="D31" s="281"/>
      <c r="E31" s="283"/>
      <c r="F31" s="281"/>
      <c r="G31" s="286"/>
      <c r="H31" s="289"/>
      <c r="I31" s="275"/>
      <c r="J31" s="292"/>
      <c r="K31" s="275">
        <f>IF(NOT(ISERROR(MATCH(J31,_xlfn.ANCHORARRAY(E42),0))),I44&amp;"Por favor no seleccionar los criterios de impacto",J31)</f>
        <v>0</v>
      </c>
      <c r="L31" s="289"/>
      <c r="M31" s="275"/>
      <c r="N31" s="278"/>
      <c r="O31" s="123">
        <v>4</v>
      </c>
      <c r="P31" s="124"/>
      <c r="Q31" s="125" t="str">
        <f t="shared" ref="Q31:Q33" si="11">IF(OR(R31="Preventivo",R31="Detectivo"),"Probabilidad",IF(R31="Correctivo","Impacto",""))</f>
        <v/>
      </c>
      <c r="R31" s="126"/>
      <c r="S31" s="126"/>
      <c r="T31" s="127" t="str">
        <f t="shared" si="8"/>
        <v/>
      </c>
      <c r="U31" s="126"/>
      <c r="V31" s="126"/>
      <c r="W31" s="126"/>
      <c r="X31" s="128" t="str">
        <f t="shared" ref="X31:X33" si="12">IFERROR(IF(AND(Q30="Probabilidad",Q31="Probabilidad"),(Z30-(+Z30*T31)),IF(AND(Q30="Impacto",Q31="Probabilidad"),(Z29-(+Z29*T31)),IF(Q31="Impacto",Z30,""))),"")</f>
        <v/>
      </c>
      <c r="Y31" s="129" t="str">
        <f t="shared" si="1"/>
        <v/>
      </c>
      <c r="Z31" s="130" t="str">
        <f t="shared" si="9"/>
        <v/>
      </c>
      <c r="AA31" s="129" t="str">
        <f t="shared" si="3"/>
        <v/>
      </c>
      <c r="AB31" s="130" t="str">
        <f t="shared" ref="AB31:AB33" si="13">IFERROR(IF(AND(Q30="Impacto",Q31="Impacto"),(AB30-(+AB30*T31)),IF(AND(Q30="Probabilidad",Q31="Impacto"),(AB29-(+AB29*T31)),IF(Q31="Probabilidad",AB30,""))),"")</f>
        <v/>
      </c>
      <c r="AC31" s="131"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32"/>
      <c r="AE31" s="133"/>
      <c r="AF31" s="134"/>
      <c r="AG31" s="135"/>
      <c r="AH31" s="135"/>
      <c r="AI31" s="133"/>
      <c r="AJ31" s="134"/>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18" customHeight="1" x14ac:dyDescent="0.3">
      <c r="A32" s="280"/>
      <c r="B32" s="281"/>
      <c r="C32" s="281"/>
      <c r="D32" s="281"/>
      <c r="E32" s="283"/>
      <c r="F32" s="281"/>
      <c r="G32" s="286"/>
      <c r="H32" s="289"/>
      <c r="I32" s="275"/>
      <c r="J32" s="292"/>
      <c r="K32" s="275">
        <f>IF(NOT(ISERROR(MATCH(J32,_xlfn.ANCHORARRAY(E43),0))),I45&amp;"Por favor no seleccionar los criterios de impacto",J32)</f>
        <v>0</v>
      </c>
      <c r="L32" s="289"/>
      <c r="M32" s="275"/>
      <c r="N32" s="278"/>
      <c r="O32" s="123">
        <v>5</v>
      </c>
      <c r="P32" s="124"/>
      <c r="Q32" s="125" t="str">
        <f t="shared" si="11"/>
        <v/>
      </c>
      <c r="R32" s="126"/>
      <c r="S32" s="126"/>
      <c r="T32" s="127" t="str">
        <f t="shared" si="8"/>
        <v/>
      </c>
      <c r="U32" s="126"/>
      <c r="V32" s="126"/>
      <c r="W32" s="126"/>
      <c r="X32" s="128" t="str">
        <f t="shared" si="12"/>
        <v/>
      </c>
      <c r="Y32" s="129" t="str">
        <f t="shared" si="1"/>
        <v/>
      </c>
      <c r="Z32" s="130" t="str">
        <f t="shared" si="9"/>
        <v/>
      </c>
      <c r="AA32" s="129" t="str">
        <f t="shared" si="3"/>
        <v/>
      </c>
      <c r="AB32" s="130" t="str">
        <f t="shared" si="13"/>
        <v/>
      </c>
      <c r="AC32" s="131" t="str">
        <f t="shared" ref="AC32:AC33" si="14">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32"/>
      <c r="AE32" s="133"/>
      <c r="AF32" s="134"/>
      <c r="AG32" s="135"/>
      <c r="AH32" s="135"/>
      <c r="AI32" s="133"/>
      <c r="AJ32" s="134"/>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18" customHeight="1" x14ac:dyDescent="0.3">
      <c r="A33" s="253"/>
      <c r="B33" s="243"/>
      <c r="C33" s="243"/>
      <c r="D33" s="243"/>
      <c r="E33" s="284"/>
      <c r="F33" s="243"/>
      <c r="G33" s="287"/>
      <c r="H33" s="290"/>
      <c r="I33" s="276"/>
      <c r="J33" s="293"/>
      <c r="K33" s="276">
        <f>IF(NOT(ISERROR(MATCH(J33,_xlfn.ANCHORARRAY(E44),0))),I46&amp;"Por favor no seleccionar los criterios de impacto",J33)</f>
        <v>0</v>
      </c>
      <c r="L33" s="290"/>
      <c r="M33" s="276"/>
      <c r="N33" s="279"/>
      <c r="O33" s="123">
        <v>6</v>
      </c>
      <c r="P33" s="124"/>
      <c r="Q33" s="125" t="str">
        <f t="shared" si="11"/>
        <v/>
      </c>
      <c r="R33" s="126"/>
      <c r="S33" s="126"/>
      <c r="T33" s="127" t="str">
        <f t="shared" si="8"/>
        <v/>
      </c>
      <c r="U33" s="126"/>
      <c r="V33" s="126"/>
      <c r="W33" s="126"/>
      <c r="X33" s="128" t="str">
        <f t="shared" si="12"/>
        <v/>
      </c>
      <c r="Y33" s="129" t="str">
        <f t="shared" si="1"/>
        <v/>
      </c>
      <c r="Z33" s="130" t="str">
        <f t="shared" si="9"/>
        <v/>
      </c>
      <c r="AA33" s="129" t="str">
        <f t="shared" si="3"/>
        <v/>
      </c>
      <c r="AB33" s="130" t="str">
        <f t="shared" si="13"/>
        <v/>
      </c>
      <c r="AC33" s="131" t="str">
        <f t="shared" si="14"/>
        <v/>
      </c>
      <c r="AD33" s="132"/>
      <c r="AE33" s="133"/>
      <c r="AF33" s="134"/>
      <c r="AG33" s="135"/>
      <c r="AH33" s="135"/>
      <c r="AI33" s="133"/>
      <c r="AJ33" s="134"/>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18" customHeight="1" x14ac:dyDescent="0.3">
      <c r="A34" s="252">
        <v>3</v>
      </c>
      <c r="B34" s="242"/>
      <c r="C34" s="242"/>
      <c r="D34" s="242"/>
      <c r="E34" s="282"/>
      <c r="F34" s="242"/>
      <c r="G34" s="285"/>
      <c r="H34" s="288" t="str">
        <f>IF(G34&lt;=0,"",IF(G34&lt;=2,"Muy Baja",IF(G34&lt;=24,"Baja",IF(G34&lt;=500,"Media",IF(G34&lt;=5000,"Alta","Muy Alta")))))</f>
        <v/>
      </c>
      <c r="I34" s="274" t="str">
        <f>IF(H34="","",IF(H34="Muy Baja",0.2,IF(H34="Baja",0.4,IF(H34="Media",0.6,IF(H34="Alta",0.8,IF(H34="Muy Alta",1,))))))</f>
        <v/>
      </c>
      <c r="J34" s="291"/>
      <c r="K34" s="274">
        <f>IF(NOT(ISERROR(MATCH(J34,'Tabla Impacto'!$B$221:$B$223,0))),'Tabla Impacto'!$F$228&amp;"Por favor no seleccionar los criterios de impacto(Afectación Económica o presupuestal y Pérdida Reputacional)",J34)</f>
        <v>0</v>
      </c>
      <c r="L34" s="288" t="str">
        <f>IF(OR(K34='Tabla Impacto'!$C$11,K34='Tabla Impacto'!$D$11),"Leve",IF(OR(K34='Tabla Impacto'!$C$12,K34='Tabla Impacto'!$D$12),"Menor",IF(OR(K34='Tabla Impacto'!$C$13,K34='Tabla Impacto'!$D$13),"Moderado",IF(OR(K34='Tabla Impacto'!$C$14,K34='Tabla Impacto'!$D$14),"Mayor",IF(OR(K34='Tabla Impacto'!$C$15,K34='Tabla Impacto'!$D$15),"Catastrófico","")))))</f>
        <v/>
      </c>
      <c r="M34" s="274" t="str">
        <f>IF(L34="","",IF(L34="Leve",0.2,IF(L34="Menor",0.4,IF(L34="Moderado",0.6,IF(L34="Mayor",0.8,IF(L34="Catastrófico",1,))))))</f>
        <v/>
      </c>
      <c r="N34" s="277" t="str">
        <f>IF(OR(AND(H34="Muy Baja",L34="Leve"),AND(H34="Muy Baja",L34="Menor"),AND(H34="Baja",L34="Leve")),"Bajo",IF(OR(AND(H34="Muy baja",L34="Moderado"),AND(H34="Baja",L34="Menor"),AND(H34="Baja",L34="Moderado"),AND(H34="Media",L34="Leve"),AND(H34="Media",L34="Menor"),AND(H34="Media",L34="Moderado"),AND(H34="Alta",L34="Leve"),AND(H34="Alta",L34="Menor")),"Moderado",IF(OR(AND(H34="Muy Baja",L34="Mayor"),AND(H34="Baja",L34="Mayor"),AND(H34="Media",L34="Mayor"),AND(H34="Alta",L34="Moderado"),AND(H34="Alta",L34="Mayor"),AND(H34="Muy Alta",L34="Leve"),AND(H34="Muy Alta",L34="Menor"),AND(H34="Muy Alta",L34="Moderado"),AND(H34="Muy Alta",L34="Mayor")),"Alto",IF(OR(AND(H34="Muy Baja",L34="Catastrófico"),AND(H34="Baja",L34="Catastrófico"),AND(H34="Media",L34="Catastrófico"),AND(H34="Alta",L34="Catastrófico"),AND(H34="Muy Alta",L34="Catastrófico")),"Extremo",""))))</f>
        <v/>
      </c>
      <c r="O34" s="123">
        <v>1</v>
      </c>
      <c r="P34" s="124"/>
      <c r="Q34" s="125" t="str">
        <f>IF(OR(R34="Preventivo",R34="Detectivo"),"Probabilidad",IF(R34="Correctivo","Impacto",""))</f>
        <v/>
      </c>
      <c r="R34" s="126"/>
      <c r="S34" s="126"/>
      <c r="T34" s="127" t="str">
        <f>IF(AND(R34="Preventivo",S34="Automático"),"50%",IF(AND(R34="Preventivo",S34="Manual"),"40%",IF(AND(R34="Detectivo",S34="Automático"),"40%",IF(AND(R34="Detectivo",S34="Manual"),"30%",IF(AND(R34="Correctivo",S34="Automático"),"35%",IF(AND(R34="Correctivo",S34="Manual"),"25%",""))))))</f>
        <v/>
      </c>
      <c r="U34" s="126"/>
      <c r="V34" s="126"/>
      <c r="W34" s="126"/>
      <c r="X34" s="128" t="str">
        <f>IFERROR(IF(Q34="Probabilidad",(I34-(+I34*T34)),IF(Q34="Impacto",I34,"")),"")</f>
        <v/>
      </c>
      <c r="Y34" s="129" t="str">
        <f>IFERROR(IF(X34="","",IF(X34&lt;=0.2,"Muy Baja",IF(X34&lt;=0.4,"Baja",IF(X34&lt;=0.6,"Media",IF(X34&lt;=0.8,"Alta","Muy Alta"))))),"")</f>
        <v/>
      </c>
      <c r="Z34" s="130" t="str">
        <f>+X34</f>
        <v/>
      </c>
      <c r="AA34" s="129" t="str">
        <f>IFERROR(IF(AB34="","",IF(AB34&lt;=0.2,"Leve",IF(AB34&lt;=0.4,"Menor",IF(AB34&lt;=0.6,"Moderado",IF(AB34&lt;=0.8,"Mayor","Catastrófico"))))),"")</f>
        <v/>
      </c>
      <c r="AB34" s="130" t="str">
        <f>IFERROR(IF(Q34="Impacto",(M34-(+M34*T34)),IF(Q34="Probabilidad",M34,"")),"")</f>
        <v/>
      </c>
      <c r="AC34" s="131" t="str">
        <f>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32"/>
      <c r="AE34" s="133"/>
      <c r="AF34" s="134"/>
      <c r="AG34" s="135"/>
      <c r="AH34" s="135"/>
      <c r="AI34" s="133"/>
      <c r="AJ34" s="134"/>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18" customHeight="1" x14ac:dyDescent="0.3">
      <c r="A35" s="280"/>
      <c r="B35" s="281"/>
      <c r="C35" s="281"/>
      <c r="D35" s="281"/>
      <c r="E35" s="283"/>
      <c r="F35" s="281"/>
      <c r="G35" s="286"/>
      <c r="H35" s="289"/>
      <c r="I35" s="275"/>
      <c r="J35" s="292"/>
      <c r="K35" s="275">
        <f t="shared" ref="K35:K39" si="15">IF(NOT(ISERROR(MATCH(J35,_xlfn.ANCHORARRAY(E46),0))),I48&amp;"Por favor no seleccionar los criterios de impacto",J35)</f>
        <v>0</v>
      </c>
      <c r="L35" s="289"/>
      <c r="M35" s="275"/>
      <c r="N35" s="278"/>
      <c r="O35" s="123">
        <v>2</v>
      </c>
      <c r="P35" s="124"/>
      <c r="Q35" s="125" t="str">
        <f>IF(OR(R35="Preventivo",R35="Detectivo"),"Probabilidad",IF(R35="Correctivo","Impacto",""))</f>
        <v/>
      </c>
      <c r="R35" s="126"/>
      <c r="S35" s="126"/>
      <c r="T35" s="127" t="str">
        <f t="shared" ref="T35:T39" si="16">IF(AND(R35="Preventivo",S35="Automático"),"50%",IF(AND(R35="Preventivo",S35="Manual"),"40%",IF(AND(R35="Detectivo",S35="Automático"),"40%",IF(AND(R35="Detectivo",S35="Manual"),"30%",IF(AND(R35="Correctivo",S35="Automático"),"35%",IF(AND(R35="Correctivo",S35="Manual"),"25%",""))))))</f>
        <v/>
      </c>
      <c r="U35" s="126"/>
      <c r="V35" s="126"/>
      <c r="W35" s="126"/>
      <c r="X35" s="137" t="str">
        <f>IFERROR(IF(AND(Q34="Probabilidad",Q35="Probabilidad"),(Z34-(+Z34*T35)),IF(Q35="Probabilidad",(I34-(+I34*T35)),IF(Q35="Impacto",Z34,""))),"")</f>
        <v/>
      </c>
      <c r="Y35" s="129" t="str">
        <f t="shared" si="1"/>
        <v/>
      </c>
      <c r="Z35" s="130" t="str">
        <f t="shared" ref="Z35:Z39" si="17">+X35</f>
        <v/>
      </c>
      <c r="AA35" s="129" t="str">
        <f t="shared" si="3"/>
        <v/>
      </c>
      <c r="AB35" s="130" t="str">
        <f>IFERROR(IF(AND(Q34="Impacto",Q35="Impacto"),(AB34-(+AB34*T35)),IF(Q35="Impacto",(M34-(+M34*T35)),IF(Q35="Probabilidad",AB34,""))),"")</f>
        <v/>
      </c>
      <c r="AC35" s="131" t="str">
        <f t="shared" ref="AC35:AC36" si="18">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32"/>
      <c r="AE35" s="133"/>
      <c r="AF35" s="134"/>
      <c r="AG35" s="135"/>
      <c r="AH35" s="135"/>
      <c r="AI35" s="133"/>
      <c r="AJ35" s="134"/>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18" customHeight="1" x14ac:dyDescent="0.3">
      <c r="A36" s="280"/>
      <c r="B36" s="281"/>
      <c r="C36" s="281"/>
      <c r="D36" s="281"/>
      <c r="E36" s="283"/>
      <c r="F36" s="281"/>
      <c r="G36" s="286"/>
      <c r="H36" s="289"/>
      <c r="I36" s="275"/>
      <c r="J36" s="292"/>
      <c r="K36" s="275">
        <f t="shared" si="15"/>
        <v>0</v>
      </c>
      <c r="L36" s="289"/>
      <c r="M36" s="275"/>
      <c r="N36" s="278"/>
      <c r="O36" s="123">
        <v>3</v>
      </c>
      <c r="P36" s="136"/>
      <c r="Q36" s="125" t="str">
        <f>IF(OR(R36="Preventivo",R36="Detectivo"),"Probabilidad",IF(R36="Correctivo","Impacto",""))</f>
        <v/>
      </c>
      <c r="R36" s="126"/>
      <c r="S36" s="126"/>
      <c r="T36" s="127" t="str">
        <f t="shared" si="16"/>
        <v/>
      </c>
      <c r="U36" s="126"/>
      <c r="V36" s="126"/>
      <c r="W36" s="126"/>
      <c r="X36" s="128" t="str">
        <f>IFERROR(IF(AND(Q35="Probabilidad",Q36="Probabilidad"),(Z35-(+Z35*T36)),IF(AND(Q35="Impacto",Q36="Probabilidad"),(Z34-(+Z34*T36)),IF(Q36="Impacto",Z35,""))),"")</f>
        <v/>
      </c>
      <c r="Y36" s="129" t="str">
        <f t="shared" si="1"/>
        <v/>
      </c>
      <c r="Z36" s="130" t="str">
        <f t="shared" si="17"/>
        <v/>
      </c>
      <c r="AA36" s="129" t="str">
        <f t="shared" si="3"/>
        <v/>
      </c>
      <c r="AB36" s="130" t="str">
        <f>IFERROR(IF(AND(Q35="Impacto",Q36="Impacto"),(AB35-(+AB35*T36)),IF(AND(Q35="Probabilidad",Q36="Impacto"),(AB34-(+AB34*T36)),IF(Q36="Probabilidad",AB35,""))),"")</f>
        <v/>
      </c>
      <c r="AC36" s="131" t="str">
        <f t="shared" si="18"/>
        <v/>
      </c>
      <c r="AD36" s="132"/>
      <c r="AE36" s="133"/>
      <c r="AF36" s="134"/>
      <c r="AG36" s="135"/>
      <c r="AH36" s="135"/>
      <c r="AI36" s="133"/>
      <c r="AJ36" s="134"/>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68" ht="18" customHeight="1" x14ac:dyDescent="0.3">
      <c r="A37" s="280"/>
      <c r="B37" s="281"/>
      <c r="C37" s="281"/>
      <c r="D37" s="281"/>
      <c r="E37" s="283"/>
      <c r="F37" s="281"/>
      <c r="G37" s="286"/>
      <c r="H37" s="289"/>
      <c r="I37" s="275"/>
      <c r="J37" s="292"/>
      <c r="K37" s="275">
        <f t="shared" si="15"/>
        <v>0</v>
      </c>
      <c r="L37" s="289"/>
      <c r="M37" s="275"/>
      <c r="N37" s="278"/>
      <c r="O37" s="123">
        <v>4</v>
      </c>
      <c r="P37" s="124"/>
      <c r="Q37" s="125" t="str">
        <f t="shared" ref="Q37:Q39" si="19">IF(OR(R37="Preventivo",R37="Detectivo"),"Probabilidad",IF(R37="Correctivo","Impacto",""))</f>
        <v/>
      </c>
      <c r="R37" s="126"/>
      <c r="S37" s="126"/>
      <c r="T37" s="127" t="str">
        <f t="shared" si="16"/>
        <v/>
      </c>
      <c r="U37" s="126"/>
      <c r="V37" s="126"/>
      <c r="W37" s="126"/>
      <c r="X37" s="128" t="str">
        <f t="shared" ref="X37:X39" si="20">IFERROR(IF(AND(Q36="Probabilidad",Q37="Probabilidad"),(Z36-(+Z36*T37)),IF(AND(Q36="Impacto",Q37="Probabilidad"),(Z35-(+Z35*T37)),IF(Q37="Impacto",Z36,""))),"")</f>
        <v/>
      </c>
      <c r="Y37" s="129" t="str">
        <f t="shared" si="1"/>
        <v/>
      </c>
      <c r="Z37" s="130" t="str">
        <f t="shared" si="17"/>
        <v/>
      </c>
      <c r="AA37" s="129" t="str">
        <f t="shared" si="3"/>
        <v/>
      </c>
      <c r="AB37" s="130" t="str">
        <f t="shared" ref="AB37:AB39" si="21">IFERROR(IF(AND(Q36="Impacto",Q37="Impacto"),(AB36-(+AB36*T37)),IF(AND(Q36="Probabilidad",Q37="Impacto"),(AB35-(+AB35*T37)),IF(Q37="Probabilidad",AB36,""))),"")</f>
        <v/>
      </c>
      <c r="AC37" s="131"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32"/>
      <c r="AE37" s="133"/>
      <c r="AF37" s="134"/>
      <c r="AG37" s="135"/>
      <c r="AH37" s="135"/>
      <c r="AI37" s="133"/>
      <c r="AJ37" s="134"/>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68" ht="18" customHeight="1" x14ac:dyDescent="0.3">
      <c r="A38" s="280"/>
      <c r="B38" s="281"/>
      <c r="C38" s="281"/>
      <c r="D38" s="281"/>
      <c r="E38" s="283"/>
      <c r="F38" s="281"/>
      <c r="G38" s="286"/>
      <c r="H38" s="289"/>
      <c r="I38" s="275"/>
      <c r="J38" s="292"/>
      <c r="K38" s="275">
        <f t="shared" si="15"/>
        <v>0</v>
      </c>
      <c r="L38" s="289"/>
      <c r="M38" s="275"/>
      <c r="N38" s="278"/>
      <c r="O38" s="123">
        <v>5</v>
      </c>
      <c r="P38" s="124"/>
      <c r="Q38" s="125" t="str">
        <f t="shared" si="19"/>
        <v/>
      </c>
      <c r="R38" s="126"/>
      <c r="S38" s="126"/>
      <c r="T38" s="127" t="str">
        <f t="shared" si="16"/>
        <v/>
      </c>
      <c r="U38" s="126"/>
      <c r="V38" s="126"/>
      <c r="W38" s="126"/>
      <c r="X38" s="128" t="str">
        <f t="shared" si="20"/>
        <v/>
      </c>
      <c r="Y38" s="129" t="str">
        <f t="shared" si="1"/>
        <v/>
      </c>
      <c r="Z38" s="130" t="str">
        <f t="shared" si="17"/>
        <v/>
      </c>
      <c r="AA38" s="129" t="str">
        <f t="shared" si="3"/>
        <v/>
      </c>
      <c r="AB38" s="130" t="str">
        <f t="shared" si="21"/>
        <v/>
      </c>
      <c r="AC38" s="131" t="str">
        <f t="shared" ref="AC38:AC39" si="22">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132"/>
      <c r="AE38" s="133"/>
      <c r="AF38" s="134"/>
      <c r="AG38" s="135"/>
      <c r="AH38" s="135"/>
      <c r="AI38" s="133"/>
      <c r="AJ38" s="134"/>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ht="18" customHeight="1" x14ac:dyDescent="0.3">
      <c r="A39" s="253"/>
      <c r="B39" s="243"/>
      <c r="C39" s="243"/>
      <c r="D39" s="243"/>
      <c r="E39" s="284"/>
      <c r="F39" s="243"/>
      <c r="G39" s="287"/>
      <c r="H39" s="290"/>
      <c r="I39" s="276"/>
      <c r="J39" s="293"/>
      <c r="K39" s="276">
        <f t="shared" si="15"/>
        <v>0</v>
      </c>
      <c r="L39" s="290"/>
      <c r="M39" s="276"/>
      <c r="N39" s="279"/>
      <c r="O39" s="123">
        <v>6</v>
      </c>
      <c r="P39" s="124"/>
      <c r="Q39" s="125" t="str">
        <f t="shared" si="19"/>
        <v/>
      </c>
      <c r="R39" s="126"/>
      <c r="S39" s="126"/>
      <c r="T39" s="127" t="str">
        <f t="shared" si="16"/>
        <v/>
      </c>
      <c r="U39" s="126"/>
      <c r="V39" s="126"/>
      <c r="W39" s="126"/>
      <c r="X39" s="128" t="str">
        <f t="shared" si="20"/>
        <v/>
      </c>
      <c r="Y39" s="129" t="str">
        <f t="shared" si="1"/>
        <v/>
      </c>
      <c r="Z39" s="130" t="str">
        <f t="shared" si="17"/>
        <v/>
      </c>
      <c r="AA39" s="129" t="str">
        <f t="shared" si="3"/>
        <v/>
      </c>
      <c r="AB39" s="130" t="str">
        <f t="shared" si="21"/>
        <v/>
      </c>
      <c r="AC39" s="131" t="str">
        <f t="shared" si="22"/>
        <v/>
      </c>
      <c r="AD39" s="132"/>
      <c r="AE39" s="133"/>
      <c r="AF39" s="134"/>
      <c r="AG39" s="135"/>
      <c r="AH39" s="135"/>
      <c r="AI39" s="133"/>
      <c r="AJ39" s="134"/>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ht="18" customHeight="1" x14ac:dyDescent="0.3">
      <c r="A40" s="252">
        <v>4</v>
      </c>
      <c r="B40" s="242"/>
      <c r="C40" s="242"/>
      <c r="D40" s="242"/>
      <c r="E40" s="282"/>
      <c r="F40" s="242"/>
      <c r="G40" s="285"/>
      <c r="H40" s="288" t="str">
        <f>IF(G40&lt;=0,"",IF(G40&lt;=2,"Muy Baja",IF(G40&lt;=24,"Baja",IF(G40&lt;=500,"Media",IF(G40&lt;=5000,"Alta","Muy Alta")))))</f>
        <v/>
      </c>
      <c r="I40" s="274" t="str">
        <f>IF(H40="","",IF(H40="Muy Baja",0.2,IF(H40="Baja",0.4,IF(H40="Media",0.6,IF(H40="Alta",0.8,IF(H40="Muy Alta",1,))))))</f>
        <v/>
      </c>
      <c r="J40" s="291"/>
      <c r="K40" s="274">
        <f>IF(NOT(ISERROR(MATCH(J40,'Tabla Impacto'!$B$221:$B$223,0))),'Tabla Impacto'!$F$228&amp;"Por favor no seleccionar los criterios de impacto(Afectación Económica o presupuestal y Pérdida Reputacional)",J40)</f>
        <v>0</v>
      </c>
      <c r="L40" s="288" t="str">
        <f>IF(OR(K40='Tabla Impacto'!$C$11,K40='Tabla Impacto'!$D$11),"Leve",IF(OR(K40='Tabla Impacto'!$C$12,K40='Tabla Impacto'!$D$12),"Menor",IF(OR(K40='Tabla Impacto'!$C$13,K40='Tabla Impacto'!$D$13),"Moderado",IF(OR(K40='Tabla Impacto'!$C$14,K40='Tabla Impacto'!$D$14),"Mayor",IF(OR(K40='Tabla Impacto'!$C$15,K40='Tabla Impacto'!$D$15),"Catastrófico","")))))</f>
        <v/>
      </c>
      <c r="M40" s="274" t="str">
        <f>IF(L40="","",IF(L40="Leve",0.2,IF(L40="Menor",0.4,IF(L40="Moderado",0.6,IF(L40="Mayor",0.8,IF(L40="Catastrófico",1,))))))</f>
        <v/>
      </c>
      <c r="N40" s="277" t="str">
        <f>IF(OR(AND(H40="Muy Baja",L40="Leve"),AND(H40="Muy Baja",L40="Menor"),AND(H40="Baja",L40="Leve")),"Bajo",IF(OR(AND(H40="Muy baja",L40="Moderado"),AND(H40="Baja",L40="Menor"),AND(H40="Baja",L40="Moderado"),AND(H40="Media",L40="Leve"),AND(H40="Media",L40="Menor"),AND(H40="Media",L40="Moderado"),AND(H40="Alta",L40="Leve"),AND(H40="Alta",L40="Menor")),"Moderado",IF(OR(AND(H40="Muy Baja",L40="Mayor"),AND(H40="Baja",L40="Mayor"),AND(H40="Media",L40="Mayor"),AND(H40="Alta",L40="Moderado"),AND(H40="Alta",L40="Mayor"),AND(H40="Muy Alta",L40="Leve"),AND(H40="Muy Alta",L40="Menor"),AND(H40="Muy Alta",L40="Moderado"),AND(H40="Muy Alta",L40="Mayor")),"Alto",IF(OR(AND(H40="Muy Baja",L40="Catastrófico"),AND(H40="Baja",L40="Catastrófico"),AND(H40="Media",L40="Catastrófico"),AND(H40="Alta",L40="Catastrófico"),AND(H40="Muy Alta",L40="Catastrófico")),"Extremo",""))))</f>
        <v/>
      </c>
      <c r="O40" s="123">
        <v>1</v>
      </c>
      <c r="P40" s="124"/>
      <c r="Q40" s="125" t="str">
        <f>IF(OR(R40="Preventivo",R40="Detectivo"),"Probabilidad",IF(R40="Correctivo","Impacto",""))</f>
        <v/>
      </c>
      <c r="R40" s="126"/>
      <c r="S40" s="126"/>
      <c r="T40" s="127" t="str">
        <f>IF(AND(R40="Preventivo",S40="Automático"),"50%",IF(AND(R40="Preventivo",S40="Manual"),"40%",IF(AND(R40="Detectivo",S40="Automático"),"40%",IF(AND(R40="Detectivo",S40="Manual"),"30%",IF(AND(R40="Correctivo",S40="Automático"),"35%",IF(AND(R40="Correctivo",S40="Manual"),"25%",""))))))</f>
        <v/>
      </c>
      <c r="U40" s="126"/>
      <c r="V40" s="126"/>
      <c r="W40" s="126"/>
      <c r="X40" s="128" t="str">
        <f>IFERROR(IF(Q40="Probabilidad",(I40-(+I40*T40)),IF(Q40="Impacto",I40,"")),"")</f>
        <v/>
      </c>
      <c r="Y40" s="129" t="str">
        <f>IFERROR(IF(X40="","",IF(X40&lt;=0.2,"Muy Baja",IF(X40&lt;=0.4,"Baja",IF(X40&lt;=0.6,"Media",IF(X40&lt;=0.8,"Alta","Muy Alta"))))),"")</f>
        <v/>
      </c>
      <c r="Z40" s="130" t="str">
        <f>+X40</f>
        <v/>
      </c>
      <c r="AA40" s="129" t="str">
        <f>IFERROR(IF(AB40="","",IF(AB40&lt;=0.2,"Leve",IF(AB40&lt;=0.4,"Menor",IF(AB40&lt;=0.6,"Moderado",IF(AB40&lt;=0.8,"Mayor","Catastrófico"))))),"")</f>
        <v/>
      </c>
      <c r="AB40" s="130" t="str">
        <f>IFERROR(IF(Q40="Impacto",(M40-(+M40*T40)),IF(Q40="Probabilidad",M40,"")),"")</f>
        <v/>
      </c>
      <c r="AC40" s="131" t="str">
        <f>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32"/>
      <c r="AE40" s="133"/>
      <c r="AF40" s="134"/>
      <c r="AG40" s="135"/>
      <c r="AH40" s="135"/>
      <c r="AI40" s="133"/>
      <c r="AJ40" s="134"/>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1:68" ht="18" customHeight="1" x14ac:dyDescent="0.3">
      <c r="A41" s="280"/>
      <c r="B41" s="281"/>
      <c r="C41" s="281"/>
      <c r="D41" s="281"/>
      <c r="E41" s="283"/>
      <c r="F41" s="281"/>
      <c r="G41" s="286"/>
      <c r="H41" s="289"/>
      <c r="I41" s="275"/>
      <c r="J41" s="292"/>
      <c r="K41" s="275">
        <f t="shared" ref="K41:K45" si="23">IF(NOT(ISERROR(MATCH(J41,_xlfn.ANCHORARRAY(E52),0))),I54&amp;"Por favor no seleccionar los criterios de impacto",J41)</f>
        <v>0</v>
      </c>
      <c r="L41" s="289"/>
      <c r="M41" s="275"/>
      <c r="N41" s="278"/>
      <c r="O41" s="123">
        <v>2</v>
      </c>
      <c r="P41" s="124"/>
      <c r="Q41" s="125" t="str">
        <f>IF(OR(R41="Preventivo",R41="Detectivo"),"Probabilidad",IF(R41="Correctivo","Impacto",""))</f>
        <v/>
      </c>
      <c r="R41" s="126"/>
      <c r="S41" s="126"/>
      <c r="T41" s="127" t="str">
        <f t="shared" ref="T41:T45" si="24">IF(AND(R41="Preventivo",S41="Automático"),"50%",IF(AND(R41="Preventivo",S41="Manual"),"40%",IF(AND(R41="Detectivo",S41="Automático"),"40%",IF(AND(R41="Detectivo",S41="Manual"),"30%",IF(AND(R41="Correctivo",S41="Automático"),"35%",IF(AND(R41="Correctivo",S41="Manual"),"25%",""))))))</f>
        <v/>
      </c>
      <c r="U41" s="126"/>
      <c r="V41" s="126"/>
      <c r="W41" s="126"/>
      <c r="X41" s="128" t="str">
        <f>IFERROR(IF(AND(Q40="Probabilidad",Q41="Probabilidad"),(Z40-(+Z40*T41)),IF(Q41="Probabilidad",(I40-(+I40*T41)),IF(Q41="Impacto",Z40,""))),"")</f>
        <v/>
      </c>
      <c r="Y41" s="129" t="str">
        <f t="shared" si="1"/>
        <v/>
      </c>
      <c r="Z41" s="130" t="str">
        <f t="shared" ref="Z41:Z45" si="25">+X41</f>
        <v/>
      </c>
      <c r="AA41" s="129" t="str">
        <f t="shared" si="3"/>
        <v/>
      </c>
      <c r="AB41" s="130" t="str">
        <f>IFERROR(IF(AND(Q40="Impacto",Q41="Impacto"),(AB40-(+AB40*T41)),IF(Q41="Impacto",(M40-(+M40*T41)),IF(Q41="Probabilidad",AB40,""))),"")</f>
        <v/>
      </c>
      <c r="AC41" s="131" t="str">
        <f t="shared" ref="AC41:AC42" si="26">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32"/>
      <c r="AE41" s="133"/>
      <c r="AF41" s="134"/>
      <c r="AG41" s="135"/>
      <c r="AH41" s="135"/>
      <c r="AI41" s="133"/>
      <c r="AJ41" s="134"/>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68" ht="18" customHeight="1" x14ac:dyDescent="0.3">
      <c r="A42" s="280"/>
      <c r="B42" s="281"/>
      <c r="C42" s="281"/>
      <c r="D42" s="281"/>
      <c r="E42" s="283"/>
      <c r="F42" s="281"/>
      <c r="G42" s="286"/>
      <c r="H42" s="289"/>
      <c r="I42" s="275"/>
      <c r="J42" s="292"/>
      <c r="K42" s="275">
        <f t="shared" si="23"/>
        <v>0</v>
      </c>
      <c r="L42" s="289"/>
      <c r="M42" s="275"/>
      <c r="N42" s="278"/>
      <c r="O42" s="123">
        <v>3</v>
      </c>
      <c r="P42" s="136"/>
      <c r="Q42" s="125" t="str">
        <f>IF(OR(R42="Preventivo",R42="Detectivo"),"Probabilidad",IF(R42="Correctivo","Impacto",""))</f>
        <v/>
      </c>
      <c r="R42" s="126"/>
      <c r="S42" s="126"/>
      <c r="T42" s="127" t="str">
        <f t="shared" si="24"/>
        <v/>
      </c>
      <c r="U42" s="126"/>
      <c r="V42" s="126"/>
      <c r="W42" s="126"/>
      <c r="X42" s="128" t="str">
        <f>IFERROR(IF(AND(Q41="Probabilidad",Q42="Probabilidad"),(Z41-(+Z41*T42)),IF(AND(Q41="Impacto",Q42="Probabilidad"),(Z40-(+Z40*T42)),IF(Q42="Impacto",Z41,""))),"")</f>
        <v/>
      </c>
      <c r="Y42" s="129" t="str">
        <f t="shared" si="1"/>
        <v/>
      </c>
      <c r="Z42" s="130" t="str">
        <f t="shared" si="25"/>
        <v/>
      </c>
      <c r="AA42" s="129" t="str">
        <f t="shared" si="3"/>
        <v/>
      </c>
      <c r="AB42" s="130" t="str">
        <f>IFERROR(IF(AND(Q41="Impacto",Q42="Impacto"),(AB41-(+AB41*T42)),IF(AND(Q41="Probabilidad",Q42="Impacto"),(AB40-(+AB40*T42)),IF(Q42="Probabilidad",AB41,""))),"")</f>
        <v/>
      </c>
      <c r="AC42" s="131" t="str">
        <f t="shared" si="26"/>
        <v/>
      </c>
      <c r="AD42" s="132"/>
      <c r="AE42" s="133"/>
      <c r="AF42" s="134"/>
      <c r="AG42" s="135"/>
      <c r="AH42" s="135"/>
      <c r="AI42" s="133"/>
      <c r="AJ42" s="134"/>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1:68" ht="18" customHeight="1" x14ac:dyDescent="0.3">
      <c r="A43" s="280"/>
      <c r="B43" s="281"/>
      <c r="C43" s="281"/>
      <c r="D43" s="281"/>
      <c r="E43" s="283"/>
      <c r="F43" s="281"/>
      <c r="G43" s="286"/>
      <c r="H43" s="289"/>
      <c r="I43" s="275"/>
      <c r="J43" s="292"/>
      <c r="K43" s="275">
        <f t="shared" si="23"/>
        <v>0</v>
      </c>
      <c r="L43" s="289"/>
      <c r="M43" s="275"/>
      <c r="N43" s="278"/>
      <c r="O43" s="123">
        <v>4</v>
      </c>
      <c r="P43" s="124"/>
      <c r="Q43" s="125" t="str">
        <f t="shared" ref="Q43:Q45" si="27">IF(OR(R43="Preventivo",R43="Detectivo"),"Probabilidad",IF(R43="Correctivo","Impacto",""))</f>
        <v/>
      </c>
      <c r="R43" s="126"/>
      <c r="S43" s="126"/>
      <c r="T43" s="127" t="str">
        <f t="shared" si="24"/>
        <v/>
      </c>
      <c r="U43" s="126"/>
      <c r="V43" s="126"/>
      <c r="W43" s="126"/>
      <c r="X43" s="128" t="str">
        <f t="shared" ref="X43:X45" si="28">IFERROR(IF(AND(Q42="Probabilidad",Q43="Probabilidad"),(Z42-(+Z42*T43)),IF(AND(Q42="Impacto",Q43="Probabilidad"),(Z41-(+Z41*T43)),IF(Q43="Impacto",Z42,""))),"")</f>
        <v/>
      </c>
      <c r="Y43" s="129" t="str">
        <f t="shared" si="1"/>
        <v/>
      </c>
      <c r="Z43" s="130" t="str">
        <f t="shared" si="25"/>
        <v/>
      </c>
      <c r="AA43" s="129" t="str">
        <f t="shared" si="3"/>
        <v/>
      </c>
      <c r="AB43" s="130" t="str">
        <f t="shared" ref="AB43:AB45" si="29">IFERROR(IF(AND(Q42="Impacto",Q43="Impacto"),(AB42-(+AB42*T43)),IF(AND(Q42="Probabilidad",Q43="Impacto"),(AB41-(+AB41*T43)),IF(Q43="Probabilidad",AB42,""))),"")</f>
        <v/>
      </c>
      <c r="AC43" s="131"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32"/>
      <c r="AE43" s="133"/>
      <c r="AF43" s="134"/>
      <c r="AG43" s="135"/>
      <c r="AH43" s="135"/>
      <c r="AI43" s="133"/>
      <c r="AJ43" s="134"/>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row>
    <row r="44" spans="1:68" ht="18" customHeight="1" x14ac:dyDescent="0.3">
      <c r="A44" s="280"/>
      <c r="B44" s="281"/>
      <c r="C44" s="281"/>
      <c r="D44" s="281"/>
      <c r="E44" s="283"/>
      <c r="F44" s="281"/>
      <c r="G44" s="286"/>
      <c r="H44" s="289"/>
      <c r="I44" s="275"/>
      <c r="J44" s="292"/>
      <c r="K44" s="275">
        <f t="shared" si="23"/>
        <v>0</v>
      </c>
      <c r="L44" s="289"/>
      <c r="M44" s="275"/>
      <c r="N44" s="278"/>
      <c r="O44" s="123">
        <v>5</v>
      </c>
      <c r="P44" s="124"/>
      <c r="Q44" s="125" t="str">
        <f t="shared" si="27"/>
        <v/>
      </c>
      <c r="R44" s="126"/>
      <c r="S44" s="126"/>
      <c r="T44" s="127" t="str">
        <f t="shared" si="24"/>
        <v/>
      </c>
      <c r="U44" s="126"/>
      <c r="V44" s="126"/>
      <c r="W44" s="126"/>
      <c r="X44" s="137" t="str">
        <f t="shared" si="28"/>
        <v/>
      </c>
      <c r="Y44" s="129" t="str">
        <f>IFERROR(IF(X44="","",IF(X44&lt;=0.2,"Muy Baja",IF(X44&lt;=0.4,"Baja",IF(X44&lt;=0.6,"Media",IF(X44&lt;=0.8,"Alta","Muy Alta"))))),"")</f>
        <v/>
      </c>
      <c r="Z44" s="130" t="str">
        <f t="shared" si="25"/>
        <v/>
      </c>
      <c r="AA44" s="129" t="str">
        <f t="shared" si="3"/>
        <v/>
      </c>
      <c r="AB44" s="130" t="str">
        <f t="shared" si="29"/>
        <v/>
      </c>
      <c r="AC44" s="131" t="str">
        <f t="shared" ref="AC44:AC45" si="30">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32"/>
      <c r="AE44" s="133"/>
      <c r="AF44" s="134"/>
      <c r="AG44" s="135"/>
      <c r="AH44" s="135"/>
      <c r="AI44" s="133"/>
      <c r="AJ44" s="134"/>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1:68" ht="18" customHeight="1" x14ac:dyDescent="0.3">
      <c r="A45" s="253"/>
      <c r="B45" s="243"/>
      <c r="C45" s="243"/>
      <c r="D45" s="243"/>
      <c r="E45" s="284"/>
      <c r="F45" s="243"/>
      <c r="G45" s="287"/>
      <c r="H45" s="290"/>
      <c r="I45" s="276"/>
      <c r="J45" s="293"/>
      <c r="K45" s="276">
        <f t="shared" si="23"/>
        <v>0</v>
      </c>
      <c r="L45" s="290"/>
      <c r="M45" s="276"/>
      <c r="N45" s="279"/>
      <c r="O45" s="123">
        <v>6</v>
      </c>
      <c r="P45" s="124"/>
      <c r="Q45" s="125" t="str">
        <f t="shared" si="27"/>
        <v/>
      </c>
      <c r="R45" s="126"/>
      <c r="S45" s="126"/>
      <c r="T45" s="127" t="str">
        <f t="shared" si="24"/>
        <v/>
      </c>
      <c r="U45" s="126"/>
      <c r="V45" s="126"/>
      <c r="W45" s="126"/>
      <c r="X45" s="128" t="str">
        <f t="shared" si="28"/>
        <v/>
      </c>
      <c r="Y45" s="129" t="str">
        <f t="shared" si="1"/>
        <v/>
      </c>
      <c r="Z45" s="130" t="str">
        <f t="shared" si="25"/>
        <v/>
      </c>
      <c r="AA45" s="129" t="str">
        <f t="shared" si="3"/>
        <v/>
      </c>
      <c r="AB45" s="130" t="str">
        <f t="shared" si="29"/>
        <v/>
      </c>
      <c r="AC45" s="131" t="str">
        <f t="shared" si="30"/>
        <v/>
      </c>
      <c r="AD45" s="132"/>
      <c r="AE45" s="133"/>
      <c r="AF45" s="134"/>
      <c r="AG45" s="135"/>
      <c r="AH45" s="135"/>
      <c r="AI45" s="133"/>
      <c r="AJ45" s="134"/>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1:68" ht="18" customHeight="1" x14ac:dyDescent="0.3">
      <c r="A46" s="252">
        <v>5</v>
      </c>
      <c r="B46" s="242"/>
      <c r="C46" s="242"/>
      <c r="D46" s="242"/>
      <c r="E46" s="282"/>
      <c r="F46" s="242"/>
      <c r="G46" s="285"/>
      <c r="H46" s="288" t="str">
        <f>IF(G46&lt;=0,"",IF(G46&lt;=2,"Muy Baja",IF(G46&lt;=24,"Baja",IF(G46&lt;=500,"Media",IF(G46&lt;=5000,"Alta","Muy Alta")))))</f>
        <v/>
      </c>
      <c r="I46" s="274" t="str">
        <f>IF(H46="","",IF(H46="Muy Baja",0.2,IF(H46="Baja",0.4,IF(H46="Media",0.6,IF(H46="Alta",0.8,IF(H46="Muy Alta",1,))))))</f>
        <v/>
      </c>
      <c r="J46" s="291"/>
      <c r="K46" s="274">
        <f>IF(NOT(ISERROR(MATCH(J46,'Tabla Impacto'!$B$221:$B$223,0))),'Tabla Impacto'!$F$228&amp;"Por favor no seleccionar los criterios de impacto(Afectación Económica o presupuestal y Pérdida Reputacional)",J46)</f>
        <v>0</v>
      </c>
      <c r="L46" s="288" t="str">
        <f>IF(OR(K46='Tabla Impacto'!$C$11,K46='Tabla Impacto'!$D$11),"Leve",IF(OR(K46='Tabla Impacto'!$C$12,K46='Tabla Impacto'!$D$12),"Menor",IF(OR(K46='Tabla Impacto'!$C$13,K46='Tabla Impacto'!$D$13),"Moderado",IF(OR(K46='Tabla Impacto'!$C$14,K46='Tabla Impacto'!$D$14),"Mayor",IF(OR(K46='Tabla Impacto'!$C$15,K46='Tabla Impacto'!$D$15),"Catastrófico","")))))</f>
        <v/>
      </c>
      <c r="M46" s="274" t="str">
        <f>IF(L46="","",IF(L46="Leve",0.2,IF(L46="Menor",0.4,IF(L46="Moderado",0.6,IF(L46="Mayor",0.8,IF(L46="Catastrófico",1,))))))</f>
        <v/>
      </c>
      <c r="N46" s="277" t="str">
        <f>IF(OR(AND(H46="Muy Baja",L46="Leve"),AND(H46="Muy Baja",L46="Menor"),AND(H46="Baja",L46="Leve")),"Bajo",IF(OR(AND(H46="Muy baja",L46="Moderado"),AND(H46="Baja",L46="Menor"),AND(H46="Baja",L46="Moderado"),AND(H46="Media",L46="Leve"),AND(H46="Media",L46="Menor"),AND(H46="Media",L46="Moderado"),AND(H46="Alta",L46="Leve"),AND(H46="Alta",L46="Menor")),"Moderado",IF(OR(AND(H46="Muy Baja",L46="Mayor"),AND(H46="Baja",L46="Mayor"),AND(H46="Media",L46="Mayor"),AND(H46="Alta",L46="Moderado"),AND(H46="Alta",L46="Mayor"),AND(H46="Muy Alta",L46="Leve"),AND(H46="Muy Alta",L46="Menor"),AND(H46="Muy Alta",L46="Moderado"),AND(H46="Muy Alta",L46="Mayor")),"Alto",IF(OR(AND(H46="Muy Baja",L46="Catastrófico"),AND(H46="Baja",L46="Catastrófico"),AND(H46="Media",L46="Catastrófico"),AND(H46="Alta",L46="Catastrófico"),AND(H46="Muy Alta",L46="Catastrófico")),"Extremo",""))))</f>
        <v/>
      </c>
      <c r="O46" s="123">
        <v>1</v>
      </c>
      <c r="P46" s="124"/>
      <c r="Q46" s="125" t="str">
        <f>IF(OR(R46="Preventivo",R46="Detectivo"),"Probabilidad",IF(R46="Correctivo","Impacto",""))</f>
        <v/>
      </c>
      <c r="R46" s="126"/>
      <c r="S46" s="126"/>
      <c r="T46" s="127" t="str">
        <f>IF(AND(R46="Preventivo",S46="Automático"),"50%",IF(AND(R46="Preventivo",S46="Manual"),"40%",IF(AND(R46="Detectivo",S46="Automático"),"40%",IF(AND(R46="Detectivo",S46="Manual"),"30%",IF(AND(R46="Correctivo",S46="Automático"),"35%",IF(AND(R46="Correctivo",S46="Manual"),"25%",""))))))</f>
        <v/>
      </c>
      <c r="U46" s="126"/>
      <c r="V46" s="126"/>
      <c r="W46" s="126"/>
      <c r="X46" s="128" t="str">
        <f>IFERROR(IF(Q46="Probabilidad",(I46-(+I46*T46)),IF(Q46="Impacto",I46,"")),"")</f>
        <v/>
      </c>
      <c r="Y46" s="129" t="str">
        <f>IFERROR(IF(X46="","",IF(X46&lt;=0.2,"Muy Baja",IF(X46&lt;=0.4,"Baja",IF(X46&lt;=0.6,"Media",IF(X46&lt;=0.8,"Alta","Muy Alta"))))),"")</f>
        <v/>
      </c>
      <c r="Z46" s="130" t="str">
        <f>+X46</f>
        <v/>
      </c>
      <c r="AA46" s="129" t="str">
        <f>IFERROR(IF(AB46="","",IF(AB46&lt;=0.2,"Leve",IF(AB46&lt;=0.4,"Menor",IF(AB46&lt;=0.6,"Moderado",IF(AB46&lt;=0.8,"Mayor","Catastrófico"))))),"")</f>
        <v/>
      </c>
      <c r="AB46" s="130" t="str">
        <f>IFERROR(IF(Q46="Impacto",(M46-(+M46*T46)),IF(Q46="Probabilidad",M46,"")),"")</f>
        <v/>
      </c>
      <c r="AC46" s="131"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32"/>
      <c r="AE46" s="133"/>
      <c r="AF46" s="134"/>
      <c r="AG46" s="135"/>
      <c r="AH46" s="135"/>
      <c r="AI46" s="133"/>
      <c r="AJ46" s="134"/>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row>
    <row r="47" spans="1:68" ht="18" customHeight="1" x14ac:dyDescent="0.3">
      <c r="A47" s="280"/>
      <c r="B47" s="281"/>
      <c r="C47" s="281"/>
      <c r="D47" s="281"/>
      <c r="E47" s="283"/>
      <c r="F47" s="281"/>
      <c r="G47" s="286"/>
      <c r="H47" s="289"/>
      <c r="I47" s="275"/>
      <c r="J47" s="292"/>
      <c r="K47" s="275">
        <f>IF(NOT(ISERROR(MATCH(J47,_xlfn.ANCHORARRAY(E58),0))),#REF!&amp;"Por favor no seleccionar los criterios de impacto",J47)</f>
        <v>0</v>
      </c>
      <c r="L47" s="289"/>
      <c r="M47" s="275"/>
      <c r="N47" s="278"/>
      <c r="O47" s="123">
        <v>2</v>
      </c>
      <c r="P47" s="124"/>
      <c r="Q47" s="125" t="str">
        <f>IF(OR(R47="Preventivo",R47="Detectivo"),"Probabilidad",IF(R47="Correctivo","Impacto",""))</f>
        <v/>
      </c>
      <c r="R47" s="126"/>
      <c r="S47" s="126"/>
      <c r="T47" s="127" t="str">
        <f t="shared" ref="T47:T51" si="31">IF(AND(R47="Preventivo",S47="Automático"),"50%",IF(AND(R47="Preventivo",S47="Manual"),"40%",IF(AND(R47="Detectivo",S47="Automático"),"40%",IF(AND(R47="Detectivo",S47="Manual"),"30%",IF(AND(R47="Correctivo",S47="Automático"),"35%",IF(AND(R47="Correctivo",S47="Manual"),"25%",""))))))</f>
        <v/>
      </c>
      <c r="U47" s="126"/>
      <c r="V47" s="126"/>
      <c r="W47" s="126"/>
      <c r="X47" s="128" t="str">
        <f>IFERROR(IF(AND(Q46="Probabilidad",Q47="Probabilidad"),(Z46-(+Z46*T47)),IF(Q47="Probabilidad",(I46-(+I46*T47)),IF(Q47="Impacto",Z46,""))),"")</f>
        <v/>
      </c>
      <c r="Y47" s="129" t="str">
        <f t="shared" si="1"/>
        <v/>
      </c>
      <c r="Z47" s="130" t="str">
        <f t="shared" ref="Z47:Z51" si="32">+X47</f>
        <v/>
      </c>
      <c r="AA47" s="129" t="str">
        <f t="shared" si="3"/>
        <v/>
      </c>
      <c r="AB47" s="130" t="str">
        <f>IFERROR(IF(AND(Q46="Impacto",Q47="Impacto"),(AB46-(+AB46*T47)),IF(Q47="Impacto",(M46-(+M46*T47)),IF(Q47="Probabilidad",AB46,""))),"")</f>
        <v/>
      </c>
      <c r="AC47" s="131" t="str">
        <f t="shared" ref="AC47:AC48" si="33">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32"/>
      <c r="AE47" s="133"/>
      <c r="AF47" s="134"/>
      <c r="AG47" s="135"/>
      <c r="AH47" s="135"/>
      <c r="AI47" s="133"/>
      <c r="AJ47" s="134"/>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row>
    <row r="48" spans="1:68" ht="18" customHeight="1" x14ac:dyDescent="0.3">
      <c r="A48" s="280"/>
      <c r="B48" s="281"/>
      <c r="C48" s="281"/>
      <c r="D48" s="281"/>
      <c r="E48" s="283"/>
      <c r="F48" s="281"/>
      <c r="G48" s="286"/>
      <c r="H48" s="289"/>
      <c r="I48" s="275"/>
      <c r="J48" s="292"/>
      <c r="K48" s="275">
        <f>IF(NOT(ISERROR(MATCH(J48,_xlfn.ANCHORARRAY(E59),0))),#REF!&amp;"Por favor no seleccionar los criterios de impacto",J48)</f>
        <v>0</v>
      </c>
      <c r="L48" s="289"/>
      <c r="M48" s="275"/>
      <c r="N48" s="278"/>
      <c r="O48" s="123">
        <v>3</v>
      </c>
      <c r="P48" s="136"/>
      <c r="Q48" s="125" t="str">
        <f>IF(OR(R48="Preventivo",R48="Detectivo"),"Probabilidad",IF(R48="Correctivo","Impacto",""))</f>
        <v/>
      </c>
      <c r="R48" s="126"/>
      <c r="S48" s="126"/>
      <c r="T48" s="127" t="str">
        <f t="shared" si="31"/>
        <v/>
      </c>
      <c r="U48" s="126"/>
      <c r="V48" s="126"/>
      <c r="W48" s="126"/>
      <c r="X48" s="128" t="str">
        <f>IFERROR(IF(AND(Q47="Probabilidad",Q48="Probabilidad"),(Z47-(+Z47*T48)),IF(AND(Q47="Impacto",Q48="Probabilidad"),(Z46-(+Z46*T48)),IF(Q48="Impacto",Z47,""))),"")</f>
        <v/>
      </c>
      <c r="Y48" s="129" t="str">
        <f t="shared" si="1"/>
        <v/>
      </c>
      <c r="Z48" s="130" t="str">
        <f t="shared" si="32"/>
        <v/>
      </c>
      <c r="AA48" s="129" t="str">
        <f t="shared" si="3"/>
        <v/>
      </c>
      <c r="AB48" s="130" t="str">
        <f>IFERROR(IF(AND(Q47="Impacto",Q48="Impacto"),(AB47-(+AB47*T48)),IF(AND(Q47="Probabilidad",Q48="Impacto"),(AB46-(+AB46*T48)),IF(Q48="Probabilidad",AB47,""))),"")</f>
        <v/>
      </c>
      <c r="AC48" s="131" t="str">
        <f t="shared" si="33"/>
        <v/>
      </c>
      <c r="AD48" s="132"/>
      <c r="AE48" s="133"/>
      <c r="AF48" s="134"/>
      <c r="AG48" s="135"/>
      <c r="AH48" s="135"/>
      <c r="AI48" s="133"/>
      <c r="AJ48" s="134"/>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1:68" ht="18" customHeight="1" x14ac:dyDescent="0.3">
      <c r="A49" s="280"/>
      <c r="B49" s="281"/>
      <c r="C49" s="281"/>
      <c r="D49" s="281"/>
      <c r="E49" s="283"/>
      <c r="F49" s="281"/>
      <c r="G49" s="286"/>
      <c r="H49" s="289"/>
      <c r="I49" s="275"/>
      <c r="J49" s="292"/>
      <c r="K49" s="275">
        <f>IF(NOT(ISERROR(MATCH(J49,_xlfn.ANCHORARRAY(#REF!),0))),#REF!&amp;"Por favor no seleccionar los criterios de impacto",J49)</f>
        <v>0</v>
      </c>
      <c r="L49" s="289"/>
      <c r="M49" s="275"/>
      <c r="N49" s="278"/>
      <c r="O49" s="123">
        <v>4</v>
      </c>
      <c r="P49" s="124"/>
      <c r="Q49" s="125" t="str">
        <f t="shared" ref="Q49:Q51" si="34">IF(OR(R49="Preventivo",R49="Detectivo"),"Probabilidad",IF(R49="Correctivo","Impacto",""))</f>
        <v/>
      </c>
      <c r="R49" s="126"/>
      <c r="S49" s="126"/>
      <c r="T49" s="127" t="str">
        <f t="shared" si="31"/>
        <v/>
      </c>
      <c r="U49" s="126"/>
      <c r="V49" s="126"/>
      <c r="W49" s="126"/>
      <c r="X49" s="128" t="str">
        <f t="shared" ref="X49:X51" si="35">IFERROR(IF(AND(Q48="Probabilidad",Q49="Probabilidad"),(Z48-(+Z48*T49)),IF(AND(Q48="Impacto",Q49="Probabilidad"),(Z47-(+Z47*T49)),IF(Q49="Impacto",Z48,""))),"")</f>
        <v/>
      </c>
      <c r="Y49" s="129" t="str">
        <f t="shared" si="1"/>
        <v/>
      </c>
      <c r="Z49" s="130" t="str">
        <f t="shared" si="32"/>
        <v/>
      </c>
      <c r="AA49" s="129" t="str">
        <f t="shared" si="3"/>
        <v/>
      </c>
      <c r="AB49" s="130" t="str">
        <f t="shared" ref="AB49:AB51" si="36">IFERROR(IF(AND(Q48="Impacto",Q49="Impacto"),(AB48-(+AB48*T49)),IF(AND(Q48="Probabilidad",Q49="Impacto"),(AB47-(+AB47*T49)),IF(Q49="Probabilidad",AB48,""))),"")</f>
        <v/>
      </c>
      <c r="AC49" s="131"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32"/>
      <c r="AE49" s="133"/>
      <c r="AF49" s="134"/>
      <c r="AG49" s="135"/>
      <c r="AH49" s="135"/>
      <c r="AI49" s="133"/>
      <c r="AJ49" s="134"/>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1:68" ht="18" customHeight="1" x14ac:dyDescent="0.3">
      <c r="A50" s="280"/>
      <c r="B50" s="281"/>
      <c r="C50" s="281"/>
      <c r="D50" s="281"/>
      <c r="E50" s="283"/>
      <c r="F50" s="281"/>
      <c r="G50" s="286"/>
      <c r="H50" s="289"/>
      <c r="I50" s="275"/>
      <c r="J50" s="292"/>
      <c r="K50" s="275">
        <f>IF(NOT(ISERROR(MATCH(J50,_xlfn.ANCHORARRAY(#REF!),0))),#REF!&amp;"Por favor no seleccionar los criterios de impacto",J50)</f>
        <v>0</v>
      </c>
      <c r="L50" s="289"/>
      <c r="M50" s="275"/>
      <c r="N50" s="278"/>
      <c r="O50" s="123">
        <v>5</v>
      </c>
      <c r="P50" s="124"/>
      <c r="Q50" s="125" t="str">
        <f t="shared" si="34"/>
        <v/>
      </c>
      <c r="R50" s="126"/>
      <c r="S50" s="126"/>
      <c r="T50" s="127" t="str">
        <f t="shared" si="31"/>
        <v/>
      </c>
      <c r="U50" s="126"/>
      <c r="V50" s="126"/>
      <c r="W50" s="126"/>
      <c r="X50" s="128" t="str">
        <f t="shared" si="35"/>
        <v/>
      </c>
      <c r="Y50" s="129" t="str">
        <f t="shared" si="1"/>
        <v/>
      </c>
      <c r="Z50" s="130" t="str">
        <f t="shared" si="32"/>
        <v/>
      </c>
      <c r="AA50" s="129" t="str">
        <f t="shared" si="3"/>
        <v/>
      </c>
      <c r="AB50" s="130" t="str">
        <f t="shared" si="36"/>
        <v/>
      </c>
      <c r="AC50" s="131" t="str">
        <f t="shared" ref="AC50:AC51" si="37">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32"/>
      <c r="AE50" s="133"/>
      <c r="AF50" s="134"/>
      <c r="AG50" s="135"/>
      <c r="AH50" s="135"/>
      <c r="AI50" s="133"/>
      <c r="AJ50" s="134"/>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row>
    <row r="51" spans="1:68" ht="18" customHeight="1" x14ac:dyDescent="0.3">
      <c r="A51" s="253"/>
      <c r="B51" s="243"/>
      <c r="C51" s="243"/>
      <c r="D51" s="243"/>
      <c r="E51" s="284"/>
      <c r="F51" s="243"/>
      <c r="G51" s="287"/>
      <c r="H51" s="290"/>
      <c r="I51" s="276"/>
      <c r="J51" s="293"/>
      <c r="K51" s="276">
        <f>IF(NOT(ISERROR(MATCH(J51,_xlfn.ANCHORARRAY(#REF!),0))),I60&amp;"Por favor no seleccionar los criterios de impacto",J51)</f>
        <v>0</v>
      </c>
      <c r="L51" s="290"/>
      <c r="M51" s="276"/>
      <c r="N51" s="279"/>
      <c r="O51" s="123">
        <v>6</v>
      </c>
      <c r="P51" s="124"/>
      <c r="Q51" s="125" t="str">
        <f t="shared" si="34"/>
        <v/>
      </c>
      <c r="R51" s="126"/>
      <c r="S51" s="126"/>
      <c r="T51" s="127" t="str">
        <f t="shared" si="31"/>
        <v/>
      </c>
      <c r="U51" s="126"/>
      <c r="V51" s="126"/>
      <c r="W51" s="126"/>
      <c r="X51" s="128" t="str">
        <f t="shared" si="35"/>
        <v/>
      </c>
      <c r="Y51" s="129" t="str">
        <f t="shared" si="1"/>
        <v/>
      </c>
      <c r="Z51" s="130" t="str">
        <f t="shared" si="32"/>
        <v/>
      </c>
      <c r="AA51" s="129" t="str">
        <f t="shared" si="3"/>
        <v/>
      </c>
      <c r="AB51" s="130" t="str">
        <f t="shared" si="36"/>
        <v/>
      </c>
      <c r="AC51" s="131" t="str">
        <f t="shared" si="37"/>
        <v/>
      </c>
      <c r="AD51" s="132"/>
      <c r="AE51" s="133"/>
      <c r="AF51" s="134"/>
      <c r="AG51" s="135"/>
      <c r="AH51" s="135"/>
      <c r="AI51" s="133"/>
      <c r="AJ51" s="134"/>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row>
    <row r="52" spans="1:68" ht="18" customHeight="1" x14ac:dyDescent="0.3">
      <c r="A52" s="252">
        <v>6</v>
      </c>
      <c r="B52" s="242"/>
      <c r="C52" s="242"/>
      <c r="D52" s="242"/>
      <c r="E52" s="282"/>
      <c r="F52" s="242"/>
      <c r="G52" s="285"/>
      <c r="H52" s="288" t="str">
        <f>IF(G52&lt;=0,"",IF(G52&lt;=2,"Muy Baja",IF(G52&lt;=24,"Baja",IF(G52&lt;=500,"Media",IF(G52&lt;=5000,"Alta","Muy Alta")))))</f>
        <v/>
      </c>
      <c r="I52" s="274" t="str">
        <f>IF(H52="","",IF(H52="Muy Baja",0.2,IF(H52="Baja",0.4,IF(H52="Media",0.6,IF(H52="Alta",0.8,IF(H52="Muy Alta",1,))))))</f>
        <v/>
      </c>
      <c r="J52" s="291"/>
      <c r="K52" s="274">
        <f>IF(NOT(ISERROR(MATCH(J52,'Tabla Impacto'!$B$221:$B$223,0))),'Tabla Impacto'!$F$228&amp;"Por favor no seleccionar los criterios de impacto(Afectación Económica o presupuestal y Pérdida Reputacional)",J52)</f>
        <v>0</v>
      </c>
      <c r="L52" s="288" t="str">
        <f>IF(OR(K52='Tabla Impacto'!$C$11,K52='Tabla Impacto'!$D$11),"Leve",IF(OR(K52='Tabla Impacto'!$C$12,K52='Tabla Impacto'!$D$12),"Menor",IF(OR(K52='Tabla Impacto'!$C$13,K52='Tabla Impacto'!$D$13),"Moderado",IF(OR(K52='Tabla Impacto'!$C$14,K52='Tabla Impacto'!$D$14),"Mayor",IF(OR(K52='Tabla Impacto'!$C$15,K52='Tabla Impacto'!$D$15),"Catastrófico","")))))</f>
        <v/>
      </c>
      <c r="M52" s="274" t="str">
        <f>IF(L52="","",IF(L52="Leve",0.2,IF(L52="Menor",0.4,IF(L52="Moderado",0.6,IF(L52="Mayor",0.8,IF(L52="Catastrófico",1,))))))</f>
        <v/>
      </c>
      <c r="N52" s="277" t="str">
        <f>IF(OR(AND(H52="Muy Baja",L52="Leve"),AND(H52="Muy Baja",L52="Menor"),AND(H52="Baja",L52="Leve")),"Bajo",IF(OR(AND(H52="Muy baja",L52="Moderado"),AND(H52="Baja",L52="Menor"),AND(H52="Baja",L52="Moderado"),AND(H52="Media",L52="Leve"),AND(H52="Media",L52="Menor"),AND(H52="Media",L52="Moderado"),AND(H52="Alta",L52="Leve"),AND(H52="Alta",L52="Menor")),"Moderado",IF(OR(AND(H52="Muy Baja",L52="Mayor"),AND(H52="Baja",L52="Mayor"),AND(H52="Media",L52="Mayor"),AND(H52="Alta",L52="Moderado"),AND(H52="Alta",L52="Mayor"),AND(H52="Muy Alta",L52="Leve"),AND(H52="Muy Alta",L52="Menor"),AND(H52="Muy Alta",L52="Moderado"),AND(H52="Muy Alta",L52="Mayor")),"Alto",IF(OR(AND(H52="Muy Baja",L52="Catastrófico"),AND(H52="Baja",L52="Catastrófico"),AND(H52="Media",L52="Catastrófico"),AND(H52="Alta",L52="Catastrófico"),AND(H52="Muy Alta",L52="Catastrófico")),"Extremo",""))))</f>
        <v/>
      </c>
      <c r="O52" s="123">
        <v>1</v>
      </c>
      <c r="P52" s="124"/>
      <c r="Q52" s="125" t="str">
        <f>IF(OR(R52="Preventivo",R52="Detectivo"),"Probabilidad",IF(R52="Correctivo","Impacto",""))</f>
        <v/>
      </c>
      <c r="R52" s="126"/>
      <c r="S52" s="126"/>
      <c r="T52" s="127" t="str">
        <f>IF(AND(R52="Preventivo",S52="Automático"),"50%",IF(AND(R52="Preventivo",S52="Manual"),"40%",IF(AND(R52="Detectivo",S52="Automático"),"40%",IF(AND(R52="Detectivo",S52="Manual"),"30%",IF(AND(R52="Correctivo",S52="Automático"),"35%",IF(AND(R52="Correctivo",S52="Manual"),"25%",""))))))</f>
        <v/>
      </c>
      <c r="U52" s="126"/>
      <c r="V52" s="126"/>
      <c r="W52" s="126"/>
      <c r="X52" s="128" t="str">
        <f>IFERROR(IF(Q52="Probabilidad",(I52-(+I52*T52)),IF(Q52="Impacto",I52,"")),"")</f>
        <v/>
      </c>
      <c r="Y52" s="129" t="str">
        <f>IFERROR(IF(X52="","",IF(X52&lt;=0.2,"Muy Baja",IF(X52&lt;=0.4,"Baja",IF(X52&lt;=0.6,"Media",IF(X52&lt;=0.8,"Alta","Muy Alta"))))),"")</f>
        <v/>
      </c>
      <c r="Z52" s="130" t="str">
        <f>+X52</f>
        <v/>
      </c>
      <c r="AA52" s="129" t="str">
        <f>IFERROR(IF(AB52="","",IF(AB52&lt;=0.2,"Leve",IF(AB52&lt;=0.4,"Menor",IF(AB52&lt;=0.6,"Moderado",IF(AB52&lt;=0.8,"Mayor","Catastrófico"))))),"")</f>
        <v/>
      </c>
      <c r="AB52" s="130" t="str">
        <f>IFERROR(IF(Q52="Impacto",(M52-(+M52*T52)),IF(Q52="Probabilidad",M52,"")),"")</f>
        <v/>
      </c>
      <c r="AC52" s="131"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32"/>
      <c r="AE52" s="133"/>
      <c r="AF52" s="134"/>
      <c r="AG52" s="135"/>
      <c r="AH52" s="135"/>
      <c r="AI52" s="133"/>
      <c r="AJ52" s="134"/>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row>
    <row r="53" spans="1:68" ht="18" customHeight="1" x14ac:dyDescent="0.3">
      <c r="A53" s="280"/>
      <c r="B53" s="281"/>
      <c r="C53" s="281"/>
      <c r="D53" s="281"/>
      <c r="E53" s="283"/>
      <c r="F53" s="281"/>
      <c r="G53" s="286"/>
      <c r="H53" s="289"/>
      <c r="I53" s="275"/>
      <c r="J53" s="292"/>
      <c r="K53" s="275">
        <f>IF(NOT(ISERROR(MATCH(J53,_xlfn.ANCHORARRAY(E60),0))),I62&amp;"Por favor no seleccionar los criterios de impacto",J53)</f>
        <v>0</v>
      </c>
      <c r="L53" s="289"/>
      <c r="M53" s="275"/>
      <c r="N53" s="278"/>
      <c r="O53" s="123">
        <v>2</v>
      </c>
      <c r="P53" s="124"/>
      <c r="Q53" s="125" t="str">
        <f>IF(OR(R53="Preventivo",R53="Detectivo"),"Probabilidad",IF(R53="Correctivo","Impacto",""))</f>
        <v/>
      </c>
      <c r="R53" s="126"/>
      <c r="S53" s="126"/>
      <c r="T53" s="127" t="str">
        <f t="shared" ref="T53:T57" si="38">IF(AND(R53="Preventivo",S53="Automático"),"50%",IF(AND(R53="Preventivo",S53="Manual"),"40%",IF(AND(R53="Detectivo",S53="Automático"),"40%",IF(AND(R53="Detectivo",S53="Manual"),"30%",IF(AND(R53="Correctivo",S53="Automático"),"35%",IF(AND(R53="Correctivo",S53="Manual"),"25%",""))))))</f>
        <v/>
      </c>
      <c r="U53" s="126"/>
      <c r="V53" s="126"/>
      <c r="W53" s="126"/>
      <c r="X53" s="128" t="str">
        <f>IFERROR(IF(AND(Q52="Probabilidad",Q53="Probabilidad"),(Z52-(+Z52*T53)),IF(Q53="Probabilidad",(I52-(+I52*T53)),IF(Q53="Impacto",Z52,""))),"")</f>
        <v/>
      </c>
      <c r="Y53" s="129" t="str">
        <f t="shared" si="1"/>
        <v/>
      </c>
      <c r="Z53" s="130" t="str">
        <f t="shared" ref="Z53:Z57" si="39">+X53</f>
        <v/>
      </c>
      <c r="AA53" s="129" t="str">
        <f t="shared" si="3"/>
        <v/>
      </c>
      <c r="AB53" s="130" t="str">
        <f>IFERROR(IF(AND(Q52="Impacto",Q53="Impacto"),(AB52-(+AB52*T53)),IF(Q53="Impacto",(M52-(+M52*T53)),IF(Q53="Probabilidad",AB52,""))),"")</f>
        <v/>
      </c>
      <c r="AC53" s="131" t="str">
        <f t="shared" ref="AC53:AC54" si="40">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32"/>
      <c r="AE53" s="133"/>
      <c r="AF53" s="134"/>
      <c r="AG53" s="135"/>
      <c r="AH53" s="135"/>
      <c r="AI53" s="133"/>
      <c r="AJ53" s="134"/>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row>
    <row r="54" spans="1:68" ht="18" customHeight="1" x14ac:dyDescent="0.3">
      <c r="A54" s="280"/>
      <c r="B54" s="281"/>
      <c r="C54" s="281"/>
      <c r="D54" s="281"/>
      <c r="E54" s="283"/>
      <c r="F54" s="281"/>
      <c r="G54" s="286"/>
      <c r="H54" s="289"/>
      <c r="I54" s="275"/>
      <c r="J54" s="292"/>
      <c r="K54" s="275">
        <f>IF(NOT(ISERROR(MATCH(J54,_xlfn.ANCHORARRAY(E61),0))),I63&amp;"Por favor no seleccionar los criterios de impacto",J54)</f>
        <v>0</v>
      </c>
      <c r="L54" s="289"/>
      <c r="M54" s="275"/>
      <c r="N54" s="278"/>
      <c r="O54" s="123">
        <v>3</v>
      </c>
      <c r="P54" s="136"/>
      <c r="Q54" s="125" t="str">
        <f>IF(OR(R54="Preventivo",R54="Detectivo"),"Probabilidad",IF(R54="Correctivo","Impacto",""))</f>
        <v/>
      </c>
      <c r="R54" s="126"/>
      <c r="S54" s="126"/>
      <c r="T54" s="127" t="str">
        <f t="shared" si="38"/>
        <v/>
      </c>
      <c r="U54" s="126"/>
      <c r="V54" s="126"/>
      <c r="W54" s="126"/>
      <c r="X54" s="128" t="str">
        <f>IFERROR(IF(AND(Q53="Probabilidad",Q54="Probabilidad"),(Z53-(+Z53*T54)),IF(AND(Q53="Impacto",Q54="Probabilidad"),(Z52-(+Z52*T54)),IF(Q54="Impacto",Z53,""))),"")</f>
        <v/>
      </c>
      <c r="Y54" s="129" t="str">
        <f t="shared" si="1"/>
        <v/>
      </c>
      <c r="Z54" s="130" t="str">
        <f t="shared" si="39"/>
        <v/>
      </c>
      <c r="AA54" s="129" t="str">
        <f t="shared" si="3"/>
        <v/>
      </c>
      <c r="AB54" s="130" t="str">
        <f>IFERROR(IF(AND(Q53="Impacto",Q54="Impacto"),(AB53-(+AB53*T54)),IF(AND(Q53="Probabilidad",Q54="Impacto"),(AB52-(+AB52*T54)),IF(Q54="Probabilidad",AB53,""))),"")</f>
        <v/>
      </c>
      <c r="AC54" s="131" t="str">
        <f t="shared" si="40"/>
        <v/>
      </c>
      <c r="AD54" s="132"/>
      <c r="AE54" s="133"/>
      <c r="AF54" s="134"/>
      <c r="AG54" s="135"/>
      <c r="AH54" s="135"/>
      <c r="AI54" s="133"/>
      <c r="AJ54" s="134"/>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row>
    <row r="55" spans="1:68" ht="18" customHeight="1" x14ac:dyDescent="0.3">
      <c r="A55" s="280"/>
      <c r="B55" s="281"/>
      <c r="C55" s="281"/>
      <c r="D55" s="281"/>
      <c r="E55" s="283"/>
      <c r="F55" s="281"/>
      <c r="G55" s="286"/>
      <c r="H55" s="289"/>
      <c r="I55" s="275"/>
      <c r="J55" s="292"/>
      <c r="K55" s="275">
        <f>IF(NOT(ISERROR(MATCH(J55,_xlfn.ANCHORARRAY(E62),0))),I64&amp;"Por favor no seleccionar los criterios de impacto",J55)</f>
        <v>0</v>
      </c>
      <c r="L55" s="289"/>
      <c r="M55" s="275"/>
      <c r="N55" s="278"/>
      <c r="O55" s="123">
        <v>4</v>
      </c>
      <c r="P55" s="124"/>
      <c r="Q55" s="125" t="str">
        <f t="shared" ref="Q55:Q57" si="41">IF(OR(R55="Preventivo",R55="Detectivo"),"Probabilidad",IF(R55="Correctivo","Impacto",""))</f>
        <v/>
      </c>
      <c r="R55" s="126"/>
      <c r="S55" s="126"/>
      <c r="T55" s="127" t="str">
        <f t="shared" si="38"/>
        <v/>
      </c>
      <c r="U55" s="126"/>
      <c r="V55" s="126"/>
      <c r="W55" s="126"/>
      <c r="X55" s="128" t="str">
        <f t="shared" ref="X55:X57" si="42">IFERROR(IF(AND(Q54="Probabilidad",Q55="Probabilidad"),(Z54-(+Z54*T55)),IF(AND(Q54="Impacto",Q55="Probabilidad"),(Z53-(+Z53*T55)),IF(Q55="Impacto",Z54,""))),"")</f>
        <v/>
      </c>
      <c r="Y55" s="129" t="str">
        <f t="shared" si="1"/>
        <v/>
      </c>
      <c r="Z55" s="130" t="str">
        <f t="shared" si="39"/>
        <v/>
      </c>
      <c r="AA55" s="129" t="str">
        <f t="shared" si="3"/>
        <v/>
      </c>
      <c r="AB55" s="130" t="str">
        <f t="shared" ref="AB55:AB57" si="43">IFERROR(IF(AND(Q54="Impacto",Q55="Impacto"),(AB54-(+AB54*T55)),IF(AND(Q54="Probabilidad",Q55="Impacto"),(AB53-(+AB53*T55)),IF(Q55="Probabilidad",AB54,""))),"")</f>
        <v/>
      </c>
      <c r="AC55" s="131"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32"/>
      <c r="AE55" s="133"/>
      <c r="AF55" s="134"/>
      <c r="AG55" s="135"/>
      <c r="AH55" s="135"/>
      <c r="AI55" s="133"/>
      <c r="AJ55" s="134"/>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row>
    <row r="56" spans="1:68" ht="18" customHeight="1" x14ac:dyDescent="0.3">
      <c r="A56" s="280"/>
      <c r="B56" s="281"/>
      <c r="C56" s="281"/>
      <c r="D56" s="281"/>
      <c r="E56" s="283"/>
      <c r="F56" s="281"/>
      <c r="G56" s="286"/>
      <c r="H56" s="289"/>
      <c r="I56" s="275"/>
      <c r="J56" s="292"/>
      <c r="K56" s="275">
        <f>IF(NOT(ISERROR(MATCH(J56,_xlfn.ANCHORARRAY(E63),0))),I65&amp;"Por favor no seleccionar los criterios de impacto",J56)</f>
        <v>0</v>
      </c>
      <c r="L56" s="289"/>
      <c r="M56" s="275"/>
      <c r="N56" s="278"/>
      <c r="O56" s="123">
        <v>5</v>
      </c>
      <c r="P56" s="124"/>
      <c r="Q56" s="125" t="str">
        <f t="shared" si="41"/>
        <v/>
      </c>
      <c r="R56" s="126"/>
      <c r="S56" s="126"/>
      <c r="T56" s="127" t="str">
        <f t="shared" si="38"/>
        <v/>
      </c>
      <c r="U56" s="126"/>
      <c r="V56" s="126"/>
      <c r="W56" s="126"/>
      <c r="X56" s="128" t="str">
        <f t="shared" si="42"/>
        <v/>
      </c>
      <c r="Y56" s="129" t="str">
        <f t="shared" si="1"/>
        <v/>
      </c>
      <c r="Z56" s="130" t="str">
        <f t="shared" si="39"/>
        <v/>
      </c>
      <c r="AA56" s="129" t="str">
        <f t="shared" si="3"/>
        <v/>
      </c>
      <c r="AB56" s="130" t="str">
        <f t="shared" si="43"/>
        <v/>
      </c>
      <c r="AC56" s="131" t="str">
        <f t="shared" ref="AC56" si="44">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32"/>
      <c r="AE56" s="133"/>
      <c r="AF56" s="134"/>
      <c r="AG56" s="135"/>
      <c r="AH56" s="135"/>
      <c r="AI56" s="133"/>
      <c r="AJ56" s="134"/>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row>
    <row r="57" spans="1:68" ht="18" customHeight="1" x14ac:dyDescent="0.3">
      <c r="A57" s="253"/>
      <c r="B57" s="243"/>
      <c r="C57" s="243"/>
      <c r="D57" s="243"/>
      <c r="E57" s="284"/>
      <c r="F57" s="243"/>
      <c r="G57" s="287"/>
      <c r="H57" s="290"/>
      <c r="I57" s="276"/>
      <c r="J57" s="293"/>
      <c r="K57" s="276">
        <f>IF(NOT(ISERROR(MATCH(J57,_xlfn.ANCHORARRAY(E64),0))),I66&amp;"Por favor no seleccionar los criterios de impacto",J57)</f>
        <v>0</v>
      </c>
      <c r="L57" s="290"/>
      <c r="M57" s="276"/>
      <c r="N57" s="279"/>
      <c r="O57" s="123">
        <v>6</v>
      </c>
      <c r="P57" s="124"/>
      <c r="Q57" s="125" t="str">
        <f t="shared" si="41"/>
        <v/>
      </c>
      <c r="R57" s="126"/>
      <c r="S57" s="126"/>
      <c r="T57" s="127" t="str">
        <f t="shared" si="38"/>
        <v/>
      </c>
      <c r="U57" s="126"/>
      <c r="V57" s="126"/>
      <c r="W57" s="126"/>
      <c r="X57" s="128" t="str">
        <f t="shared" si="42"/>
        <v/>
      </c>
      <c r="Y57" s="129" t="str">
        <f t="shared" si="1"/>
        <v/>
      </c>
      <c r="Z57" s="130" t="str">
        <f t="shared" si="39"/>
        <v/>
      </c>
      <c r="AA57" s="129" t="str">
        <f>IFERROR(IF(AB57="","",IF(AB57&lt;=0.2,"Leve",IF(AB57&lt;=0.4,"Menor",IF(AB57&lt;=0.6,"Moderado",IF(AB57&lt;=0.8,"Mayor","Catastrófico"))))),"")</f>
        <v/>
      </c>
      <c r="AB57" s="130" t="str">
        <f t="shared" si="43"/>
        <v/>
      </c>
      <c r="AC57" s="131" t="str">
        <f>IFERROR(IF(OR(AND(Y57="Muy Baja",AA57="Leve"),AND(Y57="Muy Baja",AA57="Menor"),AND(Y57="Baja",AA57="Leve")),"Bajo",IF(OR(AND(Y57="Muy baja",AA57="Moderado"),AND(Y57="Baja",AA57="Menor"),AND(Y57="Baja",AA57="Moderado"),AND(Y57="Media",AA57="Leve"),AND(Y57="Media",AA57="Menor"),AND(Y57="Media",AA57="Moderado"),AND(Y57="Alta",AA57="Leve"),AND(Y57="Alta",AA57="Menor")),"Moderado",IF(OR(AND(Y57="Muy Baja",AA57="Mayor"),AND(Y57="Baja",AA57="Mayor"),AND(Y57="Media",AA57="Mayor"),AND(Y57="Alta",AA57="Moderado"),AND(Y57="Alta",AA57="Mayor"),AND(Y57="Muy Alta",AA57="Leve"),AND(Y57="Muy Alta",AA57="Menor"),AND(Y57="Muy Alta",AA57="Moderado"),AND(Y57="Muy Alta",AA57="Mayor")),"Alto",IF(OR(AND(Y57="Muy Baja",AA57="Catastrófico"),AND(Y57="Baja",AA57="Catastrófico"),AND(Y57="Media",AA57="Catastrófico"),AND(Y57="Alta",AA57="Catastrófico"),AND(Y57="Muy Alta",AA57="Catastrófico")),"Extremo","")))),"")</f>
        <v/>
      </c>
      <c r="AD57" s="132"/>
      <c r="AE57" s="133"/>
      <c r="AF57" s="134"/>
      <c r="AG57" s="135"/>
      <c r="AH57" s="135"/>
      <c r="AI57" s="133"/>
      <c r="AJ57" s="134"/>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row>
    <row r="58" spans="1:68" ht="15.75" customHeight="1" x14ac:dyDescent="0.3">
      <c r="A58" s="252">
        <v>7</v>
      </c>
      <c r="B58" s="298"/>
      <c r="C58" s="308"/>
      <c r="D58" s="304"/>
      <c r="E58" s="306"/>
      <c r="F58" s="298"/>
      <c r="G58" s="300"/>
      <c r="H58" s="302" t="str">
        <f>IF(G58&lt;=0,"",IF(G58&lt;=2,"Muy Baja",IF(G58&lt;=24,"Baja",IF(G58&lt;=500,"Media",IF(G58&lt;=5000,"Alta","Muy Alta")))))</f>
        <v/>
      </c>
      <c r="I58" s="294" t="str">
        <f>IF(H58="","",IF(H58="Muy Baja",0.2,IF(H58="Baja",0.4,IF(H58="Media",0.6,IF(H58="Alta",0.8,IF(H58="Muy Alta",1,))))))</f>
        <v/>
      </c>
      <c r="J58" s="310"/>
      <c r="K58" s="294">
        <f>IF(NOT(ISERROR(MATCH(J58,'Tabla Impacto'!$B$221:$B$223,0))),'Tabla Impacto'!$F$228&amp;"Por favor no seleccionar los criterios de impacto(Afectación Económica o presupuestal y Pérdida Reputacional)",J58)</f>
        <v>0</v>
      </c>
      <c r="L58" s="302"/>
      <c r="M58" s="294" t="str">
        <f>IF(L58="","",IF(L58="Leve",0.2,IF(L58="Menor",0.4,IF(L58="Moderado",0.6,IF(L58="Mayor",0.8,IF(L58="Catastrófico",1,))))))</f>
        <v/>
      </c>
      <c r="N58" s="296" t="str">
        <f>IF(OR(AND(H58="Muy Baja",L58="Leve"),AND(H58="Muy Baja",L58="Menor"),AND(H58="Baja",L58="Leve")),"Bajo",IF(OR(AND(H58="Muy baja",L58="Moderado"),AND(H58="Baja",L58="Menor"),AND(H58="Baja",L58="Moderado"),AND(H58="Media",L58="Leve"),AND(H58="Media",L58="Menor"),AND(H58="Media",L58="Moderado"),AND(H58="Alta",L58="Leve"),AND(H58="Alta",L58="Menor")),"Moderado",IF(OR(AND(H58="Muy Baja",L58="Mayor"),AND(H58="Baja",L58="Mayor"),AND(H58="Media",L58="Mayor"),AND(H58="Alta",L58="Moderado"),AND(H58="Alta",L58="Mayor"),AND(H58="Muy Alta",L58="Leve"),AND(H58="Muy Alta",L58="Menor"),AND(H58="Muy Alta",L58="Moderado"),AND(H58="Muy Alta",L58="Mayor")),"Alto",IF(OR(AND(H58="Muy Baja",L58="Catastrófico"),AND(H58="Baja",L58="Catastrófico"),AND(H58="Media",L58="Catastrófico"),AND(H58="Alta",L58="Catastrófico"),AND(H58="Muy Alta",L58="Catastrófico")),"Extremo",""))))</f>
        <v/>
      </c>
      <c r="O58" s="252">
        <v>1</v>
      </c>
      <c r="P58" s="254"/>
      <c r="Q58" s="256" t="str">
        <f>IF(OR(R58="Preventivo",R58="Detectivo"),"Probabilidad",IF(R58="Correctivo","Impacto",""))</f>
        <v/>
      </c>
      <c r="R58" s="250"/>
      <c r="S58" s="250"/>
      <c r="T58" s="246" t="str">
        <f>IF(AND(R58="Preventivo",S58="Automático"),"50%",IF(AND(R58="Preventivo",S58="Manual"),"40%",IF(AND(R58="Detectivo",S58="Automático"),"40%",IF(AND(R58="Detectivo",S58="Manual"),"30%",IF(AND(R58="Correctivo",S58="Automático"),"35%",IF(AND(R58="Correctivo",S58="Manual"),"25%",""))))))</f>
        <v/>
      </c>
      <c r="U58" s="250"/>
      <c r="V58" s="250"/>
      <c r="W58" s="250"/>
      <c r="X58" s="192" t="str">
        <f>IFERROR(IF(Q58="Probabilidad",(I58-(+I58*T58)),IF(Q58="Impacto",I58,"")),"")</f>
        <v/>
      </c>
      <c r="Y58" s="244" t="str">
        <f>IFERROR(IF(X58="","",IF(X58&lt;=0.2,"Muy Baja",IF(X58&lt;=0.4,"Baja",IF(X58&lt;=0.6,"Media",IF(X58&lt;=0.8,"Alta","Muy Alta"))))),"")</f>
        <v/>
      </c>
      <c r="Z58" s="246" t="str">
        <f>+X58</f>
        <v/>
      </c>
      <c r="AA58" s="244" t="str">
        <f>IFERROR(IF(AB58="","",IF(AB58&lt;=0.2,"Leve",IF(AB58&lt;=0.4,"Menor",IF(AB58&lt;=0.6,"Moderado",IF(AB58&lt;=0.8,"Mayor","Catastrófico"))))),"")</f>
        <v/>
      </c>
      <c r="AB58" s="246" t="str">
        <f>IFERROR(IF(Q58="Impacto",(M58-(+M58*T58)),IF(Q58="Probabilidad",M58,"")),"")</f>
        <v/>
      </c>
      <c r="AC58" s="248" t="str">
        <f>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250"/>
      <c r="AE58" s="242"/>
      <c r="AF58" s="242"/>
      <c r="AG58" s="242"/>
      <c r="AH58" s="242"/>
      <c r="AI58" s="242"/>
      <c r="AJ58" s="242"/>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row>
    <row r="59" spans="1:68" ht="13.5" customHeight="1" x14ac:dyDescent="0.3">
      <c r="A59" s="280"/>
      <c r="B59" s="299"/>
      <c r="C59" s="309"/>
      <c r="D59" s="305"/>
      <c r="E59" s="307"/>
      <c r="F59" s="299"/>
      <c r="G59" s="301"/>
      <c r="H59" s="303"/>
      <c r="I59" s="295"/>
      <c r="J59" s="311"/>
      <c r="K59" s="295">
        <f>IF(NOT(ISERROR(MATCH(J59,_xlfn.ANCHORARRAY(E66),0))),I68&amp;"Por favor no seleccionar los criterios de impacto",J59)</f>
        <v>0</v>
      </c>
      <c r="L59" s="303"/>
      <c r="M59" s="295"/>
      <c r="N59" s="297"/>
      <c r="O59" s="253"/>
      <c r="P59" s="255"/>
      <c r="Q59" s="257"/>
      <c r="R59" s="251"/>
      <c r="S59" s="251"/>
      <c r="T59" s="247"/>
      <c r="U59" s="251"/>
      <c r="V59" s="251"/>
      <c r="W59" s="251"/>
      <c r="X59" s="128" t="str">
        <f>IFERROR(IF(AND(Q58="Probabilidad",Q59="Probabilidad"),(Z58-(+Z58*T59)),IF(Q59="Probabilidad",(I58-(+I58*T59)),IF(Q59="Impacto",Z58,""))),"")</f>
        <v/>
      </c>
      <c r="Y59" s="245"/>
      <c r="Z59" s="247"/>
      <c r="AA59" s="245"/>
      <c r="AB59" s="247"/>
      <c r="AC59" s="249"/>
      <c r="AD59" s="251"/>
      <c r="AE59" s="243"/>
      <c r="AF59" s="243"/>
      <c r="AG59" s="243"/>
      <c r="AH59" s="243"/>
      <c r="AI59" s="243"/>
      <c r="AJ59" s="243"/>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row>
    <row r="60" spans="1:68" ht="18" hidden="1" customHeight="1" x14ac:dyDescent="0.3">
      <c r="A60" s="252">
        <v>8</v>
      </c>
      <c r="B60" s="242"/>
      <c r="C60" s="242"/>
      <c r="D60" s="242"/>
      <c r="E60" s="282"/>
      <c r="F60" s="242"/>
      <c r="G60" s="285"/>
      <c r="H60" s="288" t="str">
        <f>IF(G60&lt;=0,"",IF(G60&lt;=2,"Muy Baja",IF(G60&lt;=24,"Baja",IF(G60&lt;=500,"Media",IF(G60&lt;=5000,"Alta","Muy Alta")))))</f>
        <v/>
      </c>
      <c r="I60" s="274" t="str">
        <f>IF(H60="","",IF(H60="Muy Baja",0.2,IF(H60="Baja",0.4,IF(H60="Media",0.6,IF(H60="Alta",0.8,IF(H60="Muy Alta",1,))))))</f>
        <v/>
      </c>
      <c r="J60" s="291"/>
      <c r="K60" s="274">
        <f>IF(NOT(ISERROR(MATCH(J60,'Tabla Impacto'!$B$221:$B$223,0))),'Tabla Impacto'!$F$228&amp;"Por favor no seleccionar los criterios de impacto(Afectación Económica o presupuestal y Pérdida Reputacional)",J60)</f>
        <v>0</v>
      </c>
      <c r="L60" s="288" t="str">
        <f>IF(OR(K60='Tabla Impacto'!$C$11,K60='Tabla Impacto'!$D$11),"Leve",IF(OR(K60='Tabla Impacto'!$C$12,K60='Tabla Impacto'!$D$12),"Menor",IF(OR(K60='Tabla Impacto'!$C$13,K60='Tabla Impacto'!$D$13),"Moderado",IF(OR(K60='Tabla Impacto'!$C$14,K60='Tabla Impacto'!$D$14),"Mayor",IF(OR(K60='Tabla Impacto'!$C$15,K60='Tabla Impacto'!$D$15),"Catastrófico","")))))</f>
        <v/>
      </c>
      <c r="M60" s="274" t="str">
        <f>IF(L60="","",IF(L60="Leve",0.2,IF(L60="Menor",0.4,IF(L60="Moderado",0.6,IF(L60="Mayor",0.8,IF(L60="Catastrófico",1,))))))</f>
        <v/>
      </c>
      <c r="N60" s="277" t="str">
        <f>IF(OR(AND(H60="Muy Baja",L60="Leve"),AND(H60="Muy Baja",L60="Menor"),AND(H60="Baja",L60="Leve")),"Bajo",IF(OR(AND(H60="Muy baja",L60="Moderado"),AND(H60="Baja",L60="Menor"),AND(H60="Baja",L60="Moderado"),AND(H60="Media",L60="Leve"),AND(H60="Media",L60="Menor"),AND(H60="Media",L60="Moderado"),AND(H60="Alta",L60="Leve"),AND(H60="Alta",L60="Menor")),"Moderado",IF(OR(AND(H60="Muy Baja",L60="Mayor"),AND(H60="Baja",L60="Mayor"),AND(H60="Media",L60="Mayor"),AND(H60="Alta",L60="Moderado"),AND(H60="Alta",L60="Mayor"),AND(H60="Muy Alta",L60="Leve"),AND(H60="Muy Alta",L60="Menor"),AND(H60="Muy Alta",L60="Moderado"),AND(H60="Muy Alta",L60="Mayor")),"Alto",IF(OR(AND(H60="Muy Baja",L60="Catastrófico"),AND(H60="Baja",L60="Catastrófico"),AND(H60="Media",L60="Catastrófico"),AND(H60="Alta",L60="Catastrófico"),AND(H60="Muy Alta",L60="Catastrófico")),"Extremo",""))))</f>
        <v/>
      </c>
      <c r="O60" s="123">
        <v>1</v>
      </c>
      <c r="P60" s="124"/>
      <c r="Q60" s="125" t="str">
        <f>IF(OR(R60="Preventivo",R60="Detectivo"),"Probabilidad",IF(R60="Correctivo","Impacto",""))</f>
        <v/>
      </c>
      <c r="R60" s="126"/>
      <c r="S60" s="126"/>
      <c r="T60" s="127" t="str">
        <f>IF(AND(R60="Preventivo",S60="Automático"),"50%",IF(AND(R60="Preventivo",S60="Manual"),"40%",IF(AND(R60="Detectivo",S60="Automático"),"40%",IF(AND(R60="Detectivo",S60="Manual"),"30%",IF(AND(R60="Correctivo",S60="Automático"),"35%",IF(AND(R60="Correctivo",S60="Manual"),"25%",""))))))</f>
        <v/>
      </c>
      <c r="U60" s="126"/>
      <c r="V60" s="126"/>
      <c r="W60" s="126"/>
      <c r="X60" s="128" t="str">
        <f>IFERROR(IF(Q60="Probabilidad",(I60-(+I60*T60)),IF(Q60="Impacto",I60,"")),"")</f>
        <v/>
      </c>
      <c r="Y60" s="129" t="str">
        <f>IFERROR(IF(X60="","",IF(X60&lt;=0.2,"Muy Baja",IF(X60&lt;=0.4,"Baja",IF(X60&lt;=0.6,"Media",IF(X60&lt;=0.8,"Alta","Muy Alta"))))),"")</f>
        <v/>
      </c>
      <c r="Z60" s="130" t="str">
        <f>+X60</f>
        <v/>
      </c>
      <c r="AA60" s="129" t="str">
        <f>IFERROR(IF(AB60="","",IF(AB60&lt;=0.2,"Leve",IF(AB60&lt;=0.4,"Menor",IF(AB60&lt;=0.6,"Moderado",IF(AB60&lt;=0.8,"Mayor","Catastrófico"))))),"")</f>
        <v/>
      </c>
      <c r="AB60" s="130" t="str">
        <f>IFERROR(IF(Q60="Impacto",(M60-(+M60*T60)),IF(Q60="Probabilidad",M60,"")),"")</f>
        <v/>
      </c>
      <c r="AC60" s="131" t="str">
        <f>IFERROR(IF(OR(AND(Y60="Muy Baja",AA60="Leve"),AND(Y60="Muy Baja",AA60="Menor"),AND(Y60="Baja",AA60="Leve")),"Bajo",IF(OR(AND(Y60="Muy baja",AA60="Moderado"),AND(Y60="Baja",AA60="Menor"),AND(Y60="Baja",AA60="Moderado"),AND(Y60="Media",AA60="Leve"),AND(Y60="Media",AA60="Menor"),AND(Y60="Media",AA60="Moderado"),AND(Y60="Alta",AA60="Leve"),AND(Y60="Alta",AA60="Menor")),"Moderado",IF(OR(AND(Y60="Muy Baja",AA60="Mayor"),AND(Y60="Baja",AA60="Mayor"),AND(Y60="Media",AA60="Mayor"),AND(Y60="Alta",AA60="Moderado"),AND(Y60="Alta",AA60="Mayor"),AND(Y60="Muy Alta",AA60="Leve"),AND(Y60="Muy Alta",AA60="Menor"),AND(Y60="Muy Alta",AA60="Moderado"),AND(Y60="Muy Alta",AA60="Mayor")),"Alto",IF(OR(AND(Y60="Muy Baja",AA60="Catastrófico"),AND(Y60="Baja",AA60="Catastrófico"),AND(Y60="Media",AA60="Catastrófico"),AND(Y60="Alta",AA60="Catastrófico"),AND(Y60="Muy Alta",AA60="Catastrófico")),"Extremo","")))),"")</f>
        <v/>
      </c>
      <c r="AD60" s="132"/>
      <c r="AE60" s="133"/>
      <c r="AF60" s="134"/>
      <c r="AG60" s="135"/>
      <c r="AH60" s="135"/>
      <c r="AI60" s="133"/>
      <c r="AJ60" s="134"/>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row>
    <row r="61" spans="1:68" ht="18" hidden="1" customHeight="1" x14ac:dyDescent="0.3">
      <c r="A61" s="280"/>
      <c r="B61" s="281"/>
      <c r="C61" s="281"/>
      <c r="D61" s="281"/>
      <c r="E61" s="283"/>
      <c r="F61" s="281"/>
      <c r="G61" s="286"/>
      <c r="H61" s="289"/>
      <c r="I61" s="275"/>
      <c r="J61" s="292"/>
      <c r="K61" s="275">
        <f>IF(NOT(ISERROR(MATCH(J61,_xlfn.ANCHORARRAY(E72),0))),I74&amp;"Por favor no seleccionar los criterios de impacto",J61)</f>
        <v>0</v>
      </c>
      <c r="L61" s="289"/>
      <c r="M61" s="275"/>
      <c r="N61" s="278"/>
      <c r="O61" s="123">
        <v>2</v>
      </c>
      <c r="P61" s="124"/>
      <c r="Q61" s="125" t="str">
        <f>IF(OR(R61="Preventivo",R61="Detectivo"),"Probabilidad",IF(R61="Correctivo","Impacto",""))</f>
        <v/>
      </c>
      <c r="R61" s="126"/>
      <c r="S61" s="126"/>
      <c r="T61" s="127" t="str">
        <f t="shared" ref="T61:T65" si="45">IF(AND(R61="Preventivo",S61="Automático"),"50%",IF(AND(R61="Preventivo",S61="Manual"),"40%",IF(AND(R61="Detectivo",S61="Automático"),"40%",IF(AND(R61="Detectivo",S61="Manual"),"30%",IF(AND(R61="Correctivo",S61="Automático"),"35%",IF(AND(R61="Correctivo",S61="Manual"),"25%",""))))))</f>
        <v/>
      </c>
      <c r="U61" s="126"/>
      <c r="V61" s="126"/>
      <c r="W61" s="126"/>
      <c r="X61" s="128" t="str">
        <f>IFERROR(IF(AND(Q60="Probabilidad",Q61="Probabilidad"),(Z60-(+Z60*T61)),IF(Q61="Probabilidad",(I60-(+I60*T61)),IF(Q61="Impacto",Z60,""))),"")</f>
        <v/>
      </c>
      <c r="Y61" s="129" t="str">
        <f t="shared" si="1"/>
        <v/>
      </c>
      <c r="Z61" s="130" t="str">
        <f t="shared" ref="Z61:Z65" si="46">+X61</f>
        <v/>
      </c>
      <c r="AA61" s="129" t="str">
        <f t="shared" si="3"/>
        <v/>
      </c>
      <c r="AB61" s="130" t="str">
        <f>IFERROR(IF(AND(Q60="Impacto",Q61="Impacto"),(AB60-(+AB60*T61)),IF(Q61="Impacto",(M60-(+M60*T61)),IF(Q61="Probabilidad",AB60,""))),"")</f>
        <v/>
      </c>
      <c r="AC61" s="131" t="str">
        <f t="shared" ref="AC61:AC62" si="47">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32"/>
      <c r="AE61" s="133"/>
      <c r="AF61" s="134"/>
      <c r="AG61" s="135"/>
      <c r="AH61" s="135"/>
      <c r="AI61" s="133"/>
      <c r="AJ61" s="134"/>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row>
    <row r="62" spans="1:68" ht="18" hidden="1" customHeight="1" x14ac:dyDescent="0.3">
      <c r="A62" s="280"/>
      <c r="B62" s="281"/>
      <c r="C62" s="281"/>
      <c r="D62" s="281"/>
      <c r="E62" s="283"/>
      <c r="F62" s="281"/>
      <c r="G62" s="286"/>
      <c r="H62" s="289"/>
      <c r="I62" s="275"/>
      <c r="J62" s="292"/>
      <c r="K62" s="275">
        <f>IF(NOT(ISERROR(MATCH(J62,_xlfn.ANCHORARRAY(E73),0))),I75&amp;"Por favor no seleccionar los criterios de impacto",J62)</f>
        <v>0</v>
      </c>
      <c r="L62" s="289"/>
      <c r="M62" s="275"/>
      <c r="N62" s="278"/>
      <c r="O62" s="123">
        <v>3</v>
      </c>
      <c r="P62" s="136"/>
      <c r="Q62" s="125" t="str">
        <f>IF(OR(R62="Preventivo",R62="Detectivo"),"Probabilidad",IF(R62="Correctivo","Impacto",""))</f>
        <v/>
      </c>
      <c r="R62" s="126"/>
      <c r="S62" s="126"/>
      <c r="T62" s="127" t="str">
        <f t="shared" si="45"/>
        <v/>
      </c>
      <c r="U62" s="126"/>
      <c r="V62" s="126"/>
      <c r="W62" s="126"/>
      <c r="X62" s="128" t="str">
        <f>IFERROR(IF(AND(Q61="Probabilidad",Q62="Probabilidad"),(Z61-(+Z61*T62)),IF(AND(Q61="Impacto",Q62="Probabilidad"),(Z60-(+Z60*T62)),IF(Q62="Impacto",Z61,""))),"")</f>
        <v/>
      </c>
      <c r="Y62" s="129" t="str">
        <f t="shared" si="1"/>
        <v/>
      </c>
      <c r="Z62" s="130" t="str">
        <f t="shared" si="46"/>
        <v/>
      </c>
      <c r="AA62" s="129" t="str">
        <f t="shared" si="3"/>
        <v/>
      </c>
      <c r="AB62" s="130" t="str">
        <f>IFERROR(IF(AND(Q61="Impacto",Q62="Impacto"),(AB61-(+AB61*T62)),IF(AND(Q61="Probabilidad",Q62="Impacto"),(AB60-(+AB60*T62)),IF(Q62="Probabilidad",AB61,""))),"")</f>
        <v/>
      </c>
      <c r="AC62" s="131" t="str">
        <f t="shared" si="47"/>
        <v/>
      </c>
      <c r="AD62" s="132"/>
      <c r="AE62" s="133"/>
      <c r="AF62" s="134"/>
      <c r="AG62" s="135"/>
      <c r="AH62" s="135"/>
      <c r="AI62" s="133"/>
      <c r="AJ62" s="134"/>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row>
    <row r="63" spans="1:68" ht="18" hidden="1" customHeight="1" x14ac:dyDescent="0.3">
      <c r="A63" s="280"/>
      <c r="B63" s="281"/>
      <c r="C63" s="281"/>
      <c r="D63" s="281"/>
      <c r="E63" s="283"/>
      <c r="F63" s="281"/>
      <c r="G63" s="286"/>
      <c r="H63" s="289"/>
      <c r="I63" s="275"/>
      <c r="J63" s="292"/>
      <c r="K63" s="275">
        <f>IF(NOT(ISERROR(MATCH(J63,_xlfn.ANCHORARRAY(E74),0))),I76&amp;"Por favor no seleccionar los criterios de impacto",J63)</f>
        <v>0</v>
      </c>
      <c r="L63" s="289"/>
      <c r="M63" s="275"/>
      <c r="N63" s="278"/>
      <c r="O63" s="123">
        <v>4</v>
      </c>
      <c r="P63" s="124"/>
      <c r="Q63" s="125" t="str">
        <f t="shared" ref="Q63:Q65" si="48">IF(OR(R63="Preventivo",R63="Detectivo"),"Probabilidad",IF(R63="Correctivo","Impacto",""))</f>
        <v/>
      </c>
      <c r="R63" s="126"/>
      <c r="S63" s="126"/>
      <c r="T63" s="127" t="str">
        <f t="shared" si="45"/>
        <v/>
      </c>
      <c r="U63" s="126"/>
      <c r="V63" s="126"/>
      <c r="W63" s="126"/>
      <c r="X63" s="128" t="str">
        <f t="shared" ref="X63:X65" si="49">IFERROR(IF(AND(Q62="Probabilidad",Q63="Probabilidad"),(Z62-(+Z62*T63)),IF(AND(Q62="Impacto",Q63="Probabilidad"),(Z61-(+Z61*T63)),IF(Q63="Impacto",Z62,""))),"")</f>
        <v/>
      </c>
      <c r="Y63" s="129" t="str">
        <f t="shared" si="1"/>
        <v/>
      </c>
      <c r="Z63" s="130" t="str">
        <f t="shared" si="46"/>
        <v/>
      </c>
      <c r="AA63" s="129" t="str">
        <f t="shared" si="3"/>
        <v/>
      </c>
      <c r="AB63" s="130" t="str">
        <f t="shared" ref="AB63:AB65" si="50">IFERROR(IF(AND(Q62="Impacto",Q63="Impacto"),(AB62-(+AB62*T63)),IF(AND(Q62="Probabilidad",Q63="Impacto"),(AB61-(+AB61*T63)),IF(Q63="Probabilidad",AB62,""))),"")</f>
        <v/>
      </c>
      <c r="AC63" s="131" t="str">
        <f>IFERROR(IF(OR(AND(Y63="Muy Baja",AA63="Leve"),AND(Y63="Muy Baja",AA63="Menor"),AND(Y63="Baja",AA63="Leve")),"Bajo",IF(OR(AND(Y63="Muy baja",AA63="Moderado"),AND(Y63="Baja",AA63="Menor"),AND(Y63="Baja",AA63="Moderado"),AND(Y63="Media",AA63="Leve"),AND(Y63="Media",AA63="Menor"),AND(Y63="Media",AA63="Moderado"),AND(Y63="Alta",AA63="Leve"),AND(Y63="Alta",AA63="Menor")),"Moderado",IF(OR(AND(Y63="Muy Baja",AA63="Mayor"),AND(Y63="Baja",AA63="Mayor"),AND(Y63="Media",AA63="Mayor"),AND(Y63="Alta",AA63="Moderado"),AND(Y63="Alta",AA63="Mayor"),AND(Y63="Muy Alta",AA63="Leve"),AND(Y63="Muy Alta",AA63="Menor"),AND(Y63="Muy Alta",AA63="Moderado"),AND(Y63="Muy Alta",AA63="Mayor")),"Alto",IF(OR(AND(Y63="Muy Baja",AA63="Catastrófico"),AND(Y63="Baja",AA63="Catastrófico"),AND(Y63="Media",AA63="Catastrófico"),AND(Y63="Alta",AA63="Catastrófico"),AND(Y63="Muy Alta",AA63="Catastrófico")),"Extremo","")))),"")</f>
        <v/>
      </c>
      <c r="AD63" s="132"/>
      <c r="AE63" s="133"/>
      <c r="AF63" s="134"/>
      <c r="AG63" s="135"/>
      <c r="AH63" s="135"/>
      <c r="AI63" s="133"/>
      <c r="AJ63" s="134"/>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row>
    <row r="64" spans="1:68" ht="18" hidden="1" customHeight="1" x14ac:dyDescent="0.3">
      <c r="A64" s="280"/>
      <c r="B64" s="281"/>
      <c r="C64" s="281"/>
      <c r="D64" s="281"/>
      <c r="E64" s="283"/>
      <c r="F64" s="281"/>
      <c r="G64" s="286"/>
      <c r="H64" s="289"/>
      <c r="I64" s="275"/>
      <c r="J64" s="292"/>
      <c r="K64" s="275">
        <f>IF(NOT(ISERROR(MATCH(J64,_xlfn.ANCHORARRAY(E75),0))),I77&amp;"Por favor no seleccionar los criterios de impacto",J64)</f>
        <v>0</v>
      </c>
      <c r="L64" s="289"/>
      <c r="M64" s="275"/>
      <c r="N64" s="278"/>
      <c r="O64" s="123">
        <v>5</v>
      </c>
      <c r="P64" s="124"/>
      <c r="Q64" s="125" t="str">
        <f t="shared" si="48"/>
        <v/>
      </c>
      <c r="R64" s="126"/>
      <c r="S64" s="126"/>
      <c r="T64" s="127" t="str">
        <f t="shared" si="45"/>
        <v/>
      </c>
      <c r="U64" s="126"/>
      <c r="V64" s="126"/>
      <c r="W64" s="126"/>
      <c r="X64" s="128" t="str">
        <f t="shared" si="49"/>
        <v/>
      </c>
      <c r="Y64" s="129" t="str">
        <f t="shared" si="1"/>
        <v/>
      </c>
      <c r="Z64" s="130" t="str">
        <f t="shared" si="46"/>
        <v/>
      </c>
      <c r="AA64" s="129" t="str">
        <f t="shared" si="3"/>
        <v/>
      </c>
      <c r="AB64" s="130" t="str">
        <f t="shared" si="50"/>
        <v/>
      </c>
      <c r="AC64" s="131" t="str">
        <f t="shared" ref="AC64:AC65" si="51">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32"/>
      <c r="AE64" s="133"/>
      <c r="AF64" s="134"/>
      <c r="AG64" s="135"/>
      <c r="AH64" s="135"/>
      <c r="AI64" s="133"/>
      <c r="AJ64" s="134"/>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row>
    <row r="65" spans="1:68" ht="18" hidden="1" customHeight="1" x14ac:dyDescent="0.3">
      <c r="A65" s="253"/>
      <c r="B65" s="243"/>
      <c r="C65" s="243"/>
      <c r="D65" s="243"/>
      <c r="E65" s="284"/>
      <c r="F65" s="243"/>
      <c r="G65" s="287"/>
      <c r="H65" s="290"/>
      <c r="I65" s="276"/>
      <c r="J65" s="293"/>
      <c r="K65" s="276">
        <f>IF(NOT(ISERROR(MATCH(J65,_xlfn.ANCHORARRAY(E76),0))),I78&amp;"Por favor no seleccionar los criterios de impacto",J65)</f>
        <v>0</v>
      </c>
      <c r="L65" s="290"/>
      <c r="M65" s="276"/>
      <c r="N65" s="279"/>
      <c r="O65" s="123">
        <v>6</v>
      </c>
      <c r="P65" s="124"/>
      <c r="Q65" s="125" t="str">
        <f t="shared" si="48"/>
        <v/>
      </c>
      <c r="R65" s="126"/>
      <c r="S65" s="126"/>
      <c r="T65" s="127" t="str">
        <f t="shared" si="45"/>
        <v/>
      </c>
      <c r="U65" s="126"/>
      <c r="V65" s="126"/>
      <c r="W65" s="126"/>
      <c r="X65" s="128" t="str">
        <f t="shared" si="49"/>
        <v/>
      </c>
      <c r="Y65" s="129" t="str">
        <f t="shared" si="1"/>
        <v/>
      </c>
      <c r="Z65" s="130" t="str">
        <f t="shared" si="46"/>
        <v/>
      </c>
      <c r="AA65" s="129" t="str">
        <f t="shared" si="3"/>
        <v/>
      </c>
      <c r="AB65" s="130" t="str">
        <f t="shared" si="50"/>
        <v/>
      </c>
      <c r="AC65" s="131" t="str">
        <f t="shared" si="51"/>
        <v/>
      </c>
      <c r="AD65" s="132"/>
      <c r="AE65" s="133"/>
      <c r="AF65" s="134"/>
      <c r="AG65" s="135"/>
      <c r="AH65" s="135"/>
      <c r="AI65" s="133"/>
      <c r="AJ65" s="134"/>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row>
    <row r="66" spans="1:68" ht="18" hidden="1" customHeight="1" x14ac:dyDescent="0.3">
      <c r="A66" s="252">
        <v>9</v>
      </c>
      <c r="B66" s="242"/>
      <c r="C66" s="242"/>
      <c r="D66" s="242"/>
      <c r="E66" s="282"/>
      <c r="F66" s="242"/>
      <c r="G66" s="285"/>
      <c r="H66" s="288" t="str">
        <f>IF(G66&lt;=0,"",IF(G66&lt;=2,"Muy Baja",IF(G66&lt;=24,"Baja",IF(G66&lt;=500,"Media",IF(G66&lt;=5000,"Alta","Muy Alta")))))</f>
        <v/>
      </c>
      <c r="I66" s="274" t="str">
        <f>IF(H66="","",IF(H66="Muy Baja",0.2,IF(H66="Baja",0.4,IF(H66="Media",0.6,IF(H66="Alta",0.8,IF(H66="Muy Alta",1,))))))</f>
        <v/>
      </c>
      <c r="J66" s="291"/>
      <c r="K66" s="274">
        <f>IF(NOT(ISERROR(MATCH(J66,'Tabla Impacto'!$B$221:$B$223,0))),'Tabla Impacto'!$F$228&amp;"Por favor no seleccionar los criterios de impacto(Afectación Económica o presupuestal y Pérdida Reputacional)",J66)</f>
        <v>0</v>
      </c>
      <c r="L66" s="288" t="str">
        <f>IF(OR(K66='Tabla Impacto'!$C$11,K66='Tabla Impacto'!$D$11),"Leve",IF(OR(K66='Tabla Impacto'!$C$12,K66='Tabla Impacto'!$D$12),"Menor",IF(OR(K66='Tabla Impacto'!$C$13,K66='Tabla Impacto'!$D$13),"Moderado",IF(OR(K66='Tabla Impacto'!$C$14,K66='Tabla Impacto'!$D$14),"Mayor",IF(OR(K66='Tabla Impacto'!$C$15,K66='Tabla Impacto'!$D$15),"Catastrófico","")))))</f>
        <v/>
      </c>
      <c r="M66" s="274" t="str">
        <f>IF(L66="","",IF(L66="Leve",0.2,IF(L66="Menor",0.4,IF(L66="Moderado",0.6,IF(L66="Mayor",0.8,IF(L66="Catastrófico",1,))))))</f>
        <v/>
      </c>
      <c r="N66" s="277" t="str">
        <f>IF(OR(AND(H66="Muy Baja",L66="Leve"),AND(H66="Muy Baja",L66="Menor"),AND(H66="Baja",L66="Leve")),"Bajo",IF(OR(AND(H66="Muy baja",L66="Moderado"),AND(H66="Baja",L66="Menor"),AND(H66="Baja",L66="Moderado"),AND(H66="Media",L66="Leve"),AND(H66="Media",L66="Menor"),AND(H66="Media",L66="Moderado"),AND(H66="Alta",L66="Leve"),AND(H66="Alta",L66="Menor")),"Moderado",IF(OR(AND(H66="Muy Baja",L66="Mayor"),AND(H66="Baja",L66="Mayor"),AND(H66="Media",L66="Mayor"),AND(H66="Alta",L66="Moderado"),AND(H66="Alta",L66="Mayor"),AND(H66="Muy Alta",L66="Leve"),AND(H66="Muy Alta",L66="Menor"),AND(H66="Muy Alta",L66="Moderado"),AND(H66="Muy Alta",L66="Mayor")),"Alto",IF(OR(AND(H66="Muy Baja",L66="Catastrófico"),AND(H66="Baja",L66="Catastrófico"),AND(H66="Media",L66="Catastrófico"),AND(H66="Alta",L66="Catastrófico"),AND(H66="Muy Alta",L66="Catastrófico")),"Extremo",""))))</f>
        <v/>
      </c>
      <c r="O66" s="123">
        <v>1</v>
      </c>
      <c r="P66" s="124"/>
      <c r="Q66" s="125" t="str">
        <f>IF(OR(R66="Preventivo",R66="Detectivo"),"Probabilidad",IF(R66="Correctivo","Impacto",""))</f>
        <v/>
      </c>
      <c r="R66" s="126"/>
      <c r="S66" s="126"/>
      <c r="T66" s="127" t="str">
        <f>IF(AND(R66="Preventivo",S66="Automático"),"50%",IF(AND(R66="Preventivo",S66="Manual"),"40%",IF(AND(R66="Detectivo",S66="Automático"),"40%",IF(AND(R66="Detectivo",S66="Manual"),"30%",IF(AND(R66="Correctivo",S66="Automático"),"35%",IF(AND(R66="Correctivo",S66="Manual"),"25%",""))))))</f>
        <v/>
      </c>
      <c r="U66" s="126"/>
      <c r="V66" s="126"/>
      <c r="W66" s="126"/>
      <c r="X66" s="128" t="str">
        <f>IFERROR(IF(Q66="Probabilidad",(I66-(+I66*T66)),IF(Q66="Impacto",I66,"")),"")</f>
        <v/>
      </c>
      <c r="Y66" s="129" t="str">
        <f>IFERROR(IF(X66="","",IF(X66&lt;=0.2,"Muy Baja",IF(X66&lt;=0.4,"Baja",IF(X66&lt;=0.6,"Media",IF(X66&lt;=0.8,"Alta","Muy Alta"))))),"")</f>
        <v/>
      </c>
      <c r="Z66" s="130" t="str">
        <f>+X66</f>
        <v/>
      </c>
      <c r="AA66" s="129" t="str">
        <f>IFERROR(IF(AB66="","",IF(AB66&lt;=0.2,"Leve",IF(AB66&lt;=0.4,"Menor",IF(AB66&lt;=0.6,"Moderado",IF(AB66&lt;=0.8,"Mayor","Catastrófico"))))),"")</f>
        <v/>
      </c>
      <c r="AB66" s="130" t="str">
        <f>IFERROR(IF(Q66="Impacto",(M66-(+M66*T66)),IF(Q66="Probabilidad",M66,"")),"")</f>
        <v/>
      </c>
      <c r="AC66" s="131" t="str">
        <f>IFERROR(IF(OR(AND(Y66="Muy Baja",AA66="Leve"),AND(Y66="Muy Baja",AA66="Menor"),AND(Y66="Baja",AA66="Leve")),"Bajo",IF(OR(AND(Y66="Muy baja",AA66="Moderado"),AND(Y66="Baja",AA66="Menor"),AND(Y66="Baja",AA66="Moderado"),AND(Y66="Media",AA66="Leve"),AND(Y66="Media",AA66="Menor"),AND(Y66="Media",AA66="Moderado"),AND(Y66="Alta",AA66="Leve"),AND(Y66="Alta",AA66="Menor")),"Moderado",IF(OR(AND(Y66="Muy Baja",AA66="Mayor"),AND(Y66="Baja",AA66="Mayor"),AND(Y66="Media",AA66="Mayor"),AND(Y66="Alta",AA66="Moderado"),AND(Y66="Alta",AA66="Mayor"),AND(Y66="Muy Alta",AA66="Leve"),AND(Y66="Muy Alta",AA66="Menor"),AND(Y66="Muy Alta",AA66="Moderado"),AND(Y66="Muy Alta",AA66="Mayor")),"Alto",IF(OR(AND(Y66="Muy Baja",AA66="Catastrófico"),AND(Y66="Baja",AA66="Catastrófico"),AND(Y66="Media",AA66="Catastrófico"),AND(Y66="Alta",AA66="Catastrófico"),AND(Y66="Muy Alta",AA66="Catastrófico")),"Extremo","")))),"")</f>
        <v/>
      </c>
      <c r="AD66" s="132"/>
      <c r="AE66" s="133"/>
      <c r="AF66" s="134"/>
      <c r="AG66" s="135"/>
      <c r="AH66" s="135"/>
      <c r="AI66" s="133"/>
      <c r="AJ66" s="134"/>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row>
    <row r="67" spans="1:68" ht="18" hidden="1" customHeight="1" x14ac:dyDescent="0.3">
      <c r="A67" s="280"/>
      <c r="B67" s="281"/>
      <c r="C67" s="281"/>
      <c r="D67" s="281"/>
      <c r="E67" s="283"/>
      <c r="F67" s="281"/>
      <c r="G67" s="286"/>
      <c r="H67" s="289"/>
      <c r="I67" s="275"/>
      <c r="J67" s="292"/>
      <c r="K67" s="275">
        <f>IF(NOT(ISERROR(MATCH(J67,_xlfn.ANCHORARRAY(E78),0))),I80&amp;"Por favor no seleccionar los criterios de impacto",J67)</f>
        <v>0</v>
      </c>
      <c r="L67" s="289"/>
      <c r="M67" s="275"/>
      <c r="N67" s="278"/>
      <c r="O67" s="123">
        <v>2</v>
      </c>
      <c r="P67" s="124"/>
      <c r="Q67" s="125" t="str">
        <f>IF(OR(R67="Preventivo",R67="Detectivo"),"Probabilidad",IF(R67="Correctivo","Impacto",""))</f>
        <v/>
      </c>
      <c r="R67" s="126"/>
      <c r="S67" s="126"/>
      <c r="T67" s="127" t="str">
        <f t="shared" ref="T67:T71" si="52">IF(AND(R67="Preventivo",S67="Automático"),"50%",IF(AND(R67="Preventivo",S67="Manual"),"40%",IF(AND(R67="Detectivo",S67="Automático"),"40%",IF(AND(R67="Detectivo",S67="Manual"),"30%",IF(AND(R67="Correctivo",S67="Automático"),"35%",IF(AND(R67="Correctivo",S67="Manual"),"25%",""))))))</f>
        <v/>
      </c>
      <c r="U67" s="126"/>
      <c r="V67" s="126"/>
      <c r="W67" s="126"/>
      <c r="X67" s="128" t="str">
        <f>IFERROR(IF(AND(Q66="Probabilidad",Q67="Probabilidad"),(Z66-(+Z66*T67)),IF(Q67="Probabilidad",(I66-(+I66*T67)),IF(Q67="Impacto",Z66,""))),"")</f>
        <v/>
      </c>
      <c r="Y67" s="129" t="str">
        <f t="shared" si="1"/>
        <v/>
      </c>
      <c r="Z67" s="130" t="str">
        <f t="shared" ref="Z67:Z71" si="53">+X67</f>
        <v/>
      </c>
      <c r="AA67" s="129" t="str">
        <f t="shared" si="3"/>
        <v/>
      </c>
      <c r="AB67" s="130" t="str">
        <f>IFERROR(IF(AND(Q66="Impacto",Q67="Impacto"),(AB66-(+AB66*T67)),IF(Q67="Impacto",(M66-(+M66*T67)),IF(Q67="Probabilidad",AB66,""))),"")</f>
        <v/>
      </c>
      <c r="AC67" s="131" t="str">
        <f t="shared" ref="AC67:AC68" si="54">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32"/>
      <c r="AE67" s="133"/>
      <c r="AF67" s="134"/>
      <c r="AG67" s="135"/>
      <c r="AH67" s="135"/>
      <c r="AI67" s="133"/>
      <c r="AJ67" s="134"/>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row>
    <row r="68" spans="1:68" ht="18" hidden="1" customHeight="1" x14ac:dyDescent="0.3">
      <c r="A68" s="280"/>
      <c r="B68" s="281"/>
      <c r="C68" s="281"/>
      <c r="D68" s="281"/>
      <c r="E68" s="283"/>
      <c r="F68" s="281"/>
      <c r="G68" s="286"/>
      <c r="H68" s="289"/>
      <c r="I68" s="275"/>
      <c r="J68" s="292"/>
      <c r="K68" s="275">
        <f>IF(NOT(ISERROR(MATCH(J68,_xlfn.ANCHORARRAY(E79),0))),I81&amp;"Por favor no seleccionar los criterios de impacto",J68)</f>
        <v>0</v>
      </c>
      <c r="L68" s="289"/>
      <c r="M68" s="275"/>
      <c r="N68" s="278"/>
      <c r="O68" s="123">
        <v>3</v>
      </c>
      <c r="P68" s="136"/>
      <c r="Q68" s="125" t="str">
        <f>IF(OR(R68="Preventivo",R68="Detectivo"),"Probabilidad",IF(R68="Correctivo","Impacto",""))</f>
        <v/>
      </c>
      <c r="R68" s="126"/>
      <c r="S68" s="126"/>
      <c r="T68" s="127" t="str">
        <f t="shared" si="52"/>
        <v/>
      </c>
      <c r="U68" s="126"/>
      <c r="V68" s="126"/>
      <c r="W68" s="126"/>
      <c r="X68" s="128" t="str">
        <f>IFERROR(IF(AND(Q67="Probabilidad",Q68="Probabilidad"),(Z67-(+Z67*T68)),IF(AND(Q67="Impacto",Q68="Probabilidad"),(Z66-(+Z66*T68)),IF(Q68="Impacto",Z67,""))),"")</f>
        <v/>
      </c>
      <c r="Y68" s="129" t="str">
        <f t="shared" si="1"/>
        <v/>
      </c>
      <c r="Z68" s="130" t="str">
        <f t="shared" si="53"/>
        <v/>
      </c>
      <c r="AA68" s="129" t="str">
        <f t="shared" si="3"/>
        <v/>
      </c>
      <c r="AB68" s="130" t="str">
        <f>IFERROR(IF(AND(Q67="Impacto",Q68="Impacto"),(AB67-(+AB67*T68)),IF(AND(Q67="Probabilidad",Q68="Impacto"),(AB66-(+AB66*T68)),IF(Q68="Probabilidad",AB67,""))),"")</f>
        <v/>
      </c>
      <c r="AC68" s="131" t="str">
        <f t="shared" si="54"/>
        <v/>
      </c>
      <c r="AD68" s="132"/>
      <c r="AE68" s="133"/>
      <c r="AF68" s="134"/>
      <c r="AG68" s="135"/>
      <c r="AH68" s="135"/>
      <c r="AI68" s="133"/>
      <c r="AJ68" s="134"/>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row>
    <row r="69" spans="1:68" ht="18" hidden="1" customHeight="1" x14ac:dyDescent="0.3">
      <c r="A69" s="280"/>
      <c r="B69" s="281"/>
      <c r="C69" s="281"/>
      <c r="D69" s="281"/>
      <c r="E69" s="283"/>
      <c r="F69" s="281"/>
      <c r="G69" s="286"/>
      <c r="H69" s="289"/>
      <c r="I69" s="275"/>
      <c r="J69" s="292"/>
      <c r="K69" s="275">
        <f>IF(NOT(ISERROR(MATCH(J69,_xlfn.ANCHORARRAY(E80),0))),I82&amp;"Por favor no seleccionar los criterios de impacto",J69)</f>
        <v>0</v>
      </c>
      <c r="L69" s="289"/>
      <c r="M69" s="275"/>
      <c r="N69" s="278"/>
      <c r="O69" s="123">
        <v>4</v>
      </c>
      <c r="P69" s="124"/>
      <c r="Q69" s="125" t="str">
        <f t="shared" ref="Q69:Q71" si="55">IF(OR(R69="Preventivo",R69="Detectivo"),"Probabilidad",IF(R69="Correctivo","Impacto",""))</f>
        <v/>
      </c>
      <c r="R69" s="126"/>
      <c r="S69" s="126"/>
      <c r="T69" s="127" t="str">
        <f t="shared" si="52"/>
        <v/>
      </c>
      <c r="U69" s="126"/>
      <c r="V69" s="126"/>
      <c r="W69" s="126"/>
      <c r="X69" s="128" t="str">
        <f t="shared" ref="X69:X71" si="56">IFERROR(IF(AND(Q68="Probabilidad",Q69="Probabilidad"),(Z68-(+Z68*T69)),IF(AND(Q68="Impacto",Q69="Probabilidad"),(Z67-(+Z67*T69)),IF(Q69="Impacto",Z68,""))),"")</f>
        <v/>
      </c>
      <c r="Y69" s="129" t="str">
        <f t="shared" si="1"/>
        <v/>
      </c>
      <c r="Z69" s="130" t="str">
        <f t="shared" si="53"/>
        <v/>
      </c>
      <c r="AA69" s="129" t="str">
        <f t="shared" si="3"/>
        <v/>
      </c>
      <c r="AB69" s="130" t="str">
        <f t="shared" ref="AB69:AB71" si="57">IFERROR(IF(AND(Q68="Impacto",Q69="Impacto"),(AB68-(+AB68*T69)),IF(AND(Q68="Probabilidad",Q69="Impacto"),(AB67-(+AB67*T69)),IF(Q69="Probabilidad",AB68,""))),"")</f>
        <v/>
      </c>
      <c r="AC69" s="131" t="str">
        <f>IFERROR(IF(OR(AND(Y69="Muy Baja",AA69="Leve"),AND(Y69="Muy Baja",AA69="Menor"),AND(Y69="Baja",AA69="Leve")),"Bajo",IF(OR(AND(Y69="Muy baja",AA69="Moderado"),AND(Y69="Baja",AA69="Menor"),AND(Y69="Baja",AA69="Moderado"),AND(Y69="Media",AA69="Leve"),AND(Y69="Media",AA69="Menor"),AND(Y69="Media",AA69="Moderado"),AND(Y69="Alta",AA69="Leve"),AND(Y69="Alta",AA69="Menor")),"Moderado",IF(OR(AND(Y69="Muy Baja",AA69="Mayor"),AND(Y69="Baja",AA69="Mayor"),AND(Y69="Media",AA69="Mayor"),AND(Y69="Alta",AA69="Moderado"),AND(Y69="Alta",AA69="Mayor"),AND(Y69="Muy Alta",AA69="Leve"),AND(Y69="Muy Alta",AA69="Menor"),AND(Y69="Muy Alta",AA69="Moderado"),AND(Y69="Muy Alta",AA69="Mayor")),"Alto",IF(OR(AND(Y69="Muy Baja",AA69="Catastrófico"),AND(Y69="Baja",AA69="Catastrófico"),AND(Y69="Media",AA69="Catastrófico"),AND(Y69="Alta",AA69="Catastrófico"),AND(Y69="Muy Alta",AA69="Catastrófico")),"Extremo","")))),"")</f>
        <v/>
      </c>
      <c r="AD69" s="132"/>
      <c r="AE69" s="133"/>
      <c r="AF69" s="134"/>
      <c r="AG69" s="135"/>
      <c r="AH69" s="135"/>
      <c r="AI69" s="133"/>
      <c r="AJ69" s="134"/>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row>
    <row r="70" spans="1:68" ht="18" hidden="1" customHeight="1" x14ac:dyDescent="0.3">
      <c r="A70" s="280"/>
      <c r="B70" s="281"/>
      <c r="C70" s="281"/>
      <c r="D70" s="281"/>
      <c r="E70" s="283"/>
      <c r="F70" s="281"/>
      <c r="G70" s="286"/>
      <c r="H70" s="289"/>
      <c r="I70" s="275"/>
      <c r="J70" s="292"/>
      <c r="K70" s="275">
        <f>IF(NOT(ISERROR(MATCH(J70,_xlfn.ANCHORARRAY(E81),0))),I83&amp;"Por favor no seleccionar los criterios de impacto",J70)</f>
        <v>0</v>
      </c>
      <c r="L70" s="289"/>
      <c r="M70" s="275"/>
      <c r="N70" s="278"/>
      <c r="O70" s="123">
        <v>5</v>
      </c>
      <c r="P70" s="124"/>
      <c r="Q70" s="125" t="str">
        <f t="shared" si="55"/>
        <v/>
      </c>
      <c r="R70" s="126"/>
      <c r="S70" s="126"/>
      <c r="T70" s="127" t="str">
        <f t="shared" si="52"/>
        <v/>
      </c>
      <c r="U70" s="126"/>
      <c r="V70" s="126"/>
      <c r="W70" s="126"/>
      <c r="X70" s="128" t="str">
        <f t="shared" si="56"/>
        <v/>
      </c>
      <c r="Y70" s="129" t="str">
        <f t="shared" si="1"/>
        <v/>
      </c>
      <c r="Z70" s="130" t="str">
        <f t="shared" si="53"/>
        <v/>
      </c>
      <c r="AA70" s="129" t="str">
        <f t="shared" si="3"/>
        <v/>
      </c>
      <c r="AB70" s="130" t="str">
        <f t="shared" si="57"/>
        <v/>
      </c>
      <c r="AC70" s="131" t="str">
        <f t="shared" ref="AC70:AC71" si="58">IFERROR(IF(OR(AND(Y70="Muy Baja",AA70="Leve"),AND(Y70="Muy Baja",AA70="Menor"),AND(Y70="Baja",AA70="Leve")),"Bajo",IF(OR(AND(Y70="Muy baja",AA70="Moderado"),AND(Y70="Baja",AA70="Menor"),AND(Y70="Baja",AA70="Moderado"),AND(Y70="Media",AA70="Leve"),AND(Y70="Media",AA70="Menor"),AND(Y70="Media",AA70="Moderado"),AND(Y70="Alta",AA70="Leve"),AND(Y70="Alta",AA70="Menor")),"Moderado",IF(OR(AND(Y70="Muy Baja",AA70="Mayor"),AND(Y70="Baja",AA70="Mayor"),AND(Y70="Media",AA70="Mayor"),AND(Y70="Alta",AA70="Moderado"),AND(Y70="Alta",AA70="Mayor"),AND(Y70="Muy Alta",AA70="Leve"),AND(Y70="Muy Alta",AA70="Menor"),AND(Y70="Muy Alta",AA70="Moderado"),AND(Y70="Muy Alta",AA70="Mayor")),"Alto",IF(OR(AND(Y70="Muy Baja",AA70="Catastrófico"),AND(Y70="Baja",AA70="Catastrófico"),AND(Y70="Media",AA70="Catastrófico"),AND(Y70="Alta",AA70="Catastrófico"),AND(Y70="Muy Alta",AA70="Catastrófico")),"Extremo","")))),"")</f>
        <v/>
      </c>
      <c r="AD70" s="132"/>
      <c r="AE70" s="133"/>
      <c r="AF70" s="134"/>
      <c r="AG70" s="135"/>
      <c r="AH70" s="135"/>
      <c r="AI70" s="133"/>
      <c r="AJ70" s="134"/>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row>
    <row r="71" spans="1:68" ht="18" hidden="1" customHeight="1" x14ac:dyDescent="0.3">
      <c r="A71" s="253"/>
      <c r="B71" s="243"/>
      <c r="C71" s="243"/>
      <c r="D71" s="243"/>
      <c r="E71" s="284"/>
      <c r="F71" s="243"/>
      <c r="G71" s="287"/>
      <c r="H71" s="290"/>
      <c r="I71" s="276"/>
      <c r="J71" s="293"/>
      <c r="K71" s="276">
        <f>IF(NOT(ISERROR(MATCH(J71,_xlfn.ANCHORARRAY(E82),0))),I84&amp;"Por favor no seleccionar los criterios de impacto",J71)</f>
        <v>0</v>
      </c>
      <c r="L71" s="290"/>
      <c r="M71" s="276"/>
      <c r="N71" s="279"/>
      <c r="O71" s="123">
        <v>6</v>
      </c>
      <c r="P71" s="124"/>
      <c r="Q71" s="125" t="str">
        <f t="shared" si="55"/>
        <v/>
      </c>
      <c r="R71" s="126"/>
      <c r="S71" s="126"/>
      <c r="T71" s="127" t="str">
        <f t="shared" si="52"/>
        <v/>
      </c>
      <c r="U71" s="126"/>
      <c r="V71" s="126"/>
      <c r="W71" s="126"/>
      <c r="X71" s="128" t="str">
        <f t="shared" si="56"/>
        <v/>
      </c>
      <c r="Y71" s="129" t="str">
        <f t="shared" si="1"/>
        <v/>
      </c>
      <c r="Z71" s="130" t="str">
        <f t="shared" si="53"/>
        <v/>
      </c>
      <c r="AA71" s="129" t="str">
        <f t="shared" si="3"/>
        <v/>
      </c>
      <c r="AB71" s="130" t="str">
        <f t="shared" si="57"/>
        <v/>
      </c>
      <c r="AC71" s="131" t="str">
        <f t="shared" si="58"/>
        <v/>
      </c>
      <c r="AD71" s="132"/>
      <c r="AE71" s="133"/>
      <c r="AF71" s="134"/>
      <c r="AG71" s="135"/>
      <c r="AH71" s="135"/>
      <c r="AI71" s="133"/>
      <c r="AJ71" s="134"/>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row>
    <row r="72" spans="1:68" ht="18" hidden="1" customHeight="1" x14ac:dyDescent="0.3">
      <c r="A72" s="252">
        <v>10</v>
      </c>
      <c r="B72" s="242"/>
      <c r="C72" s="242"/>
      <c r="D72" s="242"/>
      <c r="E72" s="282"/>
      <c r="F72" s="242"/>
      <c r="G72" s="285"/>
      <c r="H72" s="288" t="str">
        <f>IF(G72&lt;=0,"",IF(G72&lt;=2,"Muy Baja",IF(G72&lt;=24,"Baja",IF(G72&lt;=500,"Media",IF(G72&lt;=5000,"Alta","Muy Alta")))))</f>
        <v/>
      </c>
      <c r="I72" s="274" t="str">
        <f>IF(H72="","",IF(H72="Muy Baja",0.2,IF(H72="Baja",0.4,IF(H72="Media",0.6,IF(H72="Alta",0.8,IF(H72="Muy Alta",1,))))))</f>
        <v/>
      </c>
      <c r="J72" s="291"/>
      <c r="K72" s="274">
        <f>IF(NOT(ISERROR(MATCH(J72,'Tabla Impacto'!$B$221:$B$223,0))),'Tabla Impacto'!$F$228&amp;"Por favor no seleccionar los criterios de impacto(Afectación Económica o presupuestal y Pérdida Reputacional)",J72)</f>
        <v>0</v>
      </c>
      <c r="L72" s="288" t="str">
        <f>IF(OR(K72='Tabla Impacto'!$C$11,K72='Tabla Impacto'!$D$11),"Leve",IF(OR(K72='Tabla Impacto'!$C$12,K72='Tabla Impacto'!$D$12),"Menor",IF(OR(K72='Tabla Impacto'!$C$13,K72='Tabla Impacto'!$D$13),"Moderado",IF(OR(K72='Tabla Impacto'!$C$14,K72='Tabla Impacto'!$D$14),"Mayor",IF(OR(K72='Tabla Impacto'!$C$15,K72='Tabla Impacto'!$D$15),"Catastrófico","")))))</f>
        <v/>
      </c>
      <c r="M72" s="274" t="str">
        <f>IF(L72="","",IF(L72="Leve",0.2,IF(L72="Menor",0.4,IF(L72="Moderado",0.6,IF(L72="Mayor",0.8,IF(L72="Catastrófico",1,))))))</f>
        <v/>
      </c>
      <c r="N72" s="277" t="str">
        <f>IF(OR(AND(H72="Muy Baja",L72="Leve"),AND(H72="Muy Baja",L72="Menor"),AND(H72="Baja",L72="Leve")),"Bajo",IF(OR(AND(H72="Muy baja",L72="Moderado"),AND(H72="Baja",L72="Menor"),AND(H72="Baja",L72="Moderado"),AND(H72="Media",L72="Leve"),AND(H72="Media",L72="Menor"),AND(H72="Media",L72="Moderado"),AND(H72="Alta",L72="Leve"),AND(H72="Alta",L72="Menor")),"Moderado",IF(OR(AND(H72="Muy Baja",L72="Mayor"),AND(H72="Baja",L72="Mayor"),AND(H72="Media",L72="Mayor"),AND(H72="Alta",L72="Moderado"),AND(H72="Alta",L72="Mayor"),AND(H72="Muy Alta",L72="Leve"),AND(H72="Muy Alta",L72="Menor"),AND(H72="Muy Alta",L72="Moderado"),AND(H72="Muy Alta",L72="Mayor")),"Alto",IF(OR(AND(H72="Muy Baja",L72="Catastrófico"),AND(H72="Baja",L72="Catastrófico"),AND(H72="Media",L72="Catastrófico"),AND(H72="Alta",L72="Catastrófico"),AND(H72="Muy Alta",L72="Catastrófico")),"Extremo",""))))</f>
        <v/>
      </c>
      <c r="O72" s="123">
        <v>1</v>
      </c>
      <c r="P72" s="124"/>
      <c r="Q72" s="125" t="str">
        <f>IF(OR(R72="Preventivo",R72="Detectivo"),"Probabilidad",IF(R72="Correctivo","Impacto",""))</f>
        <v/>
      </c>
      <c r="R72" s="126"/>
      <c r="S72" s="126"/>
      <c r="T72" s="127" t="str">
        <f>IF(AND(R72="Preventivo",S72="Automático"),"50%",IF(AND(R72="Preventivo",S72="Manual"),"40%",IF(AND(R72="Detectivo",S72="Automático"),"40%",IF(AND(R72="Detectivo",S72="Manual"),"30%",IF(AND(R72="Correctivo",S72="Automático"),"35%",IF(AND(R72="Correctivo",S72="Manual"),"25%",""))))))</f>
        <v/>
      </c>
      <c r="U72" s="126"/>
      <c r="V72" s="126"/>
      <c r="W72" s="126"/>
      <c r="X72" s="128" t="str">
        <f>IFERROR(IF(Q72="Probabilidad",(I72-(+I72*T72)),IF(Q72="Impacto",I72,"")),"")</f>
        <v/>
      </c>
      <c r="Y72" s="129" t="str">
        <f>IFERROR(IF(X72="","",IF(X72&lt;=0.2,"Muy Baja",IF(X72&lt;=0.4,"Baja",IF(X72&lt;=0.6,"Media",IF(X72&lt;=0.8,"Alta","Muy Alta"))))),"")</f>
        <v/>
      </c>
      <c r="Z72" s="130" t="str">
        <f>+X72</f>
        <v/>
      </c>
      <c r="AA72" s="129" t="str">
        <f>IFERROR(IF(AB72="","",IF(AB72&lt;=0.2,"Leve",IF(AB72&lt;=0.4,"Menor",IF(AB72&lt;=0.6,"Moderado",IF(AB72&lt;=0.8,"Mayor","Catastrófico"))))),"")</f>
        <v/>
      </c>
      <c r="AB72" s="130" t="str">
        <f>IFERROR(IF(Q72="Impacto",(M72-(+M72*T72)),IF(Q72="Probabilidad",M72,"")),"")</f>
        <v/>
      </c>
      <c r="AC72" s="131" t="str">
        <f>IFERROR(IF(OR(AND(Y72="Muy Baja",AA72="Leve"),AND(Y72="Muy Baja",AA72="Menor"),AND(Y72="Baja",AA72="Leve")),"Bajo",IF(OR(AND(Y72="Muy baja",AA72="Moderado"),AND(Y72="Baja",AA72="Menor"),AND(Y72="Baja",AA72="Moderado"),AND(Y72="Media",AA72="Leve"),AND(Y72="Media",AA72="Menor"),AND(Y72="Media",AA72="Moderado"),AND(Y72="Alta",AA72="Leve"),AND(Y72="Alta",AA72="Menor")),"Moderado",IF(OR(AND(Y72="Muy Baja",AA72="Mayor"),AND(Y72="Baja",AA72="Mayor"),AND(Y72="Media",AA72="Mayor"),AND(Y72="Alta",AA72="Moderado"),AND(Y72="Alta",AA72="Mayor"),AND(Y72="Muy Alta",AA72="Leve"),AND(Y72="Muy Alta",AA72="Menor"),AND(Y72="Muy Alta",AA72="Moderado"),AND(Y72="Muy Alta",AA72="Mayor")),"Alto",IF(OR(AND(Y72="Muy Baja",AA72="Catastrófico"),AND(Y72="Baja",AA72="Catastrófico"),AND(Y72="Media",AA72="Catastrófico"),AND(Y72="Alta",AA72="Catastrófico"),AND(Y72="Muy Alta",AA72="Catastrófico")),"Extremo","")))),"")</f>
        <v/>
      </c>
      <c r="AD72" s="132"/>
      <c r="AE72" s="133"/>
      <c r="AF72" s="134"/>
      <c r="AG72" s="135"/>
      <c r="AH72" s="135"/>
      <c r="AI72" s="133"/>
      <c r="AJ72" s="134"/>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row>
    <row r="73" spans="1:68" ht="18" hidden="1" customHeight="1" x14ac:dyDescent="0.3">
      <c r="A73" s="280"/>
      <c r="B73" s="281"/>
      <c r="C73" s="281"/>
      <c r="D73" s="281"/>
      <c r="E73" s="283"/>
      <c r="F73" s="281"/>
      <c r="G73" s="286"/>
      <c r="H73" s="289"/>
      <c r="I73" s="275"/>
      <c r="J73" s="292"/>
      <c r="K73" s="275">
        <f>IF(NOT(ISERROR(MATCH(J73,_xlfn.ANCHORARRAY(E84),0))),I86&amp;"Por favor no seleccionar los criterios de impacto",J73)</f>
        <v>0</v>
      </c>
      <c r="L73" s="289"/>
      <c r="M73" s="275"/>
      <c r="N73" s="278"/>
      <c r="O73" s="123">
        <v>2</v>
      </c>
      <c r="P73" s="124"/>
      <c r="Q73" s="125" t="str">
        <f>IF(OR(R73="Preventivo",R73="Detectivo"),"Probabilidad",IF(R73="Correctivo","Impacto",""))</f>
        <v/>
      </c>
      <c r="R73" s="126"/>
      <c r="S73" s="126"/>
      <c r="T73" s="127" t="str">
        <f t="shared" ref="T73:T77" si="59">IF(AND(R73="Preventivo",S73="Automático"),"50%",IF(AND(R73="Preventivo",S73="Manual"),"40%",IF(AND(R73="Detectivo",S73="Automático"),"40%",IF(AND(R73="Detectivo",S73="Manual"),"30%",IF(AND(R73="Correctivo",S73="Automático"),"35%",IF(AND(R73="Correctivo",S73="Manual"),"25%",""))))))</f>
        <v/>
      </c>
      <c r="U73" s="126"/>
      <c r="V73" s="126"/>
      <c r="W73" s="126"/>
      <c r="X73" s="128" t="str">
        <f>IFERROR(IF(AND(Q72="Probabilidad",Q73="Probabilidad"),(Z72-(+Z72*T73)),IF(Q73="Probabilidad",(I72-(+I72*T73)),IF(Q73="Impacto",Z72,""))),"")</f>
        <v/>
      </c>
      <c r="Y73" s="129" t="str">
        <f t="shared" si="1"/>
        <v/>
      </c>
      <c r="Z73" s="130" t="str">
        <f t="shared" ref="Z73:Z77" si="60">+X73</f>
        <v/>
      </c>
      <c r="AA73" s="129" t="str">
        <f t="shared" si="3"/>
        <v/>
      </c>
      <c r="AB73" s="130" t="str">
        <f>IFERROR(IF(AND(Q72="Impacto",Q73="Impacto"),(AB72-(+AB72*T73)),IF(Q73="Impacto",(M72-(+M72*T73)),IF(Q73="Probabilidad",AB72,""))),"")</f>
        <v/>
      </c>
      <c r="AC73" s="131" t="str">
        <f t="shared" ref="AC73:AC74" si="61">IFERROR(IF(OR(AND(Y73="Muy Baja",AA73="Leve"),AND(Y73="Muy Baja",AA73="Menor"),AND(Y73="Baja",AA73="Leve")),"Bajo",IF(OR(AND(Y73="Muy baja",AA73="Moderado"),AND(Y73="Baja",AA73="Menor"),AND(Y73="Baja",AA73="Moderado"),AND(Y73="Media",AA73="Leve"),AND(Y73="Media",AA73="Menor"),AND(Y73="Media",AA73="Moderado"),AND(Y73="Alta",AA73="Leve"),AND(Y73="Alta",AA73="Menor")),"Moderado",IF(OR(AND(Y73="Muy Baja",AA73="Mayor"),AND(Y73="Baja",AA73="Mayor"),AND(Y73="Media",AA73="Mayor"),AND(Y73="Alta",AA73="Moderado"),AND(Y73="Alta",AA73="Mayor"),AND(Y73="Muy Alta",AA73="Leve"),AND(Y73="Muy Alta",AA73="Menor"),AND(Y73="Muy Alta",AA73="Moderado"),AND(Y73="Muy Alta",AA73="Mayor")),"Alto",IF(OR(AND(Y73="Muy Baja",AA73="Catastrófico"),AND(Y73="Baja",AA73="Catastrófico"),AND(Y73="Media",AA73="Catastrófico"),AND(Y73="Alta",AA73="Catastrófico"),AND(Y73="Muy Alta",AA73="Catastrófico")),"Extremo","")))),"")</f>
        <v/>
      </c>
      <c r="AD73" s="132"/>
      <c r="AE73" s="133"/>
      <c r="AF73" s="134"/>
      <c r="AG73" s="135"/>
      <c r="AH73" s="135"/>
      <c r="AI73" s="133"/>
      <c r="AJ73" s="134"/>
    </row>
    <row r="74" spans="1:68" ht="18" hidden="1" customHeight="1" x14ac:dyDescent="0.3">
      <c r="A74" s="280"/>
      <c r="B74" s="281"/>
      <c r="C74" s="281"/>
      <c r="D74" s="281"/>
      <c r="E74" s="283"/>
      <c r="F74" s="281"/>
      <c r="G74" s="286"/>
      <c r="H74" s="289"/>
      <c r="I74" s="275"/>
      <c r="J74" s="292"/>
      <c r="K74" s="275">
        <f>IF(NOT(ISERROR(MATCH(J74,_xlfn.ANCHORARRAY(E85),0))),I87&amp;"Por favor no seleccionar los criterios de impacto",J74)</f>
        <v>0</v>
      </c>
      <c r="L74" s="289"/>
      <c r="M74" s="275"/>
      <c r="N74" s="278"/>
      <c r="O74" s="123">
        <v>3</v>
      </c>
      <c r="P74" s="136"/>
      <c r="Q74" s="125" t="str">
        <f>IF(OR(R74="Preventivo",R74="Detectivo"),"Probabilidad",IF(R74="Correctivo","Impacto",""))</f>
        <v/>
      </c>
      <c r="R74" s="126"/>
      <c r="S74" s="126"/>
      <c r="T74" s="127" t="str">
        <f t="shared" si="59"/>
        <v/>
      </c>
      <c r="U74" s="126"/>
      <c r="V74" s="126"/>
      <c r="W74" s="126"/>
      <c r="X74" s="128" t="str">
        <f>IFERROR(IF(AND(Q73="Probabilidad",Q74="Probabilidad"),(Z73-(+Z73*T74)),IF(AND(Q73="Impacto",Q74="Probabilidad"),(Z72-(+Z72*T74)),IF(Q74="Impacto",Z73,""))),"")</f>
        <v/>
      </c>
      <c r="Y74" s="129" t="str">
        <f t="shared" si="1"/>
        <v/>
      </c>
      <c r="Z74" s="130" t="str">
        <f t="shared" si="60"/>
        <v/>
      </c>
      <c r="AA74" s="129" t="str">
        <f t="shared" si="3"/>
        <v/>
      </c>
      <c r="AB74" s="130" t="str">
        <f>IFERROR(IF(AND(Q73="Impacto",Q74="Impacto"),(AB73-(+AB73*T74)),IF(AND(Q73="Probabilidad",Q74="Impacto"),(AB72-(+AB72*T74)),IF(Q74="Probabilidad",AB73,""))),"")</f>
        <v/>
      </c>
      <c r="AC74" s="131" t="str">
        <f t="shared" si="61"/>
        <v/>
      </c>
      <c r="AD74" s="132"/>
      <c r="AE74" s="133"/>
      <c r="AF74" s="134"/>
      <c r="AG74" s="135"/>
      <c r="AH74" s="135"/>
      <c r="AI74" s="133"/>
      <c r="AJ74" s="134"/>
    </row>
    <row r="75" spans="1:68" ht="18" hidden="1" customHeight="1" x14ac:dyDescent="0.3">
      <c r="A75" s="280"/>
      <c r="B75" s="281"/>
      <c r="C75" s="281"/>
      <c r="D75" s="281"/>
      <c r="E75" s="283"/>
      <c r="F75" s="281"/>
      <c r="G75" s="286"/>
      <c r="H75" s="289"/>
      <c r="I75" s="275"/>
      <c r="J75" s="292"/>
      <c r="K75" s="275">
        <f>IF(NOT(ISERROR(MATCH(J75,_xlfn.ANCHORARRAY(E86),0))),I88&amp;"Por favor no seleccionar los criterios de impacto",J75)</f>
        <v>0</v>
      </c>
      <c r="L75" s="289"/>
      <c r="M75" s="275"/>
      <c r="N75" s="278"/>
      <c r="O75" s="123">
        <v>4</v>
      </c>
      <c r="P75" s="124"/>
      <c r="Q75" s="125" t="str">
        <f t="shared" ref="Q75:Q77" si="62">IF(OR(R75="Preventivo",R75="Detectivo"),"Probabilidad",IF(R75="Correctivo","Impacto",""))</f>
        <v/>
      </c>
      <c r="R75" s="126"/>
      <c r="S75" s="126"/>
      <c r="T75" s="127" t="str">
        <f t="shared" si="59"/>
        <v/>
      </c>
      <c r="U75" s="126"/>
      <c r="V75" s="126"/>
      <c r="W75" s="126"/>
      <c r="X75" s="128" t="str">
        <f t="shared" ref="X75:X77" si="63">IFERROR(IF(AND(Q74="Probabilidad",Q75="Probabilidad"),(Z74-(+Z74*T75)),IF(AND(Q74="Impacto",Q75="Probabilidad"),(Z73-(+Z73*T75)),IF(Q75="Impacto",Z74,""))),"")</f>
        <v/>
      </c>
      <c r="Y75" s="129" t="str">
        <f t="shared" si="1"/>
        <v/>
      </c>
      <c r="Z75" s="130" t="str">
        <f t="shared" si="60"/>
        <v/>
      </c>
      <c r="AA75" s="129" t="str">
        <f t="shared" si="3"/>
        <v/>
      </c>
      <c r="AB75" s="130" t="str">
        <f t="shared" ref="AB75:AB77" si="64">IFERROR(IF(AND(Q74="Impacto",Q75="Impacto"),(AB74-(+AB74*T75)),IF(AND(Q74="Probabilidad",Q75="Impacto"),(AB73-(+AB73*T75)),IF(Q75="Probabilidad",AB74,""))),"")</f>
        <v/>
      </c>
      <c r="AC75" s="131" t="str">
        <f>IFERROR(IF(OR(AND(Y75="Muy Baja",AA75="Leve"),AND(Y75="Muy Baja",AA75="Menor"),AND(Y75="Baja",AA75="Leve")),"Bajo",IF(OR(AND(Y75="Muy baja",AA75="Moderado"),AND(Y75="Baja",AA75="Menor"),AND(Y75="Baja",AA75="Moderado"),AND(Y75="Media",AA75="Leve"),AND(Y75="Media",AA75="Menor"),AND(Y75="Media",AA75="Moderado"),AND(Y75="Alta",AA75="Leve"),AND(Y75="Alta",AA75="Menor")),"Moderado",IF(OR(AND(Y75="Muy Baja",AA75="Mayor"),AND(Y75="Baja",AA75="Mayor"),AND(Y75="Media",AA75="Mayor"),AND(Y75="Alta",AA75="Moderado"),AND(Y75="Alta",AA75="Mayor"),AND(Y75="Muy Alta",AA75="Leve"),AND(Y75="Muy Alta",AA75="Menor"),AND(Y75="Muy Alta",AA75="Moderado"),AND(Y75="Muy Alta",AA75="Mayor")),"Alto",IF(OR(AND(Y75="Muy Baja",AA75="Catastrófico"),AND(Y75="Baja",AA75="Catastrófico"),AND(Y75="Media",AA75="Catastrófico"),AND(Y75="Alta",AA75="Catastrófico"),AND(Y75="Muy Alta",AA75="Catastrófico")),"Extremo","")))),"")</f>
        <v/>
      </c>
      <c r="AD75" s="132"/>
      <c r="AE75" s="133"/>
      <c r="AF75" s="134"/>
      <c r="AG75" s="135"/>
      <c r="AH75" s="135"/>
      <c r="AI75" s="133"/>
      <c r="AJ75" s="134"/>
    </row>
    <row r="76" spans="1:68" ht="18" hidden="1" customHeight="1" x14ac:dyDescent="0.3">
      <c r="A76" s="280"/>
      <c r="B76" s="281"/>
      <c r="C76" s="281"/>
      <c r="D76" s="281"/>
      <c r="E76" s="283"/>
      <c r="F76" s="281"/>
      <c r="G76" s="286"/>
      <c r="H76" s="289"/>
      <c r="I76" s="275"/>
      <c r="J76" s="292"/>
      <c r="K76" s="275">
        <f>IF(NOT(ISERROR(MATCH(J76,_xlfn.ANCHORARRAY(E87),0))),I89&amp;"Por favor no seleccionar los criterios de impacto",J76)</f>
        <v>0</v>
      </c>
      <c r="L76" s="289"/>
      <c r="M76" s="275"/>
      <c r="N76" s="278"/>
      <c r="O76" s="123">
        <v>5</v>
      </c>
      <c r="P76" s="124"/>
      <c r="Q76" s="125" t="str">
        <f t="shared" si="62"/>
        <v/>
      </c>
      <c r="R76" s="126"/>
      <c r="S76" s="126"/>
      <c r="T76" s="127" t="str">
        <f t="shared" si="59"/>
        <v/>
      </c>
      <c r="U76" s="126"/>
      <c r="V76" s="126"/>
      <c r="W76" s="126"/>
      <c r="X76" s="128" t="str">
        <f t="shared" si="63"/>
        <v/>
      </c>
      <c r="Y76" s="129" t="str">
        <f t="shared" si="1"/>
        <v/>
      </c>
      <c r="Z76" s="130" t="str">
        <f t="shared" si="60"/>
        <v/>
      </c>
      <c r="AA76" s="129" t="str">
        <f t="shared" si="3"/>
        <v/>
      </c>
      <c r="AB76" s="130" t="str">
        <f t="shared" si="64"/>
        <v/>
      </c>
      <c r="AC76" s="131" t="str">
        <f t="shared" ref="AC76:AC77" si="65">IFERROR(IF(OR(AND(Y76="Muy Baja",AA76="Leve"),AND(Y76="Muy Baja",AA76="Menor"),AND(Y76="Baja",AA76="Leve")),"Bajo",IF(OR(AND(Y76="Muy baja",AA76="Moderado"),AND(Y76="Baja",AA76="Menor"),AND(Y76="Baja",AA76="Moderado"),AND(Y76="Media",AA76="Leve"),AND(Y76="Media",AA76="Menor"),AND(Y76="Media",AA76="Moderado"),AND(Y76="Alta",AA76="Leve"),AND(Y76="Alta",AA76="Menor")),"Moderado",IF(OR(AND(Y76="Muy Baja",AA76="Mayor"),AND(Y76="Baja",AA76="Mayor"),AND(Y76="Media",AA76="Mayor"),AND(Y76="Alta",AA76="Moderado"),AND(Y76="Alta",AA76="Mayor"),AND(Y76="Muy Alta",AA76="Leve"),AND(Y76="Muy Alta",AA76="Menor"),AND(Y76="Muy Alta",AA76="Moderado"),AND(Y76="Muy Alta",AA76="Mayor")),"Alto",IF(OR(AND(Y76="Muy Baja",AA76="Catastrófico"),AND(Y76="Baja",AA76="Catastrófico"),AND(Y76="Media",AA76="Catastrófico"),AND(Y76="Alta",AA76="Catastrófico"),AND(Y76="Muy Alta",AA76="Catastrófico")),"Extremo","")))),"")</f>
        <v/>
      </c>
      <c r="AD76" s="132"/>
      <c r="AE76" s="133"/>
      <c r="AF76" s="134"/>
      <c r="AG76" s="135"/>
      <c r="AH76" s="135"/>
      <c r="AI76" s="133"/>
      <c r="AJ76" s="134"/>
    </row>
    <row r="77" spans="1:68" ht="18" hidden="1" customHeight="1" x14ac:dyDescent="0.3">
      <c r="A77" s="253"/>
      <c r="B77" s="243"/>
      <c r="C77" s="243"/>
      <c r="D77" s="243"/>
      <c r="E77" s="284"/>
      <c r="F77" s="243"/>
      <c r="G77" s="287"/>
      <c r="H77" s="290"/>
      <c r="I77" s="276"/>
      <c r="J77" s="293"/>
      <c r="K77" s="276">
        <f>IF(NOT(ISERROR(MATCH(J77,_xlfn.ANCHORARRAY(E88),0))),I90&amp;"Por favor no seleccionar los criterios de impacto",J77)</f>
        <v>0</v>
      </c>
      <c r="L77" s="290"/>
      <c r="M77" s="276"/>
      <c r="N77" s="279"/>
      <c r="O77" s="123">
        <v>6</v>
      </c>
      <c r="P77" s="124"/>
      <c r="Q77" s="125" t="str">
        <f t="shared" si="62"/>
        <v/>
      </c>
      <c r="R77" s="126"/>
      <c r="S77" s="126"/>
      <c r="T77" s="127" t="str">
        <f t="shared" si="59"/>
        <v/>
      </c>
      <c r="U77" s="126"/>
      <c r="V77" s="126"/>
      <c r="W77" s="126"/>
      <c r="X77" s="128" t="str">
        <f t="shared" si="63"/>
        <v/>
      </c>
      <c r="Y77" s="129" t="str">
        <f t="shared" si="1"/>
        <v/>
      </c>
      <c r="Z77" s="130" t="str">
        <f t="shared" si="60"/>
        <v/>
      </c>
      <c r="AA77" s="129" t="str">
        <f t="shared" si="3"/>
        <v/>
      </c>
      <c r="AB77" s="130" t="str">
        <f t="shared" si="64"/>
        <v/>
      </c>
      <c r="AC77" s="131" t="str">
        <f t="shared" si="65"/>
        <v/>
      </c>
      <c r="AD77" s="132"/>
      <c r="AE77" s="133"/>
      <c r="AF77" s="134"/>
      <c r="AG77" s="135"/>
      <c r="AH77" s="135"/>
      <c r="AI77" s="133"/>
      <c r="AJ77" s="134"/>
    </row>
    <row r="78" spans="1:68" ht="49.5" customHeight="1" x14ac:dyDescent="0.3">
      <c r="A78" s="6"/>
      <c r="B78" s="271" t="s">
        <v>89</v>
      </c>
      <c r="C78" s="272"/>
      <c r="D78" s="272"/>
      <c r="E78" s="272"/>
      <c r="F78" s="272"/>
      <c r="G78" s="272"/>
      <c r="H78" s="272"/>
      <c r="I78" s="272"/>
      <c r="J78" s="272"/>
      <c r="K78" s="272"/>
      <c r="L78" s="272"/>
      <c r="M78" s="272"/>
      <c r="N78" s="272"/>
      <c r="O78" s="272"/>
      <c r="P78" s="272"/>
      <c r="Q78" s="272"/>
      <c r="R78" s="272"/>
      <c r="S78" s="272"/>
      <c r="T78" s="272"/>
      <c r="U78" s="272"/>
      <c r="V78" s="272"/>
      <c r="W78" s="272"/>
      <c r="X78" s="272"/>
      <c r="Y78" s="272"/>
      <c r="Z78" s="272"/>
      <c r="AA78" s="272"/>
      <c r="AB78" s="272"/>
      <c r="AC78" s="272"/>
      <c r="AD78" s="272"/>
      <c r="AE78" s="272"/>
      <c r="AF78" s="272"/>
      <c r="AG78" s="272"/>
      <c r="AH78" s="272"/>
      <c r="AI78" s="272"/>
      <c r="AJ78" s="273"/>
    </row>
    <row r="80" spans="1:68" x14ac:dyDescent="0.3">
      <c r="A80" s="1"/>
      <c r="B80" s="24"/>
      <c r="C80" s="1"/>
      <c r="D80" s="1"/>
      <c r="F80" s="1"/>
    </row>
  </sheetData>
  <dataConsolidate/>
  <mergeCells count="216">
    <mergeCell ref="A1:AE5"/>
    <mergeCell ref="W10:AB10"/>
    <mergeCell ref="W11:AB11"/>
    <mergeCell ref="A12:J12"/>
    <mergeCell ref="N7:S7"/>
    <mergeCell ref="W9:AB9"/>
    <mergeCell ref="P8:S8"/>
    <mergeCell ref="P9:S9"/>
    <mergeCell ref="P10:S10"/>
    <mergeCell ref="P11:S11"/>
    <mergeCell ref="F22:F27"/>
    <mergeCell ref="G22:G27"/>
    <mergeCell ref="H22:H27"/>
    <mergeCell ref="A22:A27"/>
    <mergeCell ref="B22:B27"/>
    <mergeCell ref="C22:C27"/>
    <mergeCell ref="D22:D27"/>
    <mergeCell ref="E22:E27"/>
    <mergeCell ref="N22:N27"/>
    <mergeCell ref="I22:I27"/>
    <mergeCell ref="J22:J27"/>
    <mergeCell ref="K22:K27"/>
    <mergeCell ref="L22:L27"/>
    <mergeCell ref="M22:M27"/>
    <mergeCell ref="AA20:AA21"/>
    <mergeCell ref="Y20:Y21"/>
    <mergeCell ref="Z20:Z21"/>
    <mergeCell ref="G20:G21"/>
    <mergeCell ref="H20:H21"/>
    <mergeCell ref="I20:I21"/>
    <mergeCell ref="L20:L21"/>
    <mergeCell ref="M20:M21"/>
    <mergeCell ref="B20:B21"/>
    <mergeCell ref="N20:N21"/>
    <mergeCell ref="J20:J21"/>
    <mergeCell ref="K20:K21"/>
    <mergeCell ref="Q20:Q21"/>
    <mergeCell ref="R20:W20"/>
    <mergeCell ref="D28:D33"/>
    <mergeCell ref="E28:E33"/>
    <mergeCell ref="AE20:AE21"/>
    <mergeCell ref="AJ20:AJ21"/>
    <mergeCell ref="AI20:AI21"/>
    <mergeCell ref="AH20:AH21"/>
    <mergeCell ref="AG20:AG21"/>
    <mergeCell ref="AF20:AF21"/>
    <mergeCell ref="A16:B16"/>
    <mergeCell ref="A17:B17"/>
    <mergeCell ref="A18:B18"/>
    <mergeCell ref="A20:A21"/>
    <mergeCell ref="F20:F21"/>
    <mergeCell ref="E20:E21"/>
    <mergeCell ref="D20:D21"/>
    <mergeCell ref="C20:C21"/>
    <mergeCell ref="AD20:AD21"/>
    <mergeCell ref="C17:N17"/>
    <mergeCell ref="C18:N18"/>
    <mergeCell ref="O20:O21"/>
    <mergeCell ref="AC20:AC21"/>
    <mergeCell ref="AB20:AB21"/>
    <mergeCell ref="X20:X21"/>
    <mergeCell ref="P20:P21"/>
    <mergeCell ref="K28:K33"/>
    <mergeCell ref="L28:L33"/>
    <mergeCell ref="M28:M33"/>
    <mergeCell ref="N28:N33"/>
    <mergeCell ref="A34:A39"/>
    <mergeCell ref="B34:B39"/>
    <mergeCell ref="C34:C39"/>
    <mergeCell ref="D34:D39"/>
    <mergeCell ref="E34:E39"/>
    <mergeCell ref="F34:F39"/>
    <mergeCell ref="G34:G39"/>
    <mergeCell ref="H34:H39"/>
    <mergeCell ref="I34:I39"/>
    <mergeCell ref="J34:J39"/>
    <mergeCell ref="K34:K39"/>
    <mergeCell ref="L34:L39"/>
    <mergeCell ref="F28:F33"/>
    <mergeCell ref="G28:G33"/>
    <mergeCell ref="H28:H33"/>
    <mergeCell ref="I28:I33"/>
    <mergeCell ref="J28:J33"/>
    <mergeCell ref="A28:A33"/>
    <mergeCell ref="B28:B33"/>
    <mergeCell ref="C28:C33"/>
    <mergeCell ref="M34:M39"/>
    <mergeCell ref="N34:N39"/>
    <mergeCell ref="A40:A45"/>
    <mergeCell ref="B40:B45"/>
    <mergeCell ref="C40:C45"/>
    <mergeCell ref="D40:D45"/>
    <mergeCell ref="E40:E45"/>
    <mergeCell ref="F40:F45"/>
    <mergeCell ref="G40:G45"/>
    <mergeCell ref="H40:H45"/>
    <mergeCell ref="I40:I45"/>
    <mergeCell ref="J40:J45"/>
    <mergeCell ref="K40:K45"/>
    <mergeCell ref="L40:L45"/>
    <mergeCell ref="M40:M45"/>
    <mergeCell ref="N40:N45"/>
    <mergeCell ref="M46:M51"/>
    <mergeCell ref="N46:N51"/>
    <mergeCell ref="M52:M57"/>
    <mergeCell ref="N52:N57"/>
    <mergeCell ref="J58:J59"/>
    <mergeCell ref="K58:K59"/>
    <mergeCell ref="L58:L59"/>
    <mergeCell ref="A46:A51"/>
    <mergeCell ref="B46:B51"/>
    <mergeCell ref="C46:C51"/>
    <mergeCell ref="A52:A57"/>
    <mergeCell ref="B52:B57"/>
    <mergeCell ref="C52:C57"/>
    <mergeCell ref="D52:D57"/>
    <mergeCell ref="E52:E57"/>
    <mergeCell ref="F52:F57"/>
    <mergeCell ref="D46:D51"/>
    <mergeCell ref="E46:E51"/>
    <mergeCell ref="J52:J57"/>
    <mergeCell ref="K52:K57"/>
    <mergeCell ref="L52:L57"/>
    <mergeCell ref="F46:F51"/>
    <mergeCell ref="G46:G51"/>
    <mergeCell ref="H46:H51"/>
    <mergeCell ref="I46:I51"/>
    <mergeCell ref="J46:J51"/>
    <mergeCell ref="G52:G57"/>
    <mergeCell ref="H52:H57"/>
    <mergeCell ref="I52:I57"/>
    <mergeCell ref="K46:K51"/>
    <mergeCell ref="L46:L51"/>
    <mergeCell ref="A60:A65"/>
    <mergeCell ref="B60:B65"/>
    <mergeCell ref="C60:C65"/>
    <mergeCell ref="D60:D65"/>
    <mergeCell ref="E60:E65"/>
    <mergeCell ref="A58:A59"/>
    <mergeCell ref="B58:B59"/>
    <mergeCell ref="D58:D59"/>
    <mergeCell ref="E58:E59"/>
    <mergeCell ref="C58:C59"/>
    <mergeCell ref="M58:M59"/>
    <mergeCell ref="N58:N59"/>
    <mergeCell ref="F60:F65"/>
    <mergeCell ref="G60:G65"/>
    <mergeCell ref="H60:H65"/>
    <mergeCell ref="I60:I65"/>
    <mergeCell ref="J60:J65"/>
    <mergeCell ref="F58:F59"/>
    <mergeCell ref="G58:G59"/>
    <mergeCell ref="H58:H59"/>
    <mergeCell ref="I58:I59"/>
    <mergeCell ref="K60:K65"/>
    <mergeCell ref="L60:L65"/>
    <mergeCell ref="M60:M65"/>
    <mergeCell ref="N60:N65"/>
    <mergeCell ref="N72:N77"/>
    <mergeCell ref="J66:J71"/>
    <mergeCell ref="K66:K71"/>
    <mergeCell ref="L66:L71"/>
    <mergeCell ref="A66:A71"/>
    <mergeCell ref="B66:B71"/>
    <mergeCell ref="C66:C71"/>
    <mergeCell ref="D66:D71"/>
    <mergeCell ref="E66:E71"/>
    <mergeCell ref="F66:F71"/>
    <mergeCell ref="G66:G71"/>
    <mergeCell ref="H66:H71"/>
    <mergeCell ref="I66:I71"/>
    <mergeCell ref="C16:N16"/>
    <mergeCell ref="O16:Q16"/>
    <mergeCell ref="A13:AJ14"/>
    <mergeCell ref="A19:G19"/>
    <mergeCell ref="H19:N19"/>
    <mergeCell ref="O19:W19"/>
    <mergeCell ref="X19:AD19"/>
    <mergeCell ref="AE19:AJ19"/>
    <mergeCell ref="B78:AJ78"/>
    <mergeCell ref="M66:M71"/>
    <mergeCell ref="N66:N71"/>
    <mergeCell ref="A72:A77"/>
    <mergeCell ref="B72:B77"/>
    <mergeCell ref="C72:C77"/>
    <mergeCell ref="D72:D77"/>
    <mergeCell ref="E72:E77"/>
    <mergeCell ref="F72:F77"/>
    <mergeCell ref="G72:G77"/>
    <mergeCell ref="H72:H77"/>
    <mergeCell ref="I72:I77"/>
    <mergeCell ref="J72:J77"/>
    <mergeCell ref="K72:K77"/>
    <mergeCell ref="L72:L77"/>
    <mergeCell ref="M72:M77"/>
    <mergeCell ref="O58:O59"/>
    <mergeCell ref="P58:P59"/>
    <mergeCell ref="Q58:Q59"/>
    <mergeCell ref="R58:R59"/>
    <mergeCell ref="S58:S59"/>
    <mergeCell ref="T58:T59"/>
    <mergeCell ref="U58:U59"/>
    <mergeCell ref="V58:V59"/>
    <mergeCell ref="W58:W59"/>
    <mergeCell ref="AH58:AH59"/>
    <mergeCell ref="AI58:AI59"/>
    <mergeCell ref="AJ58:AJ59"/>
    <mergeCell ref="Y58:Y59"/>
    <mergeCell ref="Z58:Z59"/>
    <mergeCell ref="AA58:AA59"/>
    <mergeCell ref="AB58:AB59"/>
    <mergeCell ref="AC58:AC59"/>
    <mergeCell ref="AD58:AD59"/>
    <mergeCell ref="AE58:AE59"/>
    <mergeCell ref="AF58:AF59"/>
    <mergeCell ref="AG58:AG59"/>
  </mergeCells>
  <conditionalFormatting sqref="H22 H28">
    <cfRule type="cellIs" dxfId="244" priority="333" operator="equal">
      <formula>"Muy Alta"</formula>
    </cfRule>
    <cfRule type="cellIs" dxfId="243" priority="334" operator="equal">
      <formula>"Alta"</formula>
    </cfRule>
    <cfRule type="cellIs" dxfId="242" priority="335" operator="equal">
      <formula>"Media"</formula>
    </cfRule>
    <cfRule type="cellIs" dxfId="241" priority="336" operator="equal">
      <formula>"Baja"</formula>
    </cfRule>
    <cfRule type="cellIs" dxfId="240" priority="337" operator="equal">
      <formula>"Muy Baja"</formula>
    </cfRule>
  </conditionalFormatting>
  <conditionalFormatting sqref="L28 L34 L40 L46 L52 L58 L60 L66 L72">
    <cfRule type="cellIs" dxfId="239" priority="328" operator="equal">
      <formula>"Catastrófico"</formula>
    </cfRule>
    <cfRule type="cellIs" dxfId="238" priority="329" operator="equal">
      <formula>"Mayor"</formula>
    </cfRule>
    <cfRule type="cellIs" dxfId="237" priority="330" operator="equal">
      <formula>"Moderado"</formula>
    </cfRule>
    <cfRule type="cellIs" dxfId="236" priority="331" operator="equal">
      <formula>"Menor"</formula>
    </cfRule>
    <cfRule type="cellIs" dxfId="235" priority="332" operator="equal">
      <formula>"Leve"</formula>
    </cfRule>
  </conditionalFormatting>
  <conditionalFormatting sqref="Y22:Y27">
    <cfRule type="cellIs" dxfId="230" priority="319" operator="equal">
      <formula>"Muy Alta"</formula>
    </cfRule>
    <cfRule type="cellIs" dxfId="229" priority="320" operator="equal">
      <formula>"Alta"</formula>
    </cfRule>
    <cfRule type="cellIs" dxfId="228" priority="321" operator="equal">
      <formula>"Media"</formula>
    </cfRule>
    <cfRule type="cellIs" dxfId="227" priority="322" operator="equal">
      <formula>"Baja"</formula>
    </cfRule>
    <cfRule type="cellIs" dxfId="226" priority="323" operator="equal">
      <formula>"Muy Baja"</formula>
    </cfRule>
  </conditionalFormatting>
  <conditionalFormatting sqref="AA22:AA27">
    <cfRule type="cellIs" dxfId="225" priority="314" operator="equal">
      <formula>"Catastrófico"</formula>
    </cfRule>
    <cfRule type="cellIs" dxfId="224" priority="315" operator="equal">
      <formula>"Mayor"</formula>
    </cfRule>
    <cfRule type="cellIs" dxfId="223" priority="316" operator="equal">
      <formula>"Moderado"</formula>
    </cfRule>
    <cfRule type="cellIs" dxfId="222" priority="317" operator="equal">
      <formula>"Menor"</formula>
    </cfRule>
    <cfRule type="cellIs" dxfId="221" priority="318" operator="equal">
      <formula>"Leve"</formula>
    </cfRule>
  </conditionalFormatting>
  <conditionalFormatting sqref="AC22:AC27">
    <cfRule type="cellIs" dxfId="220" priority="310" operator="equal">
      <formula>"Extremo"</formula>
    </cfRule>
    <cfRule type="cellIs" dxfId="219" priority="311" operator="equal">
      <formula>"Alto"</formula>
    </cfRule>
    <cfRule type="cellIs" dxfId="218" priority="312" operator="equal">
      <formula>"Moderado"</formula>
    </cfRule>
    <cfRule type="cellIs" dxfId="217" priority="313" operator="equal">
      <formula>"Bajo"</formula>
    </cfRule>
  </conditionalFormatting>
  <conditionalFormatting sqref="H66">
    <cfRule type="cellIs" dxfId="216" priority="67" operator="equal">
      <formula>"Muy Alta"</formula>
    </cfRule>
    <cfRule type="cellIs" dxfId="215" priority="68" operator="equal">
      <formula>"Alta"</formula>
    </cfRule>
    <cfRule type="cellIs" dxfId="214" priority="69" operator="equal">
      <formula>"Media"</formula>
    </cfRule>
    <cfRule type="cellIs" dxfId="213" priority="70" operator="equal">
      <formula>"Baja"</formula>
    </cfRule>
    <cfRule type="cellIs" dxfId="212" priority="71" operator="equal">
      <formula>"Muy Baja"</formula>
    </cfRule>
  </conditionalFormatting>
  <conditionalFormatting sqref="N28">
    <cfRule type="cellIs" dxfId="211" priority="254" operator="equal">
      <formula>"Extremo"</formula>
    </cfRule>
    <cfRule type="cellIs" dxfId="210" priority="255" operator="equal">
      <formula>"Alto"</formula>
    </cfRule>
    <cfRule type="cellIs" dxfId="209" priority="256" operator="equal">
      <formula>"Moderado"</formula>
    </cfRule>
    <cfRule type="cellIs" dxfId="208" priority="257" operator="equal">
      <formula>"Bajo"</formula>
    </cfRule>
  </conditionalFormatting>
  <conditionalFormatting sqref="Y28:Y33">
    <cfRule type="cellIs" dxfId="207" priority="249" operator="equal">
      <formula>"Muy Alta"</formula>
    </cfRule>
    <cfRule type="cellIs" dxfId="206" priority="250" operator="equal">
      <formula>"Alta"</formula>
    </cfRule>
    <cfRule type="cellIs" dxfId="205" priority="251" operator="equal">
      <formula>"Media"</formula>
    </cfRule>
    <cfRule type="cellIs" dxfId="204" priority="252" operator="equal">
      <formula>"Baja"</formula>
    </cfRule>
    <cfRule type="cellIs" dxfId="203" priority="253" operator="equal">
      <formula>"Muy Baja"</formula>
    </cfRule>
  </conditionalFormatting>
  <conditionalFormatting sqref="AA28:AA33">
    <cfRule type="cellIs" dxfId="202" priority="244" operator="equal">
      <formula>"Catastrófico"</formula>
    </cfRule>
    <cfRule type="cellIs" dxfId="201" priority="245" operator="equal">
      <formula>"Mayor"</formula>
    </cfRule>
    <cfRule type="cellIs" dxfId="200" priority="246" operator="equal">
      <formula>"Moderado"</formula>
    </cfRule>
    <cfRule type="cellIs" dxfId="199" priority="247" operator="equal">
      <formula>"Menor"</formula>
    </cfRule>
    <cfRule type="cellIs" dxfId="198" priority="248" operator="equal">
      <formula>"Leve"</formula>
    </cfRule>
  </conditionalFormatting>
  <conditionalFormatting sqref="AC28:AC33">
    <cfRule type="cellIs" dxfId="197" priority="240" operator="equal">
      <formula>"Extremo"</formula>
    </cfRule>
    <cfRule type="cellIs" dxfId="196" priority="241" operator="equal">
      <formula>"Alto"</formula>
    </cfRule>
    <cfRule type="cellIs" dxfId="195" priority="242" operator="equal">
      <formula>"Moderado"</formula>
    </cfRule>
    <cfRule type="cellIs" dxfId="194" priority="243" operator="equal">
      <formula>"Bajo"</formula>
    </cfRule>
  </conditionalFormatting>
  <conditionalFormatting sqref="H34">
    <cfRule type="cellIs" dxfId="193" priority="235" operator="equal">
      <formula>"Muy Alta"</formula>
    </cfRule>
    <cfRule type="cellIs" dxfId="192" priority="236" operator="equal">
      <formula>"Alta"</formula>
    </cfRule>
    <cfRule type="cellIs" dxfId="191" priority="237" operator="equal">
      <formula>"Media"</formula>
    </cfRule>
    <cfRule type="cellIs" dxfId="190" priority="238" operator="equal">
      <formula>"Baja"</formula>
    </cfRule>
    <cfRule type="cellIs" dxfId="189" priority="239" operator="equal">
      <formula>"Muy Baja"</formula>
    </cfRule>
  </conditionalFormatting>
  <conditionalFormatting sqref="N34">
    <cfRule type="cellIs" dxfId="188" priority="226" operator="equal">
      <formula>"Extremo"</formula>
    </cfRule>
    <cfRule type="cellIs" dxfId="187" priority="227" operator="equal">
      <formula>"Alto"</formula>
    </cfRule>
    <cfRule type="cellIs" dxfId="186" priority="228" operator="equal">
      <formula>"Moderado"</formula>
    </cfRule>
    <cfRule type="cellIs" dxfId="185" priority="229" operator="equal">
      <formula>"Bajo"</formula>
    </cfRule>
  </conditionalFormatting>
  <conditionalFormatting sqref="Y34:Y39">
    <cfRule type="cellIs" dxfId="184" priority="221" operator="equal">
      <formula>"Muy Alta"</formula>
    </cfRule>
    <cfRule type="cellIs" dxfId="183" priority="222" operator="equal">
      <formula>"Alta"</formula>
    </cfRule>
    <cfRule type="cellIs" dxfId="182" priority="223" operator="equal">
      <formula>"Media"</formula>
    </cfRule>
    <cfRule type="cellIs" dxfId="181" priority="224" operator="equal">
      <formula>"Baja"</formula>
    </cfRule>
    <cfRule type="cellIs" dxfId="180" priority="225" operator="equal">
      <formula>"Muy Baja"</formula>
    </cfRule>
  </conditionalFormatting>
  <conditionalFormatting sqref="AA34:AA39">
    <cfRule type="cellIs" dxfId="179" priority="216" operator="equal">
      <formula>"Catastrófico"</formula>
    </cfRule>
    <cfRule type="cellIs" dxfId="178" priority="217" operator="equal">
      <formula>"Mayor"</formula>
    </cfRule>
    <cfRule type="cellIs" dxfId="177" priority="218" operator="equal">
      <formula>"Moderado"</formula>
    </cfRule>
    <cfRule type="cellIs" dxfId="176" priority="219" operator="equal">
      <formula>"Menor"</formula>
    </cfRule>
    <cfRule type="cellIs" dxfId="175" priority="220" operator="equal">
      <formula>"Leve"</formula>
    </cfRule>
  </conditionalFormatting>
  <conditionalFormatting sqref="AC34:AC39">
    <cfRule type="cellIs" dxfId="174" priority="212" operator="equal">
      <formula>"Extremo"</formula>
    </cfRule>
    <cfRule type="cellIs" dxfId="173" priority="213" operator="equal">
      <formula>"Alto"</formula>
    </cfRule>
    <cfRule type="cellIs" dxfId="172" priority="214" operator="equal">
      <formula>"Moderado"</formula>
    </cfRule>
    <cfRule type="cellIs" dxfId="171" priority="215" operator="equal">
      <formula>"Bajo"</formula>
    </cfRule>
  </conditionalFormatting>
  <conditionalFormatting sqref="H40">
    <cfRule type="cellIs" dxfId="170" priority="207" operator="equal">
      <formula>"Muy Alta"</formula>
    </cfRule>
    <cfRule type="cellIs" dxfId="169" priority="208" operator="equal">
      <formula>"Alta"</formula>
    </cfRule>
    <cfRule type="cellIs" dxfId="168" priority="209" operator="equal">
      <formula>"Media"</formula>
    </cfRule>
    <cfRule type="cellIs" dxfId="167" priority="210" operator="equal">
      <formula>"Baja"</formula>
    </cfRule>
    <cfRule type="cellIs" dxfId="166" priority="211" operator="equal">
      <formula>"Muy Baja"</formula>
    </cfRule>
  </conditionalFormatting>
  <conditionalFormatting sqref="N40">
    <cfRule type="cellIs" dxfId="165" priority="198" operator="equal">
      <formula>"Extremo"</formula>
    </cfRule>
    <cfRule type="cellIs" dxfId="164" priority="199" operator="equal">
      <formula>"Alto"</formula>
    </cfRule>
    <cfRule type="cellIs" dxfId="163" priority="200" operator="equal">
      <formula>"Moderado"</formula>
    </cfRule>
    <cfRule type="cellIs" dxfId="162" priority="201" operator="equal">
      <formula>"Bajo"</formula>
    </cfRule>
  </conditionalFormatting>
  <conditionalFormatting sqref="Y40:Y45">
    <cfRule type="cellIs" dxfId="161" priority="193" operator="equal">
      <formula>"Muy Alta"</formula>
    </cfRule>
    <cfRule type="cellIs" dxfId="160" priority="194" operator="equal">
      <formula>"Alta"</formula>
    </cfRule>
    <cfRule type="cellIs" dxfId="159" priority="195" operator="equal">
      <formula>"Media"</formula>
    </cfRule>
    <cfRule type="cellIs" dxfId="158" priority="196" operator="equal">
      <formula>"Baja"</formula>
    </cfRule>
    <cfRule type="cellIs" dxfId="157" priority="197" operator="equal">
      <formula>"Muy Baja"</formula>
    </cfRule>
  </conditionalFormatting>
  <conditionalFormatting sqref="AA40:AA45">
    <cfRule type="cellIs" dxfId="156" priority="188" operator="equal">
      <formula>"Catastrófico"</formula>
    </cfRule>
    <cfRule type="cellIs" dxfId="155" priority="189" operator="equal">
      <formula>"Mayor"</formula>
    </cfRule>
    <cfRule type="cellIs" dxfId="154" priority="190" operator="equal">
      <formula>"Moderado"</formula>
    </cfRule>
    <cfRule type="cellIs" dxfId="153" priority="191" operator="equal">
      <formula>"Menor"</formula>
    </cfRule>
    <cfRule type="cellIs" dxfId="152" priority="192" operator="equal">
      <formula>"Leve"</formula>
    </cfRule>
  </conditionalFormatting>
  <conditionalFormatting sqref="AC40:AC45">
    <cfRule type="cellIs" dxfId="151" priority="184" operator="equal">
      <formula>"Extremo"</formula>
    </cfRule>
    <cfRule type="cellIs" dxfId="150" priority="185" operator="equal">
      <formula>"Alto"</formula>
    </cfRule>
    <cfRule type="cellIs" dxfId="149" priority="186" operator="equal">
      <formula>"Moderado"</formula>
    </cfRule>
    <cfRule type="cellIs" dxfId="148" priority="187" operator="equal">
      <formula>"Bajo"</formula>
    </cfRule>
  </conditionalFormatting>
  <conditionalFormatting sqref="H46">
    <cfRule type="cellIs" dxfId="147" priority="179" operator="equal">
      <formula>"Muy Alta"</formula>
    </cfRule>
    <cfRule type="cellIs" dxfId="146" priority="180" operator="equal">
      <formula>"Alta"</formula>
    </cfRule>
    <cfRule type="cellIs" dxfId="145" priority="181" operator="equal">
      <formula>"Media"</formula>
    </cfRule>
    <cfRule type="cellIs" dxfId="144" priority="182" operator="equal">
      <formula>"Baja"</formula>
    </cfRule>
    <cfRule type="cellIs" dxfId="143" priority="183" operator="equal">
      <formula>"Muy Baja"</formula>
    </cfRule>
  </conditionalFormatting>
  <conditionalFormatting sqref="N46">
    <cfRule type="cellIs" dxfId="142" priority="170" operator="equal">
      <formula>"Extremo"</formula>
    </cfRule>
    <cfRule type="cellIs" dxfId="141" priority="171" operator="equal">
      <formula>"Alto"</formula>
    </cfRule>
    <cfRule type="cellIs" dxfId="140" priority="172" operator="equal">
      <formula>"Moderado"</formula>
    </cfRule>
    <cfRule type="cellIs" dxfId="139" priority="173" operator="equal">
      <formula>"Bajo"</formula>
    </cfRule>
  </conditionalFormatting>
  <conditionalFormatting sqref="Y46:Y51">
    <cfRule type="cellIs" dxfId="138" priority="165" operator="equal">
      <formula>"Muy Alta"</formula>
    </cfRule>
    <cfRule type="cellIs" dxfId="137" priority="166" operator="equal">
      <formula>"Alta"</formula>
    </cfRule>
    <cfRule type="cellIs" dxfId="136" priority="167" operator="equal">
      <formula>"Media"</formula>
    </cfRule>
    <cfRule type="cellIs" dxfId="135" priority="168" operator="equal">
      <formula>"Baja"</formula>
    </cfRule>
    <cfRule type="cellIs" dxfId="134" priority="169" operator="equal">
      <formula>"Muy Baja"</formula>
    </cfRule>
  </conditionalFormatting>
  <conditionalFormatting sqref="AA46:AA51">
    <cfRule type="cellIs" dxfId="133" priority="160" operator="equal">
      <formula>"Catastrófico"</formula>
    </cfRule>
    <cfRule type="cellIs" dxfId="132" priority="161" operator="equal">
      <formula>"Mayor"</formula>
    </cfRule>
    <cfRule type="cellIs" dxfId="131" priority="162" operator="equal">
      <formula>"Moderado"</formula>
    </cfRule>
    <cfRule type="cellIs" dxfId="130" priority="163" operator="equal">
      <formula>"Menor"</formula>
    </cfRule>
    <cfRule type="cellIs" dxfId="129" priority="164" operator="equal">
      <formula>"Leve"</formula>
    </cfRule>
  </conditionalFormatting>
  <conditionalFormatting sqref="AC46:AC51">
    <cfRule type="cellIs" dxfId="128" priority="156" operator="equal">
      <formula>"Extremo"</formula>
    </cfRule>
    <cfRule type="cellIs" dxfId="127" priority="157" operator="equal">
      <formula>"Alto"</formula>
    </cfRule>
    <cfRule type="cellIs" dxfId="126" priority="158" operator="equal">
      <formula>"Moderado"</formula>
    </cfRule>
    <cfRule type="cellIs" dxfId="125" priority="159" operator="equal">
      <formula>"Bajo"</formula>
    </cfRule>
  </conditionalFormatting>
  <conditionalFormatting sqref="H52">
    <cfRule type="cellIs" dxfId="124" priority="151" operator="equal">
      <formula>"Muy Alta"</formula>
    </cfRule>
    <cfRule type="cellIs" dxfId="123" priority="152" operator="equal">
      <formula>"Alta"</formula>
    </cfRule>
    <cfRule type="cellIs" dxfId="122" priority="153" operator="equal">
      <formula>"Media"</formula>
    </cfRule>
    <cfRule type="cellIs" dxfId="121" priority="154" operator="equal">
      <formula>"Baja"</formula>
    </cfRule>
    <cfRule type="cellIs" dxfId="120" priority="155" operator="equal">
      <formula>"Muy Baja"</formula>
    </cfRule>
  </conditionalFormatting>
  <conditionalFormatting sqref="N52">
    <cfRule type="cellIs" dxfId="119" priority="142" operator="equal">
      <formula>"Extremo"</formula>
    </cfRule>
    <cfRule type="cellIs" dxfId="118" priority="143" operator="equal">
      <formula>"Alto"</formula>
    </cfRule>
    <cfRule type="cellIs" dxfId="117" priority="144" operator="equal">
      <formula>"Moderado"</formula>
    </cfRule>
    <cfRule type="cellIs" dxfId="116" priority="145" operator="equal">
      <formula>"Bajo"</formula>
    </cfRule>
  </conditionalFormatting>
  <conditionalFormatting sqref="Y52:Y57">
    <cfRule type="cellIs" dxfId="115" priority="137" operator="equal">
      <formula>"Muy Alta"</formula>
    </cfRule>
    <cfRule type="cellIs" dxfId="114" priority="138" operator="equal">
      <formula>"Alta"</formula>
    </cfRule>
    <cfRule type="cellIs" dxfId="113" priority="139" operator="equal">
      <formula>"Media"</formula>
    </cfRule>
    <cfRule type="cellIs" dxfId="112" priority="140" operator="equal">
      <formula>"Baja"</formula>
    </cfRule>
    <cfRule type="cellIs" dxfId="111" priority="141" operator="equal">
      <formula>"Muy Baja"</formula>
    </cfRule>
  </conditionalFormatting>
  <conditionalFormatting sqref="AA52:AA57">
    <cfRule type="cellIs" dxfId="110" priority="132" operator="equal">
      <formula>"Catastrófico"</formula>
    </cfRule>
    <cfRule type="cellIs" dxfId="109" priority="133" operator="equal">
      <formula>"Mayor"</formula>
    </cfRule>
    <cfRule type="cellIs" dxfId="108" priority="134" operator="equal">
      <formula>"Moderado"</formula>
    </cfRule>
    <cfRule type="cellIs" dxfId="107" priority="135" operator="equal">
      <formula>"Menor"</formula>
    </cfRule>
    <cfRule type="cellIs" dxfId="106" priority="136" operator="equal">
      <formula>"Leve"</formula>
    </cfRule>
  </conditionalFormatting>
  <conditionalFormatting sqref="AC52:AC57">
    <cfRule type="cellIs" dxfId="105" priority="128" operator="equal">
      <formula>"Extremo"</formula>
    </cfRule>
    <cfRule type="cellIs" dxfId="104" priority="129" operator="equal">
      <formula>"Alto"</formula>
    </cfRule>
    <cfRule type="cellIs" dxfId="103" priority="130" operator="equal">
      <formula>"Moderado"</formula>
    </cfRule>
    <cfRule type="cellIs" dxfId="102" priority="131" operator="equal">
      <formula>"Bajo"</formula>
    </cfRule>
  </conditionalFormatting>
  <conditionalFormatting sqref="H58">
    <cfRule type="cellIs" dxfId="101" priority="123" operator="equal">
      <formula>"Muy Alta"</formula>
    </cfRule>
    <cfRule type="cellIs" dxfId="100" priority="124" operator="equal">
      <formula>"Alta"</formula>
    </cfRule>
    <cfRule type="cellIs" dxfId="99" priority="125" operator="equal">
      <formula>"Media"</formula>
    </cfRule>
    <cfRule type="cellIs" dxfId="98" priority="126" operator="equal">
      <formula>"Baja"</formula>
    </cfRule>
    <cfRule type="cellIs" dxfId="97" priority="127" operator="equal">
      <formula>"Muy Baja"</formula>
    </cfRule>
  </conditionalFormatting>
  <conditionalFormatting sqref="N58">
    <cfRule type="cellIs" dxfId="96" priority="114" operator="equal">
      <formula>"Extremo"</formula>
    </cfRule>
    <cfRule type="cellIs" dxfId="95" priority="115" operator="equal">
      <formula>"Alto"</formula>
    </cfRule>
    <cfRule type="cellIs" dxfId="94" priority="116" operator="equal">
      <formula>"Moderado"</formula>
    </cfRule>
    <cfRule type="cellIs" dxfId="93" priority="117" operator="equal">
      <formula>"Bajo"</formula>
    </cfRule>
  </conditionalFormatting>
  <conditionalFormatting sqref="Y58">
    <cfRule type="cellIs" dxfId="92" priority="109" operator="equal">
      <formula>"Muy Alta"</formula>
    </cfRule>
    <cfRule type="cellIs" dxfId="91" priority="110" operator="equal">
      <formula>"Alta"</formula>
    </cfRule>
    <cfRule type="cellIs" dxfId="90" priority="111" operator="equal">
      <formula>"Media"</formula>
    </cfRule>
    <cfRule type="cellIs" dxfId="89" priority="112" operator="equal">
      <formula>"Baja"</formula>
    </cfRule>
    <cfRule type="cellIs" dxfId="88" priority="113" operator="equal">
      <formula>"Muy Baja"</formula>
    </cfRule>
  </conditionalFormatting>
  <conditionalFormatting sqref="AA58">
    <cfRule type="cellIs" dxfId="87" priority="104" operator="equal">
      <formula>"Catastrófico"</formula>
    </cfRule>
    <cfRule type="cellIs" dxfId="86" priority="105" operator="equal">
      <formula>"Mayor"</formula>
    </cfRule>
    <cfRule type="cellIs" dxfId="85" priority="106" operator="equal">
      <formula>"Moderado"</formula>
    </cfRule>
    <cfRule type="cellIs" dxfId="84" priority="107" operator="equal">
      <formula>"Menor"</formula>
    </cfRule>
    <cfRule type="cellIs" dxfId="83" priority="108" operator="equal">
      <formula>"Leve"</formula>
    </cfRule>
  </conditionalFormatting>
  <conditionalFormatting sqref="AC58">
    <cfRule type="cellIs" dxfId="82" priority="100" operator="equal">
      <formula>"Extremo"</formula>
    </cfRule>
    <cfRule type="cellIs" dxfId="81" priority="101" operator="equal">
      <formula>"Alto"</formula>
    </cfRule>
    <cfRule type="cellIs" dxfId="80" priority="102" operator="equal">
      <formula>"Moderado"</formula>
    </cfRule>
    <cfRule type="cellIs" dxfId="79" priority="103" operator="equal">
      <formula>"Bajo"</formula>
    </cfRule>
  </conditionalFormatting>
  <conditionalFormatting sqref="H60">
    <cfRule type="cellIs" dxfId="78" priority="95" operator="equal">
      <formula>"Muy Alta"</formula>
    </cfRule>
    <cfRule type="cellIs" dxfId="77" priority="96" operator="equal">
      <formula>"Alta"</formula>
    </cfRule>
    <cfRule type="cellIs" dxfId="76" priority="97" operator="equal">
      <formula>"Media"</formula>
    </cfRule>
    <cfRule type="cellIs" dxfId="75" priority="98" operator="equal">
      <formula>"Baja"</formula>
    </cfRule>
    <cfRule type="cellIs" dxfId="74" priority="99" operator="equal">
      <formula>"Muy Baja"</formula>
    </cfRule>
  </conditionalFormatting>
  <conditionalFormatting sqref="N60">
    <cfRule type="cellIs" dxfId="73" priority="86" operator="equal">
      <formula>"Extremo"</formula>
    </cfRule>
    <cfRule type="cellIs" dxfId="72" priority="87" operator="equal">
      <formula>"Alto"</formula>
    </cfRule>
    <cfRule type="cellIs" dxfId="71" priority="88" operator="equal">
      <formula>"Moderado"</formula>
    </cfRule>
    <cfRule type="cellIs" dxfId="70" priority="89" operator="equal">
      <formula>"Bajo"</formula>
    </cfRule>
  </conditionalFormatting>
  <conditionalFormatting sqref="Y60:Y65">
    <cfRule type="cellIs" dxfId="69" priority="81" operator="equal">
      <formula>"Muy Alta"</formula>
    </cfRule>
    <cfRule type="cellIs" dxfId="68" priority="82" operator="equal">
      <formula>"Alta"</formula>
    </cfRule>
    <cfRule type="cellIs" dxfId="67" priority="83" operator="equal">
      <formula>"Media"</formula>
    </cfRule>
    <cfRule type="cellIs" dxfId="66" priority="84" operator="equal">
      <formula>"Baja"</formula>
    </cfRule>
    <cfRule type="cellIs" dxfId="65" priority="85" operator="equal">
      <formula>"Muy Baja"</formula>
    </cfRule>
  </conditionalFormatting>
  <conditionalFormatting sqref="AA60:AA65">
    <cfRule type="cellIs" dxfId="64" priority="76" operator="equal">
      <formula>"Catastrófico"</formula>
    </cfRule>
    <cfRule type="cellIs" dxfId="63" priority="77" operator="equal">
      <formula>"Mayor"</formula>
    </cfRule>
    <cfRule type="cellIs" dxfId="62" priority="78" operator="equal">
      <formula>"Moderado"</formula>
    </cfRule>
    <cfRule type="cellIs" dxfId="61" priority="79" operator="equal">
      <formula>"Menor"</formula>
    </cfRule>
    <cfRule type="cellIs" dxfId="60" priority="80" operator="equal">
      <formula>"Leve"</formula>
    </cfRule>
  </conditionalFormatting>
  <conditionalFormatting sqref="AC60:AC65">
    <cfRule type="cellIs" dxfId="59" priority="72" operator="equal">
      <formula>"Extremo"</formula>
    </cfRule>
    <cfRule type="cellIs" dxfId="58" priority="73" operator="equal">
      <formula>"Alto"</formula>
    </cfRule>
    <cfRule type="cellIs" dxfId="57" priority="74" operator="equal">
      <formula>"Moderado"</formula>
    </cfRule>
    <cfRule type="cellIs" dxfId="56" priority="75" operator="equal">
      <formula>"Bajo"</formula>
    </cfRule>
  </conditionalFormatting>
  <conditionalFormatting sqref="N66">
    <cfRule type="cellIs" dxfId="55" priority="58" operator="equal">
      <formula>"Extremo"</formula>
    </cfRule>
    <cfRule type="cellIs" dxfId="54" priority="59" operator="equal">
      <formula>"Alto"</formula>
    </cfRule>
    <cfRule type="cellIs" dxfId="53" priority="60" operator="equal">
      <formula>"Moderado"</formula>
    </cfRule>
    <cfRule type="cellIs" dxfId="52" priority="61" operator="equal">
      <formula>"Bajo"</formula>
    </cfRule>
  </conditionalFormatting>
  <conditionalFormatting sqref="Y66:Y71">
    <cfRule type="cellIs" dxfId="51" priority="53" operator="equal">
      <formula>"Muy Alta"</formula>
    </cfRule>
    <cfRule type="cellIs" dxfId="50" priority="54" operator="equal">
      <formula>"Alta"</formula>
    </cfRule>
    <cfRule type="cellIs" dxfId="49" priority="55" operator="equal">
      <formula>"Media"</formula>
    </cfRule>
    <cfRule type="cellIs" dxfId="48" priority="56" operator="equal">
      <formula>"Baja"</formula>
    </cfRule>
    <cfRule type="cellIs" dxfId="47" priority="57" operator="equal">
      <formula>"Muy Baja"</formula>
    </cfRule>
  </conditionalFormatting>
  <conditionalFormatting sqref="AA66:AA71">
    <cfRule type="cellIs" dxfId="46" priority="48" operator="equal">
      <formula>"Catastrófico"</formula>
    </cfRule>
    <cfRule type="cellIs" dxfId="45" priority="49" operator="equal">
      <formula>"Mayor"</formula>
    </cfRule>
    <cfRule type="cellIs" dxfId="44" priority="50" operator="equal">
      <formula>"Moderado"</formula>
    </cfRule>
    <cfRule type="cellIs" dxfId="43" priority="51" operator="equal">
      <formula>"Menor"</formula>
    </cfRule>
    <cfRule type="cellIs" dxfId="42" priority="52" operator="equal">
      <formula>"Leve"</formula>
    </cfRule>
  </conditionalFormatting>
  <conditionalFormatting sqref="AC66:AC71">
    <cfRule type="cellIs" dxfId="41" priority="44" operator="equal">
      <formula>"Extremo"</formula>
    </cfRule>
    <cfRule type="cellIs" dxfId="40" priority="45" operator="equal">
      <formula>"Alto"</formula>
    </cfRule>
    <cfRule type="cellIs" dxfId="39" priority="46" operator="equal">
      <formula>"Moderado"</formula>
    </cfRule>
    <cfRule type="cellIs" dxfId="38" priority="47" operator="equal">
      <formula>"Bajo"</formula>
    </cfRule>
  </conditionalFormatting>
  <conditionalFormatting sqref="H72">
    <cfRule type="cellIs" dxfId="37" priority="39" operator="equal">
      <formula>"Muy Alta"</formula>
    </cfRule>
    <cfRule type="cellIs" dxfId="36" priority="40" operator="equal">
      <formula>"Alta"</formula>
    </cfRule>
    <cfRule type="cellIs" dxfId="35" priority="41" operator="equal">
      <formula>"Media"</formula>
    </cfRule>
    <cfRule type="cellIs" dxfId="34" priority="42" operator="equal">
      <formula>"Baja"</formula>
    </cfRule>
    <cfRule type="cellIs" dxfId="33" priority="43" operator="equal">
      <formula>"Muy Baja"</formula>
    </cfRule>
  </conditionalFormatting>
  <conditionalFormatting sqref="N72">
    <cfRule type="cellIs" dxfId="32" priority="30" operator="equal">
      <formula>"Extremo"</formula>
    </cfRule>
    <cfRule type="cellIs" dxfId="31" priority="31" operator="equal">
      <formula>"Alto"</formula>
    </cfRule>
    <cfRule type="cellIs" dxfId="30" priority="32" operator="equal">
      <formula>"Moderado"</formula>
    </cfRule>
    <cfRule type="cellIs" dxfId="29" priority="33" operator="equal">
      <formula>"Bajo"</formula>
    </cfRule>
  </conditionalFormatting>
  <conditionalFormatting sqref="Y72:Y77">
    <cfRule type="cellIs" dxfId="28" priority="25" operator="equal">
      <formula>"Muy Alta"</formula>
    </cfRule>
    <cfRule type="cellIs" dxfId="27" priority="26" operator="equal">
      <formula>"Alta"</formula>
    </cfRule>
    <cfRule type="cellIs" dxfId="26" priority="27" operator="equal">
      <formula>"Media"</formula>
    </cfRule>
    <cfRule type="cellIs" dxfId="25" priority="28" operator="equal">
      <formula>"Baja"</formula>
    </cfRule>
    <cfRule type="cellIs" dxfId="24" priority="29" operator="equal">
      <formula>"Muy Baja"</formula>
    </cfRule>
  </conditionalFormatting>
  <conditionalFormatting sqref="AA72:AA77">
    <cfRule type="cellIs" dxfId="23" priority="20" operator="equal">
      <formula>"Catastrófico"</formula>
    </cfRule>
    <cfRule type="cellIs" dxfId="22" priority="21" operator="equal">
      <formula>"Mayor"</formula>
    </cfRule>
    <cfRule type="cellIs" dxfId="21" priority="22" operator="equal">
      <formula>"Moderado"</formula>
    </cfRule>
    <cfRule type="cellIs" dxfId="20" priority="23" operator="equal">
      <formula>"Menor"</formula>
    </cfRule>
    <cfRule type="cellIs" dxfId="19" priority="24" operator="equal">
      <formula>"Leve"</formula>
    </cfRule>
  </conditionalFormatting>
  <conditionalFormatting sqref="AC72:AC77">
    <cfRule type="cellIs" dxfId="18" priority="16" operator="equal">
      <formula>"Extremo"</formula>
    </cfRule>
    <cfRule type="cellIs" dxfId="17" priority="17" operator="equal">
      <formula>"Alto"</formula>
    </cfRule>
    <cfRule type="cellIs" dxfId="16" priority="18" operator="equal">
      <formula>"Moderado"</formula>
    </cfRule>
    <cfRule type="cellIs" dxfId="15" priority="19" operator="equal">
      <formula>"Bajo"</formula>
    </cfRule>
  </conditionalFormatting>
  <conditionalFormatting sqref="K22:K77">
    <cfRule type="containsText" dxfId="14" priority="15" operator="containsText" text="❌">
      <formula>NOT(ISERROR(SEARCH("❌",K22)))</formula>
    </cfRule>
  </conditionalFormatting>
  <conditionalFormatting sqref="L22">
    <cfRule type="cellIs" dxfId="8" priority="5" operator="equal">
      <formula>"Catastrófico"</formula>
    </cfRule>
    <cfRule type="cellIs" dxfId="7" priority="6" operator="equal">
      <formula>"Mayor"</formula>
    </cfRule>
    <cfRule type="cellIs" dxfId="6" priority="7" operator="equal">
      <formula>"Moderado"</formula>
    </cfRule>
    <cfRule type="cellIs" dxfId="5" priority="8" operator="equal">
      <formula>"Menor"</formula>
    </cfRule>
    <cfRule type="cellIs" dxfId="4" priority="9" operator="equal">
      <formula>"Leve"</formula>
    </cfRule>
  </conditionalFormatting>
  <conditionalFormatting sqref="N22">
    <cfRule type="cellIs" dxfId="3" priority="1" operator="equal">
      <formula>"Extremo"</formula>
    </cfRule>
    <cfRule type="cellIs" dxfId="2" priority="2" operator="equal">
      <formula>"Alto"</formula>
    </cfRule>
    <cfRule type="cellIs" dxfId="1" priority="3" operator="equal">
      <formula>"Moderado"</formula>
    </cfRule>
    <cfRule type="cellIs" dxfId="0" priority="4" operator="equal">
      <formula>"Bajo"</formula>
    </cfRule>
  </conditionalFormatting>
  <pageMargins left="0.7" right="0.7" top="0.75" bottom="0.75" header="0.3" footer="0.3"/>
  <pageSetup orientation="portrait" r:id="rId1"/>
  <ignoredErrors>
    <ignoredError sqref="AB24" formula="1"/>
  </ignoredErrors>
  <drawing r:id="rId2"/>
  <extLst>
    <ext xmlns:x14="http://schemas.microsoft.com/office/spreadsheetml/2009/9/main" uri="{CCE6A557-97BC-4b89-ADB6-D9C93CAAB3DF}">
      <x14:dataValidations xmlns:xm="http://schemas.microsoft.com/office/excel/2006/main" count="16">
        <x14:dataValidation type="list" allowBlank="1" showInputMessage="1" showErrorMessage="1" xr:uid="{00000000-0002-0000-0100-000004000000}">
          <x14:formula1>
            <xm:f>'Opciones Tratamiento'!$B$9:$B$10</xm:f>
          </x14:formula1>
          <xm:sqref>AJ22:AJ23 AJ25:AJ26 AJ28:AJ29 AJ31:AJ32 AJ34:AJ35 AJ37:AJ38 AJ40:AJ41 AJ43:AJ44 AJ46:AJ47 AJ49:AJ50 AJ52:AJ53 AJ55:AJ56 AJ58:AJ61 AJ63:AJ64 AJ66:AJ67 AJ69:AJ70 AJ72:AJ73 AJ75:AJ76</xm:sqref>
        </x14:dataValidation>
        <x14:dataValidation type="list" allowBlank="1" showInputMessage="1" showErrorMessage="1" xr:uid="{00000000-0002-0000-0100-000006000000}">
          <x14:formula1>
            <xm:f>'Opciones Tratamiento'!$B$13:$B$19</xm:f>
          </x14:formula1>
          <xm:sqref>F66:F77</xm:sqref>
        </x14:dataValidation>
        <x14:dataValidation type="list" allowBlank="1" showInputMessage="1" showErrorMessage="1" xr:uid="{00000000-0002-0000-0100-000000000000}">
          <x14:formula1>
            <xm:f>'Tabla Valoración controles'!$D$4:$D$6</xm:f>
          </x14:formula1>
          <xm:sqref>R22:R58 R60:R77</xm:sqref>
        </x14:dataValidation>
        <x14:dataValidation type="list" allowBlank="1" showInputMessage="1" showErrorMessage="1" xr:uid="{00000000-0002-0000-0100-000001000000}">
          <x14:formula1>
            <xm:f>'Tabla Valoración controles'!$D$7:$D$8</xm:f>
          </x14:formula1>
          <xm:sqref>S22:S58 S60:S77</xm:sqref>
        </x14:dataValidation>
        <x14:dataValidation type="list" allowBlank="1" showInputMessage="1" showErrorMessage="1" xr:uid="{00000000-0002-0000-0100-000002000000}">
          <x14:formula1>
            <xm:f>'Tabla Valoración controles'!$D$9:$D$10</xm:f>
          </x14:formula1>
          <xm:sqref>U22:U58 U60:U77</xm:sqref>
        </x14:dataValidation>
        <x14:dataValidation type="list" allowBlank="1" showInputMessage="1" showErrorMessage="1" xr:uid="{00000000-0002-0000-0100-000003000000}">
          <x14:formula1>
            <xm:f>'Tabla Valoración controles'!$D$11:$D$12</xm:f>
          </x14:formula1>
          <xm:sqref>V22:V58 V60:V77</xm:sqref>
        </x14:dataValidation>
        <x14:dataValidation type="list" allowBlank="1" showInputMessage="1" showErrorMessage="1" xr:uid="{00000000-0002-0000-0100-000005000000}">
          <x14:formula1>
            <xm:f>'Tabla Valoración controles'!$D$13:$D$14</xm:f>
          </x14:formula1>
          <xm:sqref>W22:W58 W60:W77</xm:sqref>
        </x14:dataValidation>
        <x14:dataValidation type="list" allowBlank="1" showInputMessage="1" showErrorMessage="1" xr:uid="{00000000-0002-0000-0100-000008000000}">
          <x14:formula1>
            <xm:f>'Opciones Tratamiento'!$B$2:$B$5</xm:f>
          </x14:formula1>
          <xm:sqref>AD22:AD58 AD60:AD77</xm:sqref>
        </x14:dataValidation>
        <x14:dataValidation type="custom" allowBlank="1" showInputMessage="1" showErrorMessage="1" error="Recuerde que las acciones se generan bajo la medida de mitigar el riesgo" xr:uid="{00000000-0002-0000-0100-00000A000000}">
          <x14:formula1>
            <xm:f>IF(OR(AD22='Opciones Tratamiento'!$B$2,AD22='Opciones Tratamiento'!$B$3,AD22='Opciones Tratamiento'!$B$4),ISBLANK(AD22),ISTEXT(AD22))</xm:f>
          </x14:formula1>
          <xm:sqref>AE22:AE58 AE60:AE77</xm:sqref>
        </x14:dataValidation>
        <x14:dataValidation type="custom" allowBlank="1" showInputMessage="1" showErrorMessage="1" error="Recuerde que las acciones se generan bajo la medida de mitigar el riesgo" xr:uid="{00000000-0002-0000-0100-00000B000000}">
          <x14:formula1>
            <xm:f>IF(OR(AD22='Opciones Tratamiento'!$B$2,AD22='Opciones Tratamiento'!$B$3,AD22='Opciones Tratamiento'!$B$4),ISBLANK(AD22),ISTEXT(AD22))</xm:f>
          </x14:formula1>
          <xm:sqref>AF22:AF77</xm:sqref>
        </x14:dataValidation>
        <x14:dataValidation type="custom" allowBlank="1" showInputMessage="1" showErrorMessage="1" error="Recuerde que las acciones se generan bajo la medida de mitigar el riesgo" xr:uid="{00000000-0002-0000-0100-00000C000000}">
          <x14:formula1>
            <xm:f>IF(OR(AD22='Opciones Tratamiento'!$B$2,AD22='Opciones Tratamiento'!$B$3,AD22='Opciones Tratamiento'!$B$4),ISBLANK(AD22),ISTEXT(AD22))</xm:f>
          </x14:formula1>
          <xm:sqref>AG22:AG77</xm:sqref>
        </x14:dataValidation>
        <x14:dataValidation type="custom" allowBlank="1" showInputMessage="1" showErrorMessage="1" error="Recuerde que las acciones se generan bajo la medida de mitigar el riesgo" xr:uid="{00000000-0002-0000-0100-00000D000000}">
          <x14:formula1>
            <xm:f>IF(OR(AD22='Opciones Tratamiento'!$B$2,AD22='Opciones Tratamiento'!$B$3,AD22='Opciones Tratamiento'!$B$4),ISBLANK(AD22),ISTEXT(AD22))</xm:f>
          </x14:formula1>
          <xm:sqref>AH22:AH77</xm:sqref>
        </x14:dataValidation>
        <x14:dataValidation type="custom" allowBlank="1" showInputMessage="1" showErrorMessage="1" error="Recuerde que las acciones se generan bajo la medida de mitigar el riesgo" xr:uid="{00000000-0002-0000-0100-00000E000000}">
          <x14:formula1>
            <xm:f>IF(OR(AD22='Opciones Tratamiento'!$B$2,AD22='Opciones Tratamiento'!$B$3,AD22='Opciones Tratamiento'!$B$4),ISBLANK(AD22),ISTEXT(AD22))</xm:f>
          </x14:formula1>
          <xm:sqref>AI22:AI77</xm:sqref>
        </x14:dataValidation>
        <x14:dataValidation type="list" allowBlank="1" showInputMessage="1" showErrorMessage="1" xr:uid="{A08F2382-C520-458D-822B-27E981004C95}">
          <x14:formula1>
            <xm:f>'Impacto-clasificacion'!$A$3:$A$6</xm:f>
          </x14:formula1>
          <xm:sqref>B22:B77</xm:sqref>
        </x14:dataValidation>
        <x14:dataValidation type="list" allowBlank="1" showInputMessage="1" showErrorMessage="1" xr:uid="{5B4BFEDF-535D-4676-A2D9-BF1564B5BA44}">
          <x14:formula1>
            <xm:f>'Impacto-clasificacion'!$D$3:$D$10</xm:f>
          </x14:formula1>
          <xm:sqref>F22:F65</xm:sqref>
        </x14:dataValidation>
        <x14:dataValidation type="list" allowBlank="1" showInputMessage="1" showErrorMessage="1" xr:uid="{8DAD2BC1-1BDC-471A-A521-4F3A16793D70}">
          <x14:formula1>
            <xm:f>'Tabla Impacto'!$F$210:$F$227</xm:f>
          </x14:formula1>
          <xm:sqref>J22:J77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760AC-28F7-489F-8FA7-03900777C28F}">
  <dimension ref="A2:D10"/>
  <sheetViews>
    <sheetView workbookViewId="0">
      <selection activeCell="E12" sqref="E12"/>
    </sheetView>
  </sheetViews>
  <sheetFormatPr baseColWidth="10" defaultRowHeight="15" x14ac:dyDescent="0.25"/>
  <sheetData>
    <row r="2" spans="1:4" x14ac:dyDescent="0.25">
      <c r="A2" t="s">
        <v>13</v>
      </c>
    </row>
    <row r="3" spans="1:4" x14ac:dyDescent="0.25">
      <c r="A3" t="s">
        <v>190</v>
      </c>
      <c r="D3" t="s">
        <v>279</v>
      </c>
    </row>
    <row r="4" spans="1:4" x14ac:dyDescent="0.25">
      <c r="A4" t="s">
        <v>192</v>
      </c>
      <c r="D4" t="s">
        <v>280</v>
      </c>
    </row>
    <row r="5" spans="1:4" x14ac:dyDescent="0.25">
      <c r="A5" t="s">
        <v>194</v>
      </c>
      <c r="D5" t="s">
        <v>281</v>
      </c>
    </row>
    <row r="6" spans="1:4" x14ac:dyDescent="0.25">
      <c r="A6" t="s">
        <v>278</v>
      </c>
      <c r="D6" t="s">
        <v>202</v>
      </c>
    </row>
    <row r="7" spans="1:4" x14ac:dyDescent="0.25">
      <c r="D7" t="s">
        <v>203</v>
      </c>
    </row>
    <row r="8" spans="1:4" x14ac:dyDescent="0.25">
      <c r="D8" t="s">
        <v>204</v>
      </c>
    </row>
    <row r="9" spans="1:4" x14ac:dyDescent="0.25">
      <c r="D9" t="s">
        <v>282</v>
      </c>
    </row>
    <row r="10" spans="1:4" x14ac:dyDescent="0.25">
      <c r="D10" t="s">
        <v>283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50" zoomScaleNormal="50" workbookViewId="0">
      <selection activeCell="L12" sqref="L12:M13"/>
    </sheetView>
  </sheetViews>
  <sheetFormatPr baseColWidth="10" defaultColWidth="11.42578125" defaultRowHeight="15" x14ac:dyDescent="0.25"/>
  <cols>
    <col min="2" max="39" width="5.7109375" customWidth="1"/>
    <col min="41" max="46" width="5.7109375" customWidth="1"/>
  </cols>
  <sheetData>
    <row r="1" spans="1:99"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row>
    <row r="2" spans="1:99" ht="18" customHeight="1" x14ac:dyDescent="0.25">
      <c r="A2" s="83"/>
      <c r="B2" s="428" t="s">
        <v>90</v>
      </c>
      <c r="C2" s="428"/>
      <c r="D2" s="428"/>
      <c r="E2" s="428"/>
      <c r="F2" s="428"/>
      <c r="G2" s="428"/>
      <c r="H2" s="428"/>
      <c r="I2" s="428"/>
      <c r="J2" s="396" t="s">
        <v>13</v>
      </c>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c r="AL2" s="396"/>
      <c r="AM2" s="396"/>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row>
    <row r="3" spans="1:99" ht="18.75" customHeight="1" x14ac:dyDescent="0.25">
      <c r="A3" s="83"/>
      <c r="B3" s="428"/>
      <c r="C3" s="428"/>
      <c r="D3" s="428"/>
      <c r="E3" s="428"/>
      <c r="F3" s="428"/>
      <c r="G3" s="428"/>
      <c r="H3" s="428"/>
      <c r="I3" s="428"/>
      <c r="J3" s="396"/>
      <c r="K3" s="396"/>
      <c r="L3" s="396"/>
      <c r="M3" s="396"/>
      <c r="N3" s="396"/>
      <c r="O3" s="396"/>
      <c r="P3" s="396"/>
      <c r="Q3" s="396"/>
      <c r="R3" s="396"/>
      <c r="S3" s="396"/>
      <c r="T3" s="396"/>
      <c r="U3" s="396"/>
      <c r="V3" s="396"/>
      <c r="W3" s="396"/>
      <c r="X3" s="396"/>
      <c r="Y3" s="396"/>
      <c r="Z3" s="396"/>
      <c r="AA3" s="396"/>
      <c r="AB3" s="396"/>
      <c r="AC3" s="396"/>
      <c r="AD3" s="396"/>
      <c r="AE3" s="396"/>
      <c r="AF3" s="396"/>
      <c r="AG3" s="396"/>
      <c r="AH3" s="396"/>
      <c r="AI3" s="396"/>
      <c r="AJ3" s="396"/>
      <c r="AK3" s="396"/>
      <c r="AL3" s="396"/>
      <c r="AM3" s="396"/>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row>
    <row r="4" spans="1:99" ht="15" customHeight="1" x14ac:dyDescent="0.25">
      <c r="A4" s="83"/>
      <c r="B4" s="428"/>
      <c r="C4" s="428"/>
      <c r="D4" s="428"/>
      <c r="E4" s="428"/>
      <c r="F4" s="428"/>
      <c r="G4" s="428"/>
      <c r="H4" s="428"/>
      <c r="I4" s="428"/>
      <c r="J4" s="396"/>
      <c r="K4" s="396"/>
      <c r="L4" s="396"/>
      <c r="M4" s="396"/>
      <c r="N4" s="396"/>
      <c r="O4" s="396"/>
      <c r="P4" s="396"/>
      <c r="Q4" s="396"/>
      <c r="R4" s="396"/>
      <c r="S4" s="396"/>
      <c r="T4" s="396"/>
      <c r="U4" s="396"/>
      <c r="V4" s="396"/>
      <c r="W4" s="396"/>
      <c r="X4" s="396"/>
      <c r="Y4" s="396"/>
      <c r="Z4" s="396"/>
      <c r="AA4" s="396"/>
      <c r="AB4" s="396"/>
      <c r="AC4" s="396"/>
      <c r="AD4" s="396"/>
      <c r="AE4" s="396"/>
      <c r="AF4" s="396"/>
      <c r="AG4" s="396"/>
      <c r="AH4" s="396"/>
      <c r="AI4" s="396"/>
      <c r="AJ4" s="396"/>
      <c r="AK4" s="396"/>
      <c r="AL4" s="396"/>
      <c r="AM4" s="396"/>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row>
    <row r="5" spans="1:99"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row>
    <row r="6" spans="1:99" ht="15" customHeight="1" x14ac:dyDescent="0.25">
      <c r="A6" s="83"/>
      <c r="B6" s="343" t="s">
        <v>91</v>
      </c>
      <c r="C6" s="343"/>
      <c r="D6" s="344"/>
      <c r="E6" s="381" t="s">
        <v>92</v>
      </c>
      <c r="F6" s="382"/>
      <c r="G6" s="382"/>
      <c r="H6" s="382"/>
      <c r="I6" s="383"/>
      <c r="J6" s="392" t="str">
        <f>IF(AND('Mapa final'!$H$22="Muy Alta",'Mapa final'!$L$22="Leve"),CONCATENATE("R",'Mapa final'!$A$22),"")</f>
        <v/>
      </c>
      <c r="K6" s="393"/>
      <c r="L6" s="393" t="str">
        <f>IF(AND('Mapa final'!$H$28="Muy Alta",'Mapa final'!$L$28="Leve"),CONCATENATE("R",'Mapa final'!$A$28),"")</f>
        <v/>
      </c>
      <c r="M6" s="393"/>
      <c r="N6" s="393" t="str">
        <f>IF(AND('Mapa final'!$H$34="Muy Alta",'Mapa final'!$L$34="Leve"),CONCATENATE("R",'Mapa final'!$A$34),"")</f>
        <v/>
      </c>
      <c r="O6" s="395"/>
      <c r="P6" s="392" t="str">
        <f>IF(AND('Mapa final'!$H$22="Muy Alta",'Mapa final'!$L$22="Menor"),CONCATENATE("R",'Mapa final'!$A$22),"")</f>
        <v/>
      </c>
      <c r="Q6" s="393"/>
      <c r="R6" s="393" t="str">
        <f>IF(AND('Mapa final'!$H$28="Muy Alta",'Mapa final'!$L$28="Menor"),CONCATENATE("R",'Mapa final'!$A$28),"")</f>
        <v/>
      </c>
      <c r="S6" s="393"/>
      <c r="T6" s="393" t="str">
        <f>IF(AND('Mapa final'!$H$34="Muy Alta",'Mapa final'!$L$34="Menor"),CONCATENATE("R",'Mapa final'!$A$34),"")</f>
        <v/>
      </c>
      <c r="U6" s="395"/>
      <c r="V6" s="392" t="str">
        <f>IF(AND('Mapa final'!$H$22="Muy Alta",'Mapa final'!$L$22="Moderado"),CONCATENATE("R",'Mapa final'!$A$22),"")</f>
        <v/>
      </c>
      <c r="W6" s="393"/>
      <c r="X6" s="393" t="str">
        <f>IF(AND('Mapa final'!$H$28="Muy Alta",'Mapa final'!$L$28="Moderado"),CONCATENATE("R",'Mapa final'!$A$28),"")</f>
        <v/>
      </c>
      <c r="Y6" s="393"/>
      <c r="Z6" s="393" t="str">
        <f>IF(AND('Mapa final'!$H$34="Muy Alta",'Mapa final'!$L$34="Moderado"),CONCATENATE("R",'Mapa final'!$A$34),"")</f>
        <v/>
      </c>
      <c r="AA6" s="395"/>
      <c r="AB6" s="392" t="str">
        <f>IF(AND('Mapa final'!$H$22="Muy Alta",'Mapa final'!$L$22="Mayor"),CONCATENATE("R",'Mapa final'!$A$22),"")</f>
        <v/>
      </c>
      <c r="AC6" s="393"/>
      <c r="AD6" s="393" t="str">
        <f>IF(AND('Mapa final'!$H$28="Muy Alta",'Mapa final'!$L$28="Mayor"),CONCATENATE("R",'Mapa final'!$A$28),"")</f>
        <v/>
      </c>
      <c r="AE6" s="393"/>
      <c r="AF6" s="393" t="str">
        <f>IF(AND('Mapa final'!$H$34="Muy Alta",'Mapa final'!$L$34="Mayor"),CONCATENATE("R",'Mapa final'!$A$34),"")</f>
        <v/>
      </c>
      <c r="AG6" s="395"/>
      <c r="AH6" s="407" t="str">
        <f>IF(AND('Mapa final'!$H$22="Muy Alta",'Mapa final'!$L$22="Catastrófico"),CONCATENATE("R",'Mapa final'!$A$22),"")</f>
        <v/>
      </c>
      <c r="AI6" s="408"/>
      <c r="AJ6" s="408" t="str">
        <f>IF(AND('Mapa final'!$H$28="Muy Alta",'Mapa final'!$L$28="Catastrófico"),CONCATENATE("R",'Mapa final'!$A$28),"")</f>
        <v/>
      </c>
      <c r="AK6" s="408"/>
      <c r="AL6" s="408" t="str">
        <f>IF(AND('Mapa final'!$H$34="Muy Alta",'Mapa final'!$L$34="Catastrófico"),CONCATENATE("R",'Mapa final'!$A$34),"")</f>
        <v/>
      </c>
      <c r="AM6" s="409"/>
      <c r="AO6" s="345" t="s">
        <v>93</v>
      </c>
      <c r="AP6" s="346"/>
      <c r="AQ6" s="346"/>
      <c r="AR6" s="346"/>
      <c r="AS6" s="346"/>
      <c r="AT6" s="347"/>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row>
    <row r="7" spans="1:99" ht="15" customHeight="1" x14ac:dyDescent="0.25">
      <c r="A7" s="83"/>
      <c r="B7" s="343"/>
      <c r="C7" s="343"/>
      <c r="D7" s="344"/>
      <c r="E7" s="384"/>
      <c r="F7" s="385"/>
      <c r="G7" s="385"/>
      <c r="H7" s="385"/>
      <c r="I7" s="386"/>
      <c r="J7" s="394"/>
      <c r="K7" s="390"/>
      <c r="L7" s="390"/>
      <c r="M7" s="390"/>
      <c r="N7" s="390"/>
      <c r="O7" s="391"/>
      <c r="P7" s="394"/>
      <c r="Q7" s="390"/>
      <c r="R7" s="390"/>
      <c r="S7" s="390"/>
      <c r="T7" s="390"/>
      <c r="U7" s="391"/>
      <c r="V7" s="394"/>
      <c r="W7" s="390"/>
      <c r="X7" s="390"/>
      <c r="Y7" s="390"/>
      <c r="Z7" s="390"/>
      <c r="AA7" s="391"/>
      <c r="AB7" s="394"/>
      <c r="AC7" s="390"/>
      <c r="AD7" s="390"/>
      <c r="AE7" s="390"/>
      <c r="AF7" s="390"/>
      <c r="AG7" s="391"/>
      <c r="AH7" s="401"/>
      <c r="AI7" s="402"/>
      <c r="AJ7" s="402"/>
      <c r="AK7" s="402"/>
      <c r="AL7" s="402"/>
      <c r="AM7" s="403"/>
      <c r="AN7" s="83"/>
      <c r="AO7" s="348"/>
      <c r="AP7" s="349"/>
      <c r="AQ7" s="349"/>
      <c r="AR7" s="349"/>
      <c r="AS7" s="349"/>
      <c r="AT7" s="350"/>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row>
    <row r="8" spans="1:99" ht="15" customHeight="1" x14ac:dyDescent="0.25">
      <c r="A8" s="83"/>
      <c r="B8" s="343"/>
      <c r="C8" s="343"/>
      <c r="D8" s="344"/>
      <c r="E8" s="384"/>
      <c r="F8" s="385"/>
      <c r="G8" s="385"/>
      <c r="H8" s="385"/>
      <c r="I8" s="386"/>
      <c r="J8" s="394" t="str">
        <f>IF(AND('Mapa final'!$H$40="Muy Alta",'Mapa final'!$L$40="Leve"),CONCATENATE("R",'Mapa final'!$A$40),"")</f>
        <v/>
      </c>
      <c r="K8" s="390"/>
      <c r="L8" s="390" t="str">
        <f>IF(AND('Mapa final'!$H$46="Muy Alta",'Mapa final'!$L$46="Leve"),CONCATENATE("R",'Mapa final'!$A$46),"")</f>
        <v/>
      </c>
      <c r="M8" s="390"/>
      <c r="N8" s="390" t="str">
        <f>IF(AND('Mapa final'!$H$52="Muy Alta",'Mapa final'!$L$52="Leve"),CONCATENATE("R",'Mapa final'!$A$52),"")</f>
        <v/>
      </c>
      <c r="O8" s="391"/>
      <c r="P8" s="394" t="str">
        <f>IF(AND('Mapa final'!$H$40="Muy Alta",'Mapa final'!$L$40="Menor"),CONCATENATE("R",'Mapa final'!$A$40),"")</f>
        <v/>
      </c>
      <c r="Q8" s="390"/>
      <c r="R8" s="390" t="str">
        <f>IF(AND('Mapa final'!$H$46="Muy Alta",'Mapa final'!$L$46="Menor"),CONCATENATE("R",'Mapa final'!$A$46),"")</f>
        <v/>
      </c>
      <c r="S8" s="390"/>
      <c r="T8" s="390" t="str">
        <f>IF(AND('Mapa final'!$H$52="Muy Alta",'Mapa final'!$L$52="Menor"),CONCATENATE("R",'Mapa final'!$A$52),"")</f>
        <v/>
      </c>
      <c r="U8" s="391"/>
      <c r="V8" s="394" t="str">
        <f>IF(AND('Mapa final'!$H$40="Muy Alta",'Mapa final'!$L$40="Moderado"),CONCATENATE("R",'Mapa final'!$A$40),"")</f>
        <v/>
      </c>
      <c r="W8" s="390"/>
      <c r="X8" s="390" t="str">
        <f>IF(AND('Mapa final'!$H$46="Muy Alta",'Mapa final'!$L$46="Moderado"),CONCATENATE("R",'Mapa final'!$A$46),"")</f>
        <v/>
      </c>
      <c r="Y8" s="390"/>
      <c r="Z8" s="390" t="str">
        <f>IF(AND('Mapa final'!$H$52="Muy Alta",'Mapa final'!$L$52="Moderado"),CONCATENATE("R",'Mapa final'!$A$52),"")</f>
        <v/>
      </c>
      <c r="AA8" s="391"/>
      <c r="AB8" s="394" t="str">
        <f>IF(AND('Mapa final'!$H$40="Muy Alta",'Mapa final'!$L$40="Mayor"),CONCATENATE("R",'Mapa final'!$A$40),"")</f>
        <v/>
      </c>
      <c r="AC8" s="390"/>
      <c r="AD8" s="390" t="str">
        <f>IF(AND('Mapa final'!$H$46="Muy Alta",'Mapa final'!$L$46="Mayor"),CONCATENATE("R",'Mapa final'!$A$46),"")</f>
        <v/>
      </c>
      <c r="AE8" s="390"/>
      <c r="AF8" s="390" t="str">
        <f>IF(AND('Mapa final'!$H$52="Muy Alta",'Mapa final'!$L$52="Mayor"),CONCATENATE("R",'Mapa final'!$A$52),"")</f>
        <v/>
      </c>
      <c r="AG8" s="391"/>
      <c r="AH8" s="401" t="str">
        <f>IF(AND('Mapa final'!$H$40="Muy Alta",'Mapa final'!$L$40="Catastrófico"),CONCATENATE("R",'Mapa final'!$A$40),"")</f>
        <v/>
      </c>
      <c r="AI8" s="402"/>
      <c r="AJ8" s="402" t="str">
        <f>IF(AND('Mapa final'!$H$46="Muy Alta",'Mapa final'!$L$46="Catastrófico"),CONCATENATE("R",'Mapa final'!$A$46),"")</f>
        <v/>
      </c>
      <c r="AK8" s="402"/>
      <c r="AL8" s="402" t="str">
        <f>IF(AND('Mapa final'!$H$52="Muy Alta",'Mapa final'!$L$52="Catastrófico"),CONCATENATE("R",'Mapa final'!$A$52),"")</f>
        <v/>
      </c>
      <c r="AM8" s="403"/>
      <c r="AN8" s="83"/>
      <c r="AO8" s="348"/>
      <c r="AP8" s="349"/>
      <c r="AQ8" s="349"/>
      <c r="AR8" s="349"/>
      <c r="AS8" s="349"/>
      <c r="AT8" s="350"/>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row>
    <row r="9" spans="1:99" ht="15" customHeight="1" x14ac:dyDescent="0.25">
      <c r="A9" s="83"/>
      <c r="B9" s="343"/>
      <c r="C9" s="343"/>
      <c r="D9" s="344"/>
      <c r="E9" s="384"/>
      <c r="F9" s="385"/>
      <c r="G9" s="385"/>
      <c r="H9" s="385"/>
      <c r="I9" s="386"/>
      <c r="J9" s="394"/>
      <c r="K9" s="390"/>
      <c r="L9" s="390"/>
      <c r="M9" s="390"/>
      <c r="N9" s="390"/>
      <c r="O9" s="391"/>
      <c r="P9" s="394"/>
      <c r="Q9" s="390"/>
      <c r="R9" s="390"/>
      <c r="S9" s="390"/>
      <c r="T9" s="390"/>
      <c r="U9" s="391"/>
      <c r="V9" s="394"/>
      <c r="W9" s="390"/>
      <c r="X9" s="390"/>
      <c r="Y9" s="390"/>
      <c r="Z9" s="390"/>
      <c r="AA9" s="391"/>
      <c r="AB9" s="394"/>
      <c r="AC9" s="390"/>
      <c r="AD9" s="390"/>
      <c r="AE9" s="390"/>
      <c r="AF9" s="390"/>
      <c r="AG9" s="391"/>
      <c r="AH9" s="401"/>
      <c r="AI9" s="402"/>
      <c r="AJ9" s="402"/>
      <c r="AK9" s="402"/>
      <c r="AL9" s="402"/>
      <c r="AM9" s="403"/>
      <c r="AN9" s="83"/>
      <c r="AO9" s="348"/>
      <c r="AP9" s="349"/>
      <c r="AQ9" s="349"/>
      <c r="AR9" s="349"/>
      <c r="AS9" s="349"/>
      <c r="AT9" s="350"/>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row>
    <row r="10" spans="1:99" ht="15" customHeight="1" x14ac:dyDescent="0.25">
      <c r="A10" s="83"/>
      <c r="B10" s="343"/>
      <c r="C10" s="343"/>
      <c r="D10" s="344"/>
      <c r="E10" s="384"/>
      <c r="F10" s="385"/>
      <c r="G10" s="385"/>
      <c r="H10" s="385"/>
      <c r="I10" s="386"/>
      <c r="J10" s="394" t="str">
        <f>IF(AND('Mapa final'!$H$58="Muy Alta",'Mapa final'!$L$58="Leve"),CONCATENATE("R",'Mapa final'!$A$58),"")</f>
        <v/>
      </c>
      <c r="K10" s="390"/>
      <c r="L10" s="390" t="str">
        <f>IF(AND('Mapa final'!$H$60="Muy Alta",'Mapa final'!$L$60="Leve"),CONCATENATE("R",'Mapa final'!$A$60),"")</f>
        <v/>
      </c>
      <c r="M10" s="390"/>
      <c r="N10" s="390" t="str">
        <f>IF(AND('Mapa final'!$H$66="Muy Alta",'Mapa final'!$L$66="Leve"),CONCATENATE("R",'Mapa final'!$A$66),"")</f>
        <v/>
      </c>
      <c r="O10" s="391"/>
      <c r="P10" s="394" t="str">
        <f>IF(AND('Mapa final'!$H$58="Muy Alta",'Mapa final'!$L$58="Menor"),CONCATENATE("R",'Mapa final'!$A$58),"")</f>
        <v/>
      </c>
      <c r="Q10" s="390"/>
      <c r="R10" s="390" t="str">
        <f>IF(AND('Mapa final'!$H$60="Muy Alta",'Mapa final'!$L$60="Menor"),CONCATENATE("R",'Mapa final'!$A$60),"")</f>
        <v/>
      </c>
      <c r="S10" s="390"/>
      <c r="T10" s="390" t="str">
        <f>IF(AND('Mapa final'!$H$66="Muy Alta",'Mapa final'!$L$66="Menor"),CONCATENATE("R",'Mapa final'!$A$66),"")</f>
        <v/>
      </c>
      <c r="U10" s="391"/>
      <c r="V10" s="394" t="str">
        <f>IF(AND('Mapa final'!$H$58="Muy Alta",'Mapa final'!$L$58="Moderado"),CONCATENATE("R",'Mapa final'!$A$58),"")</f>
        <v/>
      </c>
      <c r="W10" s="390"/>
      <c r="X10" s="390" t="str">
        <f>IF(AND('Mapa final'!$H$60="Muy Alta",'Mapa final'!$L$60="Moderado"),CONCATENATE("R",'Mapa final'!$A$60),"")</f>
        <v/>
      </c>
      <c r="Y10" s="390"/>
      <c r="Z10" s="390" t="str">
        <f>IF(AND('Mapa final'!$H$66="Muy Alta",'Mapa final'!$L$66="Moderado"),CONCATENATE("R",'Mapa final'!$A$66),"")</f>
        <v/>
      </c>
      <c r="AA10" s="391"/>
      <c r="AB10" s="394" t="str">
        <f>IF(AND('Mapa final'!$H$58="Muy Alta",'Mapa final'!$L$58="Mayor"),CONCATENATE("R",'Mapa final'!$A$58),"")</f>
        <v/>
      </c>
      <c r="AC10" s="390"/>
      <c r="AD10" s="390" t="str">
        <f>IF(AND('Mapa final'!$H$60="Muy Alta",'Mapa final'!$L$60="Mayor"),CONCATENATE("R",'Mapa final'!$A$60),"")</f>
        <v/>
      </c>
      <c r="AE10" s="390"/>
      <c r="AF10" s="390" t="str">
        <f>IF(AND('Mapa final'!$H$66="Muy Alta",'Mapa final'!$L$66="Mayor"),CONCATENATE("R",'Mapa final'!$A$66),"")</f>
        <v/>
      </c>
      <c r="AG10" s="391"/>
      <c r="AH10" s="401" t="str">
        <f>IF(AND('Mapa final'!$H$58="Muy Alta",'Mapa final'!$L$58="Catastrófico"),CONCATENATE("R",'Mapa final'!$A$58),"")</f>
        <v/>
      </c>
      <c r="AI10" s="402"/>
      <c r="AJ10" s="402" t="str">
        <f>IF(AND('Mapa final'!$H$60="Muy Alta",'Mapa final'!$L$60="Catastrófico"),CONCATENATE("R",'Mapa final'!$A$60),"")</f>
        <v/>
      </c>
      <c r="AK10" s="402"/>
      <c r="AL10" s="402" t="str">
        <f>IF(AND('Mapa final'!$H$66="Muy Alta",'Mapa final'!$L$66="Catastrófico"),CONCATENATE("R",'Mapa final'!$A$66),"")</f>
        <v/>
      </c>
      <c r="AM10" s="403"/>
      <c r="AN10" s="83"/>
      <c r="AO10" s="348"/>
      <c r="AP10" s="349"/>
      <c r="AQ10" s="349"/>
      <c r="AR10" s="349"/>
      <c r="AS10" s="349"/>
      <c r="AT10" s="350"/>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row>
    <row r="11" spans="1:99" ht="15" customHeight="1" x14ac:dyDescent="0.25">
      <c r="A11" s="83"/>
      <c r="B11" s="343"/>
      <c r="C11" s="343"/>
      <c r="D11" s="344"/>
      <c r="E11" s="384"/>
      <c r="F11" s="385"/>
      <c r="G11" s="385"/>
      <c r="H11" s="385"/>
      <c r="I11" s="386"/>
      <c r="J11" s="394"/>
      <c r="K11" s="390"/>
      <c r="L11" s="390"/>
      <c r="M11" s="390"/>
      <c r="N11" s="390"/>
      <c r="O11" s="391"/>
      <c r="P11" s="394"/>
      <c r="Q11" s="390"/>
      <c r="R11" s="390"/>
      <c r="S11" s="390"/>
      <c r="T11" s="390"/>
      <c r="U11" s="391"/>
      <c r="V11" s="394"/>
      <c r="W11" s="390"/>
      <c r="X11" s="390"/>
      <c r="Y11" s="390"/>
      <c r="Z11" s="390"/>
      <c r="AA11" s="391"/>
      <c r="AB11" s="394"/>
      <c r="AC11" s="390"/>
      <c r="AD11" s="390"/>
      <c r="AE11" s="390"/>
      <c r="AF11" s="390"/>
      <c r="AG11" s="391"/>
      <c r="AH11" s="401"/>
      <c r="AI11" s="402"/>
      <c r="AJ11" s="402"/>
      <c r="AK11" s="402"/>
      <c r="AL11" s="402"/>
      <c r="AM11" s="403"/>
      <c r="AN11" s="83"/>
      <c r="AO11" s="348"/>
      <c r="AP11" s="349"/>
      <c r="AQ11" s="349"/>
      <c r="AR11" s="349"/>
      <c r="AS11" s="349"/>
      <c r="AT11" s="350"/>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row>
    <row r="12" spans="1:99" ht="15" customHeight="1" x14ac:dyDescent="0.25">
      <c r="A12" s="83"/>
      <c r="B12" s="343"/>
      <c r="C12" s="343"/>
      <c r="D12" s="344"/>
      <c r="E12" s="384"/>
      <c r="F12" s="385"/>
      <c r="G12" s="385"/>
      <c r="H12" s="385"/>
      <c r="I12" s="386"/>
      <c r="J12" s="394" t="str">
        <f>IF(AND('Mapa final'!$H$72="Muy Alta",'Mapa final'!$L$72="Leve"),CONCATENATE("R",'Mapa final'!$A$72),"")</f>
        <v/>
      </c>
      <c r="K12" s="390"/>
      <c r="L12" s="390" t="str">
        <f>IF(AND('Mapa final'!$H$78="Muy Alta",'Mapa final'!$L$78="Leve"),CONCATENATE("R",'Mapa final'!$A$78),"")</f>
        <v/>
      </c>
      <c r="M12" s="390"/>
      <c r="N12" s="390" t="str">
        <f>IF(AND('Mapa final'!$H$84="Muy Alta",'Mapa final'!$L$84="Leve"),CONCATENATE("R",'Mapa final'!$A$84),"")</f>
        <v/>
      </c>
      <c r="O12" s="391"/>
      <c r="P12" s="394" t="str">
        <f>IF(AND('Mapa final'!$H$72="Muy Alta",'Mapa final'!$L$72="Menor"),CONCATENATE("R",'Mapa final'!$A$72),"")</f>
        <v/>
      </c>
      <c r="Q12" s="390"/>
      <c r="R12" s="390" t="str">
        <f>IF(AND('Mapa final'!$H$78="Muy Alta",'Mapa final'!$L$78="Menor"),CONCATENATE("R",'Mapa final'!$A$78),"")</f>
        <v/>
      </c>
      <c r="S12" s="390"/>
      <c r="T12" s="390" t="str">
        <f>IF(AND('Mapa final'!$H$84="Muy Alta",'Mapa final'!$L$84="Menor"),CONCATENATE("R",'Mapa final'!$A$84),"")</f>
        <v/>
      </c>
      <c r="U12" s="391"/>
      <c r="V12" s="394" t="str">
        <f>IF(AND('Mapa final'!$H$72="Muy Alta",'Mapa final'!$L$72="Moderado"),CONCATENATE("R",'Mapa final'!$A$72),"")</f>
        <v/>
      </c>
      <c r="W12" s="390"/>
      <c r="X12" s="390" t="str">
        <f>IF(AND('Mapa final'!$H$78="Muy Alta",'Mapa final'!$L$78="Moderado"),CONCATENATE("R",'Mapa final'!$A$78),"")</f>
        <v/>
      </c>
      <c r="Y12" s="390"/>
      <c r="Z12" s="390" t="str">
        <f>IF(AND('Mapa final'!$H$84="Muy Alta",'Mapa final'!$L$84="Moderado"),CONCATENATE("R",'Mapa final'!$A$84),"")</f>
        <v/>
      </c>
      <c r="AA12" s="391"/>
      <c r="AB12" s="394" t="str">
        <f>IF(AND('Mapa final'!$H$72="Muy Alta",'Mapa final'!$L$72="Mayor"),CONCATENATE("R",'Mapa final'!$A$72),"")</f>
        <v/>
      </c>
      <c r="AC12" s="390"/>
      <c r="AD12" s="390" t="str">
        <f>IF(AND('Mapa final'!$H$78="Muy Alta",'Mapa final'!$L$78="Mayor"),CONCATENATE("R",'Mapa final'!$A$78),"")</f>
        <v/>
      </c>
      <c r="AE12" s="390"/>
      <c r="AF12" s="390" t="str">
        <f>IF(AND('Mapa final'!$H$84="Muy Alta",'Mapa final'!$L$84="Mayor"),CONCATENATE("R",'Mapa final'!$A$84),"")</f>
        <v/>
      </c>
      <c r="AG12" s="391"/>
      <c r="AH12" s="401" t="str">
        <f>IF(AND('Mapa final'!$H$72="Muy Alta",'Mapa final'!$L$72="Catastrófico"),CONCATENATE("R",'Mapa final'!$A$72),"")</f>
        <v/>
      </c>
      <c r="AI12" s="402"/>
      <c r="AJ12" s="402" t="str">
        <f>IF(AND('Mapa final'!$H$78="Muy Alta",'Mapa final'!$L$78="Catastrófico"),CONCATENATE("R",'Mapa final'!$A$78),"")</f>
        <v/>
      </c>
      <c r="AK12" s="402"/>
      <c r="AL12" s="402" t="str">
        <f>IF(AND('Mapa final'!$H$84="Muy Alta",'Mapa final'!$L$84="Catastrófico"),CONCATENATE("R",'Mapa final'!$A$84),"")</f>
        <v/>
      </c>
      <c r="AM12" s="403"/>
      <c r="AN12" s="83"/>
      <c r="AO12" s="348"/>
      <c r="AP12" s="349"/>
      <c r="AQ12" s="349"/>
      <c r="AR12" s="349"/>
      <c r="AS12" s="349"/>
      <c r="AT12" s="350"/>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row>
    <row r="13" spans="1:99" ht="15.75" customHeight="1" thickBot="1" x14ac:dyDescent="0.3">
      <c r="A13" s="83"/>
      <c r="B13" s="343"/>
      <c r="C13" s="343"/>
      <c r="D13" s="344"/>
      <c r="E13" s="387"/>
      <c r="F13" s="388"/>
      <c r="G13" s="388"/>
      <c r="H13" s="388"/>
      <c r="I13" s="389"/>
      <c r="J13" s="394"/>
      <c r="K13" s="390"/>
      <c r="L13" s="390"/>
      <c r="M13" s="390"/>
      <c r="N13" s="390"/>
      <c r="O13" s="391"/>
      <c r="P13" s="394"/>
      <c r="Q13" s="390"/>
      <c r="R13" s="390"/>
      <c r="S13" s="390"/>
      <c r="T13" s="390"/>
      <c r="U13" s="391"/>
      <c r="V13" s="394"/>
      <c r="W13" s="390"/>
      <c r="X13" s="390"/>
      <c r="Y13" s="390"/>
      <c r="Z13" s="390"/>
      <c r="AA13" s="391"/>
      <c r="AB13" s="394"/>
      <c r="AC13" s="390"/>
      <c r="AD13" s="390"/>
      <c r="AE13" s="390"/>
      <c r="AF13" s="390"/>
      <c r="AG13" s="391"/>
      <c r="AH13" s="404"/>
      <c r="AI13" s="405"/>
      <c r="AJ13" s="405"/>
      <c r="AK13" s="405"/>
      <c r="AL13" s="405"/>
      <c r="AM13" s="406"/>
      <c r="AN13" s="83"/>
      <c r="AO13" s="351"/>
      <c r="AP13" s="352"/>
      <c r="AQ13" s="352"/>
      <c r="AR13" s="352"/>
      <c r="AS13" s="352"/>
      <c r="AT13" s="35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row>
    <row r="14" spans="1:99" ht="15" customHeight="1" x14ac:dyDescent="0.25">
      <c r="A14" s="83"/>
      <c r="B14" s="343"/>
      <c r="C14" s="343"/>
      <c r="D14" s="344"/>
      <c r="E14" s="381" t="s">
        <v>94</v>
      </c>
      <c r="F14" s="382"/>
      <c r="G14" s="382"/>
      <c r="H14" s="382"/>
      <c r="I14" s="382"/>
      <c r="J14" s="416" t="str">
        <f>IF(AND('Mapa final'!$H$22="Alta",'Mapa final'!$L$22="Leve"),CONCATENATE("R",'Mapa final'!$A$22),"")</f>
        <v/>
      </c>
      <c r="K14" s="417"/>
      <c r="L14" s="417" t="str">
        <f>IF(AND('Mapa final'!$H$28="Alta",'Mapa final'!$L$28="Leve"),CONCATENATE("R",'Mapa final'!$A$28),"")</f>
        <v/>
      </c>
      <c r="M14" s="417"/>
      <c r="N14" s="417" t="str">
        <f>IF(AND('Mapa final'!$H$34="Alta",'Mapa final'!$L$34="Leve"),CONCATENATE("R",'Mapa final'!$A$34),"")</f>
        <v/>
      </c>
      <c r="O14" s="418"/>
      <c r="P14" s="416" t="str">
        <f>IF(AND('Mapa final'!$H$22="Alta",'Mapa final'!$L$22="Menor"),CONCATENATE("R",'Mapa final'!$A$22),"")</f>
        <v/>
      </c>
      <c r="Q14" s="417"/>
      <c r="R14" s="417" t="str">
        <f>IF(AND('Mapa final'!$H$28="Alta",'Mapa final'!$L$28="Menor"),CONCATENATE("R",'Mapa final'!$A$28),"")</f>
        <v/>
      </c>
      <c r="S14" s="417"/>
      <c r="T14" s="417" t="str">
        <f>IF(AND('Mapa final'!$H$34="Alta",'Mapa final'!$L$34="Menor"),CONCATENATE("R",'Mapa final'!$A$34),"")</f>
        <v/>
      </c>
      <c r="U14" s="418"/>
      <c r="V14" s="392" t="str">
        <f>IF(AND('Mapa final'!$H$22="Alta",'Mapa final'!$L$22="Moderado"),CONCATENATE("R",'Mapa final'!$A$22),"")</f>
        <v/>
      </c>
      <c r="W14" s="393"/>
      <c r="X14" s="393" t="str">
        <f>IF(AND('Mapa final'!$H$28="Alta",'Mapa final'!$L$28="Moderado"),CONCATENATE("R",'Mapa final'!$A$28),"")</f>
        <v/>
      </c>
      <c r="Y14" s="393"/>
      <c r="Z14" s="393" t="str">
        <f>IF(AND('Mapa final'!$H$34="Alta",'Mapa final'!$L$34="Moderado"),CONCATENATE("R",'Mapa final'!$A$34),"")</f>
        <v/>
      </c>
      <c r="AA14" s="395"/>
      <c r="AB14" s="392" t="str">
        <f>IF(AND('Mapa final'!$H$22="Alta",'Mapa final'!$L$22="Mayor"),CONCATENATE("R",'Mapa final'!$A$22),"")</f>
        <v/>
      </c>
      <c r="AC14" s="393"/>
      <c r="AD14" s="393" t="str">
        <f>IF(AND('Mapa final'!$H$28="Alta",'Mapa final'!$L$28="Mayor"),CONCATENATE("R",'Mapa final'!$A$28),"")</f>
        <v/>
      </c>
      <c r="AE14" s="393"/>
      <c r="AF14" s="393" t="str">
        <f>IF(AND('Mapa final'!$H$34="Alta",'Mapa final'!$L$34="Mayor"),CONCATENATE("R",'Mapa final'!$A$34),"")</f>
        <v/>
      </c>
      <c r="AG14" s="395"/>
      <c r="AH14" s="407" t="str">
        <f>IF(AND('Mapa final'!$H$22="Alta",'Mapa final'!$L$22="Catastrófico"),CONCATENATE("R",'Mapa final'!$A$22),"")</f>
        <v/>
      </c>
      <c r="AI14" s="408"/>
      <c r="AJ14" s="408" t="str">
        <f>IF(AND('Mapa final'!$H$28="Alta",'Mapa final'!$L$28="Catastrófico"),CONCATENATE("R",'Mapa final'!$A$28),"")</f>
        <v/>
      </c>
      <c r="AK14" s="408"/>
      <c r="AL14" s="408" t="str">
        <f>IF(AND('Mapa final'!$H$34="Alta",'Mapa final'!$L$34="Catastrófico"),CONCATENATE("R",'Mapa final'!$A$34),"")</f>
        <v/>
      </c>
      <c r="AM14" s="409"/>
      <c r="AN14" s="83"/>
      <c r="AO14" s="354" t="s">
        <v>95</v>
      </c>
      <c r="AP14" s="355"/>
      <c r="AQ14" s="355"/>
      <c r="AR14" s="355"/>
      <c r="AS14" s="355"/>
      <c r="AT14" s="356"/>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row>
    <row r="15" spans="1:99" ht="15" customHeight="1" x14ac:dyDescent="0.25">
      <c r="A15" s="83"/>
      <c r="B15" s="343"/>
      <c r="C15" s="343"/>
      <c r="D15" s="344"/>
      <c r="E15" s="384"/>
      <c r="F15" s="385"/>
      <c r="G15" s="385"/>
      <c r="H15" s="385"/>
      <c r="I15" s="385"/>
      <c r="J15" s="410"/>
      <c r="K15" s="411"/>
      <c r="L15" s="411"/>
      <c r="M15" s="411"/>
      <c r="N15" s="411"/>
      <c r="O15" s="412"/>
      <c r="P15" s="410"/>
      <c r="Q15" s="411"/>
      <c r="R15" s="411"/>
      <c r="S15" s="411"/>
      <c r="T15" s="411"/>
      <c r="U15" s="412"/>
      <c r="V15" s="394"/>
      <c r="W15" s="390"/>
      <c r="X15" s="390"/>
      <c r="Y15" s="390"/>
      <c r="Z15" s="390"/>
      <c r="AA15" s="391"/>
      <c r="AB15" s="394"/>
      <c r="AC15" s="390"/>
      <c r="AD15" s="390"/>
      <c r="AE15" s="390"/>
      <c r="AF15" s="390"/>
      <c r="AG15" s="391"/>
      <c r="AH15" s="401"/>
      <c r="AI15" s="402"/>
      <c r="AJ15" s="402"/>
      <c r="AK15" s="402"/>
      <c r="AL15" s="402"/>
      <c r="AM15" s="403"/>
      <c r="AN15" s="83"/>
      <c r="AO15" s="357"/>
      <c r="AP15" s="358"/>
      <c r="AQ15" s="358"/>
      <c r="AR15" s="358"/>
      <c r="AS15" s="358"/>
      <c r="AT15" s="359"/>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row>
    <row r="16" spans="1:99" ht="15" customHeight="1" x14ac:dyDescent="0.25">
      <c r="A16" s="83"/>
      <c r="B16" s="343"/>
      <c r="C16" s="343"/>
      <c r="D16" s="344"/>
      <c r="E16" s="384"/>
      <c r="F16" s="385"/>
      <c r="G16" s="385"/>
      <c r="H16" s="385"/>
      <c r="I16" s="385"/>
      <c r="J16" s="410" t="str">
        <f>IF(AND('Mapa final'!$H$40="Alta",'Mapa final'!$L$40="Leve"),CONCATENATE("R",'Mapa final'!$A$40),"")</f>
        <v/>
      </c>
      <c r="K16" s="411"/>
      <c r="L16" s="411" t="str">
        <f>IF(AND('Mapa final'!$H$46="Alta",'Mapa final'!$L$46="Leve"),CONCATENATE("R",'Mapa final'!$A$46),"")</f>
        <v/>
      </c>
      <c r="M16" s="411"/>
      <c r="N16" s="411" t="str">
        <f>IF(AND('Mapa final'!$H$52="Alta",'Mapa final'!$L$52="Leve"),CONCATENATE("R",'Mapa final'!$A$52),"")</f>
        <v/>
      </c>
      <c r="O16" s="412"/>
      <c r="P16" s="410" t="str">
        <f>IF(AND('Mapa final'!$H$40="Alta",'Mapa final'!$L$40="Menor"),CONCATENATE("R",'Mapa final'!$A$40),"")</f>
        <v/>
      </c>
      <c r="Q16" s="411"/>
      <c r="R16" s="411" t="str">
        <f>IF(AND('Mapa final'!$H$46="Alta",'Mapa final'!$L$46="Menor"),CONCATENATE("R",'Mapa final'!$A$46),"")</f>
        <v/>
      </c>
      <c r="S16" s="411"/>
      <c r="T16" s="411" t="str">
        <f>IF(AND('Mapa final'!$H$52="Alta",'Mapa final'!$L$52="Menor"),CONCATENATE("R",'Mapa final'!$A$52),"")</f>
        <v/>
      </c>
      <c r="U16" s="412"/>
      <c r="V16" s="394" t="str">
        <f>IF(AND('Mapa final'!$H$40="Alta",'Mapa final'!$L$40="Moderado"),CONCATENATE("R",'Mapa final'!$A$40),"")</f>
        <v/>
      </c>
      <c r="W16" s="390"/>
      <c r="X16" s="390" t="str">
        <f>IF(AND('Mapa final'!$H$46="Alta",'Mapa final'!$L$46="Moderado"),CONCATENATE("R",'Mapa final'!$A$46),"")</f>
        <v/>
      </c>
      <c r="Y16" s="390"/>
      <c r="Z16" s="390" t="str">
        <f>IF(AND('Mapa final'!$H$52="Alta",'Mapa final'!$L$52="Moderado"),CONCATENATE("R",'Mapa final'!$A$52),"")</f>
        <v/>
      </c>
      <c r="AA16" s="391"/>
      <c r="AB16" s="394" t="str">
        <f>IF(AND('Mapa final'!$H$40="Alta",'Mapa final'!$L$40="Mayor"),CONCATENATE("R",'Mapa final'!$A$40),"")</f>
        <v/>
      </c>
      <c r="AC16" s="390"/>
      <c r="AD16" s="390" t="str">
        <f>IF(AND('Mapa final'!$H$46="Alta",'Mapa final'!$L$46="Mayor"),CONCATENATE("R",'Mapa final'!$A$46),"")</f>
        <v/>
      </c>
      <c r="AE16" s="390"/>
      <c r="AF16" s="390" t="str">
        <f>IF(AND('Mapa final'!$H$52="Alta",'Mapa final'!$L$52="Mayor"),CONCATENATE("R",'Mapa final'!$A$52),"")</f>
        <v/>
      </c>
      <c r="AG16" s="391"/>
      <c r="AH16" s="401" t="str">
        <f>IF(AND('Mapa final'!$H$40="Alta",'Mapa final'!$L$40="Catastrófico"),CONCATENATE("R",'Mapa final'!$A$40),"")</f>
        <v/>
      </c>
      <c r="AI16" s="402"/>
      <c r="AJ16" s="402" t="str">
        <f>IF(AND('Mapa final'!$H$46="Alta",'Mapa final'!$L$46="Catastrófico"),CONCATENATE("R",'Mapa final'!$A$46),"")</f>
        <v/>
      </c>
      <c r="AK16" s="402"/>
      <c r="AL16" s="402" t="str">
        <f>IF(AND('Mapa final'!$H$52="Alta",'Mapa final'!$L$52="Catastrófico"),CONCATENATE("R",'Mapa final'!$A$52),"")</f>
        <v/>
      </c>
      <c r="AM16" s="403"/>
      <c r="AN16" s="83"/>
      <c r="AO16" s="357"/>
      <c r="AP16" s="358"/>
      <c r="AQ16" s="358"/>
      <c r="AR16" s="358"/>
      <c r="AS16" s="358"/>
      <c r="AT16" s="359"/>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row>
    <row r="17" spans="1:80" ht="15" customHeight="1" x14ac:dyDescent="0.25">
      <c r="A17" s="83"/>
      <c r="B17" s="343"/>
      <c r="C17" s="343"/>
      <c r="D17" s="344"/>
      <c r="E17" s="384"/>
      <c r="F17" s="385"/>
      <c r="G17" s="385"/>
      <c r="H17" s="385"/>
      <c r="I17" s="385"/>
      <c r="J17" s="410"/>
      <c r="K17" s="411"/>
      <c r="L17" s="411"/>
      <c r="M17" s="411"/>
      <c r="N17" s="411"/>
      <c r="O17" s="412"/>
      <c r="P17" s="410"/>
      <c r="Q17" s="411"/>
      <c r="R17" s="411"/>
      <c r="S17" s="411"/>
      <c r="T17" s="411"/>
      <c r="U17" s="412"/>
      <c r="V17" s="394"/>
      <c r="W17" s="390"/>
      <c r="X17" s="390"/>
      <c r="Y17" s="390"/>
      <c r="Z17" s="390"/>
      <c r="AA17" s="391"/>
      <c r="AB17" s="394"/>
      <c r="AC17" s="390"/>
      <c r="AD17" s="390"/>
      <c r="AE17" s="390"/>
      <c r="AF17" s="390"/>
      <c r="AG17" s="391"/>
      <c r="AH17" s="401"/>
      <c r="AI17" s="402"/>
      <c r="AJ17" s="402"/>
      <c r="AK17" s="402"/>
      <c r="AL17" s="402"/>
      <c r="AM17" s="403"/>
      <c r="AN17" s="83"/>
      <c r="AO17" s="357"/>
      <c r="AP17" s="358"/>
      <c r="AQ17" s="358"/>
      <c r="AR17" s="358"/>
      <c r="AS17" s="358"/>
      <c r="AT17" s="359"/>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row>
    <row r="18" spans="1:80" ht="15" customHeight="1" x14ac:dyDescent="0.25">
      <c r="A18" s="83"/>
      <c r="B18" s="343"/>
      <c r="C18" s="343"/>
      <c r="D18" s="344"/>
      <c r="E18" s="384"/>
      <c r="F18" s="385"/>
      <c r="G18" s="385"/>
      <c r="H18" s="385"/>
      <c r="I18" s="385"/>
      <c r="J18" s="410" t="str">
        <f>IF(AND('Mapa final'!$H$58="Alta",'Mapa final'!$L$58="Leve"),CONCATENATE("R",'Mapa final'!$A$58),"")</f>
        <v/>
      </c>
      <c r="K18" s="411"/>
      <c r="L18" s="411" t="str">
        <f>IF(AND('Mapa final'!$H$60="Alta",'Mapa final'!$L$60="Leve"),CONCATENATE("R",'Mapa final'!$A$60),"")</f>
        <v/>
      </c>
      <c r="M18" s="411"/>
      <c r="N18" s="411" t="str">
        <f>IF(AND('Mapa final'!$H$66="Alta",'Mapa final'!$L$66="Leve"),CONCATENATE("R",'Mapa final'!$A$66),"")</f>
        <v/>
      </c>
      <c r="O18" s="412"/>
      <c r="P18" s="410" t="str">
        <f>IF(AND('Mapa final'!$H$58="Alta",'Mapa final'!$L$58="Menor"),CONCATENATE("R",'Mapa final'!$A$58),"")</f>
        <v/>
      </c>
      <c r="Q18" s="411"/>
      <c r="R18" s="411" t="str">
        <f>IF(AND('Mapa final'!$H$60="Alta",'Mapa final'!$L$60="Menor"),CONCATENATE("R",'Mapa final'!$A$60),"")</f>
        <v/>
      </c>
      <c r="S18" s="411"/>
      <c r="T18" s="411" t="str">
        <f>IF(AND('Mapa final'!$H$66="Alta",'Mapa final'!$L$66="Menor"),CONCATENATE("R",'Mapa final'!$A$66),"")</f>
        <v/>
      </c>
      <c r="U18" s="412"/>
      <c r="V18" s="394" t="str">
        <f>IF(AND('Mapa final'!$H$58="Alta",'Mapa final'!$L$58="Moderado"),CONCATENATE("R",'Mapa final'!$A$58),"")</f>
        <v/>
      </c>
      <c r="W18" s="390"/>
      <c r="X18" s="390" t="str">
        <f>IF(AND('Mapa final'!$H$60="Alta",'Mapa final'!$L$60="Moderado"),CONCATENATE("R",'Mapa final'!$A$60),"")</f>
        <v/>
      </c>
      <c r="Y18" s="390"/>
      <c r="Z18" s="390" t="str">
        <f>IF(AND('Mapa final'!$H$66="Alta",'Mapa final'!$L$66="Moderado"),CONCATENATE("R",'Mapa final'!$A$66),"")</f>
        <v/>
      </c>
      <c r="AA18" s="391"/>
      <c r="AB18" s="394" t="str">
        <f>IF(AND('Mapa final'!$H$58="Alta",'Mapa final'!$L$58="Mayor"),CONCATENATE("R",'Mapa final'!$A$58),"")</f>
        <v/>
      </c>
      <c r="AC18" s="390"/>
      <c r="AD18" s="390" t="str">
        <f>IF(AND('Mapa final'!$H$60="Alta",'Mapa final'!$L$60="Mayor"),CONCATENATE("R",'Mapa final'!$A$60),"")</f>
        <v/>
      </c>
      <c r="AE18" s="390"/>
      <c r="AF18" s="390" t="str">
        <f>IF(AND('Mapa final'!$H$66="Alta",'Mapa final'!$L$66="Mayor"),CONCATENATE("R",'Mapa final'!$A$66),"")</f>
        <v/>
      </c>
      <c r="AG18" s="391"/>
      <c r="AH18" s="401" t="str">
        <f>IF(AND('Mapa final'!$H$58="Alta",'Mapa final'!$L$58="Catastrófico"),CONCATENATE("R",'Mapa final'!$A$58),"")</f>
        <v/>
      </c>
      <c r="AI18" s="402"/>
      <c r="AJ18" s="402" t="str">
        <f>IF(AND('Mapa final'!$H$60="Alta",'Mapa final'!$L$60="Catastrófico"),CONCATENATE("R",'Mapa final'!$A$60),"")</f>
        <v/>
      </c>
      <c r="AK18" s="402"/>
      <c r="AL18" s="402" t="str">
        <f>IF(AND('Mapa final'!$H$66="Alta",'Mapa final'!$L$66="Catastrófico"),CONCATENATE("R",'Mapa final'!$A$66),"")</f>
        <v/>
      </c>
      <c r="AM18" s="403"/>
      <c r="AN18" s="83"/>
      <c r="AO18" s="357"/>
      <c r="AP18" s="358"/>
      <c r="AQ18" s="358"/>
      <c r="AR18" s="358"/>
      <c r="AS18" s="358"/>
      <c r="AT18" s="359"/>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row>
    <row r="19" spans="1:80" ht="15" customHeight="1" x14ac:dyDescent="0.25">
      <c r="A19" s="83"/>
      <c r="B19" s="343"/>
      <c r="C19" s="343"/>
      <c r="D19" s="344"/>
      <c r="E19" s="384"/>
      <c r="F19" s="385"/>
      <c r="G19" s="385"/>
      <c r="H19" s="385"/>
      <c r="I19" s="385"/>
      <c r="J19" s="410"/>
      <c r="K19" s="411"/>
      <c r="L19" s="411"/>
      <c r="M19" s="411"/>
      <c r="N19" s="411"/>
      <c r="O19" s="412"/>
      <c r="P19" s="410"/>
      <c r="Q19" s="411"/>
      <c r="R19" s="411"/>
      <c r="S19" s="411"/>
      <c r="T19" s="411"/>
      <c r="U19" s="412"/>
      <c r="V19" s="394"/>
      <c r="W19" s="390"/>
      <c r="X19" s="390"/>
      <c r="Y19" s="390"/>
      <c r="Z19" s="390"/>
      <c r="AA19" s="391"/>
      <c r="AB19" s="394"/>
      <c r="AC19" s="390"/>
      <c r="AD19" s="390"/>
      <c r="AE19" s="390"/>
      <c r="AF19" s="390"/>
      <c r="AG19" s="391"/>
      <c r="AH19" s="401"/>
      <c r="AI19" s="402"/>
      <c r="AJ19" s="402"/>
      <c r="AK19" s="402"/>
      <c r="AL19" s="402"/>
      <c r="AM19" s="403"/>
      <c r="AN19" s="83"/>
      <c r="AO19" s="357"/>
      <c r="AP19" s="358"/>
      <c r="AQ19" s="358"/>
      <c r="AR19" s="358"/>
      <c r="AS19" s="358"/>
      <c r="AT19" s="359"/>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row>
    <row r="20" spans="1:80" ht="15" customHeight="1" x14ac:dyDescent="0.25">
      <c r="A20" s="83"/>
      <c r="B20" s="343"/>
      <c r="C20" s="343"/>
      <c r="D20" s="344"/>
      <c r="E20" s="384"/>
      <c r="F20" s="385"/>
      <c r="G20" s="385"/>
      <c r="H20" s="385"/>
      <c r="I20" s="385"/>
      <c r="J20" s="410" t="str">
        <f>IF(AND('Mapa final'!$H$72="Alta",'Mapa final'!$L$72="Leve"),CONCATENATE("R",'Mapa final'!$A$72),"")</f>
        <v/>
      </c>
      <c r="K20" s="411"/>
      <c r="L20" s="411" t="str">
        <f>IF(AND('Mapa final'!$H$78="Alta",'Mapa final'!$L$78="Leve"),CONCATENATE("R",'Mapa final'!$A$78),"")</f>
        <v/>
      </c>
      <c r="M20" s="411"/>
      <c r="N20" s="411" t="str">
        <f>IF(AND('Mapa final'!$H$84="Alta",'Mapa final'!$L$84="Leve"),CONCATENATE("R",'Mapa final'!$A$84),"")</f>
        <v/>
      </c>
      <c r="O20" s="412"/>
      <c r="P20" s="410" t="str">
        <f>IF(AND('Mapa final'!$H$72="Alta",'Mapa final'!$L$72="Menor"),CONCATENATE("R",'Mapa final'!$A$72),"")</f>
        <v/>
      </c>
      <c r="Q20" s="411"/>
      <c r="R20" s="411" t="str">
        <f>IF(AND('Mapa final'!$H$78="Alta",'Mapa final'!$L$78="Menor"),CONCATENATE("R",'Mapa final'!$A$78),"")</f>
        <v/>
      </c>
      <c r="S20" s="411"/>
      <c r="T20" s="411" t="str">
        <f>IF(AND('Mapa final'!$H$84="Alta",'Mapa final'!$L$84="Menor"),CONCATENATE("R",'Mapa final'!$A$84),"")</f>
        <v/>
      </c>
      <c r="U20" s="412"/>
      <c r="V20" s="394" t="str">
        <f>IF(AND('Mapa final'!$H$72="Alta",'Mapa final'!$L$72="Moderado"),CONCATENATE("R",'Mapa final'!$A$72),"")</f>
        <v/>
      </c>
      <c r="W20" s="390"/>
      <c r="X20" s="390" t="str">
        <f>IF(AND('Mapa final'!$H$78="Alta",'Mapa final'!$L$78="Moderado"),CONCATENATE("R",'Mapa final'!$A$78),"")</f>
        <v/>
      </c>
      <c r="Y20" s="390"/>
      <c r="Z20" s="390" t="str">
        <f>IF(AND('Mapa final'!$H$84="Alta",'Mapa final'!$L$84="Moderado"),CONCATENATE("R",'Mapa final'!$A$84),"")</f>
        <v/>
      </c>
      <c r="AA20" s="391"/>
      <c r="AB20" s="394" t="str">
        <f>IF(AND('Mapa final'!$H$72="Alta",'Mapa final'!$L$72="Mayor"),CONCATENATE("R",'Mapa final'!$A$72),"")</f>
        <v/>
      </c>
      <c r="AC20" s="390"/>
      <c r="AD20" s="390" t="str">
        <f>IF(AND('Mapa final'!$H$78="Alta",'Mapa final'!$L$78="Mayor"),CONCATENATE("R",'Mapa final'!$A$78),"")</f>
        <v/>
      </c>
      <c r="AE20" s="390"/>
      <c r="AF20" s="390" t="str">
        <f>IF(AND('Mapa final'!$H$84="Alta",'Mapa final'!$L$84="Mayor"),CONCATENATE("R",'Mapa final'!$A$84),"")</f>
        <v/>
      </c>
      <c r="AG20" s="391"/>
      <c r="AH20" s="401" t="str">
        <f>IF(AND('Mapa final'!$H$72="Alta",'Mapa final'!$L$72="Catastrófico"),CONCATENATE("R",'Mapa final'!$A$72),"")</f>
        <v/>
      </c>
      <c r="AI20" s="402"/>
      <c r="AJ20" s="402" t="str">
        <f>IF(AND('Mapa final'!$H$78="Alta",'Mapa final'!$L$78="Catastrófico"),CONCATENATE("R",'Mapa final'!$A$78),"")</f>
        <v/>
      </c>
      <c r="AK20" s="402"/>
      <c r="AL20" s="402" t="str">
        <f>IF(AND('Mapa final'!$H$84="Alta",'Mapa final'!$L$84="Catastrófico"),CONCATENATE("R",'Mapa final'!$A$84),"")</f>
        <v/>
      </c>
      <c r="AM20" s="403"/>
      <c r="AN20" s="83"/>
      <c r="AO20" s="357"/>
      <c r="AP20" s="358"/>
      <c r="AQ20" s="358"/>
      <c r="AR20" s="358"/>
      <c r="AS20" s="358"/>
      <c r="AT20" s="359"/>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row>
    <row r="21" spans="1:80" ht="15.75" customHeight="1" thickBot="1" x14ac:dyDescent="0.3">
      <c r="A21" s="83"/>
      <c r="B21" s="343"/>
      <c r="C21" s="343"/>
      <c r="D21" s="344"/>
      <c r="E21" s="387"/>
      <c r="F21" s="388"/>
      <c r="G21" s="388"/>
      <c r="H21" s="388"/>
      <c r="I21" s="388"/>
      <c r="J21" s="413"/>
      <c r="K21" s="414"/>
      <c r="L21" s="414"/>
      <c r="M21" s="414"/>
      <c r="N21" s="414"/>
      <c r="O21" s="415"/>
      <c r="P21" s="413"/>
      <c r="Q21" s="414"/>
      <c r="R21" s="414"/>
      <c r="S21" s="414"/>
      <c r="T21" s="414"/>
      <c r="U21" s="415"/>
      <c r="V21" s="398"/>
      <c r="W21" s="399"/>
      <c r="X21" s="399"/>
      <c r="Y21" s="399"/>
      <c r="Z21" s="399"/>
      <c r="AA21" s="400"/>
      <c r="AB21" s="398"/>
      <c r="AC21" s="399"/>
      <c r="AD21" s="399"/>
      <c r="AE21" s="399"/>
      <c r="AF21" s="399"/>
      <c r="AG21" s="400"/>
      <c r="AH21" s="404"/>
      <c r="AI21" s="405"/>
      <c r="AJ21" s="405"/>
      <c r="AK21" s="405"/>
      <c r="AL21" s="405"/>
      <c r="AM21" s="406"/>
      <c r="AN21" s="83"/>
      <c r="AO21" s="360"/>
      <c r="AP21" s="361"/>
      <c r="AQ21" s="361"/>
      <c r="AR21" s="361"/>
      <c r="AS21" s="361"/>
      <c r="AT21" s="362"/>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row>
    <row r="22" spans="1:80" x14ac:dyDescent="0.25">
      <c r="A22" s="83"/>
      <c r="B22" s="343"/>
      <c r="C22" s="343"/>
      <c r="D22" s="344"/>
      <c r="E22" s="381" t="s">
        <v>96</v>
      </c>
      <c r="F22" s="382"/>
      <c r="G22" s="382"/>
      <c r="H22" s="382"/>
      <c r="I22" s="383"/>
      <c r="J22" s="416" t="str">
        <f>IF(AND('Mapa final'!$H$22="Media",'Mapa final'!$L$22="Leve"),CONCATENATE("R",'Mapa final'!$A$22),"")</f>
        <v/>
      </c>
      <c r="K22" s="417"/>
      <c r="L22" s="417" t="str">
        <f>IF(AND('Mapa final'!$H$28="Media",'Mapa final'!$L$28="Leve"),CONCATENATE("R",'Mapa final'!$A$28),"")</f>
        <v/>
      </c>
      <c r="M22" s="417"/>
      <c r="N22" s="417" t="str">
        <f>IF(AND('Mapa final'!$H$34="Media",'Mapa final'!$L$34="Leve"),CONCATENATE("R",'Mapa final'!$A$34),"")</f>
        <v/>
      </c>
      <c r="O22" s="418"/>
      <c r="P22" s="416" t="str">
        <f>IF(AND('Mapa final'!$H$22="Media",'Mapa final'!$L$22="Menor"),CONCATENATE("R",'Mapa final'!$A$22),"")</f>
        <v/>
      </c>
      <c r="Q22" s="417"/>
      <c r="R22" s="417" t="str">
        <f>IF(AND('Mapa final'!$H$28="Media",'Mapa final'!$L$28="Menor"),CONCATENATE("R",'Mapa final'!$A$28),"")</f>
        <v/>
      </c>
      <c r="S22" s="417"/>
      <c r="T22" s="417" t="str">
        <f>IF(AND('Mapa final'!$H$34="Media",'Mapa final'!$L$34="Menor"),CONCATENATE("R",'Mapa final'!$A$34),"")</f>
        <v/>
      </c>
      <c r="U22" s="418"/>
      <c r="V22" s="416" t="str">
        <f>IF(AND('Mapa final'!$H$22="Media",'Mapa final'!$L$22="Moderado"),CONCATENATE("R",'Mapa final'!$A$22),"")</f>
        <v/>
      </c>
      <c r="W22" s="417"/>
      <c r="X22" s="417" t="str">
        <f>IF(AND('Mapa final'!$H$28="Media",'Mapa final'!$L$28="Moderado"),CONCATENATE("R",'Mapa final'!$A$28),"")</f>
        <v/>
      </c>
      <c r="Y22" s="417"/>
      <c r="Z22" s="417" t="str">
        <f>IF(AND('Mapa final'!$H$34="Media",'Mapa final'!$L$34="Moderado"),CONCATENATE("R",'Mapa final'!$A$34),"")</f>
        <v/>
      </c>
      <c r="AA22" s="418"/>
      <c r="AB22" s="392" t="str">
        <f>IF(AND('Mapa final'!$H$22="Media",'Mapa final'!$L$22="Mayor"),CONCATENATE("R",'Mapa final'!$A$22),"")</f>
        <v/>
      </c>
      <c r="AC22" s="393"/>
      <c r="AD22" s="393" t="str">
        <f>IF(AND('Mapa final'!$H$28="Media",'Mapa final'!$L$28="Mayor"),CONCATENATE("R",'Mapa final'!$A$28),"")</f>
        <v/>
      </c>
      <c r="AE22" s="393"/>
      <c r="AF22" s="393" t="str">
        <f>IF(AND('Mapa final'!$H$34="Media",'Mapa final'!$L$34="Mayor"),CONCATENATE("R",'Mapa final'!$A$34),"")</f>
        <v/>
      </c>
      <c r="AG22" s="395"/>
      <c r="AH22" s="407" t="str">
        <f>IF(AND('Mapa final'!$H$22="Media",'Mapa final'!$L$22="Catastrófico"),CONCATENATE("R",'Mapa final'!$A$22),"")</f>
        <v/>
      </c>
      <c r="AI22" s="408"/>
      <c r="AJ22" s="408" t="str">
        <f>IF(AND('Mapa final'!$H$28="Media",'Mapa final'!$L$28="Catastrófico"),CONCATENATE("R",'Mapa final'!$A$28),"")</f>
        <v/>
      </c>
      <c r="AK22" s="408"/>
      <c r="AL22" s="408" t="str">
        <f>IF(AND('Mapa final'!$H$34="Media",'Mapa final'!$L$34="Catastrófico"),CONCATENATE("R",'Mapa final'!$A$34),"")</f>
        <v/>
      </c>
      <c r="AM22" s="409"/>
      <c r="AN22" s="83"/>
      <c r="AO22" s="363" t="s">
        <v>97</v>
      </c>
      <c r="AP22" s="364"/>
      <c r="AQ22" s="364"/>
      <c r="AR22" s="364"/>
      <c r="AS22" s="364"/>
      <c r="AT22" s="365"/>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row>
    <row r="23" spans="1:80" x14ac:dyDescent="0.25">
      <c r="A23" s="83"/>
      <c r="B23" s="343"/>
      <c r="C23" s="343"/>
      <c r="D23" s="344"/>
      <c r="E23" s="384"/>
      <c r="F23" s="385"/>
      <c r="G23" s="385"/>
      <c r="H23" s="385"/>
      <c r="I23" s="386"/>
      <c r="J23" s="410"/>
      <c r="K23" s="411"/>
      <c r="L23" s="411"/>
      <c r="M23" s="411"/>
      <c r="N23" s="411"/>
      <c r="O23" s="412"/>
      <c r="P23" s="410"/>
      <c r="Q23" s="411"/>
      <c r="R23" s="411"/>
      <c r="S23" s="411"/>
      <c r="T23" s="411"/>
      <c r="U23" s="412"/>
      <c r="V23" s="410"/>
      <c r="W23" s="411"/>
      <c r="X23" s="411"/>
      <c r="Y23" s="411"/>
      <c r="Z23" s="411"/>
      <c r="AA23" s="412"/>
      <c r="AB23" s="394"/>
      <c r="AC23" s="390"/>
      <c r="AD23" s="390"/>
      <c r="AE23" s="390"/>
      <c r="AF23" s="390"/>
      <c r="AG23" s="391"/>
      <c r="AH23" s="401"/>
      <c r="AI23" s="402"/>
      <c r="AJ23" s="402"/>
      <c r="AK23" s="402"/>
      <c r="AL23" s="402"/>
      <c r="AM23" s="403"/>
      <c r="AN23" s="83"/>
      <c r="AO23" s="366"/>
      <c r="AP23" s="367"/>
      <c r="AQ23" s="367"/>
      <c r="AR23" s="367"/>
      <c r="AS23" s="367"/>
      <c r="AT23" s="368"/>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row>
    <row r="24" spans="1:80" x14ac:dyDescent="0.25">
      <c r="A24" s="83"/>
      <c r="B24" s="343"/>
      <c r="C24" s="343"/>
      <c r="D24" s="344"/>
      <c r="E24" s="384"/>
      <c r="F24" s="385"/>
      <c r="G24" s="385"/>
      <c r="H24" s="385"/>
      <c r="I24" s="386"/>
      <c r="J24" s="410" t="str">
        <f>IF(AND('Mapa final'!$H$40="Media",'Mapa final'!$L$40="Leve"),CONCATENATE("R",'Mapa final'!$A$40),"")</f>
        <v/>
      </c>
      <c r="K24" s="411"/>
      <c r="L24" s="411" t="str">
        <f>IF(AND('Mapa final'!$H$46="Media",'Mapa final'!$L$46="Leve"),CONCATENATE("R",'Mapa final'!$A$46),"")</f>
        <v/>
      </c>
      <c r="M24" s="411"/>
      <c r="N24" s="411" t="str">
        <f>IF(AND('Mapa final'!$H$52="Media",'Mapa final'!$L$52="Leve"),CONCATENATE("R",'Mapa final'!$A$52),"")</f>
        <v/>
      </c>
      <c r="O24" s="412"/>
      <c r="P24" s="410" t="str">
        <f>IF(AND('Mapa final'!$H$40="Media",'Mapa final'!$L$40="Menor"),CONCATENATE("R",'Mapa final'!$A$40),"")</f>
        <v/>
      </c>
      <c r="Q24" s="411"/>
      <c r="R24" s="411" t="str">
        <f>IF(AND('Mapa final'!$H$46="Media",'Mapa final'!$L$46="Menor"),CONCATENATE("R",'Mapa final'!$A$46),"")</f>
        <v/>
      </c>
      <c r="S24" s="411"/>
      <c r="T24" s="411" t="str">
        <f>IF(AND('Mapa final'!$H$52="Media",'Mapa final'!$L$52="Menor"),CONCATENATE("R",'Mapa final'!$A$52),"")</f>
        <v/>
      </c>
      <c r="U24" s="412"/>
      <c r="V24" s="410" t="str">
        <f>IF(AND('Mapa final'!$H$40="Media",'Mapa final'!$L$40="Moderado"),CONCATENATE("R",'Mapa final'!$A$40),"")</f>
        <v/>
      </c>
      <c r="W24" s="411"/>
      <c r="X24" s="411" t="str">
        <f>IF(AND('Mapa final'!$H$46="Media",'Mapa final'!$L$46="Moderado"),CONCATENATE("R",'Mapa final'!$A$46),"")</f>
        <v/>
      </c>
      <c r="Y24" s="411"/>
      <c r="Z24" s="411" t="str">
        <f>IF(AND('Mapa final'!$H$52="Media",'Mapa final'!$L$52="Moderado"),CONCATENATE("R",'Mapa final'!$A$52),"")</f>
        <v/>
      </c>
      <c r="AA24" s="412"/>
      <c r="AB24" s="394" t="str">
        <f>IF(AND('Mapa final'!$H$40="Media",'Mapa final'!$L$40="Mayor"),CONCATENATE("R",'Mapa final'!$A$40),"")</f>
        <v/>
      </c>
      <c r="AC24" s="390"/>
      <c r="AD24" s="390" t="str">
        <f>IF(AND('Mapa final'!$H$46="Media",'Mapa final'!$L$46="Mayor"),CONCATENATE("R",'Mapa final'!$A$46),"")</f>
        <v/>
      </c>
      <c r="AE24" s="390"/>
      <c r="AF24" s="390" t="str">
        <f>IF(AND('Mapa final'!$H$52="Media",'Mapa final'!$L$52="Mayor"),CONCATENATE("R",'Mapa final'!$A$52),"")</f>
        <v/>
      </c>
      <c r="AG24" s="391"/>
      <c r="AH24" s="401" t="str">
        <f>IF(AND('Mapa final'!$H$40="Media",'Mapa final'!$L$40="Catastrófico"),CONCATENATE("R",'Mapa final'!$A$40),"")</f>
        <v/>
      </c>
      <c r="AI24" s="402"/>
      <c r="AJ24" s="402" t="str">
        <f>IF(AND('Mapa final'!$H$46="Media",'Mapa final'!$L$46="Catastrófico"),CONCATENATE("R",'Mapa final'!$A$46),"")</f>
        <v/>
      </c>
      <c r="AK24" s="402"/>
      <c r="AL24" s="402" t="str">
        <f>IF(AND('Mapa final'!$H$52="Media",'Mapa final'!$L$52="Catastrófico"),CONCATENATE("R",'Mapa final'!$A$52),"")</f>
        <v/>
      </c>
      <c r="AM24" s="403"/>
      <c r="AN24" s="83"/>
      <c r="AO24" s="366"/>
      <c r="AP24" s="367"/>
      <c r="AQ24" s="367"/>
      <c r="AR24" s="367"/>
      <c r="AS24" s="367"/>
      <c r="AT24" s="368"/>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row>
    <row r="25" spans="1:80" x14ac:dyDescent="0.25">
      <c r="A25" s="83"/>
      <c r="B25" s="343"/>
      <c r="C25" s="343"/>
      <c r="D25" s="344"/>
      <c r="E25" s="384"/>
      <c r="F25" s="385"/>
      <c r="G25" s="385"/>
      <c r="H25" s="385"/>
      <c r="I25" s="386"/>
      <c r="J25" s="410"/>
      <c r="K25" s="411"/>
      <c r="L25" s="411"/>
      <c r="M25" s="411"/>
      <c r="N25" s="411"/>
      <c r="O25" s="412"/>
      <c r="P25" s="410"/>
      <c r="Q25" s="411"/>
      <c r="R25" s="411"/>
      <c r="S25" s="411"/>
      <c r="T25" s="411"/>
      <c r="U25" s="412"/>
      <c r="V25" s="410"/>
      <c r="W25" s="411"/>
      <c r="X25" s="411"/>
      <c r="Y25" s="411"/>
      <c r="Z25" s="411"/>
      <c r="AA25" s="412"/>
      <c r="AB25" s="394"/>
      <c r="AC25" s="390"/>
      <c r="AD25" s="390"/>
      <c r="AE25" s="390"/>
      <c r="AF25" s="390"/>
      <c r="AG25" s="391"/>
      <c r="AH25" s="401"/>
      <c r="AI25" s="402"/>
      <c r="AJ25" s="402"/>
      <c r="AK25" s="402"/>
      <c r="AL25" s="402"/>
      <c r="AM25" s="403"/>
      <c r="AN25" s="83"/>
      <c r="AO25" s="366"/>
      <c r="AP25" s="367"/>
      <c r="AQ25" s="367"/>
      <c r="AR25" s="367"/>
      <c r="AS25" s="367"/>
      <c r="AT25" s="368"/>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row>
    <row r="26" spans="1:80" x14ac:dyDescent="0.25">
      <c r="A26" s="83"/>
      <c r="B26" s="343"/>
      <c r="C26" s="343"/>
      <c r="D26" s="344"/>
      <c r="E26" s="384"/>
      <c r="F26" s="385"/>
      <c r="G26" s="385"/>
      <c r="H26" s="385"/>
      <c r="I26" s="386"/>
      <c r="J26" s="410" t="str">
        <f>IF(AND('Mapa final'!$H$58="Media",'Mapa final'!$L$58="Leve"),CONCATENATE("R",'Mapa final'!$A$58),"")</f>
        <v/>
      </c>
      <c r="K26" s="411"/>
      <c r="L26" s="411" t="str">
        <f>IF(AND('Mapa final'!$H$60="Media",'Mapa final'!$L$60="Leve"),CONCATENATE("R",'Mapa final'!$A$60),"")</f>
        <v/>
      </c>
      <c r="M26" s="411"/>
      <c r="N26" s="411" t="str">
        <f>IF(AND('Mapa final'!$H$66="Media",'Mapa final'!$L$66="Leve"),CONCATENATE("R",'Mapa final'!$A$66),"")</f>
        <v/>
      </c>
      <c r="O26" s="412"/>
      <c r="P26" s="410" t="str">
        <f>IF(AND('Mapa final'!$H$58="Media",'Mapa final'!$L$58="Menor"),CONCATENATE("R",'Mapa final'!$A$58),"")</f>
        <v/>
      </c>
      <c r="Q26" s="411"/>
      <c r="R26" s="411" t="str">
        <f>IF(AND('Mapa final'!$H$60="Media",'Mapa final'!$L$60="Menor"),CONCATENATE("R",'Mapa final'!$A$60),"")</f>
        <v/>
      </c>
      <c r="S26" s="411"/>
      <c r="T26" s="411" t="str">
        <f>IF(AND('Mapa final'!$H$66="Media",'Mapa final'!$L$66="Menor"),CONCATENATE("R",'Mapa final'!$A$66),"")</f>
        <v/>
      </c>
      <c r="U26" s="412"/>
      <c r="V26" s="410" t="str">
        <f>IF(AND('Mapa final'!$H$58="Media",'Mapa final'!$L$58="Moderado"),CONCATENATE("R",'Mapa final'!$A$58),"")</f>
        <v/>
      </c>
      <c r="W26" s="411"/>
      <c r="X26" s="411" t="str">
        <f>IF(AND('Mapa final'!$H$60="Media",'Mapa final'!$L$60="Moderado"),CONCATENATE("R",'Mapa final'!$A$60),"")</f>
        <v/>
      </c>
      <c r="Y26" s="411"/>
      <c r="Z26" s="411" t="str">
        <f>IF(AND('Mapa final'!$H$66="Media",'Mapa final'!$L$66="Moderado"),CONCATENATE("R",'Mapa final'!$A$66),"")</f>
        <v/>
      </c>
      <c r="AA26" s="412"/>
      <c r="AB26" s="394" t="str">
        <f>IF(AND('Mapa final'!$H$58="Media",'Mapa final'!$L$58="Mayor"),CONCATENATE("R",'Mapa final'!$A$58),"")</f>
        <v/>
      </c>
      <c r="AC26" s="390"/>
      <c r="AD26" s="390" t="str">
        <f>IF(AND('Mapa final'!$H$60="Media",'Mapa final'!$L$60="Mayor"),CONCATENATE("R",'Mapa final'!$A$60),"")</f>
        <v/>
      </c>
      <c r="AE26" s="390"/>
      <c r="AF26" s="390" t="str">
        <f>IF(AND('Mapa final'!$H$66="Media",'Mapa final'!$L$66="Mayor"),CONCATENATE("R",'Mapa final'!$A$66),"")</f>
        <v/>
      </c>
      <c r="AG26" s="391"/>
      <c r="AH26" s="401" t="str">
        <f>IF(AND('Mapa final'!$H$58="Media",'Mapa final'!$L$58="Catastrófico"),CONCATENATE("R",'Mapa final'!$A$58),"")</f>
        <v/>
      </c>
      <c r="AI26" s="402"/>
      <c r="AJ26" s="402" t="str">
        <f>IF(AND('Mapa final'!$H$60="Media",'Mapa final'!$L$60="Catastrófico"),CONCATENATE("R",'Mapa final'!$A$60),"")</f>
        <v/>
      </c>
      <c r="AK26" s="402"/>
      <c r="AL26" s="402" t="str">
        <f>IF(AND('Mapa final'!$H$66="Media",'Mapa final'!$L$66="Catastrófico"),CONCATENATE("R",'Mapa final'!$A$66),"")</f>
        <v/>
      </c>
      <c r="AM26" s="403"/>
      <c r="AN26" s="83"/>
      <c r="AO26" s="366"/>
      <c r="AP26" s="367"/>
      <c r="AQ26" s="367"/>
      <c r="AR26" s="367"/>
      <c r="AS26" s="367"/>
      <c r="AT26" s="368"/>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row>
    <row r="27" spans="1:80" x14ac:dyDescent="0.25">
      <c r="A27" s="83"/>
      <c r="B27" s="343"/>
      <c r="C27" s="343"/>
      <c r="D27" s="344"/>
      <c r="E27" s="384"/>
      <c r="F27" s="385"/>
      <c r="G27" s="385"/>
      <c r="H27" s="385"/>
      <c r="I27" s="386"/>
      <c r="J27" s="410"/>
      <c r="K27" s="411"/>
      <c r="L27" s="411"/>
      <c r="M27" s="411"/>
      <c r="N27" s="411"/>
      <c r="O27" s="412"/>
      <c r="P27" s="410"/>
      <c r="Q27" s="411"/>
      <c r="R27" s="411"/>
      <c r="S27" s="411"/>
      <c r="T27" s="411"/>
      <c r="U27" s="412"/>
      <c r="V27" s="410"/>
      <c r="W27" s="411"/>
      <c r="X27" s="411"/>
      <c r="Y27" s="411"/>
      <c r="Z27" s="411"/>
      <c r="AA27" s="412"/>
      <c r="AB27" s="394"/>
      <c r="AC27" s="390"/>
      <c r="AD27" s="390"/>
      <c r="AE27" s="390"/>
      <c r="AF27" s="390"/>
      <c r="AG27" s="391"/>
      <c r="AH27" s="401"/>
      <c r="AI27" s="402"/>
      <c r="AJ27" s="402"/>
      <c r="AK27" s="402"/>
      <c r="AL27" s="402"/>
      <c r="AM27" s="403"/>
      <c r="AN27" s="83"/>
      <c r="AO27" s="366"/>
      <c r="AP27" s="367"/>
      <c r="AQ27" s="367"/>
      <c r="AR27" s="367"/>
      <c r="AS27" s="367"/>
      <c r="AT27" s="368"/>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row>
    <row r="28" spans="1:80" x14ac:dyDescent="0.25">
      <c r="A28" s="83"/>
      <c r="B28" s="343"/>
      <c r="C28" s="343"/>
      <c r="D28" s="344"/>
      <c r="E28" s="384"/>
      <c r="F28" s="385"/>
      <c r="G28" s="385"/>
      <c r="H28" s="385"/>
      <c r="I28" s="386"/>
      <c r="J28" s="410" t="str">
        <f>IF(AND('Mapa final'!$H$72="Media",'Mapa final'!$L$72="Leve"),CONCATENATE("R",'Mapa final'!$A$72),"")</f>
        <v/>
      </c>
      <c r="K28" s="411"/>
      <c r="L28" s="411" t="str">
        <f>IF(AND('Mapa final'!$H$78="Media",'Mapa final'!$L$78="Leve"),CONCATENATE("R",'Mapa final'!$A$78),"")</f>
        <v/>
      </c>
      <c r="M28" s="411"/>
      <c r="N28" s="411" t="str">
        <f>IF(AND('Mapa final'!$H$84="Media",'Mapa final'!$L$84="Leve"),CONCATENATE("R",'Mapa final'!$A$84),"")</f>
        <v/>
      </c>
      <c r="O28" s="412"/>
      <c r="P28" s="410" t="str">
        <f>IF(AND('Mapa final'!$H$72="Media",'Mapa final'!$L$72="Menor"),CONCATENATE("R",'Mapa final'!$A$72),"")</f>
        <v/>
      </c>
      <c r="Q28" s="411"/>
      <c r="R28" s="411" t="str">
        <f>IF(AND('Mapa final'!$H$78="Media",'Mapa final'!$L$78="Menor"),CONCATENATE("R",'Mapa final'!$A$78),"")</f>
        <v/>
      </c>
      <c r="S28" s="411"/>
      <c r="T28" s="411" t="str">
        <f>IF(AND('Mapa final'!$H$84="Media",'Mapa final'!$L$84="Menor"),CONCATENATE("R",'Mapa final'!$A$84),"")</f>
        <v/>
      </c>
      <c r="U28" s="412"/>
      <c r="V28" s="410" t="str">
        <f>IF(AND('Mapa final'!$H$72="Media",'Mapa final'!$L$72="Moderado"),CONCATENATE("R",'Mapa final'!$A$72),"")</f>
        <v/>
      </c>
      <c r="W28" s="411"/>
      <c r="X28" s="411" t="str">
        <f>IF(AND('Mapa final'!$H$78="Media",'Mapa final'!$L$78="Moderado"),CONCATENATE("R",'Mapa final'!$A$78),"")</f>
        <v/>
      </c>
      <c r="Y28" s="411"/>
      <c r="Z28" s="411" t="str">
        <f>IF(AND('Mapa final'!$H$84="Media",'Mapa final'!$L$84="Moderado"),CONCATENATE("R",'Mapa final'!$A$84),"")</f>
        <v/>
      </c>
      <c r="AA28" s="412"/>
      <c r="AB28" s="394" t="str">
        <f>IF(AND('Mapa final'!$H$72="Media",'Mapa final'!$L$72="Mayor"),CONCATENATE("R",'Mapa final'!$A$72),"")</f>
        <v/>
      </c>
      <c r="AC28" s="390"/>
      <c r="AD28" s="390" t="str">
        <f>IF(AND('Mapa final'!$H$78="Media",'Mapa final'!$L$78="Mayor"),CONCATENATE("R",'Mapa final'!$A$78),"")</f>
        <v/>
      </c>
      <c r="AE28" s="390"/>
      <c r="AF28" s="390" t="str">
        <f>IF(AND('Mapa final'!$H$84="Media",'Mapa final'!$L$84="Mayor"),CONCATENATE("R",'Mapa final'!$A$84),"")</f>
        <v/>
      </c>
      <c r="AG28" s="391"/>
      <c r="AH28" s="401" t="str">
        <f>IF(AND('Mapa final'!$H$72="Media",'Mapa final'!$L$72="Catastrófico"),CONCATENATE("R",'Mapa final'!$A$72),"")</f>
        <v/>
      </c>
      <c r="AI28" s="402"/>
      <c r="AJ28" s="402" t="str">
        <f>IF(AND('Mapa final'!$H$78="Media",'Mapa final'!$L$78="Catastrófico"),CONCATENATE("R",'Mapa final'!$A$78),"")</f>
        <v/>
      </c>
      <c r="AK28" s="402"/>
      <c r="AL28" s="402" t="str">
        <f>IF(AND('Mapa final'!$H$84="Media",'Mapa final'!$L$84="Catastrófico"),CONCATENATE("R",'Mapa final'!$A$84),"")</f>
        <v/>
      </c>
      <c r="AM28" s="403"/>
      <c r="AN28" s="83"/>
      <c r="AO28" s="366"/>
      <c r="AP28" s="367"/>
      <c r="AQ28" s="367"/>
      <c r="AR28" s="367"/>
      <c r="AS28" s="367"/>
      <c r="AT28" s="368"/>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row>
    <row r="29" spans="1:80" ht="15.75" thickBot="1" x14ac:dyDescent="0.3">
      <c r="A29" s="83"/>
      <c r="B29" s="343"/>
      <c r="C29" s="343"/>
      <c r="D29" s="344"/>
      <c r="E29" s="387"/>
      <c r="F29" s="388"/>
      <c r="G29" s="388"/>
      <c r="H29" s="388"/>
      <c r="I29" s="389"/>
      <c r="J29" s="410"/>
      <c r="K29" s="411"/>
      <c r="L29" s="411"/>
      <c r="M29" s="411"/>
      <c r="N29" s="411"/>
      <c r="O29" s="412"/>
      <c r="P29" s="413"/>
      <c r="Q29" s="414"/>
      <c r="R29" s="414"/>
      <c r="S29" s="414"/>
      <c r="T29" s="414"/>
      <c r="U29" s="415"/>
      <c r="V29" s="413"/>
      <c r="W29" s="414"/>
      <c r="X29" s="414"/>
      <c r="Y29" s="414"/>
      <c r="Z29" s="414"/>
      <c r="AA29" s="415"/>
      <c r="AB29" s="398"/>
      <c r="AC29" s="399"/>
      <c r="AD29" s="399"/>
      <c r="AE29" s="399"/>
      <c r="AF29" s="399"/>
      <c r="AG29" s="400"/>
      <c r="AH29" s="404"/>
      <c r="AI29" s="405"/>
      <c r="AJ29" s="405"/>
      <c r="AK29" s="405"/>
      <c r="AL29" s="405"/>
      <c r="AM29" s="406"/>
      <c r="AN29" s="83"/>
      <c r="AO29" s="369"/>
      <c r="AP29" s="370"/>
      <c r="AQ29" s="370"/>
      <c r="AR29" s="370"/>
      <c r="AS29" s="370"/>
      <c r="AT29" s="371"/>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row>
    <row r="30" spans="1:80" x14ac:dyDescent="0.25">
      <c r="A30" s="83"/>
      <c r="B30" s="343"/>
      <c r="C30" s="343"/>
      <c r="D30" s="344"/>
      <c r="E30" s="381" t="s">
        <v>98</v>
      </c>
      <c r="F30" s="382"/>
      <c r="G30" s="382"/>
      <c r="H30" s="382"/>
      <c r="I30" s="382"/>
      <c r="J30" s="425" t="str">
        <f>IF(AND('Mapa final'!$H$22="Baja",'Mapa final'!$L$22="Leve"),CONCATENATE("R",'Mapa final'!$A$22),"")</f>
        <v/>
      </c>
      <c r="K30" s="426"/>
      <c r="L30" s="426" t="str">
        <f>IF(AND('Mapa final'!$H$28="Baja",'Mapa final'!$L$28="Leve"),CONCATENATE("R",'Mapa final'!$A$28),"")</f>
        <v/>
      </c>
      <c r="M30" s="426"/>
      <c r="N30" s="426" t="str">
        <f>IF(AND('Mapa final'!$H$34="Baja",'Mapa final'!$L$34="Leve"),CONCATENATE("R",'Mapa final'!$A$34),"")</f>
        <v/>
      </c>
      <c r="O30" s="427"/>
      <c r="P30" s="417" t="str">
        <f>IF(AND('Mapa final'!$H$22="Baja",'Mapa final'!$L$22="Menor"),CONCATENATE("R",'Mapa final'!$A$22),"")</f>
        <v/>
      </c>
      <c r="Q30" s="417"/>
      <c r="R30" s="417" t="str">
        <f>IF(AND('Mapa final'!$H$28="Baja",'Mapa final'!$L$28="Menor"),CONCATENATE("R",'Mapa final'!$A$28),"")</f>
        <v/>
      </c>
      <c r="S30" s="417"/>
      <c r="T30" s="417" t="str">
        <f>IF(AND('Mapa final'!$H$34="Baja",'Mapa final'!$L$34="Menor"),CONCATENATE("R",'Mapa final'!$A$34),"")</f>
        <v/>
      </c>
      <c r="U30" s="418"/>
      <c r="V30" s="416" t="str">
        <f>IF(AND('Mapa final'!$H$22="Baja",'Mapa final'!$L$22="Moderado"),CONCATENATE("R",'Mapa final'!$A$22),"")</f>
        <v/>
      </c>
      <c r="W30" s="417"/>
      <c r="X30" s="417" t="str">
        <f>IF(AND('Mapa final'!$H$28="Baja",'Mapa final'!$L$28="Moderado"),CONCATENATE("R",'Mapa final'!$A$28),"")</f>
        <v/>
      </c>
      <c r="Y30" s="417"/>
      <c r="Z30" s="417" t="str">
        <f>IF(AND('Mapa final'!$H$34="Baja",'Mapa final'!$L$34="Moderado"),CONCATENATE("R",'Mapa final'!$A$34),"")</f>
        <v/>
      </c>
      <c r="AA30" s="418"/>
      <c r="AB30" s="392" t="str">
        <f>IF(AND('Mapa final'!$H$22="Baja",'Mapa final'!$L$22="Mayor"),CONCATENATE("R",'Mapa final'!$A$22),"")</f>
        <v/>
      </c>
      <c r="AC30" s="393"/>
      <c r="AD30" s="393" t="str">
        <f>IF(AND('Mapa final'!$H$28="Baja",'Mapa final'!$L$28="Mayor"),CONCATENATE("R",'Mapa final'!$A$28),"")</f>
        <v/>
      </c>
      <c r="AE30" s="393"/>
      <c r="AF30" s="393" t="str">
        <f>IF(AND('Mapa final'!$H$34="Baja",'Mapa final'!$L$34="Mayor"),CONCATENATE("R",'Mapa final'!$A$34),"")</f>
        <v/>
      </c>
      <c r="AG30" s="395"/>
      <c r="AH30" s="407" t="str">
        <f>IF(AND('Mapa final'!$H$22="Baja",'Mapa final'!$L$22="Catastrófico"),CONCATENATE("R",'Mapa final'!$A$22),"")</f>
        <v/>
      </c>
      <c r="AI30" s="408"/>
      <c r="AJ30" s="408" t="str">
        <f>IF(AND('Mapa final'!$H$28="Baja",'Mapa final'!$L$28="Catastrófico"),CONCATENATE("R",'Mapa final'!$A$28),"")</f>
        <v/>
      </c>
      <c r="AK30" s="408"/>
      <c r="AL30" s="408" t="str">
        <f>IF(AND('Mapa final'!$H$34="Baja",'Mapa final'!$L$34="Catastrófico"),CONCATENATE("R",'Mapa final'!$A$34),"")</f>
        <v/>
      </c>
      <c r="AM30" s="409"/>
      <c r="AN30" s="83"/>
      <c r="AO30" s="372" t="s">
        <v>99</v>
      </c>
      <c r="AP30" s="373"/>
      <c r="AQ30" s="373"/>
      <c r="AR30" s="373"/>
      <c r="AS30" s="373"/>
      <c r="AT30" s="374"/>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row>
    <row r="31" spans="1:80" x14ac:dyDescent="0.25">
      <c r="A31" s="83"/>
      <c r="B31" s="343"/>
      <c r="C31" s="343"/>
      <c r="D31" s="344"/>
      <c r="E31" s="384"/>
      <c r="F31" s="385"/>
      <c r="G31" s="385"/>
      <c r="H31" s="385"/>
      <c r="I31" s="385"/>
      <c r="J31" s="421"/>
      <c r="K31" s="419"/>
      <c r="L31" s="419"/>
      <c r="M31" s="419"/>
      <c r="N31" s="419"/>
      <c r="O31" s="420"/>
      <c r="P31" s="411"/>
      <c r="Q31" s="411"/>
      <c r="R31" s="411"/>
      <c r="S31" s="411"/>
      <c r="T31" s="411"/>
      <c r="U31" s="412"/>
      <c r="V31" s="410"/>
      <c r="W31" s="411"/>
      <c r="X31" s="411"/>
      <c r="Y31" s="411"/>
      <c r="Z31" s="411"/>
      <c r="AA31" s="412"/>
      <c r="AB31" s="394"/>
      <c r="AC31" s="390"/>
      <c r="AD31" s="390"/>
      <c r="AE31" s="390"/>
      <c r="AF31" s="390"/>
      <c r="AG31" s="391"/>
      <c r="AH31" s="401"/>
      <c r="AI31" s="402"/>
      <c r="AJ31" s="402"/>
      <c r="AK31" s="402"/>
      <c r="AL31" s="402"/>
      <c r="AM31" s="403"/>
      <c r="AN31" s="83"/>
      <c r="AO31" s="375"/>
      <c r="AP31" s="376"/>
      <c r="AQ31" s="376"/>
      <c r="AR31" s="376"/>
      <c r="AS31" s="376"/>
      <c r="AT31" s="377"/>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row>
    <row r="32" spans="1:80" x14ac:dyDescent="0.25">
      <c r="A32" s="83"/>
      <c r="B32" s="343"/>
      <c r="C32" s="343"/>
      <c r="D32" s="344"/>
      <c r="E32" s="384"/>
      <c r="F32" s="385"/>
      <c r="G32" s="385"/>
      <c r="H32" s="385"/>
      <c r="I32" s="385"/>
      <c r="J32" s="421" t="str">
        <f>IF(AND('Mapa final'!$H$40="Baja",'Mapa final'!$L$40="Leve"),CONCATENATE("R",'Mapa final'!$A$40),"")</f>
        <v/>
      </c>
      <c r="K32" s="419"/>
      <c r="L32" s="419" t="str">
        <f>IF(AND('Mapa final'!$H$46="Baja",'Mapa final'!$L$46="Leve"),CONCATENATE("R",'Mapa final'!$A$46),"")</f>
        <v/>
      </c>
      <c r="M32" s="419"/>
      <c r="N32" s="419" t="str">
        <f>IF(AND('Mapa final'!$H$52="Baja",'Mapa final'!$L$52="Leve"),CONCATENATE("R",'Mapa final'!$A$52),"")</f>
        <v/>
      </c>
      <c r="O32" s="420"/>
      <c r="P32" s="411" t="str">
        <f>IF(AND('Mapa final'!$H$40="Baja",'Mapa final'!$L$40="Menor"),CONCATENATE("R",'Mapa final'!$A$40),"")</f>
        <v/>
      </c>
      <c r="Q32" s="411"/>
      <c r="R32" s="411" t="str">
        <f>IF(AND('Mapa final'!$H$46="Baja",'Mapa final'!$L$46="Menor"),CONCATENATE("R",'Mapa final'!$A$46),"")</f>
        <v/>
      </c>
      <c r="S32" s="411"/>
      <c r="T32" s="411" t="str">
        <f>IF(AND('Mapa final'!$H$52="Baja",'Mapa final'!$L$52="Menor"),CONCATENATE("R",'Mapa final'!$A$52),"")</f>
        <v/>
      </c>
      <c r="U32" s="412"/>
      <c r="V32" s="410" t="str">
        <f>IF(AND('Mapa final'!$H$40="Baja",'Mapa final'!$L$40="Moderado"),CONCATENATE("R",'Mapa final'!$A$40),"")</f>
        <v/>
      </c>
      <c r="W32" s="411"/>
      <c r="X32" s="411" t="str">
        <f>IF(AND('Mapa final'!$H$46="Baja",'Mapa final'!$L$46="Moderado"),CONCATENATE("R",'Mapa final'!$A$46),"")</f>
        <v/>
      </c>
      <c r="Y32" s="411"/>
      <c r="Z32" s="411" t="str">
        <f>IF(AND('Mapa final'!$H$52="Baja",'Mapa final'!$L$52="Moderado"),CONCATENATE("R",'Mapa final'!$A$52),"")</f>
        <v/>
      </c>
      <c r="AA32" s="412"/>
      <c r="AB32" s="394" t="str">
        <f>IF(AND('Mapa final'!$H$40="Baja",'Mapa final'!$L$40="Mayor"),CONCATENATE("R",'Mapa final'!$A$40),"")</f>
        <v/>
      </c>
      <c r="AC32" s="390"/>
      <c r="AD32" s="390" t="str">
        <f>IF(AND('Mapa final'!$H$46="Baja",'Mapa final'!$L$46="Mayor"),CONCATENATE("R",'Mapa final'!$A$46),"")</f>
        <v/>
      </c>
      <c r="AE32" s="390"/>
      <c r="AF32" s="390" t="str">
        <f>IF(AND('Mapa final'!$H$52="Baja",'Mapa final'!$L$52="Mayor"),CONCATENATE("R",'Mapa final'!$A$52),"")</f>
        <v/>
      </c>
      <c r="AG32" s="391"/>
      <c r="AH32" s="401" t="str">
        <f>IF(AND('Mapa final'!$H$40="Baja",'Mapa final'!$L$40="Catastrófico"),CONCATENATE("R",'Mapa final'!$A$40),"")</f>
        <v/>
      </c>
      <c r="AI32" s="402"/>
      <c r="AJ32" s="402" t="str">
        <f>IF(AND('Mapa final'!$H$46="Baja",'Mapa final'!$L$46="Catastrófico"),CONCATENATE("R",'Mapa final'!$A$46),"")</f>
        <v/>
      </c>
      <c r="AK32" s="402"/>
      <c r="AL32" s="402" t="str">
        <f>IF(AND('Mapa final'!$H$52="Baja",'Mapa final'!$L$52="Catastrófico"),CONCATENATE("R",'Mapa final'!$A$52),"")</f>
        <v/>
      </c>
      <c r="AM32" s="403"/>
      <c r="AN32" s="83"/>
      <c r="AO32" s="375"/>
      <c r="AP32" s="376"/>
      <c r="AQ32" s="376"/>
      <c r="AR32" s="376"/>
      <c r="AS32" s="376"/>
      <c r="AT32" s="377"/>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row>
    <row r="33" spans="1:80" x14ac:dyDescent="0.25">
      <c r="A33" s="83"/>
      <c r="B33" s="343"/>
      <c r="C33" s="343"/>
      <c r="D33" s="344"/>
      <c r="E33" s="384"/>
      <c r="F33" s="385"/>
      <c r="G33" s="385"/>
      <c r="H33" s="385"/>
      <c r="I33" s="385"/>
      <c r="J33" s="421"/>
      <c r="K33" s="419"/>
      <c r="L33" s="419"/>
      <c r="M33" s="419"/>
      <c r="N33" s="419"/>
      <c r="O33" s="420"/>
      <c r="P33" s="411"/>
      <c r="Q33" s="411"/>
      <c r="R33" s="411"/>
      <c r="S33" s="411"/>
      <c r="T33" s="411"/>
      <c r="U33" s="412"/>
      <c r="V33" s="410"/>
      <c r="W33" s="411"/>
      <c r="X33" s="411"/>
      <c r="Y33" s="411"/>
      <c r="Z33" s="411"/>
      <c r="AA33" s="412"/>
      <c r="AB33" s="394"/>
      <c r="AC33" s="390"/>
      <c r="AD33" s="390"/>
      <c r="AE33" s="390"/>
      <c r="AF33" s="390"/>
      <c r="AG33" s="391"/>
      <c r="AH33" s="401"/>
      <c r="AI33" s="402"/>
      <c r="AJ33" s="402"/>
      <c r="AK33" s="402"/>
      <c r="AL33" s="402"/>
      <c r="AM33" s="403"/>
      <c r="AN33" s="83"/>
      <c r="AO33" s="375"/>
      <c r="AP33" s="376"/>
      <c r="AQ33" s="376"/>
      <c r="AR33" s="376"/>
      <c r="AS33" s="376"/>
      <c r="AT33" s="377"/>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row>
    <row r="34" spans="1:80" x14ac:dyDescent="0.25">
      <c r="A34" s="83"/>
      <c r="B34" s="343"/>
      <c r="C34" s="343"/>
      <c r="D34" s="344"/>
      <c r="E34" s="384"/>
      <c r="F34" s="385"/>
      <c r="G34" s="385"/>
      <c r="H34" s="385"/>
      <c r="I34" s="385"/>
      <c r="J34" s="421" t="str">
        <f>IF(AND('Mapa final'!$H$58="Baja",'Mapa final'!$L$58="Leve"),CONCATENATE("R",'Mapa final'!$A$58),"")</f>
        <v/>
      </c>
      <c r="K34" s="419"/>
      <c r="L34" s="419" t="str">
        <f>IF(AND('Mapa final'!$H$60="Baja",'Mapa final'!$L$60="Leve"),CONCATENATE("R",'Mapa final'!$A$60),"")</f>
        <v/>
      </c>
      <c r="M34" s="419"/>
      <c r="N34" s="419" t="str">
        <f>IF(AND('Mapa final'!$H$66="Baja",'Mapa final'!$L$66="Leve"),CONCATENATE("R",'Mapa final'!$A$66),"")</f>
        <v/>
      </c>
      <c r="O34" s="420"/>
      <c r="P34" s="411" t="str">
        <f>IF(AND('Mapa final'!$H$58="Baja",'Mapa final'!$L$58="Menor"),CONCATENATE("R",'Mapa final'!$A$58),"")</f>
        <v/>
      </c>
      <c r="Q34" s="411"/>
      <c r="R34" s="411" t="str">
        <f>IF(AND('Mapa final'!$H$60="Baja",'Mapa final'!$L$60="Menor"),CONCATENATE("R",'Mapa final'!$A$60),"")</f>
        <v/>
      </c>
      <c r="S34" s="411"/>
      <c r="T34" s="411" t="str">
        <f>IF(AND('Mapa final'!$H$66="Baja",'Mapa final'!$L$66="Menor"),CONCATENATE("R",'Mapa final'!$A$66),"")</f>
        <v/>
      </c>
      <c r="U34" s="412"/>
      <c r="V34" s="410" t="str">
        <f>IF(AND('Mapa final'!$H$58="Baja",'Mapa final'!$L$58="Moderado"),CONCATENATE("R",'Mapa final'!$A$58),"")</f>
        <v/>
      </c>
      <c r="W34" s="411"/>
      <c r="X34" s="411" t="str">
        <f>IF(AND('Mapa final'!$H$60="Baja",'Mapa final'!$L$60="Moderado"),CONCATENATE("R",'Mapa final'!$A$60),"")</f>
        <v/>
      </c>
      <c r="Y34" s="411"/>
      <c r="Z34" s="411" t="str">
        <f>IF(AND('Mapa final'!$H$66="Baja",'Mapa final'!$L$66="Moderado"),CONCATENATE("R",'Mapa final'!$A$66),"")</f>
        <v/>
      </c>
      <c r="AA34" s="412"/>
      <c r="AB34" s="394" t="str">
        <f>IF(AND('Mapa final'!$H$58="Baja",'Mapa final'!$L$58="Mayor"),CONCATENATE("R",'Mapa final'!$A$58),"")</f>
        <v/>
      </c>
      <c r="AC34" s="390"/>
      <c r="AD34" s="390" t="str">
        <f>IF(AND('Mapa final'!$H$60="Baja",'Mapa final'!$L$60="Mayor"),CONCATENATE("R",'Mapa final'!$A$60),"")</f>
        <v/>
      </c>
      <c r="AE34" s="390"/>
      <c r="AF34" s="390" t="str">
        <f>IF(AND('Mapa final'!$H$66="Baja",'Mapa final'!$L$66="Mayor"),CONCATENATE("R",'Mapa final'!$A$66),"")</f>
        <v/>
      </c>
      <c r="AG34" s="391"/>
      <c r="AH34" s="401" t="str">
        <f>IF(AND('Mapa final'!$H$58="Baja",'Mapa final'!$L$58="Catastrófico"),CONCATENATE("R",'Mapa final'!$A$58),"")</f>
        <v/>
      </c>
      <c r="AI34" s="402"/>
      <c r="AJ34" s="402" t="str">
        <f>IF(AND('Mapa final'!$H$60="Baja",'Mapa final'!$L$60="Catastrófico"),CONCATENATE("R",'Mapa final'!$A$60),"")</f>
        <v/>
      </c>
      <c r="AK34" s="402"/>
      <c r="AL34" s="402" t="str">
        <f>IF(AND('Mapa final'!$H$66="Baja",'Mapa final'!$L$66="Catastrófico"),CONCATENATE("R",'Mapa final'!$A$66),"")</f>
        <v/>
      </c>
      <c r="AM34" s="403"/>
      <c r="AN34" s="83"/>
      <c r="AO34" s="375"/>
      <c r="AP34" s="376"/>
      <c r="AQ34" s="376"/>
      <c r="AR34" s="376"/>
      <c r="AS34" s="376"/>
      <c r="AT34" s="377"/>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row>
    <row r="35" spans="1:80" x14ac:dyDescent="0.25">
      <c r="A35" s="83"/>
      <c r="B35" s="343"/>
      <c r="C35" s="343"/>
      <c r="D35" s="344"/>
      <c r="E35" s="384"/>
      <c r="F35" s="385"/>
      <c r="G35" s="385"/>
      <c r="H35" s="385"/>
      <c r="I35" s="385"/>
      <c r="J35" s="421"/>
      <c r="K35" s="419"/>
      <c r="L35" s="419"/>
      <c r="M35" s="419"/>
      <c r="N35" s="419"/>
      <c r="O35" s="420"/>
      <c r="P35" s="411"/>
      <c r="Q35" s="411"/>
      <c r="R35" s="411"/>
      <c r="S35" s="411"/>
      <c r="T35" s="411"/>
      <c r="U35" s="412"/>
      <c r="V35" s="410"/>
      <c r="W35" s="411"/>
      <c r="X35" s="411"/>
      <c r="Y35" s="411"/>
      <c r="Z35" s="411"/>
      <c r="AA35" s="412"/>
      <c r="AB35" s="394"/>
      <c r="AC35" s="390"/>
      <c r="AD35" s="390"/>
      <c r="AE35" s="390"/>
      <c r="AF35" s="390"/>
      <c r="AG35" s="391"/>
      <c r="AH35" s="401"/>
      <c r="AI35" s="402"/>
      <c r="AJ35" s="402"/>
      <c r="AK35" s="402"/>
      <c r="AL35" s="402"/>
      <c r="AM35" s="403"/>
      <c r="AN35" s="83"/>
      <c r="AO35" s="375"/>
      <c r="AP35" s="376"/>
      <c r="AQ35" s="376"/>
      <c r="AR35" s="376"/>
      <c r="AS35" s="376"/>
      <c r="AT35" s="377"/>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row>
    <row r="36" spans="1:80" x14ac:dyDescent="0.25">
      <c r="A36" s="83"/>
      <c r="B36" s="343"/>
      <c r="C36" s="343"/>
      <c r="D36" s="344"/>
      <c r="E36" s="384"/>
      <c r="F36" s="385"/>
      <c r="G36" s="385"/>
      <c r="H36" s="385"/>
      <c r="I36" s="385"/>
      <c r="J36" s="421" t="str">
        <f>IF(AND('Mapa final'!$H$72="Baja",'Mapa final'!$L$72="Leve"),CONCATENATE("R",'Mapa final'!$A$72),"")</f>
        <v/>
      </c>
      <c r="K36" s="419"/>
      <c r="L36" s="419" t="str">
        <f>IF(AND('Mapa final'!$H$78="Baja",'Mapa final'!$L$78="Leve"),CONCATENATE("R",'Mapa final'!$A$78),"")</f>
        <v/>
      </c>
      <c r="M36" s="419"/>
      <c r="N36" s="419" t="str">
        <f>IF(AND('Mapa final'!$H$84="Baja",'Mapa final'!$L$84="Leve"),CONCATENATE("R",'Mapa final'!$A$84),"")</f>
        <v/>
      </c>
      <c r="O36" s="420"/>
      <c r="P36" s="411" t="str">
        <f>IF(AND('Mapa final'!$H$72="Baja",'Mapa final'!$L$72="Menor"),CONCATENATE("R",'Mapa final'!$A$72),"")</f>
        <v/>
      </c>
      <c r="Q36" s="411"/>
      <c r="R36" s="411" t="str">
        <f>IF(AND('Mapa final'!$H$78="Baja",'Mapa final'!$L$78="Menor"),CONCATENATE("R",'Mapa final'!$A$78),"")</f>
        <v/>
      </c>
      <c r="S36" s="411"/>
      <c r="T36" s="411" t="str">
        <f>IF(AND('Mapa final'!$H$84="Baja",'Mapa final'!$L$84="Menor"),CONCATENATE("R",'Mapa final'!$A$84),"")</f>
        <v/>
      </c>
      <c r="U36" s="412"/>
      <c r="V36" s="410" t="str">
        <f>IF(AND('Mapa final'!$H$72="Baja",'Mapa final'!$L$72="Moderado"),CONCATENATE("R",'Mapa final'!$A$72),"")</f>
        <v/>
      </c>
      <c r="W36" s="411"/>
      <c r="X36" s="411" t="str">
        <f>IF(AND('Mapa final'!$H$78="Baja",'Mapa final'!$L$78="Moderado"),CONCATENATE("R",'Mapa final'!$A$78),"")</f>
        <v/>
      </c>
      <c r="Y36" s="411"/>
      <c r="Z36" s="411" t="str">
        <f>IF(AND('Mapa final'!$H$84="Baja",'Mapa final'!$L$84="Moderado"),CONCATENATE("R",'Mapa final'!$A$84),"")</f>
        <v/>
      </c>
      <c r="AA36" s="412"/>
      <c r="AB36" s="394" t="str">
        <f>IF(AND('Mapa final'!$H$72="Baja",'Mapa final'!$L$72="Mayor"),CONCATENATE("R",'Mapa final'!$A$72),"")</f>
        <v/>
      </c>
      <c r="AC36" s="390"/>
      <c r="AD36" s="390" t="str">
        <f>IF(AND('Mapa final'!$H$78="Baja",'Mapa final'!$L$78="Mayor"),CONCATENATE("R",'Mapa final'!$A$78),"")</f>
        <v/>
      </c>
      <c r="AE36" s="390"/>
      <c r="AF36" s="390" t="str">
        <f>IF(AND('Mapa final'!$H$84="Baja",'Mapa final'!$L$84="Mayor"),CONCATENATE("R",'Mapa final'!$A$84),"")</f>
        <v/>
      </c>
      <c r="AG36" s="391"/>
      <c r="AH36" s="401" t="str">
        <f>IF(AND('Mapa final'!$H$72="Baja",'Mapa final'!$L$72="Catastrófico"),CONCATENATE("R",'Mapa final'!$A$72),"")</f>
        <v/>
      </c>
      <c r="AI36" s="402"/>
      <c r="AJ36" s="402" t="str">
        <f>IF(AND('Mapa final'!$H$78="Baja",'Mapa final'!$L$78="Catastrófico"),CONCATENATE("R",'Mapa final'!$A$78),"")</f>
        <v/>
      </c>
      <c r="AK36" s="402"/>
      <c r="AL36" s="402" t="str">
        <f>IF(AND('Mapa final'!$H$84="Baja",'Mapa final'!$L$84="Catastrófico"),CONCATENATE("R",'Mapa final'!$A$84),"")</f>
        <v/>
      </c>
      <c r="AM36" s="403"/>
      <c r="AN36" s="83"/>
      <c r="AO36" s="375"/>
      <c r="AP36" s="376"/>
      <c r="AQ36" s="376"/>
      <c r="AR36" s="376"/>
      <c r="AS36" s="376"/>
      <c r="AT36" s="377"/>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row>
    <row r="37" spans="1:80" ht="15.75" thickBot="1" x14ac:dyDescent="0.3">
      <c r="A37" s="83"/>
      <c r="B37" s="343"/>
      <c r="C37" s="343"/>
      <c r="D37" s="344"/>
      <c r="E37" s="387"/>
      <c r="F37" s="388"/>
      <c r="G37" s="388"/>
      <c r="H37" s="388"/>
      <c r="I37" s="388"/>
      <c r="J37" s="422"/>
      <c r="K37" s="423"/>
      <c r="L37" s="423"/>
      <c r="M37" s="423"/>
      <c r="N37" s="423"/>
      <c r="O37" s="424"/>
      <c r="P37" s="414"/>
      <c r="Q37" s="414"/>
      <c r="R37" s="414"/>
      <c r="S37" s="414"/>
      <c r="T37" s="414"/>
      <c r="U37" s="415"/>
      <c r="V37" s="413"/>
      <c r="W37" s="414"/>
      <c r="X37" s="414"/>
      <c r="Y37" s="414"/>
      <c r="Z37" s="414"/>
      <c r="AA37" s="415"/>
      <c r="AB37" s="398"/>
      <c r="AC37" s="399"/>
      <c r="AD37" s="399"/>
      <c r="AE37" s="399"/>
      <c r="AF37" s="399"/>
      <c r="AG37" s="400"/>
      <c r="AH37" s="404"/>
      <c r="AI37" s="405"/>
      <c r="AJ37" s="405"/>
      <c r="AK37" s="405"/>
      <c r="AL37" s="405"/>
      <c r="AM37" s="406"/>
      <c r="AN37" s="83"/>
      <c r="AO37" s="378"/>
      <c r="AP37" s="379"/>
      <c r="AQ37" s="379"/>
      <c r="AR37" s="379"/>
      <c r="AS37" s="379"/>
      <c r="AT37" s="380"/>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row>
    <row r="38" spans="1:80" x14ac:dyDescent="0.25">
      <c r="A38" s="83"/>
      <c r="B38" s="343"/>
      <c r="C38" s="343"/>
      <c r="D38" s="344"/>
      <c r="E38" s="381" t="s">
        <v>100</v>
      </c>
      <c r="F38" s="382"/>
      <c r="G38" s="382"/>
      <c r="H38" s="382"/>
      <c r="I38" s="383"/>
      <c r="J38" s="425" t="str">
        <f>IF(AND('Mapa final'!$H$22="Muy Baja",'Mapa final'!$L$22="Leve"),CONCATENATE("R",'Mapa final'!$A$22),"")</f>
        <v/>
      </c>
      <c r="K38" s="426"/>
      <c r="L38" s="426" t="str">
        <f>IF(AND('Mapa final'!$H$28="Muy Baja",'Mapa final'!$L$28="Leve"),CONCATENATE("R",'Mapa final'!$A$28),"")</f>
        <v/>
      </c>
      <c r="M38" s="426"/>
      <c r="N38" s="426" t="str">
        <f>IF(AND('Mapa final'!$H$34="Muy Baja",'Mapa final'!$L$34="Leve"),CONCATENATE("R",'Mapa final'!$A$34),"")</f>
        <v/>
      </c>
      <c r="O38" s="427"/>
      <c r="P38" s="425" t="str">
        <f>IF(AND('Mapa final'!$H$22="Muy Baja",'Mapa final'!$L$22="Menor"),CONCATENATE("R",'Mapa final'!$A$22),"")</f>
        <v/>
      </c>
      <c r="Q38" s="426"/>
      <c r="R38" s="426" t="str">
        <f>IF(AND('Mapa final'!$H$28="Muy Baja",'Mapa final'!$L$28="Menor"),CONCATENATE("R",'Mapa final'!$A$28),"")</f>
        <v/>
      </c>
      <c r="S38" s="426"/>
      <c r="T38" s="426" t="str">
        <f>IF(AND('Mapa final'!$H$34="Muy Baja",'Mapa final'!$L$34="Menor"),CONCATENATE("R",'Mapa final'!$A$34),"")</f>
        <v/>
      </c>
      <c r="U38" s="427"/>
      <c r="V38" s="416" t="str">
        <f>IF(AND('Mapa final'!$H$22="Muy Baja",'Mapa final'!$L$22="Moderado"),CONCATENATE("R",'Mapa final'!$A$22),"")</f>
        <v/>
      </c>
      <c r="W38" s="417"/>
      <c r="X38" s="417" t="str">
        <f>IF(AND('Mapa final'!$H$28="Muy Baja",'Mapa final'!$L$28="Moderado"),CONCATENATE("R",'Mapa final'!$A$28),"")</f>
        <v/>
      </c>
      <c r="Y38" s="417"/>
      <c r="Z38" s="417" t="str">
        <f>IF(AND('Mapa final'!$H$34="Muy Baja",'Mapa final'!$L$34="Moderado"),CONCATENATE("R",'Mapa final'!$A$34),"")</f>
        <v/>
      </c>
      <c r="AA38" s="418"/>
      <c r="AB38" s="392" t="str">
        <f>IF(AND('Mapa final'!$H$22="Muy Baja",'Mapa final'!$L$22="Mayor"),CONCATENATE("R",'Mapa final'!$A$22),"")</f>
        <v/>
      </c>
      <c r="AC38" s="393"/>
      <c r="AD38" s="393" t="str">
        <f>IF(AND('Mapa final'!$H$28="Muy Baja",'Mapa final'!$L$28="Mayor"),CONCATENATE("R",'Mapa final'!$A$28),"")</f>
        <v/>
      </c>
      <c r="AE38" s="393"/>
      <c r="AF38" s="393" t="str">
        <f>IF(AND('Mapa final'!$H$34="Muy Baja",'Mapa final'!$L$34="Mayor"),CONCATENATE("R",'Mapa final'!$A$34),"")</f>
        <v/>
      </c>
      <c r="AG38" s="395"/>
      <c r="AH38" s="407" t="str">
        <f>IF(AND('Mapa final'!$H$22="Muy Baja",'Mapa final'!$L$22="Catastrófico"),CONCATENATE("R",'Mapa final'!$A$22),"")</f>
        <v/>
      </c>
      <c r="AI38" s="408"/>
      <c r="AJ38" s="408" t="str">
        <f>IF(AND('Mapa final'!$H$28="Muy Baja",'Mapa final'!$L$28="Catastrófico"),CONCATENATE("R",'Mapa final'!$A$28),"")</f>
        <v/>
      </c>
      <c r="AK38" s="408"/>
      <c r="AL38" s="408" t="str">
        <f>IF(AND('Mapa final'!$H$34="Muy Baja",'Mapa final'!$L$34="Catastrófico"),CONCATENATE("R",'Mapa final'!$A$34),"")</f>
        <v/>
      </c>
      <c r="AM38" s="409"/>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row>
    <row r="39" spans="1:80" x14ac:dyDescent="0.25">
      <c r="A39" s="83"/>
      <c r="B39" s="343"/>
      <c r="C39" s="343"/>
      <c r="D39" s="344"/>
      <c r="E39" s="384"/>
      <c r="F39" s="385"/>
      <c r="G39" s="385"/>
      <c r="H39" s="385"/>
      <c r="I39" s="386"/>
      <c r="J39" s="421"/>
      <c r="K39" s="419"/>
      <c r="L39" s="419"/>
      <c r="M39" s="419"/>
      <c r="N39" s="419"/>
      <c r="O39" s="420"/>
      <c r="P39" s="421"/>
      <c r="Q39" s="419"/>
      <c r="R39" s="419"/>
      <c r="S39" s="419"/>
      <c r="T39" s="419"/>
      <c r="U39" s="420"/>
      <c r="V39" s="410"/>
      <c r="W39" s="411"/>
      <c r="X39" s="411"/>
      <c r="Y39" s="411"/>
      <c r="Z39" s="411"/>
      <c r="AA39" s="412"/>
      <c r="AB39" s="394"/>
      <c r="AC39" s="390"/>
      <c r="AD39" s="390"/>
      <c r="AE39" s="390"/>
      <c r="AF39" s="390"/>
      <c r="AG39" s="391"/>
      <c r="AH39" s="401"/>
      <c r="AI39" s="402"/>
      <c r="AJ39" s="402"/>
      <c r="AK39" s="402"/>
      <c r="AL39" s="402"/>
      <c r="AM39" s="40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row>
    <row r="40" spans="1:80" x14ac:dyDescent="0.25">
      <c r="A40" s="83"/>
      <c r="B40" s="343"/>
      <c r="C40" s="343"/>
      <c r="D40" s="344"/>
      <c r="E40" s="384"/>
      <c r="F40" s="385"/>
      <c r="G40" s="385"/>
      <c r="H40" s="385"/>
      <c r="I40" s="386"/>
      <c r="J40" s="421" t="str">
        <f>IF(AND('Mapa final'!$H$40="Muy Baja",'Mapa final'!$L$40="Leve"),CONCATENATE("R",'Mapa final'!$A$40),"")</f>
        <v/>
      </c>
      <c r="K40" s="419"/>
      <c r="L40" s="419" t="str">
        <f>IF(AND('Mapa final'!$H$46="Muy Baja",'Mapa final'!$L$46="Leve"),CONCATENATE("R",'Mapa final'!$A$46),"")</f>
        <v/>
      </c>
      <c r="M40" s="419"/>
      <c r="N40" s="419" t="str">
        <f>IF(AND('Mapa final'!$H$52="Muy Baja",'Mapa final'!$L$52="Leve"),CONCATENATE("R",'Mapa final'!$A$52),"")</f>
        <v/>
      </c>
      <c r="O40" s="420"/>
      <c r="P40" s="421" t="str">
        <f>IF(AND('Mapa final'!$H$40="Muy Baja",'Mapa final'!$L$40="Menor"),CONCATENATE("R",'Mapa final'!$A$40),"")</f>
        <v/>
      </c>
      <c r="Q40" s="419"/>
      <c r="R40" s="419" t="str">
        <f>IF(AND('Mapa final'!$H$46="Muy Baja",'Mapa final'!$L$46="Menor"),CONCATENATE("R",'Mapa final'!$A$46),"")</f>
        <v/>
      </c>
      <c r="S40" s="419"/>
      <c r="T40" s="419" t="str">
        <f>IF(AND('Mapa final'!$H$52="Muy Baja",'Mapa final'!$L$52="Menor"),CONCATENATE("R",'Mapa final'!$A$52),"")</f>
        <v/>
      </c>
      <c r="U40" s="420"/>
      <c r="V40" s="410" t="str">
        <f>IF(AND('Mapa final'!$H$40="Muy Baja",'Mapa final'!$L$40="Moderado"),CONCATENATE("R",'Mapa final'!$A$40),"")</f>
        <v/>
      </c>
      <c r="W40" s="411"/>
      <c r="X40" s="411" t="str">
        <f>IF(AND('Mapa final'!$H$46="Muy Baja",'Mapa final'!$L$46="Moderado"),CONCATENATE("R",'Mapa final'!$A$46),"")</f>
        <v/>
      </c>
      <c r="Y40" s="411"/>
      <c r="Z40" s="411" t="str">
        <f>IF(AND('Mapa final'!$H$52="Muy Baja",'Mapa final'!$L$52="Moderado"),CONCATENATE("R",'Mapa final'!$A$52),"")</f>
        <v/>
      </c>
      <c r="AA40" s="412"/>
      <c r="AB40" s="394" t="str">
        <f>IF(AND('Mapa final'!$H$40="Muy Baja",'Mapa final'!$L$40="Mayor"),CONCATENATE("R",'Mapa final'!$A$40),"")</f>
        <v/>
      </c>
      <c r="AC40" s="390"/>
      <c r="AD40" s="390" t="str">
        <f>IF(AND('Mapa final'!$H$46="Muy Baja",'Mapa final'!$L$46="Mayor"),CONCATENATE("R",'Mapa final'!$A$46),"")</f>
        <v/>
      </c>
      <c r="AE40" s="390"/>
      <c r="AF40" s="390" t="str">
        <f>IF(AND('Mapa final'!$H$52="Muy Baja",'Mapa final'!$L$52="Mayor"),CONCATENATE("R",'Mapa final'!$A$52),"")</f>
        <v/>
      </c>
      <c r="AG40" s="391"/>
      <c r="AH40" s="401" t="str">
        <f>IF(AND('Mapa final'!$H$40="Muy Baja",'Mapa final'!$L$40="Catastrófico"),CONCATENATE("R",'Mapa final'!$A$40),"")</f>
        <v/>
      </c>
      <c r="AI40" s="402"/>
      <c r="AJ40" s="402" t="str">
        <f>IF(AND('Mapa final'!$H$46="Muy Baja",'Mapa final'!$L$46="Catastrófico"),CONCATENATE("R",'Mapa final'!$A$46),"")</f>
        <v/>
      </c>
      <c r="AK40" s="402"/>
      <c r="AL40" s="402" t="str">
        <f>IF(AND('Mapa final'!$H$52="Muy Baja",'Mapa final'!$L$52="Catastrófico"),CONCATENATE("R",'Mapa final'!$A$52),"")</f>
        <v/>
      </c>
      <c r="AM40" s="40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row>
    <row r="41" spans="1:80" x14ac:dyDescent="0.25">
      <c r="A41" s="83"/>
      <c r="B41" s="343"/>
      <c r="C41" s="343"/>
      <c r="D41" s="344"/>
      <c r="E41" s="384"/>
      <c r="F41" s="385"/>
      <c r="G41" s="385"/>
      <c r="H41" s="385"/>
      <c r="I41" s="386"/>
      <c r="J41" s="421"/>
      <c r="K41" s="419"/>
      <c r="L41" s="419"/>
      <c r="M41" s="419"/>
      <c r="N41" s="419"/>
      <c r="O41" s="420"/>
      <c r="P41" s="421"/>
      <c r="Q41" s="419"/>
      <c r="R41" s="419"/>
      <c r="S41" s="419"/>
      <c r="T41" s="419"/>
      <c r="U41" s="420"/>
      <c r="V41" s="410"/>
      <c r="W41" s="411"/>
      <c r="X41" s="411"/>
      <c r="Y41" s="411"/>
      <c r="Z41" s="411"/>
      <c r="AA41" s="412"/>
      <c r="AB41" s="394"/>
      <c r="AC41" s="390"/>
      <c r="AD41" s="390"/>
      <c r="AE41" s="390"/>
      <c r="AF41" s="390"/>
      <c r="AG41" s="391"/>
      <c r="AH41" s="401"/>
      <c r="AI41" s="402"/>
      <c r="AJ41" s="402"/>
      <c r="AK41" s="402"/>
      <c r="AL41" s="402"/>
      <c r="AM41" s="40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row>
    <row r="42" spans="1:80" x14ac:dyDescent="0.25">
      <c r="A42" s="83"/>
      <c r="B42" s="343"/>
      <c r="C42" s="343"/>
      <c r="D42" s="344"/>
      <c r="E42" s="384"/>
      <c r="F42" s="385"/>
      <c r="G42" s="385"/>
      <c r="H42" s="385"/>
      <c r="I42" s="386"/>
      <c r="J42" s="421" t="str">
        <f>IF(AND('Mapa final'!$H$58="Muy Baja",'Mapa final'!$L$58="Leve"),CONCATENATE("R",'Mapa final'!$A$58),"")</f>
        <v/>
      </c>
      <c r="K42" s="419"/>
      <c r="L42" s="419" t="str">
        <f>IF(AND('Mapa final'!$H$60="Muy Baja",'Mapa final'!$L$60="Leve"),CONCATENATE("R",'Mapa final'!$A$60),"")</f>
        <v/>
      </c>
      <c r="M42" s="419"/>
      <c r="N42" s="419" t="str">
        <f>IF(AND('Mapa final'!$H$66="Muy Baja",'Mapa final'!$L$66="Leve"),CONCATENATE("R",'Mapa final'!$A$66),"")</f>
        <v/>
      </c>
      <c r="O42" s="420"/>
      <c r="P42" s="421" t="str">
        <f>IF(AND('Mapa final'!$H$58="Muy Baja",'Mapa final'!$L$58="Menor"),CONCATENATE("R",'Mapa final'!$A$58),"")</f>
        <v/>
      </c>
      <c r="Q42" s="419"/>
      <c r="R42" s="419" t="str">
        <f>IF(AND('Mapa final'!$H$60="Muy Baja",'Mapa final'!$L$60="Menor"),CONCATENATE("R",'Mapa final'!$A$60),"")</f>
        <v/>
      </c>
      <c r="S42" s="419"/>
      <c r="T42" s="419" t="str">
        <f>IF(AND('Mapa final'!$H$66="Muy Baja",'Mapa final'!$L$66="Menor"),CONCATENATE("R",'Mapa final'!$A$66),"")</f>
        <v/>
      </c>
      <c r="U42" s="420"/>
      <c r="V42" s="410" t="str">
        <f>IF(AND('Mapa final'!$H$58="Muy Baja",'Mapa final'!$L$58="Moderado"),CONCATENATE("R",'Mapa final'!$A$58),"")</f>
        <v/>
      </c>
      <c r="W42" s="411"/>
      <c r="X42" s="411" t="str">
        <f>IF(AND('Mapa final'!$H$60="Muy Baja",'Mapa final'!$L$60="Moderado"),CONCATENATE("R",'Mapa final'!$A$60),"")</f>
        <v/>
      </c>
      <c r="Y42" s="411"/>
      <c r="Z42" s="411" t="str">
        <f>IF(AND('Mapa final'!$H$66="Muy Baja",'Mapa final'!$L$66="Moderado"),CONCATENATE("R",'Mapa final'!$A$66),"")</f>
        <v/>
      </c>
      <c r="AA42" s="412"/>
      <c r="AB42" s="394" t="str">
        <f>IF(AND('Mapa final'!$H$58="Muy Baja",'Mapa final'!$L$58="Mayor"),CONCATENATE("R",'Mapa final'!$A$58),"")</f>
        <v/>
      </c>
      <c r="AC42" s="390"/>
      <c r="AD42" s="390" t="str">
        <f>IF(AND('Mapa final'!$H$60="Muy Baja",'Mapa final'!$L$60="Mayor"),CONCATENATE("R",'Mapa final'!$A$60),"")</f>
        <v/>
      </c>
      <c r="AE42" s="390"/>
      <c r="AF42" s="390" t="str">
        <f>IF(AND('Mapa final'!$H$66="Muy Baja",'Mapa final'!$L$66="Mayor"),CONCATENATE("R",'Mapa final'!$A$66),"")</f>
        <v/>
      </c>
      <c r="AG42" s="391"/>
      <c r="AH42" s="401" t="str">
        <f>IF(AND('Mapa final'!$H$58="Muy Baja",'Mapa final'!$L$58="Catastrófico"),CONCATENATE("R",'Mapa final'!$A$58),"")</f>
        <v/>
      </c>
      <c r="AI42" s="402"/>
      <c r="AJ42" s="402" t="str">
        <f>IF(AND('Mapa final'!$H$60="Muy Baja",'Mapa final'!$L$60="Catastrófico"),CONCATENATE("R",'Mapa final'!$A$60),"")</f>
        <v/>
      </c>
      <c r="AK42" s="402"/>
      <c r="AL42" s="402" t="str">
        <f>IF(AND('Mapa final'!$H$66="Muy Baja",'Mapa final'!$L$66="Catastrófico"),CONCATENATE("R",'Mapa final'!$A$66),"")</f>
        <v/>
      </c>
      <c r="AM42" s="40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row>
    <row r="43" spans="1:80" x14ac:dyDescent="0.25">
      <c r="A43" s="83"/>
      <c r="B43" s="343"/>
      <c r="C43" s="343"/>
      <c r="D43" s="344"/>
      <c r="E43" s="384"/>
      <c r="F43" s="385"/>
      <c r="G43" s="385"/>
      <c r="H43" s="385"/>
      <c r="I43" s="386"/>
      <c r="J43" s="421"/>
      <c r="K43" s="419"/>
      <c r="L43" s="419"/>
      <c r="M43" s="419"/>
      <c r="N43" s="419"/>
      <c r="O43" s="420"/>
      <c r="P43" s="421"/>
      <c r="Q43" s="419"/>
      <c r="R43" s="419"/>
      <c r="S43" s="419"/>
      <c r="T43" s="419"/>
      <c r="U43" s="420"/>
      <c r="V43" s="410"/>
      <c r="W43" s="411"/>
      <c r="X43" s="411"/>
      <c r="Y43" s="411"/>
      <c r="Z43" s="411"/>
      <c r="AA43" s="412"/>
      <c r="AB43" s="394"/>
      <c r="AC43" s="390"/>
      <c r="AD43" s="390"/>
      <c r="AE43" s="390"/>
      <c r="AF43" s="390"/>
      <c r="AG43" s="391"/>
      <c r="AH43" s="401"/>
      <c r="AI43" s="402"/>
      <c r="AJ43" s="402"/>
      <c r="AK43" s="402"/>
      <c r="AL43" s="402"/>
      <c r="AM43" s="40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row>
    <row r="44" spans="1:80" x14ac:dyDescent="0.25">
      <c r="A44" s="83"/>
      <c r="B44" s="343"/>
      <c r="C44" s="343"/>
      <c r="D44" s="344"/>
      <c r="E44" s="384"/>
      <c r="F44" s="385"/>
      <c r="G44" s="385"/>
      <c r="H44" s="385"/>
      <c r="I44" s="386"/>
      <c r="J44" s="421" t="str">
        <f>IF(AND('Mapa final'!$H$72="Muy Baja",'Mapa final'!$L$72="Leve"),CONCATENATE("R",'Mapa final'!$A$72),"")</f>
        <v/>
      </c>
      <c r="K44" s="419"/>
      <c r="L44" s="419" t="str">
        <f>IF(AND('Mapa final'!$H$78="Muy Baja",'Mapa final'!$L$78="Leve"),CONCATENATE("R",'Mapa final'!$A$78),"")</f>
        <v/>
      </c>
      <c r="M44" s="419"/>
      <c r="N44" s="419" t="str">
        <f>IF(AND('Mapa final'!$H$84="Muy Baja",'Mapa final'!$L$84="Leve"),CONCATENATE("R",'Mapa final'!$A$84),"")</f>
        <v/>
      </c>
      <c r="O44" s="420"/>
      <c r="P44" s="421" t="str">
        <f>IF(AND('Mapa final'!$H$72="Muy Baja",'Mapa final'!$L$72="Menor"),CONCATENATE("R",'Mapa final'!$A$72),"")</f>
        <v/>
      </c>
      <c r="Q44" s="419"/>
      <c r="R44" s="419" t="str">
        <f>IF(AND('Mapa final'!$H$78="Muy Baja",'Mapa final'!$L$78="Menor"),CONCATENATE("R",'Mapa final'!$A$78),"")</f>
        <v/>
      </c>
      <c r="S44" s="419"/>
      <c r="T44" s="419" t="str">
        <f>IF(AND('Mapa final'!$H$84="Muy Baja",'Mapa final'!$L$84="Menor"),CONCATENATE("R",'Mapa final'!$A$84),"")</f>
        <v/>
      </c>
      <c r="U44" s="420"/>
      <c r="V44" s="410" t="str">
        <f>IF(AND('Mapa final'!$H$72="Muy Baja",'Mapa final'!$L$72="Moderado"),CONCATENATE("R",'Mapa final'!$A$72),"")</f>
        <v/>
      </c>
      <c r="W44" s="411"/>
      <c r="X44" s="411" t="str">
        <f>IF(AND('Mapa final'!$H$78="Muy Baja",'Mapa final'!$L$78="Moderado"),CONCATENATE("R",'Mapa final'!$A$78),"")</f>
        <v/>
      </c>
      <c r="Y44" s="411"/>
      <c r="Z44" s="411" t="str">
        <f>IF(AND('Mapa final'!$H$84="Muy Baja",'Mapa final'!$L$84="Moderado"),CONCATENATE("R",'Mapa final'!$A$84),"")</f>
        <v/>
      </c>
      <c r="AA44" s="412"/>
      <c r="AB44" s="394" t="str">
        <f>IF(AND('Mapa final'!$H$72="Muy Baja",'Mapa final'!$L$72="Mayor"),CONCATENATE("R",'Mapa final'!$A$72),"")</f>
        <v/>
      </c>
      <c r="AC44" s="390"/>
      <c r="AD44" s="390" t="str">
        <f>IF(AND('Mapa final'!$H$78="Muy Baja",'Mapa final'!$L$78="Mayor"),CONCATENATE("R",'Mapa final'!$A$78),"")</f>
        <v/>
      </c>
      <c r="AE44" s="390"/>
      <c r="AF44" s="390" t="str">
        <f>IF(AND('Mapa final'!$H$84="Muy Baja",'Mapa final'!$L$84="Mayor"),CONCATENATE("R",'Mapa final'!$A$84),"")</f>
        <v/>
      </c>
      <c r="AG44" s="391"/>
      <c r="AH44" s="401" t="str">
        <f>IF(AND('Mapa final'!$H$72="Muy Baja",'Mapa final'!$L$72="Catastrófico"),CONCATENATE("R",'Mapa final'!$A$72),"")</f>
        <v/>
      </c>
      <c r="AI44" s="402"/>
      <c r="AJ44" s="402" t="str">
        <f>IF(AND('Mapa final'!$H$78="Muy Baja",'Mapa final'!$L$78="Catastrófico"),CONCATENATE("R",'Mapa final'!$A$78),"")</f>
        <v/>
      </c>
      <c r="AK44" s="402"/>
      <c r="AL44" s="402" t="str">
        <f>IF(AND('Mapa final'!$H$84="Muy Baja",'Mapa final'!$L$84="Catastrófico"),CONCATENATE("R",'Mapa final'!$A$84),"")</f>
        <v/>
      </c>
      <c r="AM44" s="40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row>
    <row r="45" spans="1:80" ht="15.75" thickBot="1" x14ac:dyDescent="0.3">
      <c r="A45" s="83"/>
      <c r="B45" s="343"/>
      <c r="C45" s="343"/>
      <c r="D45" s="344"/>
      <c r="E45" s="387"/>
      <c r="F45" s="388"/>
      <c r="G45" s="388"/>
      <c r="H45" s="388"/>
      <c r="I45" s="389"/>
      <c r="J45" s="422"/>
      <c r="K45" s="423"/>
      <c r="L45" s="423"/>
      <c r="M45" s="423"/>
      <c r="N45" s="423"/>
      <c r="O45" s="424"/>
      <c r="P45" s="422"/>
      <c r="Q45" s="423"/>
      <c r="R45" s="423"/>
      <c r="S45" s="423"/>
      <c r="T45" s="423"/>
      <c r="U45" s="424"/>
      <c r="V45" s="413"/>
      <c r="W45" s="414"/>
      <c r="X45" s="414"/>
      <c r="Y45" s="414"/>
      <c r="Z45" s="414"/>
      <c r="AA45" s="415"/>
      <c r="AB45" s="398"/>
      <c r="AC45" s="399"/>
      <c r="AD45" s="399"/>
      <c r="AE45" s="399"/>
      <c r="AF45" s="399"/>
      <c r="AG45" s="400"/>
      <c r="AH45" s="404"/>
      <c r="AI45" s="405"/>
      <c r="AJ45" s="405"/>
      <c r="AK45" s="405"/>
      <c r="AL45" s="405"/>
      <c r="AM45" s="406"/>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row>
    <row r="46" spans="1:80" x14ac:dyDescent="0.25">
      <c r="A46" s="83"/>
      <c r="B46" s="83"/>
      <c r="C46" s="83"/>
      <c r="D46" s="83"/>
      <c r="E46" s="83"/>
      <c r="F46" s="83"/>
      <c r="G46" s="83"/>
      <c r="H46" s="83"/>
      <c r="I46" s="83"/>
      <c r="J46" s="381" t="s">
        <v>101</v>
      </c>
      <c r="K46" s="382"/>
      <c r="L46" s="382"/>
      <c r="M46" s="382"/>
      <c r="N46" s="382"/>
      <c r="O46" s="383"/>
      <c r="P46" s="381" t="s">
        <v>102</v>
      </c>
      <c r="Q46" s="382"/>
      <c r="R46" s="382"/>
      <c r="S46" s="382"/>
      <c r="T46" s="382"/>
      <c r="U46" s="383"/>
      <c r="V46" s="381" t="s">
        <v>103</v>
      </c>
      <c r="W46" s="382"/>
      <c r="X46" s="382"/>
      <c r="Y46" s="382"/>
      <c r="Z46" s="382"/>
      <c r="AA46" s="383"/>
      <c r="AB46" s="381" t="s">
        <v>104</v>
      </c>
      <c r="AC46" s="397"/>
      <c r="AD46" s="382"/>
      <c r="AE46" s="382"/>
      <c r="AF46" s="382"/>
      <c r="AG46" s="383"/>
      <c r="AH46" s="381" t="s">
        <v>105</v>
      </c>
      <c r="AI46" s="382"/>
      <c r="AJ46" s="382"/>
      <c r="AK46" s="382"/>
      <c r="AL46" s="382"/>
      <c r="AM46" s="3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x14ac:dyDescent="0.25">
      <c r="A47" s="83"/>
      <c r="B47" s="83"/>
      <c r="C47" s="83"/>
      <c r="D47" s="83"/>
      <c r="E47" s="83"/>
      <c r="F47" s="83"/>
      <c r="G47" s="83"/>
      <c r="H47" s="83"/>
      <c r="I47" s="83"/>
      <c r="J47" s="384"/>
      <c r="K47" s="385"/>
      <c r="L47" s="385"/>
      <c r="M47" s="385"/>
      <c r="N47" s="385"/>
      <c r="O47" s="386"/>
      <c r="P47" s="384"/>
      <c r="Q47" s="385"/>
      <c r="R47" s="385"/>
      <c r="S47" s="385"/>
      <c r="T47" s="385"/>
      <c r="U47" s="386"/>
      <c r="V47" s="384"/>
      <c r="W47" s="385"/>
      <c r="X47" s="385"/>
      <c r="Y47" s="385"/>
      <c r="Z47" s="385"/>
      <c r="AA47" s="386"/>
      <c r="AB47" s="384"/>
      <c r="AC47" s="385"/>
      <c r="AD47" s="385"/>
      <c r="AE47" s="385"/>
      <c r="AF47" s="385"/>
      <c r="AG47" s="386"/>
      <c r="AH47" s="384"/>
      <c r="AI47" s="385"/>
      <c r="AJ47" s="385"/>
      <c r="AK47" s="385"/>
      <c r="AL47" s="385"/>
      <c r="AM47" s="386"/>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x14ac:dyDescent="0.25">
      <c r="A48" s="83"/>
      <c r="B48" s="83"/>
      <c r="C48" s="83"/>
      <c r="D48" s="83"/>
      <c r="E48" s="83"/>
      <c r="F48" s="83"/>
      <c r="G48" s="83"/>
      <c r="H48" s="83"/>
      <c r="I48" s="83"/>
      <c r="J48" s="384"/>
      <c r="K48" s="385"/>
      <c r="L48" s="385"/>
      <c r="M48" s="385"/>
      <c r="N48" s="385"/>
      <c r="O48" s="386"/>
      <c r="P48" s="384"/>
      <c r="Q48" s="385"/>
      <c r="R48" s="385"/>
      <c r="S48" s="385"/>
      <c r="T48" s="385"/>
      <c r="U48" s="386"/>
      <c r="V48" s="384"/>
      <c r="W48" s="385"/>
      <c r="X48" s="385"/>
      <c r="Y48" s="385"/>
      <c r="Z48" s="385"/>
      <c r="AA48" s="386"/>
      <c r="AB48" s="384"/>
      <c r="AC48" s="385"/>
      <c r="AD48" s="385"/>
      <c r="AE48" s="385"/>
      <c r="AF48" s="385"/>
      <c r="AG48" s="386"/>
      <c r="AH48" s="384"/>
      <c r="AI48" s="385"/>
      <c r="AJ48" s="385"/>
      <c r="AK48" s="385"/>
      <c r="AL48" s="385"/>
      <c r="AM48" s="386"/>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x14ac:dyDescent="0.25">
      <c r="A49" s="83"/>
      <c r="B49" s="83"/>
      <c r="C49" s="83"/>
      <c r="D49" s="83"/>
      <c r="E49" s="83"/>
      <c r="F49" s="83"/>
      <c r="G49" s="83"/>
      <c r="H49" s="83"/>
      <c r="I49" s="83"/>
      <c r="J49" s="384"/>
      <c r="K49" s="385"/>
      <c r="L49" s="385"/>
      <c r="M49" s="385"/>
      <c r="N49" s="385"/>
      <c r="O49" s="386"/>
      <c r="P49" s="384"/>
      <c r="Q49" s="385"/>
      <c r="R49" s="385"/>
      <c r="S49" s="385"/>
      <c r="T49" s="385"/>
      <c r="U49" s="386"/>
      <c r="V49" s="384"/>
      <c r="W49" s="385"/>
      <c r="X49" s="385"/>
      <c r="Y49" s="385"/>
      <c r="Z49" s="385"/>
      <c r="AA49" s="386"/>
      <c r="AB49" s="384"/>
      <c r="AC49" s="385"/>
      <c r="AD49" s="385"/>
      <c r="AE49" s="385"/>
      <c r="AF49" s="385"/>
      <c r="AG49" s="386"/>
      <c r="AH49" s="384"/>
      <c r="AI49" s="385"/>
      <c r="AJ49" s="385"/>
      <c r="AK49" s="385"/>
      <c r="AL49" s="385"/>
      <c r="AM49" s="386"/>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x14ac:dyDescent="0.25">
      <c r="A50" s="83"/>
      <c r="B50" s="83"/>
      <c r="C50" s="83"/>
      <c r="D50" s="83"/>
      <c r="E50" s="83"/>
      <c r="F50" s="83"/>
      <c r="G50" s="83"/>
      <c r="H50" s="83"/>
      <c r="I50" s="83"/>
      <c r="J50" s="384"/>
      <c r="K50" s="385"/>
      <c r="L50" s="385"/>
      <c r="M50" s="385"/>
      <c r="N50" s="385"/>
      <c r="O50" s="386"/>
      <c r="P50" s="384"/>
      <c r="Q50" s="385"/>
      <c r="R50" s="385"/>
      <c r="S50" s="385"/>
      <c r="T50" s="385"/>
      <c r="U50" s="386"/>
      <c r="V50" s="384"/>
      <c r="W50" s="385"/>
      <c r="X50" s="385"/>
      <c r="Y50" s="385"/>
      <c r="Z50" s="385"/>
      <c r="AA50" s="386"/>
      <c r="AB50" s="384"/>
      <c r="AC50" s="385"/>
      <c r="AD50" s="385"/>
      <c r="AE50" s="385"/>
      <c r="AF50" s="385"/>
      <c r="AG50" s="386"/>
      <c r="AH50" s="384"/>
      <c r="AI50" s="385"/>
      <c r="AJ50" s="385"/>
      <c r="AK50" s="385"/>
      <c r="AL50" s="385"/>
      <c r="AM50" s="386"/>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75" thickBot="1" x14ac:dyDescent="0.3">
      <c r="A51" s="83"/>
      <c r="B51" s="83"/>
      <c r="C51" s="83"/>
      <c r="D51" s="83"/>
      <c r="E51" s="83"/>
      <c r="F51" s="83"/>
      <c r="G51" s="83"/>
      <c r="H51" s="83"/>
      <c r="I51" s="83"/>
      <c r="J51" s="387"/>
      <c r="K51" s="388"/>
      <c r="L51" s="388"/>
      <c r="M51" s="388"/>
      <c r="N51" s="388"/>
      <c r="O51" s="389"/>
      <c r="P51" s="387"/>
      <c r="Q51" s="388"/>
      <c r="R51" s="388"/>
      <c r="S51" s="388"/>
      <c r="T51" s="388"/>
      <c r="U51" s="389"/>
      <c r="V51" s="387"/>
      <c r="W51" s="388"/>
      <c r="X51" s="388"/>
      <c r="Y51" s="388"/>
      <c r="Z51" s="388"/>
      <c r="AA51" s="389"/>
      <c r="AB51" s="387"/>
      <c r="AC51" s="388"/>
      <c r="AD51" s="388"/>
      <c r="AE51" s="388"/>
      <c r="AF51" s="388"/>
      <c r="AG51" s="389"/>
      <c r="AH51" s="387"/>
      <c r="AI51" s="388"/>
      <c r="AJ51" s="388"/>
      <c r="AK51" s="388"/>
      <c r="AL51" s="388"/>
      <c r="AM51" s="389"/>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x14ac:dyDescent="0.25">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x14ac:dyDescent="0.25">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x14ac:dyDescent="0.25">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row>
    <row r="63" spans="1:80" x14ac:dyDescent="0.25">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c r="CA63" s="83"/>
      <c r="CB63" s="83"/>
    </row>
    <row r="64" spans="1:80" x14ac:dyDescent="0.25">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row>
    <row r="65" spans="1:8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row>
    <row r="66" spans="1:8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83"/>
      <c r="BY66" s="83"/>
      <c r="BZ66" s="83"/>
      <c r="CA66" s="83"/>
      <c r="CB66" s="83"/>
    </row>
    <row r="67" spans="1:8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83"/>
      <c r="BY67" s="83"/>
      <c r="BZ67" s="83"/>
      <c r="CA67" s="83"/>
      <c r="CB67" s="83"/>
    </row>
    <row r="68" spans="1:8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83"/>
      <c r="CB68" s="83"/>
    </row>
    <row r="69" spans="1:8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row>
    <row r="70" spans="1:8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row>
    <row r="71" spans="1:8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row>
    <row r="72" spans="1:8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row>
    <row r="73" spans="1:8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row>
    <row r="74" spans="1:8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row>
    <row r="75" spans="1:8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row>
    <row r="76" spans="1:8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row>
    <row r="77" spans="1:8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row>
    <row r="78" spans="1:8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row>
    <row r="79" spans="1:8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row>
    <row r="80" spans="1:8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row>
    <row r="81" spans="1:63"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row>
    <row r="82" spans="1:63"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row>
    <row r="83" spans="1:63"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row>
    <row r="84" spans="1:63"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row>
    <row r="85" spans="1:63"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row>
    <row r="86" spans="1:63"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row>
    <row r="87" spans="1:63"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row>
    <row r="88" spans="1:63"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row>
    <row r="89" spans="1:63"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row>
    <row r="90" spans="1:63"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row>
    <row r="91" spans="1:63"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row>
    <row r="92" spans="1:63"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row>
    <row r="93" spans="1:63"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row>
    <row r="94" spans="1:63"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row>
    <row r="95" spans="1:63"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row>
    <row r="96" spans="1:63"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row>
    <row r="97" spans="1:63"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row>
    <row r="98" spans="1:63"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row>
    <row r="99" spans="1:63"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row>
    <row r="100" spans="1:63"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row>
    <row r="101" spans="1:63"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row>
    <row r="102" spans="1:63"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row>
    <row r="103" spans="1:63"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row>
    <row r="104" spans="1:63"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row>
    <row r="105" spans="1:63"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row>
    <row r="106" spans="1:63"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row>
    <row r="107" spans="1:63"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row>
    <row r="108" spans="1:63"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row>
    <row r="109" spans="1:63"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row>
    <row r="110" spans="1:63"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row>
    <row r="111" spans="1:63"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row>
    <row r="112" spans="1:63"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row>
    <row r="113" spans="1:63"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row>
    <row r="114" spans="1:63"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row>
    <row r="115" spans="1:63"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row>
    <row r="116" spans="1:63"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row>
    <row r="117" spans="1:63"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row>
    <row r="118" spans="1:63"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row>
    <row r="119" spans="1:63"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row>
    <row r="120" spans="1:63"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row>
    <row r="121" spans="1:63"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row>
    <row r="122" spans="1:63" x14ac:dyDescent="0.25">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row>
    <row r="123" spans="1:63" x14ac:dyDescent="0.25">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row>
    <row r="124" spans="1:63" x14ac:dyDescent="0.25">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row>
    <row r="125" spans="1:63" x14ac:dyDescent="0.25">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c r="BI125" s="83"/>
      <c r="BJ125" s="83"/>
      <c r="BK125" s="83"/>
    </row>
    <row r="126" spans="1:63" x14ac:dyDescent="0.25">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row>
    <row r="127" spans="1:63" x14ac:dyDescent="0.25">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row>
    <row r="128" spans="1:63" x14ac:dyDescent="0.25">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row>
    <row r="129" spans="2:63" x14ac:dyDescent="0.25">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c r="BI129" s="83"/>
      <c r="BJ129" s="83"/>
      <c r="BK129" s="83"/>
    </row>
    <row r="130" spans="2:63" x14ac:dyDescent="0.25">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row>
    <row r="131" spans="2:63" x14ac:dyDescent="0.25">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row>
    <row r="132" spans="2:63" x14ac:dyDescent="0.25">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row>
    <row r="133" spans="2:63" x14ac:dyDescent="0.25">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row>
    <row r="134" spans="2:63" x14ac:dyDescent="0.25">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row>
    <row r="135" spans="2:63" x14ac:dyDescent="0.25">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row>
    <row r="136" spans="2:63" x14ac:dyDescent="0.25">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row>
    <row r="137" spans="2:63" x14ac:dyDescent="0.25">
      <c r="B137" s="83"/>
      <c r="C137" s="83"/>
      <c r="D137" s="83"/>
      <c r="E137" s="83"/>
      <c r="F137" s="83"/>
      <c r="G137" s="83"/>
      <c r="H137" s="83"/>
      <c r="I137" s="83"/>
    </row>
    <row r="138" spans="2:63" x14ac:dyDescent="0.25">
      <c r="B138" s="83"/>
      <c r="C138" s="83"/>
      <c r="D138" s="83"/>
      <c r="E138" s="83"/>
      <c r="F138" s="83"/>
      <c r="G138" s="83"/>
      <c r="H138" s="83"/>
      <c r="I138" s="83"/>
    </row>
    <row r="139" spans="2:63" x14ac:dyDescent="0.25">
      <c r="B139" s="83"/>
      <c r="C139" s="83"/>
      <c r="D139" s="83"/>
      <c r="E139" s="83"/>
      <c r="F139" s="83"/>
      <c r="G139" s="83"/>
      <c r="H139" s="83"/>
      <c r="I139" s="83"/>
    </row>
    <row r="140" spans="2:63" x14ac:dyDescent="0.25">
      <c r="B140" s="83"/>
      <c r="C140" s="83"/>
      <c r="D140" s="83"/>
      <c r="E140" s="83"/>
      <c r="F140" s="83"/>
      <c r="G140" s="83"/>
      <c r="H140" s="83"/>
      <c r="I140" s="83"/>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zoomScale="50" zoomScaleNormal="50" workbookViewId="0">
      <selection activeCell="J6" sqref="J6"/>
    </sheetView>
  </sheetViews>
  <sheetFormatPr baseColWidth="10" defaultColWidth="11.42578125" defaultRowHeight="15" x14ac:dyDescent="0.25"/>
  <cols>
    <col min="2" max="18" width="5.7109375" customWidth="1"/>
    <col min="19" max="19" width="8.42578125" customWidth="1"/>
    <col min="20" max="23" width="5.7109375" customWidth="1"/>
    <col min="24" max="24" width="8.42578125" customWidth="1"/>
    <col min="25" max="26" width="5.7109375" customWidth="1"/>
    <col min="27" max="27" width="10.7109375" customWidth="1"/>
    <col min="28" max="28" width="5.7109375" customWidth="1"/>
    <col min="29" max="29" width="7.42578125" customWidth="1"/>
    <col min="30" max="33" width="5.7109375" customWidth="1"/>
    <col min="34" max="34" width="8.42578125" customWidth="1"/>
    <col min="35" max="39" width="5.7109375" customWidth="1"/>
    <col min="41" max="46" width="5.7109375" customWidth="1"/>
  </cols>
  <sheetData>
    <row r="1" spans="1:91"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row>
    <row r="2" spans="1:91" ht="18" customHeight="1" x14ac:dyDescent="0.25">
      <c r="A2" s="83"/>
      <c r="B2" s="454" t="s">
        <v>106</v>
      </c>
      <c r="C2" s="455"/>
      <c r="D2" s="455"/>
      <c r="E2" s="455"/>
      <c r="F2" s="455"/>
      <c r="G2" s="455"/>
      <c r="H2" s="455"/>
      <c r="I2" s="455"/>
      <c r="J2" s="396" t="s">
        <v>13</v>
      </c>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c r="AL2" s="396"/>
      <c r="AM2" s="396"/>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row>
    <row r="3" spans="1:91" ht="18.75" customHeight="1" x14ac:dyDescent="0.25">
      <c r="A3" s="83"/>
      <c r="B3" s="455"/>
      <c r="C3" s="455"/>
      <c r="D3" s="455"/>
      <c r="E3" s="455"/>
      <c r="F3" s="455"/>
      <c r="G3" s="455"/>
      <c r="H3" s="455"/>
      <c r="I3" s="455"/>
      <c r="J3" s="396"/>
      <c r="K3" s="396"/>
      <c r="L3" s="396"/>
      <c r="M3" s="396"/>
      <c r="N3" s="396"/>
      <c r="O3" s="396"/>
      <c r="P3" s="396"/>
      <c r="Q3" s="396"/>
      <c r="R3" s="396"/>
      <c r="S3" s="396"/>
      <c r="T3" s="396"/>
      <c r="U3" s="396"/>
      <c r="V3" s="396"/>
      <c r="W3" s="396"/>
      <c r="X3" s="396"/>
      <c r="Y3" s="396"/>
      <c r="Z3" s="396"/>
      <c r="AA3" s="396"/>
      <c r="AB3" s="396"/>
      <c r="AC3" s="396"/>
      <c r="AD3" s="396"/>
      <c r="AE3" s="396"/>
      <c r="AF3" s="396"/>
      <c r="AG3" s="396"/>
      <c r="AH3" s="396"/>
      <c r="AI3" s="396"/>
      <c r="AJ3" s="396"/>
      <c r="AK3" s="396"/>
      <c r="AL3" s="396"/>
      <c r="AM3" s="396"/>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row>
    <row r="4" spans="1:91" ht="15" customHeight="1" x14ac:dyDescent="0.25">
      <c r="A4" s="83"/>
      <c r="B4" s="455"/>
      <c r="C4" s="455"/>
      <c r="D4" s="455"/>
      <c r="E4" s="455"/>
      <c r="F4" s="455"/>
      <c r="G4" s="455"/>
      <c r="H4" s="455"/>
      <c r="I4" s="455"/>
      <c r="J4" s="396"/>
      <c r="K4" s="396"/>
      <c r="L4" s="396"/>
      <c r="M4" s="396"/>
      <c r="N4" s="396"/>
      <c r="O4" s="396"/>
      <c r="P4" s="396"/>
      <c r="Q4" s="396"/>
      <c r="R4" s="396"/>
      <c r="S4" s="396"/>
      <c r="T4" s="396"/>
      <c r="U4" s="396"/>
      <c r="V4" s="396"/>
      <c r="W4" s="396"/>
      <c r="X4" s="396"/>
      <c r="Y4" s="396"/>
      <c r="Z4" s="396"/>
      <c r="AA4" s="396"/>
      <c r="AB4" s="396"/>
      <c r="AC4" s="396"/>
      <c r="AD4" s="396"/>
      <c r="AE4" s="396"/>
      <c r="AF4" s="396"/>
      <c r="AG4" s="396"/>
      <c r="AH4" s="396"/>
      <c r="AI4" s="396"/>
      <c r="AJ4" s="396"/>
      <c r="AK4" s="396"/>
      <c r="AL4" s="396"/>
      <c r="AM4" s="396"/>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row>
    <row r="5" spans="1:91"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row>
    <row r="6" spans="1:91" ht="15" customHeight="1" x14ac:dyDescent="0.25">
      <c r="A6" s="83"/>
      <c r="B6" s="343" t="s">
        <v>91</v>
      </c>
      <c r="C6" s="343"/>
      <c r="D6" s="344"/>
      <c r="E6" s="438" t="s">
        <v>92</v>
      </c>
      <c r="F6" s="439"/>
      <c r="G6" s="439"/>
      <c r="H6" s="439"/>
      <c r="I6" s="456"/>
      <c r="J6" s="46" t="str">
        <f>IF(AND('Mapa final'!$Y$22="Muy Alta",'Mapa final'!$AA$22="Leve"),CONCATENATE("R1C",'Mapa final'!$O$22),"")</f>
        <v/>
      </c>
      <c r="K6" s="47" t="str">
        <f>IF(AND('Mapa final'!$Y$23="Muy Alta",'Mapa final'!$AA$23="Leve"),CONCATENATE("R1C",'Mapa final'!$O$23),"")</f>
        <v/>
      </c>
      <c r="L6" s="47" t="str">
        <f>IF(AND('Mapa final'!$Y$24="Muy Alta",'Mapa final'!$AA$24="Leve"),CONCATENATE("R1C",'Mapa final'!$O$24),"")</f>
        <v/>
      </c>
      <c r="M6" s="47" t="str">
        <f>IF(AND('Mapa final'!$Y$25="Muy Alta",'Mapa final'!$AA$25="Leve"),CONCATENATE("R1C",'Mapa final'!$O$25),"")</f>
        <v/>
      </c>
      <c r="N6" s="47" t="str">
        <f>IF(AND('Mapa final'!$Y$26="Muy Alta",'Mapa final'!$AA$26="Leve"),CONCATENATE("R1C",'Mapa final'!$O$26),"")</f>
        <v/>
      </c>
      <c r="O6" s="48" t="str">
        <f>IF(AND('Mapa final'!$Y$27="Muy Alta",'Mapa final'!$AA$27="Leve"),CONCATENATE("R1C",'Mapa final'!$O$27),"")</f>
        <v/>
      </c>
      <c r="P6" s="46" t="str">
        <f>IF(AND('Mapa final'!$Y$22="Muy Alta",'Mapa final'!$AA$22="Menor"),CONCATENATE("R1C",'Mapa final'!$O$22),"")</f>
        <v/>
      </c>
      <c r="Q6" s="47" t="str">
        <f>IF(AND('Mapa final'!$Y$23="Muy Alta",'Mapa final'!$AA$23="Menor"),CONCATENATE("R1C",'Mapa final'!$O$23),"")</f>
        <v/>
      </c>
      <c r="R6" s="47" t="str">
        <f>IF(AND('Mapa final'!$Y$24="Muy Alta",'Mapa final'!$AA$24="Menor"),CONCATENATE("R1C",'Mapa final'!$O$24),"")</f>
        <v/>
      </c>
      <c r="S6" s="47" t="str">
        <f>IF(AND('Mapa final'!$Y$25="Muy Alta",'Mapa final'!$AA$25="Menor"),CONCATENATE("R1C",'Mapa final'!$O$25),"")</f>
        <v/>
      </c>
      <c r="T6" s="47" t="str">
        <f>IF(AND('Mapa final'!$Y$26="Muy Alta",'Mapa final'!$AA$26="Menor"),CONCATENATE("R1C",'Mapa final'!$O$26),"")</f>
        <v/>
      </c>
      <c r="U6" s="48" t="str">
        <f>IF(AND('Mapa final'!$Y$27="Muy Alta",'Mapa final'!$AA$27="Menor"),CONCATENATE("R1C",'Mapa final'!$O$27),"")</f>
        <v/>
      </c>
      <c r="V6" s="46" t="str">
        <f>IF(AND('Mapa final'!$Y$22="Muy Alta",'Mapa final'!$AA$22="Moderado"),CONCATENATE("R1C",'Mapa final'!$O$22),"")</f>
        <v/>
      </c>
      <c r="W6" s="47" t="str">
        <f>IF(AND('Mapa final'!$Y$23="Muy Alta",'Mapa final'!$AA$23="Moderado"),CONCATENATE("R1C",'Mapa final'!$O$23),"")</f>
        <v/>
      </c>
      <c r="X6" s="47" t="str">
        <f>IF(AND('Mapa final'!$Y$24="Muy Alta",'Mapa final'!$AA$24="Moderado"),CONCATENATE("R1C",'Mapa final'!$O$24),"")</f>
        <v/>
      </c>
      <c r="Y6" s="47" t="str">
        <f>IF(AND('Mapa final'!$Y$25="Muy Alta",'Mapa final'!$AA$25="Moderado"),CONCATENATE("R1C",'Mapa final'!$O$25),"")</f>
        <v/>
      </c>
      <c r="Z6" s="47" t="str">
        <f>IF(AND('Mapa final'!$Y$26="Muy Alta",'Mapa final'!$AA$26="Moderado"),CONCATENATE("R1C",'Mapa final'!$O$26),"")</f>
        <v/>
      </c>
      <c r="AA6" s="48" t="str">
        <f>IF(AND('Mapa final'!$Y$27="Muy Alta",'Mapa final'!$AA$27="Moderado"),CONCATENATE("R1C",'Mapa final'!$O$27),"")</f>
        <v/>
      </c>
      <c r="AB6" s="46" t="str">
        <f>IF(AND('Mapa final'!$Y$22="Muy Alta",'Mapa final'!$AA$22="Mayor"),CONCATENATE("R1C",'Mapa final'!$O$22),"")</f>
        <v/>
      </c>
      <c r="AC6" s="47" t="str">
        <f>IF(AND('Mapa final'!$Y$23="Muy Alta",'Mapa final'!$AA$23="Mayor"),CONCATENATE("R1C",'Mapa final'!$O$23),"")</f>
        <v/>
      </c>
      <c r="AD6" s="47" t="str">
        <f>IF(AND('Mapa final'!$Y$24="Muy Alta",'Mapa final'!$AA$24="Mayor"),CONCATENATE("R1C",'Mapa final'!$O$24),"")</f>
        <v/>
      </c>
      <c r="AE6" s="47" t="str">
        <f>IF(AND('Mapa final'!$Y$25="Muy Alta",'Mapa final'!$AA$25="Mayor"),CONCATENATE("R1C",'Mapa final'!$O$25),"")</f>
        <v/>
      </c>
      <c r="AF6" s="47" t="str">
        <f>IF(AND('Mapa final'!$Y$26="Muy Alta",'Mapa final'!$AA$26="Mayor"),CONCATENATE("R1C",'Mapa final'!$O$26),"")</f>
        <v/>
      </c>
      <c r="AG6" s="48" t="str">
        <f>IF(AND('Mapa final'!$Y$27="Muy Alta",'Mapa final'!$AA$27="Mayor"),CONCATENATE("R1C",'Mapa final'!$O$27),"")</f>
        <v/>
      </c>
      <c r="AH6" s="49" t="str">
        <f>IF(AND('Mapa final'!$Y$22="Muy Alta",'Mapa final'!$AA$22="Catastrófico"),CONCATENATE("R1C",'Mapa final'!$O$22),"")</f>
        <v/>
      </c>
      <c r="AI6" s="50" t="str">
        <f>IF(AND('Mapa final'!$Y$23="Muy Alta",'Mapa final'!$AA$23="Catastrófico"),CONCATENATE("R1C",'Mapa final'!$O$23),"")</f>
        <v/>
      </c>
      <c r="AJ6" s="50" t="str">
        <f>IF(AND('Mapa final'!$Y$24="Muy Alta",'Mapa final'!$AA$24="Catastrófico"),CONCATENATE("R1C",'Mapa final'!$O$24),"")</f>
        <v/>
      </c>
      <c r="AK6" s="50" t="str">
        <f>IF(AND('Mapa final'!$Y$25="Muy Alta",'Mapa final'!$AA$25="Catastrófico"),CONCATENATE("R1C",'Mapa final'!$O$25),"")</f>
        <v/>
      </c>
      <c r="AL6" s="50" t="str">
        <f>IF(AND('Mapa final'!$Y$26="Muy Alta",'Mapa final'!$AA$26="Catastrófico"),CONCATENATE("R1C",'Mapa final'!$O$26),"")</f>
        <v/>
      </c>
      <c r="AM6" s="51" t="str">
        <f>IF(AND('Mapa final'!$Y$27="Muy Alta",'Mapa final'!$AA$27="Catastrófico"),CONCATENATE("R1C",'Mapa final'!$O$27),"")</f>
        <v/>
      </c>
      <c r="AN6" s="83"/>
      <c r="AO6" s="445" t="s">
        <v>93</v>
      </c>
      <c r="AP6" s="446"/>
      <c r="AQ6" s="446"/>
      <c r="AR6" s="446"/>
      <c r="AS6" s="446"/>
      <c r="AT6" s="447"/>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row>
    <row r="7" spans="1:91" ht="15" customHeight="1" x14ac:dyDescent="0.25">
      <c r="A7" s="83"/>
      <c r="B7" s="343"/>
      <c r="C7" s="343"/>
      <c r="D7" s="344"/>
      <c r="E7" s="442"/>
      <c r="F7" s="441"/>
      <c r="G7" s="441"/>
      <c r="H7" s="441"/>
      <c r="I7" s="457"/>
      <c r="J7" s="52" t="str">
        <f>IF(AND('Mapa final'!$Y$28="Muy Alta",'Mapa final'!$AA$28="Leve"),CONCATENATE("R2C",'Mapa final'!$O$28),"")</f>
        <v/>
      </c>
      <c r="K7" s="53" t="str">
        <f>IF(AND('Mapa final'!$Y$29="Muy Alta",'Mapa final'!$AA$29="Leve"),CONCATENATE("R2C",'Mapa final'!$O$29),"")</f>
        <v/>
      </c>
      <c r="L7" s="53" t="str">
        <f>IF(AND('Mapa final'!$Y$30="Muy Alta",'Mapa final'!$AA$30="Leve"),CONCATENATE("R2C",'Mapa final'!$O$30),"")</f>
        <v/>
      </c>
      <c r="M7" s="53" t="str">
        <f>IF(AND('Mapa final'!$Y$31="Muy Alta",'Mapa final'!$AA$31="Leve"),CONCATENATE("R2C",'Mapa final'!$O$31),"")</f>
        <v/>
      </c>
      <c r="N7" s="53" t="str">
        <f>IF(AND('Mapa final'!$Y$32="Muy Alta",'Mapa final'!$AA$32="Leve"),CONCATENATE("R2C",'Mapa final'!$O$32),"")</f>
        <v/>
      </c>
      <c r="O7" s="54" t="str">
        <f>IF(AND('Mapa final'!$Y$33="Muy Alta",'Mapa final'!$AA$33="Leve"),CONCATENATE("R2C",'Mapa final'!$O$33),"")</f>
        <v/>
      </c>
      <c r="P7" s="52" t="str">
        <f>IF(AND('Mapa final'!$Y$28="Muy Alta",'Mapa final'!$AA$28="Menor"),CONCATENATE("R2C",'Mapa final'!$O$28),"")</f>
        <v/>
      </c>
      <c r="Q7" s="53" t="str">
        <f>IF(AND('Mapa final'!$Y$29="Muy Alta",'Mapa final'!$AA$29="Menor"),CONCATENATE("R2C",'Mapa final'!$O$29),"")</f>
        <v/>
      </c>
      <c r="R7" s="53" t="str">
        <f>IF(AND('Mapa final'!$Y$30="Muy Alta",'Mapa final'!$AA$30="Menor"),CONCATENATE("R2C",'Mapa final'!$O$30),"")</f>
        <v/>
      </c>
      <c r="S7" s="53" t="str">
        <f>IF(AND('Mapa final'!$Y$31="Muy Alta",'Mapa final'!$AA$31="Menor"),CONCATENATE("R2C",'Mapa final'!$O$31),"")</f>
        <v/>
      </c>
      <c r="T7" s="53" t="str">
        <f>IF(AND('Mapa final'!$Y$32="Muy Alta",'Mapa final'!$AA$32="Menor"),CONCATENATE("R2C",'Mapa final'!$O$32),"")</f>
        <v/>
      </c>
      <c r="U7" s="54" t="str">
        <f>IF(AND('Mapa final'!$Y$33="Muy Alta",'Mapa final'!$AA$33="Menor"),CONCATENATE("R2C",'Mapa final'!$O$33),"")</f>
        <v/>
      </c>
      <c r="V7" s="52" t="str">
        <f>IF(AND('Mapa final'!$Y$28="Muy Alta",'Mapa final'!$AA$28="Moderado"),CONCATENATE("R2C",'Mapa final'!$O$28),"")</f>
        <v/>
      </c>
      <c r="W7" s="53" t="str">
        <f>IF(AND('Mapa final'!$Y$29="Muy Alta",'Mapa final'!$AA$29="Moderado"),CONCATENATE("R2C",'Mapa final'!$O$29),"")</f>
        <v/>
      </c>
      <c r="X7" s="53" t="str">
        <f>IF(AND('Mapa final'!$Y$30="Muy Alta",'Mapa final'!$AA$30="Moderado"),CONCATENATE("R2C",'Mapa final'!$O$30),"")</f>
        <v/>
      </c>
      <c r="Y7" s="53" t="str">
        <f>IF(AND('Mapa final'!$Y$31="Muy Alta",'Mapa final'!$AA$31="Moderado"),CONCATENATE("R2C",'Mapa final'!$O$31),"")</f>
        <v/>
      </c>
      <c r="Z7" s="53" t="str">
        <f>IF(AND('Mapa final'!$Y$32="Muy Alta",'Mapa final'!$AA$32="Moderado"),CONCATENATE("R2C",'Mapa final'!$O$32),"")</f>
        <v/>
      </c>
      <c r="AA7" s="54" t="str">
        <f>IF(AND('Mapa final'!$Y$33="Muy Alta",'Mapa final'!$AA$33="Moderado"),CONCATENATE("R2C",'Mapa final'!$O$33),"")</f>
        <v/>
      </c>
      <c r="AB7" s="52" t="str">
        <f>IF(AND('Mapa final'!$Y$28="Muy Alta",'Mapa final'!$AA$28="Mayor"),CONCATENATE("R2C",'Mapa final'!$O$28),"")</f>
        <v/>
      </c>
      <c r="AC7" s="53" t="str">
        <f>IF(AND('Mapa final'!$Y$29="Muy Alta",'Mapa final'!$AA$29="Mayor"),CONCATENATE("R2C",'Mapa final'!$O$29),"")</f>
        <v/>
      </c>
      <c r="AD7" s="53" t="str">
        <f>IF(AND('Mapa final'!$Y$30="Muy Alta",'Mapa final'!$AA$30="Mayor"),CONCATENATE("R2C",'Mapa final'!$O$30),"")</f>
        <v/>
      </c>
      <c r="AE7" s="53" t="str">
        <f>IF(AND('Mapa final'!$Y$31="Muy Alta",'Mapa final'!$AA$31="Mayor"),CONCATENATE("R2C",'Mapa final'!$O$31),"")</f>
        <v/>
      </c>
      <c r="AF7" s="53" t="str">
        <f>IF(AND('Mapa final'!$Y$32="Muy Alta",'Mapa final'!$AA$32="Mayor"),CONCATENATE("R2C",'Mapa final'!$O$32),"")</f>
        <v/>
      </c>
      <c r="AG7" s="54" t="str">
        <f>IF(AND('Mapa final'!$Y$33="Muy Alta",'Mapa final'!$AA$33="Mayor"),CONCATENATE("R2C",'Mapa final'!$O$33),"")</f>
        <v/>
      </c>
      <c r="AH7" s="55" t="str">
        <f>IF(AND('Mapa final'!$Y$28="Muy Alta",'Mapa final'!$AA$28="Catastrófico"),CONCATENATE("R2C",'Mapa final'!$O$28),"")</f>
        <v/>
      </c>
      <c r="AI7" s="56" t="str">
        <f>IF(AND('Mapa final'!$Y$29="Muy Alta",'Mapa final'!$AA$29="Catastrófico"),CONCATENATE("R2C",'Mapa final'!$O$29),"")</f>
        <v/>
      </c>
      <c r="AJ7" s="56" t="str">
        <f>IF(AND('Mapa final'!$Y$30="Muy Alta",'Mapa final'!$AA$30="Catastrófico"),CONCATENATE("R2C",'Mapa final'!$O$30),"")</f>
        <v/>
      </c>
      <c r="AK7" s="56" t="str">
        <f>IF(AND('Mapa final'!$Y$31="Muy Alta",'Mapa final'!$AA$31="Catastrófico"),CONCATENATE("R2C",'Mapa final'!$O$31),"")</f>
        <v/>
      </c>
      <c r="AL7" s="56" t="str">
        <f>IF(AND('Mapa final'!$Y$32="Muy Alta",'Mapa final'!$AA$32="Catastrófico"),CONCATENATE("R2C",'Mapa final'!$O$32),"")</f>
        <v/>
      </c>
      <c r="AM7" s="57" t="str">
        <f>IF(AND('Mapa final'!$Y$33="Muy Alta",'Mapa final'!$AA$33="Catastrófico"),CONCATENATE("R2C",'Mapa final'!$O$33),"")</f>
        <v/>
      </c>
      <c r="AN7" s="83"/>
      <c r="AO7" s="448"/>
      <c r="AP7" s="449"/>
      <c r="AQ7" s="449"/>
      <c r="AR7" s="449"/>
      <c r="AS7" s="449"/>
      <c r="AT7" s="450"/>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row>
    <row r="8" spans="1:91" ht="15" customHeight="1" x14ac:dyDescent="0.25">
      <c r="A8" s="83"/>
      <c r="B8" s="343"/>
      <c r="C8" s="343"/>
      <c r="D8" s="344"/>
      <c r="E8" s="442"/>
      <c r="F8" s="441"/>
      <c r="G8" s="441"/>
      <c r="H8" s="441"/>
      <c r="I8" s="457"/>
      <c r="J8" s="52" t="str">
        <f>IF(AND('Mapa final'!$Y$34="Muy Alta",'Mapa final'!$AA$34="Leve"),CONCATENATE("R3C",'Mapa final'!$O$34),"")</f>
        <v/>
      </c>
      <c r="K8" s="53" t="str">
        <f>IF(AND('Mapa final'!$Y$35="Muy Alta",'Mapa final'!$AA$35="Leve"),CONCATENATE("R3C",'Mapa final'!$O$35),"")</f>
        <v/>
      </c>
      <c r="L8" s="53" t="str">
        <f>IF(AND('Mapa final'!$Y$36="Muy Alta",'Mapa final'!$AA$36="Leve"),CONCATENATE("R3C",'Mapa final'!$O$36),"")</f>
        <v/>
      </c>
      <c r="M8" s="53" t="str">
        <f>IF(AND('Mapa final'!$Y$37="Muy Alta",'Mapa final'!$AA$37="Leve"),CONCATENATE("R3C",'Mapa final'!$O$37),"")</f>
        <v/>
      </c>
      <c r="N8" s="53" t="str">
        <f>IF(AND('Mapa final'!$Y$38="Muy Alta",'Mapa final'!$AA$38="Leve"),CONCATENATE("R3C",'Mapa final'!$O$38),"")</f>
        <v/>
      </c>
      <c r="O8" s="54" t="str">
        <f>IF(AND('Mapa final'!$Y$39="Muy Alta",'Mapa final'!$AA$39="Leve"),CONCATENATE("R3C",'Mapa final'!$O$39),"")</f>
        <v/>
      </c>
      <c r="P8" s="52" t="str">
        <f>IF(AND('Mapa final'!$Y$34="Muy Alta",'Mapa final'!$AA$34="Menor"),CONCATENATE("R3C",'Mapa final'!$O$34),"")</f>
        <v/>
      </c>
      <c r="Q8" s="53" t="str">
        <f>IF(AND('Mapa final'!$Y$35="Muy Alta",'Mapa final'!$AA$35="Menor"),CONCATENATE("R3C",'Mapa final'!$O$35),"")</f>
        <v/>
      </c>
      <c r="R8" s="53" t="str">
        <f>IF(AND('Mapa final'!$Y$36="Muy Alta",'Mapa final'!$AA$36="Menor"),CONCATENATE("R3C",'Mapa final'!$O$36),"")</f>
        <v/>
      </c>
      <c r="S8" s="53" t="str">
        <f>IF(AND('Mapa final'!$Y$37="Muy Alta",'Mapa final'!$AA$37="Menor"),CONCATENATE("R3C",'Mapa final'!$O$37),"")</f>
        <v/>
      </c>
      <c r="T8" s="53" t="str">
        <f>IF(AND('Mapa final'!$Y$38="Muy Alta",'Mapa final'!$AA$38="Menor"),CONCATENATE("R3C",'Mapa final'!$O$38),"")</f>
        <v/>
      </c>
      <c r="U8" s="54" t="str">
        <f>IF(AND('Mapa final'!$Y$39="Muy Alta",'Mapa final'!$AA$39="Menor"),CONCATENATE("R3C",'Mapa final'!$O$39),"")</f>
        <v/>
      </c>
      <c r="V8" s="52" t="str">
        <f>IF(AND('Mapa final'!$Y$34="Muy Alta",'Mapa final'!$AA$34="Moderado"),CONCATENATE("R3C",'Mapa final'!$O$34),"")</f>
        <v/>
      </c>
      <c r="W8" s="53" t="str">
        <f>IF(AND('Mapa final'!$Y$35="Muy Alta",'Mapa final'!$AA$35="Moderado"),CONCATENATE("R3C",'Mapa final'!$O$35),"")</f>
        <v/>
      </c>
      <c r="X8" s="53" t="str">
        <f>IF(AND('Mapa final'!$Y$36="Muy Alta",'Mapa final'!$AA$36="Moderado"),CONCATENATE("R3C",'Mapa final'!$O$36),"")</f>
        <v/>
      </c>
      <c r="Y8" s="53" t="str">
        <f>IF(AND('Mapa final'!$Y$37="Muy Alta",'Mapa final'!$AA$37="Moderado"),CONCATENATE("R3C",'Mapa final'!$O$37),"")</f>
        <v/>
      </c>
      <c r="Z8" s="53" t="str">
        <f>IF(AND('Mapa final'!$Y$38="Muy Alta",'Mapa final'!$AA$38="Moderado"),CONCATENATE("R3C",'Mapa final'!$O$38),"")</f>
        <v/>
      </c>
      <c r="AA8" s="54" t="str">
        <f>IF(AND('Mapa final'!$Y$39="Muy Alta",'Mapa final'!$AA$39="Moderado"),CONCATENATE("R3C",'Mapa final'!$O$39),"")</f>
        <v/>
      </c>
      <c r="AB8" s="52" t="str">
        <f>IF(AND('Mapa final'!$Y$34="Muy Alta",'Mapa final'!$AA$34="Mayor"),CONCATENATE("R3C",'Mapa final'!$O$34),"")</f>
        <v/>
      </c>
      <c r="AC8" s="53" t="str">
        <f>IF(AND('Mapa final'!$Y$35="Muy Alta",'Mapa final'!$AA$35="Mayor"),CONCATENATE("R3C",'Mapa final'!$O$35),"")</f>
        <v/>
      </c>
      <c r="AD8" s="53" t="str">
        <f>IF(AND('Mapa final'!$Y$36="Muy Alta",'Mapa final'!$AA$36="Mayor"),CONCATENATE("R3C",'Mapa final'!$O$36),"")</f>
        <v/>
      </c>
      <c r="AE8" s="53" t="str">
        <f>IF(AND('Mapa final'!$Y$37="Muy Alta",'Mapa final'!$AA$37="Mayor"),CONCATENATE("R3C",'Mapa final'!$O$37),"")</f>
        <v/>
      </c>
      <c r="AF8" s="53" t="str">
        <f>IF(AND('Mapa final'!$Y$38="Muy Alta",'Mapa final'!$AA$38="Mayor"),CONCATENATE("R3C",'Mapa final'!$O$38),"")</f>
        <v/>
      </c>
      <c r="AG8" s="54" t="str">
        <f>IF(AND('Mapa final'!$Y$39="Muy Alta",'Mapa final'!$AA$39="Mayor"),CONCATENATE("R3C",'Mapa final'!$O$39),"")</f>
        <v/>
      </c>
      <c r="AH8" s="55" t="str">
        <f>IF(AND('Mapa final'!$Y$34="Muy Alta",'Mapa final'!$AA$34="Catastrófico"),CONCATENATE("R3C",'Mapa final'!$O$34),"")</f>
        <v/>
      </c>
      <c r="AI8" s="56" t="str">
        <f>IF(AND('Mapa final'!$Y$35="Muy Alta",'Mapa final'!$AA$35="Catastrófico"),CONCATENATE("R3C",'Mapa final'!$O$35),"")</f>
        <v/>
      </c>
      <c r="AJ8" s="56" t="str">
        <f>IF(AND('Mapa final'!$Y$36="Muy Alta",'Mapa final'!$AA$36="Catastrófico"),CONCATENATE("R3C",'Mapa final'!$O$36),"")</f>
        <v/>
      </c>
      <c r="AK8" s="56" t="str">
        <f>IF(AND('Mapa final'!$Y$37="Muy Alta",'Mapa final'!$AA$37="Catastrófico"),CONCATENATE("R3C",'Mapa final'!$O$37),"")</f>
        <v/>
      </c>
      <c r="AL8" s="56" t="str">
        <f>IF(AND('Mapa final'!$Y$38="Muy Alta",'Mapa final'!$AA$38="Catastrófico"),CONCATENATE("R3C",'Mapa final'!$O$38),"")</f>
        <v/>
      </c>
      <c r="AM8" s="57" t="str">
        <f>IF(AND('Mapa final'!$Y$39="Muy Alta",'Mapa final'!$AA$39="Catastrófico"),CONCATENATE("R3C",'Mapa final'!$O$39),"")</f>
        <v/>
      </c>
      <c r="AN8" s="83"/>
      <c r="AO8" s="448"/>
      <c r="AP8" s="449"/>
      <c r="AQ8" s="449"/>
      <c r="AR8" s="449"/>
      <c r="AS8" s="449"/>
      <c r="AT8" s="450"/>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row>
    <row r="9" spans="1:91" ht="15" customHeight="1" x14ac:dyDescent="0.25">
      <c r="A9" s="83"/>
      <c r="B9" s="343"/>
      <c r="C9" s="343"/>
      <c r="D9" s="344"/>
      <c r="E9" s="442"/>
      <c r="F9" s="441"/>
      <c r="G9" s="441"/>
      <c r="H9" s="441"/>
      <c r="I9" s="457"/>
      <c r="J9" s="52" t="str">
        <f>IF(AND('Mapa final'!$Y$40="Muy Alta",'Mapa final'!$AA$40="Leve"),CONCATENATE("R4C",'Mapa final'!$O$40),"")</f>
        <v/>
      </c>
      <c r="K9" s="53" t="str">
        <f>IF(AND('Mapa final'!$Y$41="Muy Alta",'Mapa final'!$AA$41="Leve"),CONCATENATE("R4C",'Mapa final'!$O$41),"")</f>
        <v/>
      </c>
      <c r="L9" s="53" t="str">
        <f>IF(AND('Mapa final'!$Y$42="Muy Alta",'Mapa final'!$AA$42="Leve"),CONCATENATE("R4C",'Mapa final'!$O$42),"")</f>
        <v/>
      </c>
      <c r="M9" s="53" t="str">
        <f>IF(AND('Mapa final'!$Y$43="Muy Alta",'Mapa final'!$AA$43="Leve"),CONCATENATE("R4C",'Mapa final'!$O$43),"")</f>
        <v/>
      </c>
      <c r="N9" s="53" t="str">
        <f>IF(AND('Mapa final'!$Y$44="Muy Alta",'Mapa final'!$AA$44="Leve"),CONCATENATE("R4C",'Mapa final'!$O$44),"")</f>
        <v/>
      </c>
      <c r="O9" s="54" t="str">
        <f>IF(AND('Mapa final'!$Y$45="Muy Alta",'Mapa final'!$AA$45="Leve"),CONCATENATE("R4C",'Mapa final'!$O$45),"")</f>
        <v/>
      </c>
      <c r="P9" s="52" t="str">
        <f>IF(AND('Mapa final'!$Y$40="Muy Alta",'Mapa final'!$AA$40="Menor"),CONCATENATE("R4C",'Mapa final'!$O$40),"")</f>
        <v/>
      </c>
      <c r="Q9" s="53" t="str">
        <f>IF(AND('Mapa final'!$Y$41="Muy Alta",'Mapa final'!$AA$41="Menor"),CONCATENATE("R4C",'Mapa final'!$O$41),"")</f>
        <v/>
      </c>
      <c r="R9" s="53" t="str">
        <f>IF(AND('Mapa final'!$Y$42="Muy Alta",'Mapa final'!$AA$42="Menor"),CONCATENATE("R4C",'Mapa final'!$O$42),"")</f>
        <v/>
      </c>
      <c r="S9" s="53" t="str">
        <f>IF(AND('Mapa final'!$Y$43="Muy Alta",'Mapa final'!$AA$43="Menor"),CONCATENATE("R4C",'Mapa final'!$O$43),"")</f>
        <v/>
      </c>
      <c r="T9" s="53" t="str">
        <f>IF(AND('Mapa final'!$Y$44="Muy Alta",'Mapa final'!$AA$44="Menor"),CONCATENATE("R4C",'Mapa final'!$O$44),"")</f>
        <v/>
      </c>
      <c r="U9" s="54" t="str">
        <f>IF(AND('Mapa final'!$Y$45="Muy Alta",'Mapa final'!$AA$45="Menor"),CONCATENATE("R4C",'Mapa final'!$O$45),"")</f>
        <v/>
      </c>
      <c r="V9" s="52" t="str">
        <f>IF(AND('Mapa final'!$Y$40="Muy Alta",'Mapa final'!$AA$40="Moderado"),CONCATENATE("R4C",'Mapa final'!$O$40),"")</f>
        <v/>
      </c>
      <c r="W9" s="53" t="str">
        <f>IF(AND('Mapa final'!$Y$41="Muy Alta",'Mapa final'!$AA$41="Moderado"),CONCATENATE("R4C",'Mapa final'!$O$41),"")</f>
        <v/>
      </c>
      <c r="X9" s="53" t="str">
        <f>IF(AND('Mapa final'!$Y$42="Muy Alta",'Mapa final'!$AA$42="Moderado"),CONCATENATE("R4C",'Mapa final'!$O$42),"")</f>
        <v/>
      </c>
      <c r="Y9" s="53" t="str">
        <f>IF(AND('Mapa final'!$Y$43="Muy Alta",'Mapa final'!$AA$43="Moderado"),CONCATENATE("R4C",'Mapa final'!$O$43),"")</f>
        <v/>
      </c>
      <c r="Z9" s="53" t="str">
        <f>IF(AND('Mapa final'!$Y$44="Muy Alta",'Mapa final'!$AA$44="Moderado"),CONCATENATE("R4C",'Mapa final'!$O$44),"")</f>
        <v/>
      </c>
      <c r="AA9" s="54" t="str">
        <f>IF(AND('Mapa final'!$Y$45="Muy Alta",'Mapa final'!$AA$45="Moderado"),CONCATENATE("R4C",'Mapa final'!$O$45),"")</f>
        <v/>
      </c>
      <c r="AB9" s="52" t="str">
        <f>IF(AND('Mapa final'!$Y$40="Muy Alta",'Mapa final'!$AA$40="Mayor"),CONCATENATE("R4C",'Mapa final'!$O$40),"")</f>
        <v/>
      </c>
      <c r="AC9" s="53" t="str">
        <f>IF(AND('Mapa final'!$Y$41="Muy Alta",'Mapa final'!$AA$41="Mayor"),CONCATENATE("R4C",'Mapa final'!$O$41),"")</f>
        <v/>
      </c>
      <c r="AD9" s="53" t="str">
        <f>IF(AND('Mapa final'!$Y$42="Muy Alta",'Mapa final'!$AA$42="Mayor"),CONCATENATE("R4C",'Mapa final'!$O$42),"")</f>
        <v/>
      </c>
      <c r="AE9" s="53" t="str">
        <f>IF(AND('Mapa final'!$Y$43="Muy Alta",'Mapa final'!$AA$43="Mayor"),CONCATENATE("R4C",'Mapa final'!$O$43),"")</f>
        <v/>
      </c>
      <c r="AF9" s="53" t="str">
        <f>IF(AND('Mapa final'!$Y$44="Muy Alta",'Mapa final'!$AA$44="Mayor"),CONCATENATE("R4C",'Mapa final'!$O$44),"")</f>
        <v/>
      </c>
      <c r="AG9" s="54" t="str">
        <f>IF(AND('Mapa final'!$Y$45="Muy Alta",'Mapa final'!$AA$45="Mayor"),CONCATENATE("R4C",'Mapa final'!$O$45),"")</f>
        <v/>
      </c>
      <c r="AH9" s="55" t="str">
        <f>IF(AND('Mapa final'!$Y$40="Muy Alta",'Mapa final'!$AA$40="Catastrófico"),CONCATENATE("R4C",'Mapa final'!$O$40),"")</f>
        <v/>
      </c>
      <c r="AI9" s="56" t="str">
        <f>IF(AND('Mapa final'!$Y$41="Muy Alta",'Mapa final'!$AA$41="Catastrófico"),CONCATENATE("R4C",'Mapa final'!$O$41),"")</f>
        <v/>
      </c>
      <c r="AJ9" s="56" t="str">
        <f>IF(AND('Mapa final'!$Y$42="Muy Alta",'Mapa final'!$AA$42="Catastrófico"),CONCATENATE("R4C",'Mapa final'!$O$42),"")</f>
        <v/>
      </c>
      <c r="AK9" s="56" t="str">
        <f>IF(AND('Mapa final'!$Y$43="Muy Alta",'Mapa final'!$AA$43="Catastrófico"),CONCATENATE("R4C",'Mapa final'!$O$43),"")</f>
        <v/>
      </c>
      <c r="AL9" s="56" t="str">
        <f>IF(AND('Mapa final'!$Y$44="Muy Alta",'Mapa final'!$AA$44="Catastrófico"),CONCATENATE("R4C",'Mapa final'!$O$44),"")</f>
        <v/>
      </c>
      <c r="AM9" s="57" t="str">
        <f>IF(AND('Mapa final'!$Y$45="Muy Alta",'Mapa final'!$AA$45="Catastrófico"),CONCATENATE("R4C",'Mapa final'!$O$45),"")</f>
        <v/>
      </c>
      <c r="AN9" s="83"/>
      <c r="AO9" s="448"/>
      <c r="AP9" s="449"/>
      <c r="AQ9" s="449"/>
      <c r="AR9" s="449"/>
      <c r="AS9" s="449"/>
      <c r="AT9" s="450"/>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row>
    <row r="10" spans="1:91" ht="15" customHeight="1" x14ac:dyDescent="0.25">
      <c r="A10" s="83"/>
      <c r="B10" s="343"/>
      <c r="C10" s="343"/>
      <c r="D10" s="344"/>
      <c r="E10" s="442"/>
      <c r="F10" s="441"/>
      <c r="G10" s="441"/>
      <c r="H10" s="441"/>
      <c r="I10" s="457"/>
      <c r="J10" s="52" t="str">
        <f>IF(AND('Mapa final'!$Y$46="Muy Alta",'Mapa final'!$AA$46="Leve"),CONCATENATE("R5C",'Mapa final'!$O$46),"")</f>
        <v/>
      </c>
      <c r="K10" s="53" t="str">
        <f>IF(AND('Mapa final'!$Y$47="Muy Alta",'Mapa final'!$AA$47="Leve"),CONCATENATE("R5C",'Mapa final'!$O$47),"")</f>
        <v/>
      </c>
      <c r="L10" s="53" t="str">
        <f>IF(AND('Mapa final'!$Y$48="Muy Alta",'Mapa final'!$AA$48="Leve"),CONCATENATE("R5C",'Mapa final'!$O$48),"")</f>
        <v/>
      </c>
      <c r="M10" s="53" t="str">
        <f>IF(AND('Mapa final'!$Y$49="Muy Alta",'Mapa final'!$AA$49="Leve"),CONCATENATE("R5C",'Mapa final'!$O$49),"")</f>
        <v/>
      </c>
      <c r="N10" s="53" t="str">
        <f>IF(AND('Mapa final'!$Y$50="Muy Alta",'Mapa final'!$AA$50="Leve"),CONCATENATE("R5C",'Mapa final'!$O$50),"")</f>
        <v/>
      </c>
      <c r="O10" s="54" t="str">
        <f>IF(AND('Mapa final'!$Y$51="Muy Alta",'Mapa final'!$AA$51="Leve"),CONCATENATE("R5C",'Mapa final'!$O$51),"")</f>
        <v/>
      </c>
      <c r="P10" s="52" t="str">
        <f>IF(AND('Mapa final'!$Y$46="Muy Alta",'Mapa final'!$AA$46="Menor"),CONCATENATE("R5C",'Mapa final'!$O$46),"")</f>
        <v/>
      </c>
      <c r="Q10" s="53" t="str">
        <f>IF(AND('Mapa final'!$Y$47="Muy Alta",'Mapa final'!$AA$47="Menor"),CONCATENATE("R5C",'Mapa final'!$O$47),"")</f>
        <v/>
      </c>
      <c r="R10" s="53" t="str">
        <f>IF(AND('Mapa final'!$Y$48="Muy Alta",'Mapa final'!$AA$48="Menor"),CONCATENATE("R5C",'Mapa final'!$O$48),"")</f>
        <v/>
      </c>
      <c r="S10" s="53" t="str">
        <f>IF(AND('Mapa final'!$Y$49="Muy Alta",'Mapa final'!$AA$49="Menor"),CONCATENATE("R5C",'Mapa final'!$O$49),"")</f>
        <v/>
      </c>
      <c r="T10" s="53" t="str">
        <f>IF(AND('Mapa final'!$Y$50="Muy Alta",'Mapa final'!$AA$50="Menor"),CONCATENATE("R5C",'Mapa final'!$O$50),"")</f>
        <v/>
      </c>
      <c r="U10" s="54" t="str">
        <f>IF(AND('Mapa final'!$Y$51="Muy Alta",'Mapa final'!$AA$51="Menor"),CONCATENATE("R5C",'Mapa final'!$O$51),"")</f>
        <v/>
      </c>
      <c r="V10" s="52" t="str">
        <f>IF(AND('Mapa final'!$Y$46="Muy Alta",'Mapa final'!$AA$46="Moderado"),CONCATENATE("R5C",'Mapa final'!$O$46),"")</f>
        <v/>
      </c>
      <c r="W10" s="53" t="str">
        <f>IF(AND('Mapa final'!$Y$47="Muy Alta",'Mapa final'!$AA$47="Moderado"),CONCATENATE("R5C",'Mapa final'!$O$47),"")</f>
        <v/>
      </c>
      <c r="X10" s="53" t="str">
        <f>IF(AND('Mapa final'!$Y$48="Muy Alta",'Mapa final'!$AA$48="Moderado"),CONCATENATE("R5C",'Mapa final'!$O$48),"")</f>
        <v/>
      </c>
      <c r="Y10" s="53" t="str">
        <f>IF(AND('Mapa final'!$Y$49="Muy Alta",'Mapa final'!$AA$49="Moderado"),CONCATENATE("R5C",'Mapa final'!$O$49),"")</f>
        <v/>
      </c>
      <c r="Z10" s="53" t="str">
        <f>IF(AND('Mapa final'!$Y$50="Muy Alta",'Mapa final'!$AA$50="Moderado"),CONCATENATE("R5C",'Mapa final'!$O$50),"")</f>
        <v/>
      </c>
      <c r="AA10" s="54" t="str">
        <f>IF(AND('Mapa final'!$Y$51="Muy Alta",'Mapa final'!$AA$51="Moderado"),CONCATENATE("R5C",'Mapa final'!$O$51),"")</f>
        <v/>
      </c>
      <c r="AB10" s="52" t="str">
        <f>IF(AND('Mapa final'!$Y$46="Muy Alta",'Mapa final'!$AA$46="Mayor"),CONCATENATE("R5C",'Mapa final'!$O$46),"")</f>
        <v/>
      </c>
      <c r="AC10" s="53" t="str">
        <f>IF(AND('Mapa final'!$Y$47="Muy Alta",'Mapa final'!$AA$47="Mayor"),CONCATENATE("R5C",'Mapa final'!$O$47),"")</f>
        <v/>
      </c>
      <c r="AD10" s="53" t="str">
        <f>IF(AND('Mapa final'!$Y$48="Muy Alta",'Mapa final'!$AA$48="Mayor"),CONCATENATE("R5C",'Mapa final'!$O$48),"")</f>
        <v/>
      </c>
      <c r="AE10" s="53" t="str">
        <f>IF(AND('Mapa final'!$Y$49="Muy Alta",'Mapa final'!$AA$49="Mayor"),CONCATENATE("R5C",'Mapa final'!$O$49),"")</f>
        <v/>
      </c>
      <c r="AF10" s="53" t="str">
        <f>IF(AND('Mapa final'!$Y$50="Muy Alta",'Mapa final'!$AA$50="Mayor"),CONCATENATE("R5C",'Mapa final'!$O$50),"")</f>
        <v/>
      </c>
      <c r="AG10" s="54" t="str">
        <f>IF(AND('Mapa final'!$Y$51="Muy Alta",'Mapa final'!$AA$51="Mayor"),CONCATENATE("R5C",'Mapa final'!$O$51),"")</f>
        <v/>
      </c>
      <c r="AH10" s="55" t="str">
        <f>IF(AND('Mapa final'!$Y$46="Muy Alta",'Mapa final'!$AA$46="Catastrófico"),CONCATENATE("R5C",'Mapa final'!$O$46),"")</f>
        <v/>
      </c>
      <c r="AI10" s="56" t="str">
        <f>IF(AND('Mapa final'!$Y$47="Muy Alta",'Mapa final'!$AA$47="Catastrófico"),CONCATENATE("R5C",'Mapa final'!$O$47),"")</f>
        <v/>
      </c>
      <c r="AJ10" s="56" t="str">
        <f>IF(AND('Mapa final'!$Y$48="Muy Alta",'Mapa final'!$AA$48="Catastrófico"),CONCATENATE("R5C",'Mapa final'!$O$48),"")</f>
        <v/>
      </c>
      <c r="AK10" s="56" t="str">
        <f>IF(AND('Mapa final'!$Y$49="Muy Alta",'Mapa final'!$AA$49="Catastrófico"),CONCATENATE("R5C",'Mapa final'!$O$49),"")</f>
        <v/>
      </c>
      <c r="AL10" s="56" t="str">
        <f>IF(AND('Mapa final'!$Y$50="Muy Alta",'Mapa final'!$AA$50="Catastrófico"),CONCATENATE("R5C",'Mapa final'!$O$50),"")</f>
        <v/>
      </c>
      <c r="AM10" s="57" t="str">
        <f>IF(AND('Mapa final'!$Y$51="Muy Alta",'Mapa final'!$AA$51="Catastrófico"),CONCATENATE("R5C",'Mapa final'!$O$51),"")</f>
        <v/>
      </c>
      <c r="AN10" s="83"/>
      <c r="AO10" s="448"/>
      <c r="AP10" s="449"/>
      <c r="AQ10" s="449"/>
      <c r="AR10" s="449"/>
      <c r="AS10" s="449"/>
      <c r="AT10" s="450"/>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row>
    <row r="11" spans="1:91" ht="15" customHeight="1" x14ac:dyDescent="0.25">
      <c r="A11" s="83"/>
      <c r="B11" s="343"/>
      <c r="C11" s="343"/>
      <c r="D11" s="344"/>
      <c r="E11" s="442"/>
      <c r="F11" s="441"/>
      <c r="G11" s="441"/>
      <c r="H11" s="441"/>
      <c r="I11" s="457"/>
      <c r="J11" s="52" t="str">
        <f>IF(AND('Mapa final'!$Y$52="Muy Alta",'Mapa final'!$AA$52="Leve"),CONCATENATE("R6C",'Mapa final'!$O$52),"")</f>
        <v/>
      </c>
      <c r="K11" s="53" t="str">
        <f>IF(AND('Mapa final'!$Y$53="Muy Alta",'Mapa final'!$AA$53="Leve"),CONCATENATE("R6C",'Mapa final'!$O$53),"")</f>
        <v/>
      </c>
      <c r="L11" s="53" t="str">
        <f>IF(AND('Mapa final'!$Y$54="Muy Alta",'Mapa final'!$AA$54="Leve"),CONCATENATE("R6C",'Mapa final'!$O$54),"")</f>
        <v/>
      </c>
      <c r="M11" s="53" t="str">
        <f>IF(AND('Mapa final'!$Y$55="Muy Alta",'Mapa final'!$AA$55="Leve"),CONCATENATE("R6C",'Mapa final'!$O$55),"")</f>
        <v/>
      </c>
      <c r="N11" s="53" t="str">
        <f>IF(AND('Mapa final'!$Y$56="Muy Alta",'Mapa final'!$AA$56="Leve"),CONCATENATE("R6C",'Mapa final'!$O$56),"")</f>
        <v/>
      </c>
      <c r="O11" s="54" t="str">
        <f>IF(AND('Mapa final'!$Y$57="Muy Alta",'Mapa final'!$AA$57="Leve"),CONCATENATE("R6C",'Mapa final'!$O$57),"")</f>
        <v/>
      </c>
      <c r="P11" s="52" t="str">
        <f>IF(AND('Mapa final'!$Y$52="Muy Alta",'Mapa final'!$AA$52="Menor"),CONCATENATE("R6C",'Mapa final'!$O$52),"")</f>
        <v/>
      </c>
      <c r="Q11" s="53" t="str">
        <f>IF(AND('Mapa final'!$Y$53="Muy Alta",'Mapa final'!$AA$53="Menor"),CONCATENATE("R6C",'Mapa final'!$O$53),"")</f>
        <v/>
      </c>
      <c r="R11" s="53" t="str">
        <f>IF(AND('Mapa final'!$Y$54="Muy Alta",'Mapa final'!$AA$54="Menor"),CONCATENATE("R6C",'Mapa final'!$O$54),"")</f>
        <v/>
      </c>
      <c r="S11" s="53" t="str">
        <f>IF(AND('Mapa final'!$Y$55="Muy Alta",'Mapa final'!$AA$55="Menor"),CONCATENATE("R6C",'Mapa final'!$O$55),"")</f>
        <v/>
      </c>
      <c r="T11" s="53" t="str">
        <f>IF(AND('Mapa final'!$Y$56="Muy Alta",'Mapa final'!$AA$56="Menor"),CONCATENATE("R6C",'Mapa final'!$O$56),"")</f>
        <v/>
      </c>
      <c r="U11" s="54" t="str">
        <f>IF(AND('Mapa final'!$Y$57="Muy Alta",'Mapa final'!$AA$57="Menor"),CONCATENATE("R6C",'Mapa final'!$O$57),"")</f>
        <v/>
      </c>
      <c r="V11" s="52" t="str">
        <f>IF(AND('Mapa final'!$Y$52="Muy Alta",'Mapa final'!$AA$52="Moderado"),CONCATENATE("R6C",'Mapa final'!$O$52),"")</f>
        <v/>
      </c>
      <c r="W11" s="53" t="str">
        <f>IF(AND('Mapa final'!$Y$53="Muy Alta",'Mapa final'!$AA$53="Moderado"),CONCATENATE("R6C",'Mapa final'!$O$53),"")</f>
        <v/>
      </c>
      <c r="X11" s="53" t="str">
        <f>IF(AND('Mapa final'!$Y$54="Muy Alta",'Mapa final'!$AA$54="Moderado"),CONCATENATE("R6C",'Mapa final'!$O$54),"")</f>
        <v/>
      </c>
      <c r="Y11" s="53" t="str">
        <f>IF(AND('Mapa final'!$Y$55="Muy Alta",'Mapa final'!$AA$55="Moderado"),CONCATENATE("R6C",'Mapa final'!$O$55),"")</f>
        <v/>
      </c>
      <c r="Z11" s="53" t="str">
        <f>IF(AND('Mapa final'!$Y$56="Muy Alta",'Mapa final'!$AA$56="Moderado"),CONCATENATE("R6C",'Mapa final'!$O$56),"")</f>
        <v/>
      </c>
      <c r="AA11" s="54" t="str">
        <f>IF(AND('Mapa final'!$Y$57="Muy Alta",'Mapa final'!$AA$57="Moderado"),CONCATENATE("R6C",'Mapa final'!$O$57),"")</f>
        <v/>
      </c>
      <c r="AB11" s="52" t="str">
        <f>IF(AND('Mapa final'!$Y$52="Muy Alta",'Mapa final'!$AA$52="Mayor"),CONCATENATE("R6C",'Mapa final'!$O$52),"")</f>
        <v/>
      </c>
      <c r="AC11" s="53" t="str">
        <f>IF(AND('Mapa final'!$Y$53="Muy Alta",'Mapa final'!$AA$53="Mayor"),CONCATENATE("R6C",'Mapa final'!$O$53),"")</f>
        <v/>
      </c>
      <c r="AD11" s="53" t="str">
        <f>IF(AND('Mapa final'!$Y$54="Muy Alta",'Mapa final'!$AA$54="Mayor"),CONCATENATE("R6C",'Mapa final'!$O$54),"")</f>
        <v/>
      </c>
      <c r="AE11" s="53" t="str">
        <f>IF(AND('Mapa final'!$Y$55="Muy Alta",'Mapa final'!$AA$55="Mayor"),CONCATENATE("R6C",'Mapa final'!$O$55),"")</f>
        <v/>
      </c>
      <c r="AF11" s="53" t="str">
        <f>IF(AND('Mapa final'!$Y$56="Muy Alta",'Mapa final'!$AA$56="Mayor"),CONCATENATE("R6C",'Mapa final'!$O$56),"")</f>
        <v/>
      </c>
      <c r="AG11" s="54" t="str">
        <f>IF(AND('Mapa final'!$Y$57="Muy Alta",'Mapa final'!$AA$57="Mayor"),CONCATENATE("R6C",'Mapa final'!$O$57),"")</f>
        <v/>
      </c>
      <c r="AH11" s="55" t="str">
        <f>IF(AND('Mapa final'!$Y$52="Muy Alta",'Mapa final'!$AA$52="Catastrófico"),CONCATENATE("R6C",'Mapa final'!$O$52),"")</f>
        <v/>
      </c>
      <c r="AI11" s="56" t="str">
        <f>IF(AND('Mapa final'!$Y$53="Muy Alta",'Mapa final'!$AA$53="Catastrófico"),CONCATENATE("R6C",'Mapa final'!$O$53),"")</f>
        <v/>
      </c>
      <c r="AJ11" s="56" t="str">
        <f>IF(AND('Mapa final'!$Y$54="Muy Alta",'Mapa final'!$AA$54="Catastrófico"),CONCATENATE("R6C",'Mapa final'!$O$54),"")</f>
        <v/>
      </c>
      <c r="AK11" s="56" t="str">
        <f>IF(AND('Mapa final'!$Y$55="Muy Alta",'Mapa final'!$AA$55="Catastrófico"),CONCATENATE("R6C",'Mapa final'!$O$55),"")</f>
        <v/>
      </c>
      <c r="AL11" s="56" t="str">
        <f>IF(AND('Mapa final'!$Y$56="Muy Alta",'Mapa final'!$AA$56="Catastrófico"),CONCATENATE("R6C",'Mapa final'!$O$56),"")</f>
        <v/>
      </c>
      <c r="AM11" s="57" t="str">
        <f>IF(AND('Mapa final'!$Y$57="Muy Alta",'Mapa final'!$AA$57="Catastrófico"),CONCATENATE("R6C",'Mapa final'!$O$57),"")</f>
        <v/>
      </c>
      <c r="AN11" s="83"/>
      <c r="AO11" s="448"/>
      <c r="AP11" s="449"/>
      <c r="AQ11" s="449"/>
      <c r="AR11" s="449"/>
      <c r="AS11" s="449"/>
      <c r="AT11" s="450"/>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row>
    <row r="12" spans="1:91" ht="15" customHeight="1" x14ac:dyDescent="0.25">
      <c r="A12" s="83"/>
      <c r="B12" s="343"/>
      <c r="C12" s="343"/>
      <c r="D12" s="344"/>
      <c r="E12" s="442"/>
      <c r="F12" s="441"/>
      <c r="G12" s="441"/>
      <c r="H12" s="441"/>
      <c r="I12" s="457"/>
      <c r="J12" s="52" t="str">
        <f>IF(AND('Mapa final'!$Y$58="Muy Alta",'Mapa final'!$AA$58="Leve"),CONCATENATE("R7C",'Mapa final'!$O$58),"")</f>
        <v/>
      </c>
      <c r="K12" s="53" t="str">
        <f>IF(AND('Mapa final'!$Y$59="Muy Alta",'Mapa final'!$AA$59="Leve"),CONCATENATE("R7C",'Mapa final'!$O$59),"")</f>
        <v/>
      </c>
      <c r="L12" s="53" t="e">
        <f>IF(AND('Mapa final'!#REF!="Muy Alta",'Mapa final'!#REF!="Leve"),CONCATENATE("R7C",'Mapa final'!#REF!),"")</f>
        <v>#REF!</v>
      </c>
      <c r="M12" s="53" t="e">
        <f>IF(AND('Mapa final'!#REF!="Muy Alta",'Mapa final'!#REF!="Leve"),CONCATENATE("R7C",'Mapa final'!#REF!),"")</f>
        <v>#REF!</v>
      </c>
      <c r="N12" s="53" t="e">
        <f>IF(AND('Mapa final'!#REF!="Muy Alta",'Mapa final'!#REF!="Leve"),CONCATENATE("R7C",'Mapa final'!#REF!),"")</f>
        <v>#REF!</v>
      </c>
      <c r="O12" s="54" t="e">
        <f>IF(AND('Mapa final'!#REF!="Muy Alta",'Mapa final'!#REF!="Leve"),CONCATENATE("R7C",'Mapa final'!#REF!),"")</f>
        <v>#REF!</v>
      </c>
      <c r="P12" s="52" t="str">
        <f>IF(AND('Mapa final'!$Y$58="Muy Alta",'Mapa final'!$AA$58="Menor"),CONCATENATE("R7C",'Mapa final'!$O$58),"")</f>
        <v/>
      </c>
      <c r="Q12" s="53" t="str">
        <f>IF(AND('Mapa final'!$Y$59="Muy Alta",'Mapa final'!$AA$59="Menor"),CONCATENATE("R7C",'Mapa final'!$O$59),"")</f>
        <v/>
      </c>
      <c r="R12" s="53" t="e">
        <f>IF(AND('Mapa final'!#REF!="Muy Alta",'Mapa final'!#REF!="Menor"),CONCATENATE("R7C",'Mapa final'!#REF!),"")</f>
        <v>#REF!</v>
      </c>
      <c r="S12" s="53" t="e">
        <f>IF(AND('Mapa final'!#REF!="Muy Alta",'Mapa final'!#REF!="Menor"),CONCATENATE("R7C",'Mapa final'!#REF!),"")</f>
        <v>#REF!</v>
      </c>
      <c r="T12" s="53" t="e">
        <f>IF(AND('Mapa final'!#REF!="Muy Alta",'Mapa final'!#REF!="Menor"),CONCATENATE("R7C",'Mapa final'!#REF!),"")</f>
        <v>#REF!</v>
      </c>
      <c r="U12" s="54" t="e">
        <f>IF(AND('Mapa final'!#REF!="Muy Alta",'Mapa final'!#REF!="Menor"),CONCATENATE("R7C",'Mapa final'!#REF!),"")</f>
        <v>#REF!</v>
      </c>
      <c r="V12" s="52" t="str">
        <f>IF(AND('Mapa final'!$Y$58="Muy Alta",'Mapa final'!$AA$58="Moderado"),CONCATENATE("R7C",'Mapa final'!$O$58),"")</f>
        <v/>
      </c>
      <c r="W12" s="53" t="str">
        <f>IF(AND('Mapa final'!$Y$59="Muy Alta",'Mapa final'!$AA$59="Moderado"),CONCATENATE("R7C",'Mapa final'!$O$59),"")</f>
        <v/>
      </c>
      <c r="X12" s="53" t="e">
        <f>IF(AND('Mapa final'!#REF!="Muy Alta",'Mapa final'!#REF!="Moderado"),CONCATENATE("R7C",'Mapa final'!#REF!),"")</f>
        <v>#REF!</v>
      </c>
      <c r="Y12" s="53" t="e">
        <f>IF(AND('Mapa final'!#REF!="Muy Alta",'Mapa final'!#REF!="Moderado"),CONCATENATE("R7C",'Mapa final'!#REF!),"")</f>
        <v>#REF!</v>
      </c>
      <c r="Z12" s="53" t="e">
        <f>IF(AND('Mapa final'!#REF!="Muy Alta",'Mapa final'!#REF!="Moderado"),CONCATENATE("R7C",'Mapa final'!#REF!),"")</f>
        <v>#REF!</v>
      </c>
      <c r="AA12" s="54" t="e">
        <f>IF(AND('Mapa final'!#REF!="Muy Alta",'Mapa final'!#REF!="Moderado"),CONCATENATE("R7C",'Mapa final'!#REF!),"")</f>
        <v>#REF!</v>
      </c>
      <c r="AB12" s="52" t="str">
        <f>IF(AND('Mapa final'!$Y$58="Muy Alta",'Mapa final'!$AA$58="Mayor"),CONCATENATE("R7C",'Mapa final'!$O$58),"")</f>
        <v/>
      </c>
      <c r="AC12" s="53" t="str">
        <f>IF(AND('Mapa final'!$Y$59="Muy Alta",'Mapa final'!$AA$59="Mayor"),CONCATENATE("R7C",'Mapa final'!$O$59),"")</f>
        <v/>
      </c>
      <c r="AD12" s="53" t="e">
        <f>IF(AND('Mapa final'!#REF!="Muy Alta",'Mapa final'!#REF!="Mayor"),CONCATENATE("R7C",'Mapa final'!#REF!),"")</f>
        <v>#REF!</v>
      </c>
      <c r="AE12" s="53" t="e">
        <f>IF(AND('Mapa final'!#REF!="Muy Alta",'Mapa final'!#REF!="Mayor"),CONCATENATE("R7C",'Mapa final'!#REF!),"")</f>
        <v>#REF!</v>
      </c>
      <c r="AF12" s="53" t="e">
        <f>IF(AND('Mapa final'!#REF!="Muy Alta",'Mapa final'!#REF!="Mayor"),CONCATENATE("R7C",'Mapa final'!#REF!),"")</f>
        <v>#REF!</v>
      </c>
      <c r="AG12" s="54" t="e">
        <f>IF(AND('Mapa final'!#REF!="Muy Alta",'Mapa final'!#REF!="Mayor"),CONCATENATE("R7C",'Mapa final'!#REF!),"")</f>
        <v>#REF!</v>
      </c>
      <c r="AH12" s="55" t="str">
        <f>IF(AND('Mapa final'!$Y$58="Muy Alta",'Mapa final'!$AA$58="Catastrófico"),CONCATENATE("R7C",'Mapa final'!$O$58),"")</f>
        <v/>
      </c>
      <c r="AI12" s="56" t="str">
        <f>IF(AND('Mapa final'!$Y$59="Muy Alta",'Mapa final'!$AA$59="Catastrófico"),CONCATENATE("R7C",'Mapa final'!$O$59),"")</f>
        <v/>
      </c>
      <c r="AJ12" s="56" t="e">
        <f>IF(AND('Mapa final'!#REF!="Muy Alta",'Mapa final'!#REF!="Catastrófico"),CONCATENATE("R7C",'Mapa final'!#REF!),"")</f>
        <v>#REF!</v>
      </c>
      <c r="AK12" s="56" t="e">
        <f>IF(AND('Mapa final'!#REF!="Muy Alta",'Mapa final'!#REF!="Catastrófico"),CONCATENATE("R7C",'Mapa final'!#REF!),"")</f>
        <v>#REF!</v>
      </c>
      <c r="AL12" s="56" t="e">
        <f>IF(AND('Mapa final'!#REF!="Muy Alta",'Mapa final'!#REF!="Catastrófico"),CONCATENATE("R7C",'Mapa final'!#REF!),"")</f>
        <v>#REF!</v>
      </c>
      <c r="AM12" s="57" t="e">
        <f>IF(AND('Mapa final'!#REF!="Muy Alta",'Mapa final'!#REF!="Catastrófico"),CONCATENATE("R7C",'Mapa final'!#REF!),"")</f>
        <v>#REF!</v>
      </c>
      <c r="AN12" s="83"/>
      <c r="AO12" s="448"/>
      <c r="AP12" s="449"/>
      <c r="AQ12" s="449"/>
      <c r="AR12" s="449"/>
      <c r="AS12" s="449"/>
      <c r="AT12" s="450"/>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row>
    <row r="13" spans="1:91" ht="15" customHeight="1" x14ac:dyDescent="0.25">
      <c r="A13" s="83"/>
      <c r="B13" s="343"/>
      <c r="C13" s="343"/>
      <c r="D13" s="344"/>
      <c r="E13" s="442"/>
      <c r="F13" s="441"/>
      <c r="G13" s="441"/>
      <c r="H13" s="441"/>
      <c r="I13" s="457"/>
      <c r="J13" s="52" t="str">
        <f>IF(AND('Mapa final'!$Y$60="Muy Alta",'Mapa final'!$AA$60="Leve"),CONCATENATE("R8C",'Mapa final'!$O$60),"")</f>
        <v/>
      </c>
      <c r="K13" s="53" t="str">
        <f>IF(AND('Mapa final'!$Y$61="Muy Alta",'Mapa final'!$AA$61="Leve"),CONCATENATE("R8C",'Mapa final'!$O$61),"")</f>
        <v/>
      </c>
      <c r="L13" s="53" t="str">
        <f>IF(AND('Mapa final'!$Y$62="Muy Alta",'Mapa final'!$AA$62="Leve"),CONCATENATE("R8C",'Mapa final'!$O$62),"")</f>
        <v/>
      </c>
      <c r="M13" s="53" t="str">
        <f>IF(AND('Mapa final'!$Y$63="Muy Alta",'Mapa final'!$AA$63="Leve"),CONCATENATE("R8C",'Mapa final'!$O$63),"")</f>
        <v/>
      </c>
      <c r="N13" s="53" t="str">
        <f>IF(AND('Mapa final'!$Y$64="Muy Alta",'Mapa final'!$AA$64="Leve"),CONCATENATE("R8C",'Mapa final'!$O$64),"")</f>
        <v/>
      </c>
      <c r="O13" s="54" t="str">
        <f>IF(AND('Mapa final'!$Y$65="Muy Alta",'Mapa final'!$AA$65="Leve"),CONCATENATE("R8C",'Mapa final'!$O$65),"")</f>
        <v/>
      </c>
      <c r="P13" s="52" t="str">
        <f>IF(AND('Mapa final'!$Y$60="Muy Alta",'Mapa final'!$AA$60="Menor"),CONCATENATE("R8C",'Mapa final'!$O$60),"")</f>
        <v/>
      </c>
      <c r="Q13" s="53" t="str">
        <f>IF(AND('Mapa final'!$Y$61="Muy Alta",'Mapa final'!$AA$61="Menor"),CONCATENATE("R8C",'Mapa final'!$O$61),"")</f>
        <v/>
      </c>
      <c r="R13" s="53" t="str">
        <f>IF(AND('Mapa final'!$Y$62="Muy Alta",'Mapa final'!$AA$62="Menor"),CONCATENATE("R8C",'Mapa final'!$O$62),"")</f>
        <v/>
      </c>
      <c r="S13" s="53" t="str">
        <f>IF(AND('Mapa final'!$Y$63="Muy Alta",'Mapa final'!$AA$63="Menor"),CONCATENATE("R8C",'Mapa final'!$O$63),"")</f>
        <v/>
      </c>
      <c r="T13" s="53" t="str">
        <f>IF(AND('Mapa final'!$Y$64="Muy Alta",'Mapa final'!$AA$64="Menor"),CONCATENATE("R8C",'Mapa final'!$O$64),"")</f>
        <v/>
      </c>
      <c r="U13" s="54" t="str">
        <f>IF(AND('Mapa final'!$Y$65="Muy Alta",'Mapa final'!$AA$65="Menor"),CONCATENATE("R8C",'Mapa final'!$O$65),"")</f>
        <v/>
      </c>
      <c r="V13" s="52" t="str">
        <f>IF(AND('Mapa final'!$Y$60="Muy Alta",'Mapa final'!$AA$60="Moderado"),CONCATENATE("R8C",'Mapa final'!$O$60),"")</f>
        <v/>
      </c>
      <c r="W13" s="53" t="str">
        <f>IF(AND('Mapa final'!$Y$61="Muy Alta",'Mapa final'!$AA$61="Moderado"),CONCATENATE("R8C",'Mapa final'!$O$61),"")</f>
        <v/>
      </c>
      <c r="X13" s="53" t="str">
        <f>IF(AND('Mapa final'!$Y$62="Muy Alta",'Mapa final'!$AA$62="Moderado"),CONCATENATE("R8C",'Mapa final'!$O$62),"")</f>
        <v/>
      </c>
      <c r="Y13" s="53" t="str">
        <f>IF(AND('Mapa final'!$Y$63="Muy Alta",'Mapa final'!$AA$63="Moderado"),CONCATENATE("R8C",'Mapa final'!$O$63),"")</f>
        <v/>
      </c>
      <c r="Z13" s="53" t="str">
        <f>IF(AND('Mapa final'!$Y$64="Muy Alta",'Mapa final'!$AA$64="Moderado"),CONCATENATE("R8C",'Mapa final'!$O$64),"")</f>
        <v/>
      </c>
      <c r="AA13" s="54" t="str">
        <f>IF(AND('Mapa final'!$Y$65="Muy Alta",'Mapa final'!$AA$65="Moderado"),CONCATENATE("R8C",'Mapa final'!$O$65),"")</f>
        <v/>
      </c>
      <c r="AB13" s="52" t="str">
        <f>IF(AND('Mapa final'!$Y$60="Muy Alta",'Mapa final'!$AA$60="Mayor"),CONCATENATE("R8C",'Mapa final'!$O$60),"")</f>
        <v/>
      </c>
      <c r="AC13" s="53" t="str">
        <f>IF(AND('Mapa final'!$Y$61="Muy Alta",'Mapa final'!$AA$61="Mayor"),CONCATENATE("R8C",'Mapa final'!$O$61),"")</f>
        <v/>
      </c>
      <c r="AD13" s="53" t="str">
        <f>IF(AND('Mapa final'!$Y$62="Muy Alta",'Mapa final'!$AA$62="Mayor"),CONCATENATE("R8C",'Mapa final'!$O$62),"")</f>
        <v/>
      </c>
      <c r="AE13" s="53" t="str">
        <f>IF(AND('Mapa final'!$Y$63="Muy Alta",'Mapa final'!$AA$63="Mayor"),CONCATENATE("R8C",'Mapa final'!$O$63),"")</f>
        <v/>
      </c>
      <c r="AF13" s="53" t="str">
        <f>IF(AND('Mapa final'!$Y$64="Muy Alta",'Mapa final'!$AA$64="Mayor"),CONCATENATE("R8C",'Mapa final'!$O$64),"")</f>
        <v/>
      </c>
      <c r="AG13" s="54" t="str">
        <f>IF(AND('Mapa final'!$Y$65="Muy Alta",'Mapa final'!$AA$65="Mayor"),CONCATENATE("R8C",'Mapa final'!$O$65),"")</f>
        <v/>
      </c>
      <c r="AH13" s="55" t="str">
        <f>IF(AND('Mapa final'!$Y$60="Muy Alta",'Mapa final'!$AA$60="Catastrófico"),CONCATENATE("R8C",'Mapa final'!$O$60),"")</f>
        <v/>
      </c>
      <c r="AI13" s="56" t="str">
        <f>IF(AND('Mapa final'!$Y$61="Muy Alta",'Mapa final'!$AA$61="Catastrófico"),CONCATENATE("R8C",'Mapa final'!$O$61),"")</f>
        <v/>
      </c>
      <c r="AJ13" s="56" t="str">
        <f>IF(AND('Mapa final'!$Y$62="Muy Alta",'Mapa final'!$AA$62="Catastrófico"),CONCATENATE("R8C",'Mapa final'!$O$62),"")</f>
        <v/>
      </c>
      <c r="AK13" s="56" t="str">
        <f>IF(AND('Mapa final'!$Y$63="Muy Alta",'Mapa final'!$AA$63="Catastrófico"),CONCATENATE("R8C",'Mapa final'!$O$63),"")</f>
        <v/>
      </c>
      <c r="AL13" s="56" t="str">
        <f>IF(AND('Mapa final'!$Y$64="Muy Alta",'Mapa final'!$AA$64="Catastrófico"),CONCATENATE("R8C",'Mapa final'!$O$64),"")</f>
        <v/>
      </c>
      <c r="AM13" s="57" t="str">
        <f>IF(AND('Mapa final'!$Y$65="Muy Alta",'Mapa final'!$AA$65="Catastrófico"),CONCATENATE("R8C",'Mapa final'!$O$65),"")</f>
        <v/>
      </c>
      <c r="AN13" s="83"/>
      <c r="AO13" s="448"/>
      <c r="AP13" s="449"/>
      <c r="AQ13" s="449"/>
      <c r="AR13" s="449"/>
      <c r="AS13" s="449"/>
      <c r="AT13" s="450"/>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row>
    <row r="14" spans="1:91" ht="15" customHeight="1" x14ac:dyDescent="0.25">
      <c r="A14" s="83"/>
      <c r="B14" s="343"/>
      <c r="C14" s="343"/>
      <c r="D14" s="344"/>
      <c r="E14" s="442"/>
      <c r="F14" s="441"/>
      <c r="G14" s="441"/>
      <c r="H14" s="441"/>
      <c r="I14" s="457"/>
      <c r="J14" s="52" t="str">
        <f>IF(AND('Mapa final'!$Y$66="Muy Alta",'Mapa final'!$AA$66="Leve"),CONCATENATE("R9C",'Mapa final'!$O$66),"")</f>
        <v/>
      </c>
      <c r="K14" s="53" t="str">
        <f>IF(AND('Mapa final'!$Y$67="Muy Alta",'Mapa final'!$AA$67="Leve"),CONCATENATE("R9C",'Mapa final'!$O$67),"")</f>
        <v/>
      </c>
      <c r="L14" s="53" t="str">
        <f>IF(AND('Mapa final'!$Y$68="Muy Alta",'Mapa final'!$AA$68="Leve"),CONCATENATE("R9C",'Mapa final'!$O$68),"")</f>
        <v/>
      </c>
      <c r="M14" s="53" t="str">
        <f>IF(AND('Mapa final'!$Y$69="Muy Alta",'Mapa final'!$AA$69="Leve"),CONCATENATE("R9C",'Mapa final'!$O$69),"")</f>
        <v/>
      </c>
      <c r="N14" s="53" t="str">
        <f>IF(AND('Mapa final'!$Y$70="Muy Alta",'Mapa final'!$AA$70="Leve"),CONCATENATE("R9C",'Mapa final'!$O$70),"")</f>
        <v/>
      </c>
      <c r="O14" s="54" t="str">
        <f>IF(AND('Mapa final'!$Y$71="Muy Alta",'Mapa final'!$AA$71="Leve"),CONCATENATE("R9C",'Mapa final'!$O$71),"")</f>
        <v/>
      </c>
      <c r="P14" s="52" t="str">
        <f>IF(AND('Mapa final'!$Y$66="Muy Alta",'Mapa final'!$AA$66="Menor"),CONCATENATE("R9C",'Mapa final'!$O$66),"")</f>
        <v/>
      </c>
      <c r="Q14" s="53" t="str">
        <f>IF(AND('Mapa final'!$Y$67="Muy Alta",'Mapa final'!$AA$67="Menor"),CONCATENATE("R9C",'Mapa final'!$O$67),"")</f>
        <v/>
      </c>
      <c r="R14" s="53" t="str">
        <f>IF(AND('Mapa final'!$Y$68="Muy Alta",'Mapa final'!$AA$68="Menor"),CONCATENATE("R9C",'Mapa final'!$O$68),"")</f>
        <v/>
      </c>
      <c r="S14" s="53" t="str">
        <f>IF(AND('Mapa final'!$Y$69="Muy Alta",'Mapa final'!$AA$69="Menor"),CONCATENATE("R9C",'Mapa final'!$O$69),"")</f>
        <v/>
      </c>
      <c r="T14" s="53" t="str">
        <f>IF(AND('Mapa final'!$Y$70="Muy Alta",'Mapa final'!$AA$70="Menor"),CONCATENATE("R9C",'Mapa final'!$O$70),"")</f>
        <v/>
      </c>
      <c r="U14" s="54" t="str">
        <f>IF(AND('Mapa final'!$Y$71="Muy Alta",'Mapa final'!$AA$71="Menor"),CONCATENATE("R9C",'Mapa final'!$O$71),"")</f>
        <v/>
      </c>
      <c r="V14" s="52" t="str">
        <f>IF(AND('Mapa final'!$Y$66="Muy Alta",'Mapa final'!$AA$66="Moderado"),CONCATENATE("R9C",'Mapa final'!$O$66),"")</f>
        <v/>
      </c>
      <c r="W14" s="53" t="str">
        <f>IF(AND('Mapa final'!$Y$67="Muy Alta",'Mapa final'!$AA$67="Moderado"),CONCATENATE("R9C",'Mapa final'!$O$67),"")</f>
        <v/>
      </c>
      <c r="X14" s="53" t="str">
        <f>IF(AND('Mapa final'!$Y$68="Muy Alta",'Mapa final'!$AA$68="Moderado"),CONCATENATE("R9C",'Mapa final'!$O$68),"")</f>
        <v/>
      </c>
      <c r="Y14" s="53" t="str">
        <f>IF(AND('Mapa final'!$Y$69="Muy Alta",'Mapa final'!$AA$69="Moderado"),CONCATENATE("R9C",'Mapa final'!$O$69),"")</f>
        <v/>
      </c>
      <c r="Z14" s="53" t="str">
        <f>IF(AND('Mapa final'!$Y$70="Muy Alta",'Mapa final'!$AA$70="Moderado"),CONCATENATE("R9C",'Mapa final'!$O$70),"")</f>
        <v/>
      </c>
      <c r="AA14" s="54" t="str">
        <f>IF(AND('Mapa final'!$Y$71="Muy Alta",'Mapa final'!$AA$71="Moderado"),CONCATENATE("R9C",'Mapa final'!$O$71),"")</f>
        <v/>
      </c>
      <c r="AB14" s="52" t="str">
        <f>IF(AND('Mapa final'!$Y$66="Muy Alta",'Mapa final'!$AA$66="Mayor"),CONCATENATE("R9C",'Mapa final'!$O$66),"")</f>
        <v/>
      </c>
      <c r="AC14" s="53" t="str">
        <f>IF(AND('Mapa final'!$Y$67="Muy Alta",'Mapa final'!$AA$67="Mayor"),CONCATENATE("R9C",'Mapa final'!$O$67),"")</f>
        <v/>
      </c>
      <c r="AD14" s="53" t="str">
        <f>IF(AND('Mapa final'!$Y$68="Muy Alta",'Mapa final'!$AA$68="Mayor"),CONCATENATE("R9C",'Mapa final'!$O$68),"")</f>
        <v/>
      </c>
      <c r="AE14" s="53" t="str">
        <f>IF(AND('Mapa final'!$Y$69="Muy Alta",'Mapa final'!$AA$69="Mayor"),CONCATENATE("R9C",'Mapa final'!$O$69),"")</f>
        <v/>
      </c>
      <c r="AF14" s="53" t="str">
        <f>IF(AND('Mapa final'!$Y$70="Muy Alta",'Mapa final'!$AA$70="Mayor"),CONCATENATE("R9C",'Mapa final'!$O$70),"")</f>
        <v/>
      </c>
      <c r="AG14" s="54" t="str">
        <f>IF(AND('Mapa final'!$Y$71="Muy Alta",'Mapa final'!$AA$71="Mayor"),CONCATENATE("R9C",'Mapa final'!$O$71),"")</f>
        <v/>
      </c>
      <c r="AH14" s="55" t="str">
        <f>IF(AND('Mapa final'!$Y$66="Muy Alta",'Mapa final'!$AA$66="Catastrófico"),CONCATENATE("R9C",'Mapa final'!$O$66),"")</f>
        <v/>
      </c>
      <c r="AI14" s="56" t="str">
        <f>IF(AND('Mapa final'!$Y$67="Muy Alta",'Mapa final'!$AA$67="Catastrófico"),CONCATENATE("R9C",'Mapa final'!$O$67),"")</f>
        <v/>
      </c>
      <c r="AJ14" s="56" t="str">
        <f>IF(AND('Mapa final'!$Y$68="Muy Alta",'Mapa final'!$AA$68="Catastrófico"),CONCATENATE("R9C",'Mapa final'!$O$68),"")</f>
        <v/>
      </c>
      <c r="AK14" s="56" t="str">
        <f>IF(AND('Mapa final'!$Y$69="Muy Alta",'Mapa final'!$AA$69="Catastrófico"),CONCATENATE("R9C",'Mapa final'!$O$69),"")</f>
        <v/>
      </c>
      <c r="AL14" s="56" t="str">
        <f>IF(AND('Mapa final'!$Y$70="Muy Alta",'Mapa final'!$AA$70="Catastrófico"),CONCATENATE("R9C",'Mapa final'!$O$70),"")</f>
        <v/>
      </c>
      <c r="AM14" s="57" t="str">
        <f>IF(AND('Mapa final'!$Y$71="Muy Alta",'Mapa final'!$AA$71="Catastrófico"),CONCATENATE("R9C",'Mapa final'!$O$71),"")</f>
        <v/>
      </c>
      <c r="AN14" s="83"/>
      <c r="AO14" s="448"/>
      <c r="AP14" s="449"/>
      <c r="AQ14" s="449"/>
      <c r="AR14" s="449"/>
      <c r="AS14" s="449"/>
      <c r="AT14" s="450"/>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row>
    <row r="15" spans="1:91" ht="15.75" customHeight="1" thickBot="1" x14ac:dyDescent="0.3">
      <c r="A15" s="83"/>
      <c r="B15" s="343"/>
      <c r="C15" s="343"/>
      <c r="D15" s="344"/>
      <c r="E15" s="443"/>
      <c r="F15" s="444"/>
      <c r="G15" s="444"/>
      <c r="H15" s="444"/>
      <c r="I15" s="458"/>
      <c r="J15" s="58" t="str">
        <f>IF(AND('Mapa final'!$Y$72="Muy Alta",'Mapa final'!$AA$72="Leve"),CONCATENATE("R10C",'Mapa final'!$O$72),"")</f>
        <v/>
      </c>
      <c r="K15" s="59" t="str">
        <f>IF(AND('Mapa final'!$Y$73="Muy Alta",'Mapa final'!$AA$73="Leve"),CONCATENATE("R10C",'Mapa final'!$O$73),"")</f>
        <v/>
      </c>
      <c r="L15" s="59" t="str">
        <f>IF(AND('Mapa final'!$Y$74="Muy Alta",'Mapa final'!$AA$74="Leve"),CONCATENATE("R10C",'Mapa final'!$O$74),"")</f>
        <v/>
      </c>
      <c r="M15" s="59" t="str">
        <f>IF(AND('Mapa final'!$Y$75="Muy Alta",'Mapa final'!$AA$75="Leve"),CONCATENATE("R10C",'Mapa final'!$O$75),"")</f>
        <v/>
      </c>
      <c r="N15" s="59" t="str">
        <f>IF(AND('Mapa final'!$Y$76="Muy Alta",'Mapa final'!$AA$76="Leve"),CONCATENATE("R10C",'Mapa final'!$O$76),"")</f>
        <v/>
      </c>
      <c r="O15" s="60" t="str">
        <f>IF(AND('Mapa final'!$Y$77="Muy Alta",'Mapa final'!$AA$77="Leve"),CONCATENATE("R10C",'Mapa final'!$O$77),"")</f>
        <v/>
      </c>
      <c r="P15" s="52" t="str">
        <f>IF(AND('Mapa final'!$Y$72="Muy Alta",'Mapa final'!$AA$72="Menor"),CONCATENATE("R10C",'Mapa final'!$O$72),"")</f>
        <v/>
      </c>
      <c r="Q15" s="53" t="str">
        <f>IF(AND('Mapa final'!$Y$73="Muy Alta",'Mapa final'!$AA$73="Menor"),CONCATENATE("R10C",'Mapa final'!$O$73),"")</f>
        <v/>
      </c>
      <c r="R15" s="53" t="str">
        <f>IF(AND('Mapa final'!$Y$74="Muy Alta",'Mapa final'!$AA$74="Menor"),CONCATENATE("R10C",'Mapa final'!$O$74),"")</f>
        <v/>
      </c>
      <c r="S15" s="53" t="str">
        <f>IF(AND('Mapa final'!$Y$75="Muy Alta",'Mapa final'!$AA$75="Menor"),CONCATENATE("R10C",'Mapa final'!$O$75),"")</f>
        <v/>
      </c>
      <c r="T15" s="53" t="str">
        <f>IF(AND('Mapa final'!$Y$76="Muy Alta",'Mapa final'!$AA$76="Menor"),CONCATENATE("R10C",'Mapa final'!$O$76),"")</f>
        <v/>
      </c>
      <c r="U15" s="54" t="str">
        <f>IF(AND('Mapa final'!$Y$77="Muy Alta",'Mapa final'!$AA$77="Menor"),CONCATENATE("R10C",'Mapa final'!$O$77),"")</f>
        <v/>
      </c>
      <c r="V15" s="58" t="str">
        <f>IF(AND('Mapa final'!$Y$72="Muy Alta",'Mapa final'!$AA$72="Moderado"),CONCATENATE("R10C",'Mapa final'!$O$72),"")</f>
        <v/>
      </c>
      <c r="W15" s="59" t="str">
        <f>IF(AND('Mapa final'!$Y$73="Muy Alta",'Mapa final'!$AA$73="Moderado"),CONCATENATE("R10C",'Mapa final'!$O$73),"")</f>
        <v/>
      </c>
      <c r="X15" s="59" t="str">
        <f>IF(AND('Mapa final'!$Y$74="Muy Alta",'Mapa final'!$AA$74="Moderado"),CONCATENATE("R10C",'Mapa final'!$O$74),"")</f>
        <v/>
      </c>
      <c r="Y15" s="59" t="str">
        <f>IF(AND('Mapa final'!$Y$75="Muy Alta",'Mapa final'!$AA$75="Moderado"),CONCATENATE("R10C",'Mapa final'!$O$75),"")</f>
        <v/>
      </c>
      <c r="Z15" s="59" t="str">
        <f>IF(AND('Mapa final'!$Y$76="Muy Alta",'Mapa final'!$AA$76="Moderado"),CONCATENATE("R10C",'Mapa final'!$O$76),"")</f>
        <v/>
      </c>
      <c r="AA15" s="60" t="str">
        <f>IF(AND('Mapa final'!$Y$77="Muy Alta",'Mapa final'!$AA$77="Moderado"),CONCATENATE("R10C",'Mapa final'!$O$77),"")</f>
        <v/>
      </c>
      <c r="AB15" s="52" t="str">
        <f>IF(AND('Mapa final'!$Y$72="Muy Alta",'Mapa final'!$AA$72="Mayor"),CONCATENATE("R10C",'Mapa final'!$O$72),"")</f>
        <v/>
      </c>
      <c r="AC15" s="53" t="str">
        <f>IF(AND('Mapa final'!$Y$73="Muy Alta",'Mapa final'!$AA$73="Mayor"),CONCATENATE("R10C",'Mapa final'!$O$73),"")</f>
        <v/>
      </c>
      <c r="AD15" s="53" t="str">
        <f>IF(AND('Mapa final'!$Y$74="Muy Alta",'Mapa final'!$AA$74="Mayor"),CONCATENATE("R10C",'Mapa final'!$O$74),"")</f>
        <v/>
      </c>
      <c r="AE15" s="53" t="str">
        <f>IF(AND('Mapa final'!$Y$75="Muy Alta",'Mapa final'!$AA$75="Mayor"),CONCATENATE("R10C",'Mapa final'!$O$75),"")</f>
        <v/>
      </c>
      <c r="AF15" s="53" t="str">
        <f>IF(AND('Mapa final'!$Y$76="Muy Alta",'Mapa final'!$AA$76="Mayor"),CONCATENATE("R10C",'Mapa final'!$O$76),"")</f>
        <v/>
      </c>
      <c r="AG15" s="54" t="str">
        <f>IF(AND('Mapa final'!$Y$77="Muy Alta",'Mapa final'!$AA$77="Mayor"),CONCATENATE("R10C",'Mapa final'!$O$77),"")</f>
        <v/>
      </c>
      <c r="AH15" s="61" t="str">
        <f>IF(AND('Mapa final'!$Y$72="Muy Alta",'Mapa final'!$AA$72="Catastrófico"),CONCATENATE("R10C",'Mapa final'!$O$72),"")</f>
        <v/>
      </c>
      <c r="AI15" s="62" t="str">
        <f>IF(AND('Mapa final'!$Y$73="Muy Alta",'Mapa final'!$AA$73="Catastrófico"),CONCATENATE("R10C",'Mapa final'!$O$73),"")</f>
        <v/>
      </c>
      <c r="AJ15" s="62" t="str">
        <f>IF(AND('Mapa final'!$Y$74="Muy Alta",'Mapa final'!$AA$74="Catastrófico"),CONCATENATE("R10C",'Mapa final'!$O$74),"")</f>
        <v/>
      </c>
      <c r="AK15" s="62" t="str">
        <f>IF(AND('Mapa final'!$Y$75="Muy Alta",'Mapa final'!$AA$75="Catastrófico"),CONCATENATE("R10C",'Mapa final'!$O$75),"")</f>
        <v/>
      </c>
      <c r="AL15" s="62" t="str">
        <f>IF(AND('Mapa final'!$Y$76="Muy Alta",'Mapa final'!$AA$76="Catastrófico"),CONCATENATE("R10C",'Mapa final'!$O$76),"")</f>
        <v/>
      </c>
      <c r="AM15" s="63" t="str">
        <f>IF(AND('Mapa final'!$Y$77="Muy Alta",'Mapa final'!$AA$77="Catastrófico"),CONCATENATE("R10C",'Mapa final'!$O$77),"")</f>
        <v/>
      </c>
      <c r="AN15" s="83"/>
      <c r="AO15" s="451"/>
      <c r="AP15" s="452"/>
      <c r="AQ15" s="452"/>
      <c r="AR15" s="452"/>
      <c r="AS15" s="452"/>
      <c r="AT15" s="45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row>
    <row r="16" spans="1:91" ht="15" customHeight="1" x14ac:dyDescent="0.25">
      <c r="A16" s="83"/>
      <c r="B16" s="343"/>
      <c r="C16" s="343"/>
      <c r="D16" s="344"/>
      <c r="E16" s="438" t="s">
        <v>94</v>
      </c>
      <c r="F16" s="439"/>
      <c r="G16" s="439"/>
      <c r="H16" s="439"/>
      <c r="I16" s="439"/>
      <c r="J16" s="64" t="str">
        <f>IF(AND('Mapa final'!$Y$22="Alta",'Mapa final'!$AA$22="Leve"),CONCATENATE("R1C",'Mapa final'!$O$22),"")</f>
        <v/>
      </c>
      <c r="K16" s="65" t="str">
        <f>IF(AND('Mapa final'!$Y$23="Alta",'Mapa final'!$AA$23="Leve"),CONCATENATE("R1C",'Mapa final'!$O$23),"")</f>
        <v/>
      </c>
      <c r="L16" s="65" t="str">
        <f>IF(AND('Mapa final'!$Y$24="Alta",'Mapa final'!$AA$24="Leve"),CONCATENATE("R1C",'Mapa final'!$O$24),"")</f>
        <v/>
      </c>
      <c r="M16" s="65" t="str">
        <f>IF(AND('Mapa final'!$Y$25="Alta",'Mapa final'!$AA$25="Leve"),CONCATENATE("R1C",'Mapa final'!$O$25),"")</f>
        <v/>
      </c>
      <c r="N16" s="65" t="str">
        <f>IF(AND('Mapa final'!$Y$26="Alta",'Mapa final'!$AA$26="Leve"),CONCATENATE("R1C",'Mapa final'!$O$26),"")</f>
        <v/>
      </c>
      <c r="O16" s="66" t="str">
        <f>IF(AND('Mapa final'!$Y$27="Alta",'Mapa final'!$AA$27="Leve"),CONCATENATE("R1C",'Mapa final'!$O$27),"")</f>
        <v/>
      </c>
      <c r="P16" s="64" t="str">
        <f>IF(AND('Mapa final'!$Y$22="Alta",'Mapa final'!$AA$22="Menor"),CONCATENATE("R1C",'Mapa final'!$O$22),"")</f>
        <v/>
      </c>
      <c r="Q16" s="65" t="str">
        <f>IF(AND('Mapa final'!$Y$23="Alta",'Mapa final'!$AA$23="Menor"),CONCATENATE("R1C",'Mapa final'!$O$23),"")</f>
        <v/>
      </c>
      <c r="R16" s="65" t="str">
        <f>IF(AND('Mapa final'!$Y$24="Alta",'Mapa final'!$AA$24="Menor"),CONCATENATE("R1C",'Mapa final'!$O$24),"")</f>
        <v/>
      </c>
      <c r="S16" s="65" t="str">
        <f>IF(AND('Mapa final'!$Y$25="Alta",'Mapa final'!$AA$25="Menor"),CONCATENATE("R1C",'Mapa final'!$O$25),"")</f>
        <v/>
      </c>
      <c r="T16" s="65" t="str">
        <f>IF(AND('Mapa final'!$Y$26="Alta",'Mapa final'!$AA$26="Menor"),CONCATENATE("R1C",'Mapa final'!$O$26),"")</f>
        <v/>
      </c>
      <c r="U16" s="66" t="str">
        <f>IF(AND('Mapa final'!$Y$27="Alta",'Mapa final'!$AA$27="Menor"),CONCATENATE("R1C",'Mapa final'!$O$27),"")</f>
        <v/>
      </c>
      <c r="V16" s="46" t="str">
        <f>IF(AND('Mapa final'!$Y$22="Alta",'Mapa final'!$AA$22="Moderado"),CONCATENATE("R1C",'Mapa final'!$O$22),"")</f>
        <v/>
      </c>
      <c r="W16" s="47" t="str">
        <f>IF(AND('Mapa final'!$Y$23="Alta",'Mapa final'!$AA$23="Moderado"),CONCATENATE("R1C",'Mapa final'!$O$23),"")</f>
        <v/>
      </c>
      <c r="X16" s="47" t="str">
        <f>IF(AND('Mapa final'!$Y$24="Alta",'Mapa final'!$AA$24="Moderado"),CONCATENATE("R1C",'Mapa final'!$O$24),"")</f>
        <v/>
      </c>
      <c r="Y16" s="47" t="str">
        <f>IF(AND('Mapa final'!$Y$25="Alta",'Mapa final'!$AA$25="Moderado"),CONCATENATE("R1C",'Mapa final'!$O$25),"")</f>
        <v/>
      </c>
      <c r="Z16" s="47" t="str">
        <f>IF(AND('Mapa final'!$Y$26="Alta",'Mapa final'!$AA$26="Moderado"),CONCATENATE("R1C",'Mapa final'!$O$26),"")</f>
        <v/>
      </c>
      <c r="AA16" s="48" t="str">
        <f>IF(AND('Mapa final'!$Y$27="Alta",'Mapa final'!$AA$27="Moderado"),CONCATENATE("R1C",'Mapa final'!$O$27),"")</f>
        <v/>
      </c>
      <c r="AB16" s="46" t="str">
        <f>IF(AND('Mapa final'!$Y$22="Alta",'Mapa final'!$AA$22="Mayor"),CONCATENATE("R1C",'Mapa final'!$O$22),"")</f>
        <v/>
      </c>
      <c r="AC16" s="47" t="str">
        <f>IF(AND('Mapa final'!$Y$23="Alta",'Mapa final'!$AA$23="Mayor"),CONCATENATE("R1C",'Mapa final'!$O$23),"")</f>
        <v/>
      </c>
      <c r="AD16" s="47" t="str">
        <f>IF(AND('Mapa final'!$Y$24="Alta",'Mapa final'!$AA$24="Mayor"),CONCATENATE("R1C",'Mapa final'!$O$24),"")</f>
        <v/>
      </c>
      <c r="AE16" s="47" t="str">
        <f>IF(AND('Mapa final'!$Y$25="Alta",'Mapa final'!$AA$25="Mayor"),CONCATENATE("R1C",'Mapa final'!$O$25),"")</f>
        <v/>
      </c>
      <c r="AF16" s="47" t="str">
        <f>IF(AND('Mapa final'!$Y$26="Alta",'Mapa final'!$AA$26="Mayor"),CONCATENATE("R1C",'Mapa final'!$O$26),"")</f>
        <v/>
      </c>
      <c r="AG16" s="48" t="str">
        <f>IF(AND('Mapa final'!$Y$27="Alta",'Mapa final'!$AA$27="Mayor"),CONCATENATE("R1C",'Mapa final'!$O$27),"")</f>
        <v/>
      </c>
      <c r="AH16" s="49" t="str">
        <f>IF(AND('Mapa final'!$Y$22="Alta",'Mapa final'!$AA$22="Catastrófico"),CONCATENATE("R1C",'Mapa final'!$O$22),"")</f>
        <v/>
      </c>
      <c r="AI16" s="50" t="str">
        <f>IF(AND('Mapa final'!$Y$23="Alta",'Mapa final'!$AA$23="Catastrófico"),CONCATENATE("R1C",'Mapa final'!$O$23),"")</f>
        <v/>
      </c>
      <c r="AJ16" s="50" t="str">
        <f>IF(AND('Mapa final'!$Y$24="Alta",'Mapa final'!$AA$24="Catastrófico"),CONCATENATE("R1C",'Mapa final'!$O$24),"")</f>
        <v/>
      </c>
      <c r="AK16" s="50" t="str">
        <f>IF(AND('Mapa final'!$Y$25="Alta",'Mapa final'!$AA$25="Catastrófico"),CONCATENATE("R1C",'Mapa final'!$O$25),"")</f>
        <v/>
      </c>
      <c r="AL16" s="50" t="str">
        <f>IF(AND('Mapa final'!$Y$26="Alta",'Mapa final'!$AA$26="Catastrófico"),CONCATENATE("R1C",'Mapa final'!$O$26),"")</f>
        <v/>
      </c>
      <c r="AM16" s="51" t="str">
        <f>IF(AND('Mapa final'!$Y$27="Alta",'Mapa final'!$AA$27="Catastrófico"),CONCATENATE("R1C",'Mapa final'!$O$27),"")</f>
        <v/>
      </c>
      <c r="AN16" s="83"/>
      <c r="AO16" s="429" t="s">
        <v>95</v>
      </c>
      <c r="AP16" s="430"/>
      <c r="AQ16" s="430"/>
      <c r="AR16" s="430"/>
      <c r="AS16" s="430"/>
      <c r="AT16" s="431"/>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row>
    <row r="17" spans="1:76" ht="15" customHeight="1" x14ac:dyDescent="0.25">
      <c r="A17" s="83"/>
      <c r="B17" s="343"/>
      <c r="C17" s="343"/>
      <c r="D17" s="344"/>
      <c r="E17" s="440"/>
      <c r="F17" s="441"/>
      <c r="G17" s="441"/>
      <c r="H17" s="441"/>
      <c r="I17" s="441"/>
      <c r="J17" s="67" t="str">
        <f>IF(AND('Mapa final'!$Y$28="Alta",'Mapa final'!$AA$28="Leve"),CONCATENATE("R2C",'Mapa final'!$O$28),"")</f>
        <v/>
      </c>
      <c r="K17" s="68" t="str">
        <f>IF(AND('Mapa final'!$Y$29="Alta",'Mapa final'!$AA$29="Leve"),CONCATENATE("R2C",'Mapa final'!$O$29),"")</f>
        <v/>
      </c>
      <c r="L17" s="68" t="str">
        <f>IF(AND('Mapa final'!$Y$30="Alta",'Mapa final'!$AA$30="Leve"),CONCATENATE("R2C",'Mapa final'!$O$30),"")</f>
        <v/>
      </c>
      <c r="M17" s="68" t="str">
        <f>IF(AND('Mapa final'!$Y$31="Alta",'Mapa final'!$AA$31="Leve"),CONCATENATE("R2C",'Mapa final'!$O$31),"")</f>
        <v/>
      </c>
      <c r="N17" s="68" t="str">
        <f>IF(AND('Mapa final'!$Y$32="Alta",'Mapa final'!$AA$32="Leve"),CONCATENATE("R2C",'Mapa final'!$O$32),"")</f>
        <v/>
      </c>
      <c r="O17" s="69" t="str">
        <f>IF(AND('Mapa final'!$Y$33="Alta",'Mapa final'!$AA$33="Leve"),CONCATENATE("R2C",'Mapa final'!$O$33),"")</f>
        <v/>
      </c>
      <c r="P17" s="67" t="str">
        <f>IF(AND('Mapa final'!$Y$28="Alta",'Mapa final'!$AA$28="Menor"),CONCATENATE("R2C",'Mapa final'!$O$28),"")</f>
        <v/>
      </c>
      <c r="Q17" s="68" t="str">
        <f>IF(AND('Mapa final'!$Y$29="Alta",'Mapa final'!$AA$29="Menor"),CONCATENATE("R2C",'Mapa final'!$O$29),"")</f>
        <v/>
      </c>
      <c r="R17" s="68" t="str">
        <f>IF(AND('Mapa final'!$Y$30="Alta",'Mapa final'!$AA$30="Menor"),CONCATENATE("R2C",'Mapa final'!$O$30),"")</f>
        <v/>
      </c>
      <c r="S17" s="68" t="str">
        <f>IF(AND('Mapa final'!$Y$31="Alta",'Mapa final'!$AA$31="Menor"),CONCATENATE("R2C",'Mapa final'!$O$31),"")</f>
        <v/>
      </c>
      <c r="T17" s="68" t="str">
        <f>IF(AND('Mapa final'!$Y$32="Alta",'Mapa final'!$AA$32="Menor"),CONCATENATE("R2C",'Mapa final'!$O$32),"")</f>
        <v/>
      </c>
      <c r="U17" s="69" t="str">
        <f>IF(AND('Mapa final'!$Y$33="Alta",'Mapa final'!$AA$33="Menor"),CONCATENATE("R2C",'Mapa final'!$O$33),"")</f>
        <v/>
      </c>
      <c r="V17" s="52" t="str">
        <f>IF(AND('Mapa final'!$Y$28="Alta",'Mapa final'!$AA$28="Moderado"),CONCATENATE("R2C",'Mapa final'!$O$28),"")</f>
        <v/>
      </c>
      <c r="W17" s="53" t="str">
        <f>IF(AND('Mapa final'!$Y$29="Alta",'Mapa final'!$AA$29="Moderado"),CONCATENATE("R2C",'Mapa final'!$O$29),"")</f>
        <v/>
      </c>
      <c r="X17" s="53" t="str">
        <f>IF(AND('Mapa final'!$Y$30="Alta",'Mapa final'!$AA$30="Moderado"),CONCATENATE("R2C",'Mapa final'!$O$30),"")</f>
        <v/>
      </c>
      <c r="Y17" s="53" t="str">
        <f>IF(AND('Mapa final'!$Y$31="Alta",'Mapa final'!$AA$31="Moderado"),CONCATENATE("R2C",'Mapa final'!$O$31),"")</f>
        <v/>
      </c>
      <c r="Z17" s="53" t="str">
        <f>IF(AND('Mapa final'!$Y$32="Alta",'Mapa final'!$AA$32="Moderado"),CONCATENATE("R2C",'Mapa final'!$O$32),"")</f>
        <v/>
      </c>
      <c r="AA17" s="54" t="str">
        <f>IF(AND('Mapa final'!$Y$33="Alta",'Mapa final'!$AA$33="Moderado"),CONCATENATE("R2C",'Mapa final'!$O$33),"")</f>
        <v/>
      </c>
      <c r="AB17" s="52" t="str">
        <f>IF(AND('Mapa final'!$Y$28="Alta",'Mapa final'!$AA$28="Mayor"),CONCATENATE("R2C",'Mapa final'!$O$28),"")</f>
        <v/>
      </c>
      <c r="AC17" s="53" t="str">
        <f>IF(AND('Mapa final'!$Y$29="Alta",'Mapa final'!$AA$29="Mayor"),CONCATENATE("R2C",'Mapa final'!$O$29),"")</f>
        <v/>
      </c>
      <c r="AD17" s="53" t="str">
        <f>IF(AND('Mapa final'!$Y$30="Alta",'Mapa final'!$AA$30="Mayor"),CONCATENATE("R2C",'Mapa final'!$O$30),"")</f>
        <v/>
      </c>
      <c r="AE17" s="53" t="str">
        <f>IF(AND('Mapa final'!$Y$31="Alta",'Mapa final'!$AA$31="Mayor"),CONCATENATE("R2C",'Mapa final'!$O$31),"")</f>
        <v/>
      </c>
      <c r="AF17" s="53" t="str">
        <f>IF(AND('Mapa final'!$Y$32="Alta",'Mapa final'!$AA$32="Mayor"),CONCATENATE("R2C",'Mapa final'!$O$32),"")</f>
        <v/>
      </c>
      <c r="AG17" s="54" t="str">
        <f>IF(AND('Mapa final'!$Y$33="Alta",'Mapa final'!$AA$33="Mayor"),CONCATENATE("R2C",'Mapa final'!$O$33),"")</f>
        <v/>
      </c>
      <c r="AH17" s="55" t="str">
        <f>IF(AND('Mapa final'!$Y$28="Alta",'Mapa final'!$AA$28="Catastrófico"),CONCATENATE("R2C",'Mapa final'!$O$28),"")</f>
        <v/>
      </c>
      <c r="AI17" s="56" t="str">
        <f>IF(AND('Mapa final'!$Y$29="Alta",'Mapa final'!$AA$29="Catastrófico"),CONCATENATE("R2C",'Mapa final'!$O$29),"")</f>
        <v/>
      </c>
      <c r="AJ17" s="56" t="str">
        <f>IF(AND('Mapa final'!$Y$30="Alta",'Mapa final'!$AA$30="Catastrófico"),CONCATENATE("R2C",'Mapa final'!$O$30),"")</f>
        <v/>
      </c>
      <c r="AK17" s="56" t="str">
        <f>IF(AND('Mapa final'!$Y$31="Alta",'Mapa final'!$AA$31="Catastrófico"),CONCATENATE("R2C",'Mapa final'!$O$31),"")</f>
        <v/>
      </c>
      <c r="AL17" s="56" t="str">
        <f>IF(AND('Mapa final'!$Y$32="Alta",'Mapa final'!$AA$32="Catastrófico"),CONCATENATE("R2C",'Mapa final'!$O$32),"")</f>
        <v/>
      </c>
      <c r="AM17" s="57" t="str">
        <f>IF(AND('Mapa final'!$Y$33="Alta",'Mapa final'!$AA$33="Catastrófico"),CONCATENATE("R2C",'Mapa final'!$O$33),"")</f>
        <v/>
      </c>
      <c r="AN17" s="83"/>
      <c r="AO17" s="432"/>
      <c r="AP17" s="433"/>
      <c r="AQ17" s="433"/>
      <c r="AR17" s="433"/>
      <c r="AS17" s="433"/>
      <c r="AT17" s="434"/>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row>
    <row r="18" spans="1:76" ht="15" customHeight="1" x14ac:dyDescent="0.25">
      <c r="A18" s="83"/>
      <c r="B18" s="343"/>
      <c r="C18" s="343"/>
      <c r="D18" s="344"/>
      <c r="E18" s="442"/>
      <c r="F18" s="441"/>
      <c r="G18" s="441"/>
      <c r="H18" s="441"/>
      <c r="I18" s="441"/>
      <c r="J18" s="67" t="str">
        <f>IF(AND('Mapa final'!$Y$34="Alta",'Mapa final'!$AA$34="Leve"),CONCATENATE("R3C",'Mapa final'!$O$34),"")</f>
        <v/>
      </c>
      <c r="K18" s="68" t="str">
        <f>IF(AND('Mapa final'!$Y$35="Alta",'Mapa final'!$AA$35="Leve"),CONCATENATE("R3C",'Mapa final'!$O$35),"")</f>
        <v/>
      </c>
      <c r="L18" s="68" t="str">
        <f>IF(AND('Mapa final'!$Y$36="Alta",'Mapa final'!$AA$36="Leve"),CONCATENATE("R3C",'Mapa final'!$O$36),"")</f>
        <v/>
      </c>
      <c r="M18" s="68" t="str">
        <f>IF(AND('Mapa final'!$Y$37="Alta",'Mapa final'!$AA$37="Leve"),CONCATENATE("R3C",'Mapa final'!$O$37),"")</f>
        <v/>
      </c>
      <c r="N18" s="68" t="str">
        <f>IF(AND('Mapa final'!$Y$38="Alta",'Mapa final'!$AA$38="Leve"),CONCATENATE("R3C",'Mapa final'!$O$38),"")</f>
        <v/>
      </c>
      <c r="O18" s="69" t="str">
        <f>IF(AND('Mapa final'!$Y$39="Alta",'Mapa final'!$AA$39="Leve"),CONCATENATE("R3C",'Mapa final'!$O$39),"")</f>
        <v/>
      </c>
      <c r="P18" s="67" t="str">
        <f>IF(AND('Mapa final'!$Y$34="Alta",'Mapa final'!$AA$34="Menor"),CONCATENATE("R3C",'Mapa final'!$O$34),"")</f>
        <v/>
      </c>
      <c r="Q18" s="68" t="str">
        <f>IF(AND('Mapa final'!$Y$35="Alta",'Mapa final'!$AA$35="Menor"),CONCATENATE("R3C",'Mapa final'!$O$35),"")</f>
        <v/>
      </c>
      <c r="R18" s="68" t="str">
        <f>IF(AND('Mapa final'!$Y$36="Alta",'Mapa final'!$AA$36="Menor"),CONCATENATE("R3C",'Mapa final'!$O$36),"")</f>
        <v/>
      </c>
      <c r="S18" s="68" t="str">
        <f>IF(AND('Mapa final'!$Y$37="Alta",'Mapa final'!$AA$37="Menor"),CONCATENATE("R3C",'Mapa final'!$O$37),"")</f>
        <v/>
      </c>
      <c r="T18" s="68" t="str">
        <f>IF(AND('Mapa final'!$Y$38="Alta",'Mapa final'!$AA$38="Menor"),CONCATENATE("R3C",'Mapa final'!$O$38),"")</f>
        <v/>
      </c>
      <c r="U18" s="69" t="str">
        <f>IF(AND('Mapa final'!$Y$39="Alta",'Mapa final'!$AA$39="Menor"),CONCATENATE("R3C",'Mapa final'!$O$39),"")</f>
        <v/>
      </c>
      <c r="V18" s="52" t="str">
        <f>IF(AND('Mapa final'!$Y$34="Alta",'Mapa final'!$AA$34="Moderado"),CONCATENATE("R3C",'Mapa final'!$O$34),"")</f>
        <v/>
      </c>
      <c r="W18" s="53" t="str">
        <f>IF(AND('Mapa final'!$Y$35="Alta",'Mapa final'!$AA$35="Moderado"),CONCATENATE("R3C",'Mapa final'!$O$35),"")</f>
        <v/>
      </c>
      <c r="X18" s="53" t="str">
        <f>IF(AND('Mapa final'!$Y$36="Alta",'Mapa final'!$AA$36="Moderado"),CONCATENATE("R3C",'Mapa final'!$O$36),"")</f>
        <v/>
      </c>
      <c r="Y18" s="53" t="str">
        <f>IF(AND('Mapa final'!$Y$37="Alta",'Mapa final'!$AA$37="Moderado"),CONCATENATE("R3C",'Mapa final'!$O$37),"")</f>
        <v/>
      </c>
      <c r="Z18" s="53" t="str">
        <f>IF(AND('Mapa final'!$Y$38="Alta",'Mapa final'!$AA$38="Moderado"),CONCATENATE("R3C",'Mapa final'!$O$38),"")</f>
        <v/>
      </c>
      <c r="AA18" s="54" t="str">
        <f>IF(AND('Mapa final'!$Y$39="Alta",'Mapa final'!$AA$39="Moderado"),CONCATENATE("R3C",'Mapa final'!$O$39),"")</f>
        <v/>
      </c>
      <c r="AB18" s="52" t="str">
        <f>IF(AND('Mapa final'!$Y$34="Alta",'Mapa final'!$AA$34="Mayor"),CONCATENATE("R3C",'Mapa final'!$O$34),"")</f>
        <v/>
      </c>
      <c r="AC18" s="53" t="str">
        <f>IF(AND('Mapa final'!$Y$35="Alta",'Mapa final'!$AA$35="Mayor"),CONCATENATE("R3C",'Mapa final'!$O$35),"")</f>
        <v/>
      </c>
      <c r="AD18" s="53" t="str">
        <f>IF(AND('Mapa final'!$Y$36="Alta",'Mapa final'!$AA$36="Mayor"),CONCATENATE("R3C",'Mapa final'!$O$36),"")</f>
        <v/>
      </c>
      <c r="AE18" s="53" t="str">
        <f>IF(AND('Mapa final'!$Y$37="Alta",'Mapa final'!$AA$37="Mayor"),CONCATENATE("R3C",'Mapa final'!$O$37),"")</f>
        <v/>
      </c>
      <c r="AF18" s="53" t="str">
        <f>IF(AND('Mapa final'!$Y$38="Alta",'Mapa final'!$AA$38="Mayor"),CONCATENATE("R3C",'Mapa final'!$O$38),"")</f>
        <v/>
      </c>
      <c r="AG18" s="54" t="str">
        <f>IF(AND('Mapa final'!$Y$39="Alta",'Mapa final'!$AA$39="Mayor"),CONCATENATE("R3C",'Mapa final'!$O$39),"")</f>
        <v/>
      </c>
      <c r="AH18" s="55" t="str">
        <f>IF(AND('Mapa final'!$Y$34="Alta",'Mapa final'!$AA$34="Catastrófico"),CONCATENATE("R3C",'Mapa final'!$O$34),"")</f>
        <v/>
      </c>
      <c r="AI18" s="56" t="str">
        <f>IF(AND('Mapa final'!$Y$35="Alta",'Mapa final'!$AA$35="Catastrófico"),CONCATENATE("R3C",'Mapa final'!$O$35),"")</f>
        <v/>
      </c>
      <c r="AJ18" s="56" t="str">
        <f>IF(AND('Mapa final'!$Y$36="Alta",'Mapa final'!$AA$36="Catastrófico"),CONCATENATE("R3C",'Mapa final'!$O$36),"")</f>
        <v/>
      </c>
      <c r="AK18" s="56" t="str">
        <f>IF(AND('Mapa final'!$Y$37="Alta",'Mapa final'!$AA$37="Catastrófico"),CONCATENATE("R3C",'Mapa final'!$O$37),"")</f>
        <v/>
      </c>
      <c r="AL18" s="56" t="str">
        <f>IF(AND('Mapa final'!$Y$38="Alta",'Mapa final'!$AA$38="Catastrófico"),CONCATENATE("R3C",'Mapa final'!$O$38),"")</f>
        <v/>
      </c>
      <c r="AM18" s="57" t="str">
        <f>IF(AND('Mapa final'!$Y$39="Alta",'Mapa final'!$AA$39="Catastrófico"),CONCATENATE("R3C",'Mapa final'!$O$39),"")</f>
        <v/>
      </c>
      <c r="AN18" s="83"/>
      <c r="AO18" s="432"/>
      <c r="AP18" s="433"/>
      <c r="AQ18" s="433"/>
      <c r="AR18" s="433"/>
      <c r="AS18" s="433"/>
      <c r="AT18" s="434"/>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row>
    <row r="19" spans="1:76" ht="15" customHeight="1" x14ac:dyDescent="0.25">
      <c r="A19" s="83"/>
      <c r="B19" s="343"/>
      <c r="C19" s="343"/>
      <c r="D19" s="344"/>
      <c r="E19" s="442"/>
      <c r="F19" s="441"/>
      <c r="G19" s="441"/>
      <c r="H19" s="441"/>
      <c r="I19" s="441"/>
      <c r="J19" s="67" t="str">
        <f>IF(AND('Mapa final'!$Y$40="Alta",'Mapa final'!$AA$40="Leve"),CONCATENATE("R4C",'Mapa final'!$O$40),"")</f>
        <v/>
      </c>
      <c r="K19" s="68" t="str">
        <f>IF(AND('Mapa final'!$Y$41="Alta",'Mapa final'!$AA$41="Leve"),CONCATENATE("R4C",'Mapa final'!$O$41),"")</f>
        <v/>
      </c>
      <c r="L19" s="68" t="str">
        <f>IF(AND('Mapa final'!$Y$42="Alta",'Mapa final'!$AA$42="Leve"),CONCATENATE("R4C",'Mapa final'!$O$42),"")</f>
        <v/>
      </c>
      <c r="M19" s="68" t="str">
        <f>IF(AND('Mapa final'!$Y$43="Alta",'Mapa final'!$AA$43="Leve"),CONCATENATE("R4C",'Mapa final'!$O$43),"")</f>
        <v/>
      </c>
      <c r="N19" s="68" t="str">
        <f>IF(AND('Mapa final'!$Y$44="Alta",'Mapa final'!$AA$44="Leve"),CONCATENATE("R4C",'Mapa final'!$O$44),"")</f>
        <v/>
      </c>
      <c r="O19" s="69" t="str">
        <f>IF(AND('Mapa final'!$Y$45="Alta",'Mapa final'!$AA$45="Leve"),CONCATENATE("R4C",'Mapa final'!$O$45),"")</f>
        <v/>
      </c>
      <c r="P19" s="67" t="str">
        <f>IF(AND('Mapa final'!$Y$40="Alta",'Mapa final'!$AA$40="Menor"),CONCATENATE("R4C",'Mapa final'!$O$40),"")</f>
        <v/>
      </c>
      <c r="Q19" s="68" t="str">
        <f>IF(AND('Mapa final'!$Y$41="Alta",'Mapa final'!$AA$41="Menor"),CONCATENATE("R4C",'Mapa final'!$O$41),"")</f>
        <v/>
      </c>
      <c r="R19" s="68" t="str">
        <f>IF(AND('Mapa final'!$Y$42="Alta",'Mapa final'!$AA$42="Menor"),CONCATENATE("R4C",'Mapa final'!$O$42),"")</f>
        <v/>
      </c>
      <c r="S19" s="68" t="str">
        <f>IF(AND('Mapa final'!$Y$43="Alta",'Mapa final'!$AA$43="Menor"),CONCATENATE("R4C",'Mapa final'!$O$43),"")</f>
        <v/>
      </c>
      <c r="T19" s="68" t="str">
        <f>IF(AND('Mapa final'!$Y$44="Alta",'Mapa final'!$AA$44="Menor"),CONCATENATE("R4C",'Mapa final'!$O$44),"")</f>
        <v/>
      </c>
      <c r="U19" s="69" t="str">
        <f>IF(AND('Mapa final'!$Y$45="Alta",'Mapa final'!$AA$45="Menor"),CONCATENATE("R4C",'Mapa final'!$O$45),"")</f>
        <v/>
      </c>
      <c r="V19" s="52" t="str">
        <f>IF(AND('Mapa final'!$Y$40="Alta",'Mapa final'!$AA$40="Moderado"),CONCATENATE("R4C",'Mapa final'!$O$40),"")</f>
        <v/>
      </c>
      <c r="W19" s="53" t="str">
        <f>IF(AND('Mapa final'!$Y$41="Alta",'Mapa final'!$AA$41="Moderado"),CONCATENATE("R4C",'Mapa final'!$O$41),"")</f>
        <v/>
      </c>
      <c r="X19" s="53" t="str">
        <f>IF(AND('Mapa final'!$Y$42="Alta",'Mapa final'!$AA$42="Moderado"),CONCATENATE("R4C",'Mapa final'!$O$42),"")</f>
        <v/>
      </c>
      <c r="Y19" s="53" t="str">
        <f>IF(AND('Mapa final'!$Y$43="Alta",'Mapa final'!$AA$43="Moderado"),CONCATENATE("R4C",'Mapa final'!$O$43),"")</f>
        <v/>
      </c>
      <c r="Z19" s="53" t="str">
        <f>IF(AND('Mapa final'!$Y$44="Alta",'Mapa final'!$AA$44="Moderado"),CONCATENATE("R4C",'Mapa final'!$O$44),"")</f>
        <v/>
      </c>
      <c r="AA19" s="54" t="str">
        <f>IF(AND('Mapa final'!$Y$45="Alta",'Mapa final'!$AA$45="Moderado"),CONCATENATE("R4C",'Mapa final'!$O$45),"")</f>
        <v/>
      </c>
      <c r="AB19" s="52" t="str">
        <f>IF(AND('Mapa final'!$Y$40="Alta",'Mapa final'!$AA$40="Mayor"),CONCATENATE("R4C",'Mapa final'!$O$40),"")</f>
        <v/>
      </c>
      <c r="AC19" s="53" t="str">
        <f>IF(AND('Mapa final'!$Y$41="Alta",'Mapa final'!$AA$41="Mayor"),CONCATENATE("R4C",'Mapa final'!$O$41),"")</f>
        <v/>
      </c>
      <c r="AD19" s="53" t="str">
        <f>IF(AND('Mapa final'!$Y$42="Alta",'Mapa final'!$AA$42="Mayor"),CONCATENATE("R4C",'Mapa final'!$O$42),"")</f>
        <v/>
      </c>
      <c r="AE19" s="53" t="str">
        <f>IF(AND('Mapa final'!$Y$43="Alta",'Mapa final'!$AA$43="Mayor"),CONCATENATE("R4C",'Mapa final'!$O$43),"")</f>
        <v/>
      </c>
      <c r="AF19" s="53" t="str">
        <f>IF(AND('Mapa final'!$Y$44="Alta",'Mapa final'!$AA$44="Mayor"),CONCATENATE("R4C",'Mapa final'!$O$44),"")</f>
        <v/>
      </c>
      <c r="AG19" s="54" t="str">
        <f>IF(AND('Mapa final'!$Y$45="Alta",'Mapa final'!$AA$45="Mayor"),CONCATENATE("R4C",'Mapa final'!$O$45),"")</f>
        <v/>
      </c>
      <c r="AH19" s="55" t="str">
        <f>IF(AND('Mapa final'!$Y$40="Alta",'Mapa final'!$AA$40="Catastrófico"),CONCATENATE("R4C",'Mapa final'!$O$40),"")</f>
        <v/>
      </c>
      <c r="AI19" s="56" t="str">
        <f>IF(AND('Mapa final'!$Y$41="Alta",'Mapa final'!$AA$41="Catastrófico"),CONCATENATE("R4C",'Mapa final'!$O$41),"")</f>
        <v/>
      </c>
      <c r="AJ19" s="56" t="str">
        <f>IF(AND('Mapa final'!$Y$42="Alta",'Mapa final'!$AA$42="Catastrófico"),CONCATENATE("R4C",'Mapa final'!$O$42),"")</f>
        <v/>
      </c>
      <c r="AK19" s="56" t="str">
        <f>IF(AND('Mapa final'!$Y$43="Alta",'Mapa final'!$AA$43="Catastrófico"),CONCATENATE("R4C",'Mapa final'!$O$43),"")</f>
        <v/>
      </c>
      <c r="AL19" s="56" t="str">
        <f>IF(AND('Mapa final'!$Y$44="Alta",'Mapa final'!$AA$44="Catastrófico"),CONCATENATE("R4C",'Mapa final'!$O$44),"")</f>
        <v/>
      </c>
      <c r="AM19" s="57" t="str">
        <f>IF(AND('Mapa final'!$Y$45="Alta",'Mapa final'!$AA$45="Catastrófico"),CONCATENATE("R4C",'Mapa final'!$O$45),"")</f>
        <v/>
      </c>
      <c r="AN19" s="83"/>
      <c r="AO19" s="432"/>
      <c r="AP19" s="433"/>
      <c r="AQ19" s="433"/>
      <c r="AR19" s="433"/>
      <c r="AS19" s="433"/>
      <c r="AT19" s="434"/>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row>
    <row r="20" spans="1:76" ht="15" customHeight="1" x14ac:dyDescent="0.25">
      <c r="A20" s="83"/>
      <c r="B20" s="343"/>
      <c r="C20" s="343"/>
      <c r="D20" s="344"/>
      <c r="E20" s="442"/>
      <c r="F20" s="441"/>
      <c r="G20" s="441"/>
      <c r="H20" s="441"/>
      <c r="I20" s="441"/>
      <c r="J20" s="67" t="str">
        <f>IF(AND('Mapa final'!$Y$46="Alta",'Mapa final'!$AA$46="Leve"),CONCATENATE("R5C",'Mapa final'!$O$46),"")</f>
        <v/>
      </c>
      <c r="K20" s="68" t="str">
        <f>IF(AND('Mapa final'!$Y$47="Alta",'Mapa final'!$AA$47="Leve"),CONCATENATE("R5C",'Mapa final'!$O$47),"")</f>
        <v/>
      </c>
      <c r="L20" s="68" t="str">
        <f>IF(AND('Mapa final'!$Y$48="Alta",'Mapa final'!$AA$48="Leve"),CONCATENATE("R5C",'Mapa final'!$O$48),"")</f>
        <v/>
      </c>
      <c r="M20" s="68" t="str">
        <f>IF(AND('Mapa final'!$Y$49="Alta",'Mapa final'!$AA$49="Leve"),CONCATENATE("R5C",'Mapa final'!$O$49),"")</f>
        <v/>
      </c>
      <c r="N20" s="68" t="str">
        <f>IF(AND('Mapa final'!$Y$50="Alta",'Mapa final'!$AA$50="Leve"),CONCATENATE("R5C",'Mapa final'!$O$50),"")</f>
        <v/>
      </c>
      <c r="O20" s="69" t="str">
        <f>IF(AND('Mapa final'!$Y$51="Alta",'Mapa final'!$AA$51="Leve"),CONCATENATE("R5C",'Mapa final'!$O$51),"")</f>
        <v/>
      </c>
      <c r="P20" s="67" t="str">
        <f>IF(AND('Mapa final'!$Y$46="Alta",'Mapa final'!$AA$46="Menor"),CONCATENATE("R5C",'Mapa final'!$O$46),"")</f>
        <v/>
      </c>
      <c r="Q20" s="68" t="str">
        <f>IF(AND('Mapa final'!$Y$47="Alta",'Mapa final'!$AA$47="Menor"),CONCATENATE("R5C",'Mapa final'!$O$47),"")</f>
        <v/>
      </c>
      <c r="R20" s="68" t="str">
        <f>IF(AND('Mapa final'!$Y$48="Alta",'Mapa final'!$AA$48="Menor"),CONCATENATE("R5C",'Mapa final'!$O$48),"")</f>
        <v/>
      </c>
      <c r="S20" s="68" t="str">
        <f>IF(AND('Mapa final'!$Y$49="Alta",'Mapa final'!$AA$49="Menor"),CONCATENATE("R5C",'Mapa final'!$O$49),"")</f>
        <v/>
      </c>
      <c r="T20" s="68" t="str">
        <f>IF(AND('Mapa final'!$Y$50="Alta",'Mapa final'!$AA$50="Menor"),CONCATENATE("R5C",'Mapa final'!$O$50),"")</f>
        <v/>
      </c>
      <c r="U20" s="69" t="str">
        <f>IF(AND('Mapa final'!$Y$51="Alta",'Mapa final'!$AA$51="Menor"),CONCATENATE("R5C",'Mapa final'!$O$51),"")</f>
        <v/>
      </c>
      <c r="V20" s="52" t="str">
        <f>IF(AND('Mapa final'!$Y$46="Alta",'Mapa final'!$AA$46="Moderado"),CONCATENATE("R5C",'Mapa final'!$O$46),"")</f>
        <v/>
      </c>
      <c r="W20" s="53" t="str">
        <f>IF(AND('Mapa final'!$Y$47="Alta",'Mapa final'!$AA$47="Moderado"),CONCATENATE("R5C",'Mapa final'!$O$47),"")</f>
        <v/>
      </c>
      <c r="X20" s="53" t="str">
        <f>IF(AND('Mapa final'!$Y$48="Alta",'Mapa final'!$AA$48="Moderado"),CONCATENATE("R5C",'Mapa final'!$O$48),"")</f>
        <v/>
      </c>
      <c r="Y20" s="53" t="str">
        <f>IF(AND('Mapa final'!$Y$49="Alta",'Mapa final'!$AA$49="Moderado"),CONCATENATE("R5C",'Mapa final'!$O$49),"")</f>
        <v/>
      </c>
      <c r="Z20" s="53" t="str">
        <f>IF(AND('Mapa final'!$Y$50="Alta",'Mapa final'!$AA$50="Moderado"),CONCATENATE("R5C",'Mapa final'!$O$50),"")</f>
        <v/>
      </c>
      <c r="AA20" s="54" t="str">
        <f>IF(AND('Mapa final'!$Y$51="Alta",'Mapa final'!$AA$51="Moderado"),CONCATENATE("R5C",'Mapa final'!$O$51),"")</f>
        <v/>
      </c>
      <c r="AB20" s="52" t="str">
        <f>IF(AND('Mapa final'!$Y$46="Alta",'Mapa final'!$AA$46="Mayor"),CONCATENATE("R5C",'Mapa final'!$O$46),"")</f>
        <v/>
      </c>
      <c r="AC20" s="53" t="str">
        <f>IF(AND('Mapa final'!$Y$47="Alta",'Mapa final'!$AA$47="Mayor"),CONCATENATE("R5C",'Mapa final'!$O$47),"")</f>
        <v/>
      </c>
      <c r="AD20" s="53" t="str">
        <f>IF(AND('Mapa final'!$Y$48="Alta",'Mapa final'!$AA$48="Mayor"),CONCATENATE("R5C",'Mapa final'!$O$48),"")</f>
        <v/>
      </c>
      <c r="AE20" s="53" t="str">
        <f>IF(AND('Mapa final'!$Y$49="Alta",'Mapa final'!$AA$49="Mayor"),CONCATENATE("R5C",'Mapa final'!$O$49),"")</f>
        <v/>
      </c>
      <c r="AF20" s="53" t="str">
        <f>IF(AND('Mapa final'!$Y$50="Alta",'Mapa final'!$AA$50="Mayor"),CONCATENATE("R5C",'Mapa final'!$O$50),"")</f>
        <v/>
      </c>
      <c r="AG20" s="54" t="str">
        <f>IF(AND('Mapa final'!$Y$51="Alta",'Mapa final'!$AA$51="Mayor"),CONCATENATE("R5C",'Mapa final'!$O$51),"")</f>
        <v/>
      </c>
      <c r="AH20" s="55" t="str">
        <f>IF(AND('Mapa final'!$Y$46="Alta",'Mapa final'!$AA$46="Catastrófico"),CONCATENATE("R5C",'Mapa final'!$O$46),"")</f>
        <v/>
      </c>
      <c r="AI20" s="56" t="str">
        <f>IF(AND('Mapa final'!$Y$47="Alta",'Mapa final'!$AA$47="Catastrófico"),CONCATENATE("R5C",'Mapa final'!$O$47),"")</f>
        <v/>
      </c>
      <c r="AJ20" s="56" t="str">
        <f>IF(AND('Mapa final'!$Y$48="Alta",'Mapa final'!$AA$48="Catastrófico"),CONCATENATE("R5C",'Mapa final'!$O$48),"")</f>
        <v/>
      </c>
      <c r="AK20" s="56" t="str">
        <f>IF(AND('Mapa final'!$Y$49="Alta",'Mapa final'!$AA$49="Catastrófico"),CONCATENATE("R5C",'Mapa final'!$O$49),"")</f>
        <v/>
      </c>
      <c r="AL20" s="56" t="str">
        <f>IF(AND('Mapa final'!$Y$50="Alta",'Mapa final'!$AA$50="Catastrófico"),CONCATENATE("R5C",'Mapa final'!$O$50),"")</f>
        <v/>
      </c>
      <c r="AM20" s="57" t="str">
        <f>IF(AND('Mapa final'!$Y$51="Alta",'Mapa final'!$AA$51="Catastrófico"),CONCATENATE("R5C",'Mapa final'!$O$51),"")</f>
        <v/>
      </c>
      <c r="AN20" s="83"/>
      <c r="AO20" s="432"/>
      <c r="AP20" s="433"/>
      <c r="AQ20" s="433"/>
      <c r="AR20" s="433"/>
      <c r="AS20" s="433"/>
      <c r="AT20" s="434"/>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row>
    <row r="21" spans="1:76" ht="15" customHeight="1" x14ac:dyDescent="0.25">
      <c r="A21" s="83"/>
      <c r="B21" s="343"/>
      <c r="C21" s="343"/>
      <c r="D21" s="344"/>
      <c r="E21" s="442"/>
      <c r="F21" s="441"/>
      <c r="G21" s="441"/>
      <c r="H21" s="441"/>
      <c r="I21" s="441"/>
      <c r="J21" s="67" t="str">
        <f>IF(AND('Mapa final'!$Y$52="Alta",'Mapa final'!$AA$52="Leve"),CONCATENATE("R6C",'Mapa final'!$O$52),"")</f>
        <v/>
      </c>
      <c r="K21" s="68" t="str">
        <f>IF(AND('Mapa final'!$Y$53="Alta",'Mapa final'!$AA$53="Leve"),CONCATENATE("R6C",'Mapa final'!$O$53),"")</f>
        <v/>
      </c>
      <c r="L21" s="68" t="str">
        <f>IF(AND('Mapa final'!$Y$54="Alta",'Mapa final'!$AA$54="Leve"),CONCATENATE("R6C",'Mapa final'!$O$54),"")</f>
        <v/>
      </c>
      <c r="M21" s="68" t="str">
        <f>IF(AND('Mapa final'!$Y$55="Alta",'Mapa final'!$AA$55="Leve"),CONCATENATE("R6C",'Mapa final'!$O$55),"")</f>
        <v/>
      </c>
      <c r="N21" s="68" t="str">
        <f>IF(AND('Mapa final'!$Y$56="Alta",'Mapa final'!$AA$56="Leve"),CONCATENATE("R6C",'Mapa final'!$O$56),"")</f>
        <v/>
      </c>
      <c r="O21" s="69" t="str">
        <f>IF(AND('Mapa final'!$Y$57="Alta",'Mapa final'!$AA$57="Leve"),CONCATENATE("R6C",'Mapa final'!$O$57),"")</f>
        <v/>
      </c>
      <c r="P21" s="67" t="str">
        <f>IF(AND('Mapa final'!$Y$52="Alta",'Mapa final'!$AA$52="Menor"),CONCATENATE("R6C",'Mapa final'!$O$52),"")</f>
        <v/>
      </c>
      <c r="Q21" s="68" t="str">
        <f>IF(AND('Mapa final'!$Y$53="Alta",'Mapa final'!$AA$53="Menor"),CONCATENATE("R6C",'Mapa final'!$O$53),"")</f>
        <v/>
      </c>
      <c r="R21" s="68" t="str">
        <f>IF(AND('Mapa final'!$Y$54="Alta",'Mapa final'!$AA$54="Menor"),CONCATENATE("R6C",'Mapa final'!$O$54),"")</f>
        <v/>
      </c>
      <c r="S21" s="68" t="str">
        <f>IF(AND('Mapa final'!$Y$55="Alta",'Mapa final'!$AA$55="Menor"),CONCATENATE("R6C",'Mapa final'!$O$55),"")</f>
        <v/>
      </c>
      <c r="T21" s="68" t="str">
        <f>IF(AND('Mapa final'!$Y$56="Alta",'Mapa final'!$AA$56="Menor"),CONCATENATE("R6C",'Mapa final'!$O$56),"")</f>
        <v/>
      </c>
      <c r="U21" s="69" t="str">
        <f>IF(AND('Mapa final'!$Y$57="Alta",'Mapa final'!$AA$57="Menor"),CONCATENATE("R6C",'Mapa final'!$O$57),"")</f>
        <v/>
      </c>
      <c r="V21" s="52" t="str">
        <f>IF(AND('Mapa final'!$Y$52="Alta",'Mapa final'!$AA$52="Moderado"),CONCATENATE("R6C",'Mapa final'!$O$52),"")</f>
        <v/>
      </c>
      <c r="W21" s="53" t="str">
        <f>IF(AND('Mapa final'!$Y$53="Alta",'Mapa final'!$AA$53="Moderado"),CONCATENATE("R6C",'Mapa final'!$O$53),"")</f>
        <v/>
      </c>
      <c r="X21" s="53" t="str">
        <f>IF(AND('Mapa final'!$Y$54="Alta",'Mapa final'!$AA$54="Moderado"),CONCATENATE("R6C",'Mapa final'!$O$54),"")</f>
        <v/>
      </c>
      <c r="Y21" s="53" t="str">
        <f>IF(AND('Mapa final'!$Y$55="Alta",'Mapa final'!$AA$55="Moderado"),CONCATENATE("R6C",'Mapa final'!$O$55),"")</f>
        <v/>
      </c>
      <c r="Z21" s="53" t="str">
        <f>IF(AND('Mapa final'!$Y$56="Alta",'Mapa final'!$AA$56="Moderado"),CONCATENATE("R6C",'Mapa final'!$O$56),"")</f>
        <v/>
      </c>
      <c r="AA21" s="54" t="str">
        <f>IF(AND('Mapa final'!$Y$57="Alta",'Mapa final'!$AA$57="Moderado"),CONCATENATE("R6C",'Mapa final'!$O$57),"")</f>
        <v/>
      </c>
      <c r="AB21" s="52" t="str">
        <f>IF(AND('Mapa final'!$Y$52="Alta",'Mapa final'!$AA$52="Mayor"),CONCATENATE("R6C",'Mapa final'!$O$52),"")</f>
        <v/>
      </c>
      <c r="AC21" s="53" t="str">
        <f>IF(AND('Mapa final'!$Y$53="Alta",'Mapa final'!$AA$53="Mayor"),CONCATENATE("R6C",'Mapa final'!$O$53),"")</f>
        <v/>
      </c>
      <c r="AD21" s="53" t="str">
        <f>IF(AND('Mapa final'!$Y$54="Alta",'Mapa final'!$AA$54="Mayor"),CONCATENATE("R6C",'Mapa final'!$O$54),"")</f>
        <v/>
      </c>
      <c r="AE21" s="53" t="str">
        <f>IF(AND('Mapa final'!$Y$55="Alta",'Mapa final'!$AA$55="Mayor"),CONCATENATE("R6C",'Mapa final'!$O$55),"")</f>
        <v/>
      </c>
      <c r="AF21" s="53" t="str">
        <f>IF(AND('Mapa final'!$Y$56="Alta",'Mapa final'!$AA$56="Mayor"),CONCATENATE("R6C",'Mapa final'!$O$56),"")</f>
        <v/>
      </c>
      <c r="AG21" s="54" t="str">
        <f>IF(AND('Mapa final'!$Y$57="Alta",'Mapa final'!$AA$57="Mayor"),CONCATENATE("R6C",'Mapa final'!$O$57),"")</f>
        <v/>
      </c>
      <c r="AH21" s="55" t="str">
        <f>IF(AND('Mapa final'!$Y$52="Alta",'Mapa final'!$AA$52="Catastrófico"),CONCATENATE("R6C",'Mapa final'!$O$52),"")</f>
        <v/>
      </c>
      <c r="AI21" s="56" t="str">
        <f>IF(AND('Mapa final'!$Y$53="Alta",'Mapa final'!$AA$53="Catastrófico"),CONCATENATE("R6C",'Mapa final'!$O$53),"")</f>
        <v/>
      </c>
      <c r="AJ21" s="56" t="str">
        <f>IF(AND('Mapa final'!$Y$54="Alta",'Mapa final'!$AA$54="Catastrófico"),CONCATENATE("R6C",'Mapa final'!$O$54),"")</f>
        <v/>
      </c>
      <c r="AK21" s="56" t="str">
        <f>IF(AND('Mapa final'!$Y$55="Alta",'Mapa final'!$AA$55="Catastrófico"),CONCATENATE("R6C",'Mapa final'!$O$55),"")</f>
        <v/>
      </c>
      <c r="AL21" s="56" t="str">
        <f>IF(AND('Mapa final'!$Y$56="Alta",'Mapa final'!$AA$56="Catastrófico"),CONCATENATE("R6C",'Mapa final'!$O$56),"")</f>
        <v/>
      </c>
      <c r="AM21" s="57" t="str">
        <f>IF(AND('Mapa final'!$Y$57="Alta",'Mapa final'!$AA$57="Catastrófico"),CONCATENATE("R6C",'Mapa final'!$O$57),"")</f>
        <v/>
      </c>
      <c r="AN21" s="83"/>
      <c r="AO21" s="432"/>
      <c r="AP21" s="433"/>
      <c r="AQ21" s="433"/>
      <c r="AR21" s="433"/>
      <c r="AS21" s="433"/>
      <c r="AT21" s="434"/>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row>
    <row r="22" spans="1:76" ht="15" customHeight="1" x14ac:dyDescent="0.25">
      <c r="A22" s="83"/>
      <c r="B22" s="343"/>
      <c r="C22" s="343"/>
      <c r="D22" s="344"/>
      <c r="E22" s="442"/>
      <c r="F22" s="441"/>
      <c r="G22" s="441"/>
      <c r="H22" s="441"/>
      <c r="I22" s="441"/>
      <c r="J22" s="67" t="str">
        <f>IF(AND('Mapa final'!$Y$58="Alta",'Mapa final'!$AA$58="Leve"),CONCATENATE("R7C",'Mapa final'!$O$58),"")</f>
        <v/>
      </c>
      <c r="K22" s="68" t="str">
        <f>IF(AND('Mapa final'!$Y$59="Alta",'Mapa final'!$AA$59="Leve"),CONCATENATE("R7C",'Mapa final'!$O$59),"")</f>
        <v/>
      </c>
      <c r="L22" s="68" t="e">
        <f>IF(AND('Mapa final'!#REF!="Alta",'Mapa final'!#REF!="Leve"),CONCATENATE("R7C",'Mapa final'!#REF!),"")</f>
        <v>#REF!</v>
      </c>
      <c r="M22" s="68" t="e">
        <f>IF(AND('Mapa final'!#REF!="Alta",'Mapa final'!#REF!="Leve"),CONCATENATE("R7C",'Mapa final'!#REF!),"")</f>
        <v>#REF!</v>
      </c>
      <c r="N22" s="68" t="e">
        <f>IF(AND('Mapa final'!#REF!="Alta",'Mapa final'!#REF!="Leve"),CONCATENATE("R7C",'Mapa final'!#REF!),"")</f>
        <v>#REF!</v>
      </c>
      <c r="O22" s="69" t="e">
        <f>IF(AND('Mapa final'!#REF!="Alta",'Mapa final'!#REF!="Leve"),CONCATENATE("R7C",'Mapa final'!#REF!),"")</f>
        <v>#REF!</v>
      </c>
      <c r="P22" s="67" t="str">
        <f>IF(AND('Mapa final'!$Y$58="Alta",'Mapa final'!$AA$58="Menor"),CONCATENATE("R7C",'Mapa final'!$O$58),"")</f>
        <v/>
      </c>
      <c r="Q22" s="68" t="str">
        <f>IF(AND('Mapa final'!$Y$59="Alta",'Mapa final'!$AA$59="Menor"),CONCATENATE("R7C",'Mapa final'!$O$59),"")</f>
        <v/>
      </c>
      <c r="R22" s="68" t="e">
        <f>IF(AND('Mapa final'!#REF!="Alta",'Mapa final'!#REF!="Menor"),CONCATENATE("R7C",'Mapa final'!#REF!),"")</f>
        <v>#REF!</v>
      </c>
      <c r="S22" s="68" t="e">
        <f>IF(AND('Mapa final'!#REF!="Alta",'Mapa final'!#REF!="Menor"),CONCATENATE("R7C",'Mapa final'!#REF!),"")</f>
        <v>#REF!</v>
      </c>
      <c r="T22" s="68" t="e">
        <f>IF(AND('Mapa final'!#REF!="Alta",'Mapa final'!#REF!="Menor"),CONCATENATE("R7C",'Mapa final'!#REF!),"")</f>
        <v>#REF!</v>
      </c>
      <c r="U22" s="69" t="e">
        <f>IF(AND('Mapa final'!#REF!="Alta",'Mapa final'!#REF!="Menor"),CONCATENATE("R7C",'Mapa final'!#REF!),"")</f>
        <v>#REF!</v>
      </c>
      <c r="V22" s="52" t="str">
        <f>IF(AND('Mapa final'!$Y$58="Alta",'Mapa final'!$AA$58="Moderado"),CONCATENATE("R7C",'Mapa final'!$O$58),"")</f>
        <v/>
      </c>
      <c r="W22" s="53" t="str">
        <f>IF(AND('Mapa final'!$Y$59="Alta",'Mapa final'!$AA$59="Moderado"),CONCATENATE("R7C",'Mapa final'!$O$59),"")</f>
        <v/>
      </c>
      <c r="X22" s="53" t="e">
        <f>IF(AND('Mapa final'!#REF!="Alta",'Mapa final'!#REF!="Moderado"),CONCATENATE("R7C",'Mapa final'!#REF!),"")</f>
        <v>#REF!</v>
      </c>
      <c r="Y22" s="53" t="e">
        <f>IF(AND('Mapa final'!#REF!="Alta",'Mapa final'!#REF!="Moderado"),CONCATENATE("R7C",'Mapa final'!#REF!),"")</f>
        <v>#REF!</v>
      </c>
      <c r="Z22" s="53" t="e">
        <f>IF(AND('Mapa final'!#REF!="Alta",'Mapa final'!#REF!="Moderado"),CONCATENATE("R7C",'Mapa final'!#REF!),"")</f>
        <v>#REF!</v>
      </c>
      <c r="AA22" s="54" t="e">
        <f>IF(AND('Mapa final'!#REF!="Alta",'Mapa final'!#REF!="Moderado"),CONCATENATE("R7C",'Mapa final'!#REF!),"")</f>
        <v>#REF!</v>
      </c>
      <c r="AB22" s="52" t="str">
        <f>IF(AND('Mapa final'!$Y$58="Alta",'Mapa final'!$AA$58="Mayor"),CONCATENATE("R7C",'Mapa final'!$O$58),"")</f>
        <v/>
      </c>
      <c r="AC22" s="53" t="str">
        <f>IF(AND('Mapa final'!$Y$59="Alta",'Mapa final'!$AA$59="Mayor"),CONCATENATE("R7C",'Mapa final'!$O$59),"")</f>
        <v/>
      </c>
      <c r="AD22" s="53" t="e">
        <f>IF(AND('Mapa final'!#REF!="Alta",'Mapa final'!#REF!="Mayor"),CONCATENATE("R7C",'Mapa final'!#REF!),"")</f>
        <v>#REF!</v>
      </c>
      <c r="AE22" s="53" t="e">
        <f>IF(AND('Mapa final'!#REF!="Alta",'Mapa final'!#REF!="Mayor"),CONCATENATE("R7C",'Mapa final'!#REF!),"")</f>
        <v>#REF!</v>
      </c>
      <c r="AF22" s="53" t="e">
        <f>IF(AND('Mapa final'!#REF!="Alta",'Mapa final'!#REF!="Mayor"),CONCATENATE("R7C",'Mapa final'!#REF!),"")</f>
        <v>#REF!</v>
      </c>
      <c r="AG22" s="54" t="e">
        <f>IF(AND('Mapa final'!#REF!="Alta",'Mapa final'!#REF!="Mayor"),CONCATENATE("R7C",'Mapa final'!#REF!),"")</f>
        <v>#REF!</v>
      </c>
      <c r="AH22" s="55" t="str">
        <f>IF(AND('Mapa final'!$Y$58="Alta",'Mapa final'!$AA$58="Catastrófico"),CONCATENATE("R7C",'Mapa final'!$O$58),"")</f>
        <v/>
      </c>
      <c r="AI22" s="56" t="str">
        <f>IF(AND('Mapa final'!$Y$59="Alta",'Mapa final'!$AA$59="Catastrófico"),CONCATENATE("R7C",'Mapa final'!$O$59),"")</f>
        <v/>
      </c>
      <c r="AJ22" s="56" t="e">
        <f>IF(AND('Mapa final'!#REF!="Alta",'Mapa final'!#REF!="Catastrófico"),CONCATENATE("R7C",'Mapa final'!#REF!),"")</f>
        <v>#REF!</v>
      </c>
      <c r="AK22" s="56" t="e">
        <f>IF(AND('Mapa final'!#REF!="Alta",'Mapa final'!#REF!="Catastrófico"),CONCATENATE("R7C",'Mapa final'!#REF!),"")</f>
        <v>#REF!</v>
      </c>
      <c r="AL22" s="56" t="e">
        <f>IF(AND('Mapa final'!#REF!="Alta",'Mapa final'!#REF!="Catastrófico"),CONCATENATE("R7C",'Mapa final'!#REF!),"")</f>
        <v>#REF!</v>
      </c>
      <c r="AM22" s="57" t="e">
        <f>IF(AND('Mapa final'!#REF!="Alta",'Mapa final'!#REF!="Catastrófico"),CONCATENATE("R7C",'Mapa final'!#REF!),"")</f>
        <v>#REF!</v>
      </c>
      <c r="AN22" s="83"/>
      <c r="AO22" s="432"/>
      <c r="AP22" s="433"/>
      <c r="AQ22" s="433"/>
      <c r="AR22" s="433"/>
      <c r="AS22" s="433"/>
      <c r="AT22" s="434"/>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row>
    <row r="23" spans="1:76" ht="15" customHeight="1" x14ac:dyDescent="0.25">
      <c r="A23" s="83"/>
      <c r="B23" s="343"/>
      <c r="C23" s="343"/>
      <c r="D23" s="344"/>
      <c r="E23" s="442"/>
      <c r="F23" s="441"/>
      <c r="G23" s="441"/>
      <c r="H23" s="441"/>
      <c r="I23" s="441"/>
      <c r="J23" s="67" t="str">
        <f>IF(AND('Mapa final'!$Y$60="Alta",'Mapa final'!$AA$60="Leve"),CONCATENATE("R8C",'Mapa final'!$O$60),"")</f>
        <v/>
      </c>
      <c r="K23" s="68" t="str">
        <f>IF(AND('Mapa final'!$Y$61="Alta",'Mapa final'!$AA$61="Leve"),CONCATENATE("R8C",'Mapa final'!$O$61),"")</f>
        <v/>
      </c>
      <c r="L23" s="68" t="str">
        <f>IF(AND('Mapa final'!$Y$62="Alta",'Mapa final'!$AA$62="Leve"),CONCATENATE("R8C",'Mapa final'!$O$62),"")</f>
        <v/>
      </c>
      <c r="M23" s="68" t="str">
        <f>IF(AND('Mapa final'!$Y$63="Alta",'Mapa final'!$AA$63="Leve"),CONCATENATE("R8C",'Mapa final'!$O$63),"")</f>
        <v/>
      </c>
      <c r="N23" s="68" t="str">
        <f>IF(AND('Mapa final'!$Y$64="Alta",'Mapa final'!$AA$64="Leve"),CONCATENATE("R8C",'Mapa final'!$O$64),"")</f>
        <v/>
      </c>
      <c r="O23" s="69" t="str">
        <f>IF(AND('Mapa final'!$Y$65="Alta",'Mapa final'!$AA$65="Leve"),CONCATENATE("R8C",'Mapa final'!$O$65),"")</f>
        <v/>
      </c>
      <c r="P23" s="67" t="str">
        <f>IF(AND('Mapa final'!$Y$60="Alta",'Mapa final'!$AA$60="Menor"),CONCATENATE("R8C",'Mapa final'!$O$60),"")</f>
        <v/>
      </c>
      <c r="Q23" s="68" t="str">
        <f>IF(AND('Mapa final'!$Y$61="Alta",'Mapa final'!$AA$61="Menor"),CONCATENATE("R8C",'Mapa final'!$O$61),"")</f>
        <v/>
      </c>
      <c r="R23" s="68" t="str">
        <f>IF(AND('Mapa final'!$Y$62="Alta",'Mapa final'!$AA$62="Menor"),CONCATENATE("R8C",'Mapa final'!$O$62),"")</f>
        <v/>
      </c>
      <c r="S23" s="68" t="str">
        <f>IF(AND('Mapa final'!$Y$63="Alta",'Mapa final'!$AA$63="Menor"),CONCATENATE("R8C",'Mapa final'!$O$63),"")</f>
        <v/>
      </c>
      <c r="T23" s="68" t="str">
        <f>IF(AND('Mapa final'!$Y$64="Alta",'Mapa final'!$AA$64="Menor"),CONCATENATE("R8C",'Mapa final'!$O$64),"")</f>
        <v/>
      </c>
      <c r="U23" s="69" t="str">
        <f>IF(AND('Mapa final'!$Y$65="Alta",'Mapa final'!$AA$65="Menor"),CONCATENATE("R8C",'Mapa final'!$O$65),"")</f>
        <v/>
      </c>
      <c r="V23" s="52" t="str">
        <f>IF(AND('Mapa final'!$Y$60="Alta",'Mapa final'!$AA$60="Moderado"),CONCATENATE("R8C",'Mapa final'!$O$60),"")</f>
        <v/>
      </c>
      <c r="W23" s="53" t="str">
        <f>IF(AND('Mapa final'!$Y$61="Alta",'Mapa final'!$AA$61="Moderado"),CONCATENATE("R8C",'Mapa final'!$O$61),"")</f>
        <v/>
      </c>
      <c r="X23" s="53" t="str">
        <f>IF(AND('Mapa final'!$Y$62="Alta",'Mapa final'!$AA$62="Moderado"),CONCATENATE("R8C",'Mapa final'!$O$62),"")</f>
        <v/>
      </c>
      <c r="Y23" s="53" t="str">
        <f>IF(AND('Mapa final'!$Y$63="Alta",'Mapa final'!$AA$63="Moderado"),CONCATENATE("R8C",'Mapa final'!$O$63),"")</f>
        <v/>
      </c>
      <c r="Z23" s="53" t="str">
        <f>IF(AND('Mapa final'!$Y$64="Alta",'Mapa final'!$AA$64="Moderado"),CONCATENATE("R8C",'Mapa final'!$O$64),"")</f>
        <v/>
      </c>
      <c r="AA23" s="54" t="str">
        <f>IF(AND('Mapa final'!$Y$65="Alta",'Mapa final'!$AA$65="Moderado"),CONCATENATE("R8C",'Mapa final'!$O$65),"")</f>
        <v/>
      </c>
      <c r="AB23" s="52" t="str">
        <f>IF(AND('Mapa final'!$Y$60="Alta",'Mapa final'!$AA$60="Mayor"),CONCATENATE("R8C",'Mapa final'!$O$60),"")</f>
        <v/>
      </c>
      <c r="AC23" s="53" t="str">
        <f>IF(AND('Mapa final'!$Y$61="Alta",'Mapa final'!$AA$61="Mayor"),CONCATENATE("R8C",'Mapa final'!$O$61),"")</f>
        <v/>
      </c>
      <c r="AD23" s="53" t="str">
        <f>IF(AND('Mapa final'!$Y$62="Alta",'Mapa final'!$AA$62="Mayor"),CONCATENATE("R8C",'Mapa final'!$O$62),"")</f>
        <v/>
      </c>
      <c r="AE23" s="53" t="str">
        <f>IF(AND('Mapa final'!$Y$63="Alta",'Mapa final'!$AA$63="Mayor"),CONCATENATE("R8C",'Mapa final'!$O$63),"")</f>
        <v/>
      </c>
      <c r="AF23" s="53" t="str">
        <f>IF(AND('Mapa final'!$Y$64="Alta",'Mapa final'!$AA$64="Mayor"),CONCATENATE("R8C",'Mapa final'!$O$64),"")</f>
        <v/>
      </c>
      <c r="AG23" s="54" t="str">
        <f>IF(AND('Mapa final'!$Y$65="Alta",'Mapa final'!$AA$65="Mayor"),CONCATENATE("R8C",'Mapa final'!$O$65),"")</f>
        <v/>
      </c>
      <c r="AH23" s="55" t="str">
        <f>IF(AND('Mapa final'!$Y$60="Alta",'Mapa final'!$AA$60="Catastrófico"),CONCATENATE("R8C",'Mapa final'!$O$60),"")</f>
        <v/>
      </c>
      <c r="AI23" s="56" t="str">
        <f>IF(AND('Mapa final'!$Y$61="Alta",'Mapa final'!$AA$61="Catastrófico"),CONCATENATE("R8C",'Mapa final'!$O$61),"")</f>
        <v/>
      </c>
      <c r="AJ23" s="56" t="str">
        <f>IF(AND('Mapa final'!$Y$62="Alta",'Mapa final'!$AA$62="Catastrófico"),CONCATENATE("R8C",'Mapa final'!$O$62),"")</f>
        <v/>
      </c>
      <c r="AK23" s="56" t="str">
        <f>IF(AND('Mapa final'!$Y$63="Alta",'Mapa final'!$AA$63="Catastrófico"),CONCATENATE("R8C",'Mapa final'!$O$63),"")</f>
        <v/>
      </c>
      <c r="AL23" s="56" t="str">
        <f>IF(AND('Mapa final'!$Y$64="Alta",'Mapa final'!$AA$64="Catastrófico"),CONCATENATE("R8C",'Mapa final'!$O$64),"")</f>
        <v/>
      </c>
      <c r="AM23" s="57" t="str">
        <f>IF(AND('Mapa final'!$Y$65="Alta",'Mapa final'!$AA$65="Catastrófico"),CONCATENATE("R8C",'Mapa final'!$O$65),"")</f>
        <v/>
      </c>
      <c r="AN23" s="83"/>
      <c r="AO23" s="432"/>
      <c r="AP23" s="433"/>
      <c r="AQ23" s="433"/>
      <c r="AR23" s="433"/>
      <c r="AS23" s="433"/>
      <c r="AT23" s="434"/>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row>
    <row r="24" spans="1:76" ht="15" customHeight="1" x14ac:dyDescent="0.25">
      <c r="A24" s="83"/>
      <c r="B24" s="343"/>
      <c r="C24" s="343"/>
      <c r="D24" s="344"/>
      <c r="E24" s="442"/>
      <c r="F24" s="441"/>
      <c r="G24" s="441"/>
      <c r="H24" s="441"/>
      <c r="I24" s="441"/>
      <c r="J24" s="67" t="str">
        <f>IF(AND('Mapa final'!$Y$66="Alta",'Mapa final'!$AA$66="Leve"),CONCATENATE("R9C",'Mapa final'!$O$66),"")</f>
        <v/>
      </c>
      <c r="K24" s="68" t="str">
        <f>IF(AND('Mapa final'!$Y$67="Alta",'Mapa final'!$AA$67="Leve"),CONCATENATE("R9C",'Mapa final'!$O$67),"")</f>
        <v/>
      </c>
      <c r="L24" s="68" t="str">
        <f>IF(AND('Mapa final'!$Y$68="Alta",'Mapa final'!$AA$68="Leve"),CONCATENATE("R9C",'Mapa final'!$O$68),"")</f>
        <v/>
      </c>
      <c r="M24" s="68" t="str">
        <f>IF(AND('Mapa final'!$Y$69="Alta",'Mapa final'!$AA$69="Leve"),CONCATENATE("R9C",'Mapa final'!$O$69),"")</f>
        <v/>
      </c>
      <c r="N24" s="68" t="str">
        <f>IF(AND('Mapa final'!$Y$70="Alta",'Mapa final'!$AA$70="Leve"),CONCATENATE("R9C",'Mapa final'!$O$70),"")</f>
        <v/>
      </c>
      <c r="O24" s="69" t="str">
        <f>IF(AND('Mapa final'!$Y$71="Alta",'Mapa final'!$AA$71="Leve"),CONCATENATE("R9C",'Mapa final'!$O$71),"")</f>
        <v/>
      </c>
      <c r="P24" s="67" t="str">
        <f>IF(AND('Mapa final'!$Y$66="Alta",'Mapa final'!$AA$66="Menor"),CONCATENATE("R9C",'Mapa final'!$O$66),"")</f>
        <v/>
      </c>
      <c r="Q24" s="68" t="str">
        <f>IF(AND('Mapa final'!$Y$67="Alta",'Mapa final'!$AA$67="Menor"),CONCATENATE("R9C",'Mapa final'!$O$67),"")</f>
        <v/>
      </c>
      <c r="R24" s="68" t="str">
        <f>IF(AND('Mapa final'!$Y$68="Alta",'Mapa final'!$AA$68="Menor"),CONCATENATE("R9C",'Mapa final'!$O$68),"")</f>
        <v/>
      </c>
      <c r="S24" s="68" t="str">
        <f>IF(AND('Mapa final'!$Y$69="Alta",'Mapa final'!$AA$69="Menor"),CONCATENATE("R9C",'Mapa final'!$O$69),"")</f>
        <v/>
      </c>
      <c r="T24" s="68" t="str">
        <f>IF(AND('Mapa final'!$Y$70="Alta",'Mapa final'!$AA$70="Menor"),CONCATENATE("R9C",'Mapa final'!$O$70),"")</f>
        <v/>
      </c>
      <c r="U24" s="69" t="str">
        <f>IF(AND('Mapa final'!$Y$71="Alta",'Mapa final'!$AA$71="Menor"),CONCATENATE("R9C",'Mapa final'!$O$71),"")</f>
        <v/>
      </c>
      <c r="V24" s="52" t="str">
        <f>IF(AND('Mapa final'!$Y$66="Alta",'Mapa final'!$AA$66="Moderado"),CONCATENATE("R9C",'Mapa final'!$O$66),"")</f>
        <v/>
      </c>
      <c r="W24" s="53" t="str">
        <f>IF(AND('Mapa final'!$Y$67="Alta",'Mapa final'!$AA$67="Moderado"),CONCATENATE("R9C",'Mapa final'!$O$67),"")</f>
        <v/>
      </c>
      <c r="X24" s="53" t="str">
        <f>IF(AND('Mapa final'!$Y$68="Alta",'Mapa final'!$AA$68="Moderado"),CONCATENATE("R9C",'Mapa final'!$O$68),"")</f>
        <v/>
      </c>
      <c r="Y24" s="53" t="str">
        <f>IF(AND('Mapa final'!$Y$69="Alta",'Mapa final'!$AA$69="Moderado"),CONCATENATE("R9C",'Mapa final'!$O$69),"")</f>
        <v/>
      </c>
      <c r="Z24" s="53" t="str">
        <f>IF(AND('Mapa final'!$Y$70="Alta",'Mapa final'!$AA$70="Moderado"),CONCATENATE("R9C",'Mapa final'!$O$70),"")</f>
        <v/>
      </c>
      <c r="AA24" s="54" t="str">
        <f>IF(AND('Mapa final'!$Y$71="Alta",'Mapa final'!$AA$71="Moderado"),CONCATENATE("R9C",'Mapa final'!$O$71),"")</f>
        <v/>
      </c>
      <c r="AB24" s="52" t="str">
        <f>IF(AND('Mapa final'!$Y$66="Alta",'Mapa final'!$AA$66="Mayor"),CONCATENATE("R9C",'Mapa final'!$O$66),"")</f>
        <v/>
      </c>
      <c r="AC24" s="53" t="str">
        <f>IF(AND('Mapa final'!$Y$67="Alta",'Mapa final'!$AA$67="Mayor"),CONCATENATE("R9C",'Mapa final'!$O$67),"")</f>
        <v/>
      </c>
      <c r="AD24" s="53" t="str">
        <f>IF(AND('Mapa final'!$Y$68="Alta",'Mapa final'!$AA$68="Mayor"),CONCATENATE("R9C",'Mapa final'!$O$68),"")</f>
        <v/>
      </c>
      <c r="AE24" s="53" t="str">
        <f>IF(AND('Mapa final'!$Y$69="Alta",'Mapa final'!$AA$69="Mayor"),CONCATENATE("R9C",'Mapa final'!$O$69),"")</f>
        <v/>
      </c>
      <c r="AF24" s="53" t="str">
        <f>IF(AND('Mapa final'!$Y$70="Alta",'Mapa final'!$AA$70="Mayor"),CONCATENATE("R9C",'Mapa final'!$O$70),"")</f>
        <v/>
      </c>
      <c r="AG24" s="54" t="str">
        <f>IF(AND('Mapa final'!$Y$71="Alta",'Mapa final'!$AA$71="Mayor"),CONCATENATE("R9C",'Mapa final'!$O$71),"")</f>
        <v/>
      </c>
      <c r="AH24" s="55" t="str">
        <f>IF(AND('Mapa final'!$Y$66="Alta",'Mapa final'!$AA$66="Catastrófico"),CONCATENATE("R9C",'Mapa final'!$O$66),"")</f>
        <v/>
      </c>
      <c r="AI24" s="56" t="str">
        <f>IF(AND('Mapa final'!$Y$67="Alta",'Mapa final'!$AA$67="Catastrófico"),CONCATENATE("R9C",'Mapa final'!$O$67),"")</f>
        <v/>
      </c>
      <c r="AJ24" s="56" t="str">
        <f>IF(AND('Mapa final'!$Y$68="Alta",'Mapa final'!$AA$68="Catastrófico"),CONCATENATE("R9C",'Mapa final'!$O$68),"")</f>
        <v/>
      </c>
      <c r="AK24" s="56" t="str">
        <f>IF(AND('Mapa final'!$Y$69="Alta",'Mapa final'!$AA$69="Catastrófico"),CONCATENATE("R9C",'Mapa final'!$O$69),"")</f>
        <v/>
      </c>
      <c r="AL24" s="56" t="str">
        <f>IF(AND('Mapa final'!$Y$70="Alta",'Mapa final'!$AA$70="Catastrófico"),CONCATENATE("R9C",'Mapa final'!$O$70),"")</f>
        <v/>
      </c>
      <c r="AM24" s="57" t="str">
        <f>IF(AND('Mapa final'!$Y$71="Alta",'Mapa final'!$AA$71="Catastrófico"),CONCATENATE("R9C",'Mapa final'!$O$71),"")</f>
        <v/>
      </c>
      <c r="AN24" s="83"/>
      <c r="AO24" s="432"/>
      <c r="AP24" s="433"/>
      <c r="AQ24" s="433"/>
      <c r="AR24" s="433"/>
      <c r="AS24" s="433"/>
      <c r="AT24" s="434"/>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row>
    <row r="25" spans="1:76" ht="15.75" customHeight="1" thickBot="1" x14ac:dyDescent="0.3">
      <c r="A25" s="83"/>
      <c r="B25" s="343"/>
      <c r="C25" s="343"/>
      <c r="D25" s="344"/>
      <c r="E25" s="443"/>
      <c r="F25" s="444"/>
      <c r="G25" s="444"/>
      <c r="H25" s="444"/>
      <c r="I25" s="444"/>
      <c r="J25" s="70" t="str">
        <f>IF(AND('Mapa final'!$Y$72="Alta",'Mapa final'!$AA$72="Leve"),CONCATENATE("R10C",'Mapa final'!$O$72),"")</f>
        <v/>
      </c>
      <c r="K25" s="71" t="str">
        <f>IF(AND('Mapa final'!$Y$73="Alta",'Mapa final'!$AA$73="Leve"),CONCATENATE("R10C",'Mapa final'!$O$73),"")</f>
        <v/>
      </c>
      <c r="L25" s="71" t="str">
        <f>IF(AND('Mapa final'!$Y$74="Alta",'Mapa final'!$AA$74="Leve"),CONCATENATE("R10C",'Mapa final'!$O$74),"")</f>
        <v/>
      </c>
      <c r="M25" s="71" t="str">
        <f>IF(AND('Mapa final'!$Y$75="Alta",'Mapa final'!$AA$75="Leve"),CONCATENATE("R10C",'Mapa final'!$O$75),"")</f>
        <v/>
      </c>
      <c r="N25" s="71" t="str">
        <f>IF(AND('Mapa final'!$Y$76="Alta",'Mapa final'!$AA$76="Leve"),CONCATENATE("R10C",'Mapa final'!$O$76),"")</f>
        <v/>
      </c>
      <c r="O25" s="72" t="str">
        <f>IF(AND('Mapa final'!$Y$77="Alta",'Mapa final'!$AA$77="Leve"),CONCATENATE("R10C",'Mapa final'!$O$77),"")</f>
        <v/>
      </c>
      <c r="P25" s="70" t="str">
        <f>IF(AND('Mapa final'!$Y$72="Alta",'Mapa final'!$AA$72="Menor"),CONCATENATE("R10C",'Mapa final'!$O$72),"")</f>
        <v/>
      </c>
      <c r="Q25" s="71" t="str">
        <f>IF(AND('Mapa final'!$Y$73="Alta",'Mapa final'!$AA$73="Menor"),CONCATENATE("R10C",'Mapa final'!$O$73),"")</f>
        <v/>
      </c>
      <c r="R25" s="71" t="str">
        <f>IF(AND('Mapa final'!$Y$74="Alta",'Mapa final'!$AA$74="Menor"),CONCATENATE("R10C",'Mapa final'!$O$74),"")</f>
        <v/>
      </c>
      <c r="S25" s="71" t="str">
        <f>IF(AND('Mapa final'!$Y$75="Alta",'Mapa final'!$AA$75="Menor"),CONCATENATE("R10C",'Mapa final'!$O$75),"")</f>
        <v/>
      </c>
      <c r="T25" s="71" t="str">
        <f>IF(AND('Mapa final'!$Y$76="Alta",'Mapa final'!$AA$76="Menor"),CONCATENATE("R10C",'Mapa final'!$O$76),"")</f>
        <v/>
      </c>
      <c r="U25" s="72" t="str">
        <f>IF(AND('Mapa final'!$Y$77="Alta",'Mapa final'!$AA$77="Menor"),CONCATENATE("R10C",'Mapa final'!$O$77),"")</f>
        <v/>
      </c>
      <c r="V25" s="58" t="str">
        <f>IF(AND('Mapa final'!$Y$72="Alta",'Mapa final'!$AA$72="Moderado"),CONCATENATE("R10C",'Mapa final'!$O$72),"")</f>
        <v/>
      </c>
      <c r="W25" s="59" t="str">
        <f>IF(AND('Mapa final'!$Y$73="Alta",'Mapa final'!$AA$73="Moderado"),CONCATENATE("R10C",'Mapa final'!$O$73),"")</f>
        <v/>
      </c>
      <c r="X25" s="59" t="str">
        <f>IF(AND('Mapa final'!$Y$74="Alta",'Mapa final'!$AA$74="Moderado"),CONCATENATE("R10C",'Mapa final'!$O$74),"")</f>
        <v/>
      </c>
      <c r="Y25" s="59" t="str">
        <f>IF(AND('Mapa final'!$Y$75="Alta",'Mapa final'!$AA$75="Moderado"),CONCATENATE("R10C",'Mapa final'!$O$75),"")</f>
        <v/>
      </c>
      <c r="Z25" s="59" t="str">
        <f>IF(AND('Mapa final'!$Y$76="Alta",'Mapa final'!$AA$76="Moderado"),CONCATENATE("R10C",'Mapa final'!$O$76),"")</f>
        <v/>
      </c>
      <c r="AA25" s="60" t="str">
        <f>IF(AND('Mapa final'!$Y$77="Alta",'Mapa final'!$AA$77="Moderado"),CONCATENATE("R10C",'Mapa final'!$O$77),"")</f>
        <v/>
      </c>
      <c r="AB25" s="58" t="str">
        <f>IF(AND('Mapa final'!$Y$72="Alta",'Mapa final'!$AA$72="Mayor"),CONCATENATE("R10C",'Mapa final'!$O$72),"")</f>
        <v/>
      </c>
      <c r="AC25" s="59" t="str">
        <f>IF(AND('Mapa final'!$Y$73="Alta",'Mapa final'!$AA$73="Mayor"),CONCATENATE("R10C",'Mapa final'!$O$73),"")</f>
        <v/>
      </c>
      <c r="AD25" s="59" t="str">
        <f>IF(AND('Mapa final'!$Y$74="Alta",'Mapa final'!$AA$74="Mayor"),CONCATENATE("R10C",'Mapa final'!$O$74),"")</f>
        <v/>
      </c>
      <c r="AE25" s="59" t="str">
        <f>IF(AND('Mapa final'!$Y$75="Alta",'Mapa final'!$AA$75="Mayor"),CONCATENATE("R10C",'Mapa final'!$O$75),"")</f>
        <v/>
      </c>
      <c r="AF25" s="59" t="str">
        <f>IF(AND('Mapa final'!$Y$76="Alta",'Mapa final'!$AA$76="Mayor"),CONCATENATE("R10C",'Mapa final'!$O$76),"")</f>
        <v/>
      </c>
      <c r="AG25" s="60" t="str">
        <f>IF(AND('Mapa final'!$Y$77="Alta",'Mapa final'!$AA$77="Mayor"),CONCATENATE("R10C",'Mapa final'!$O$77),"")</f>
        <v/>
      </c>
      <c r="AH25" s="61" t="str">
        <f>IF(AND('Mapa final'!$Y$72="Alta",'Mapa final'!$AA$72="Catastrófico"),CONCATENATE("R10C",'Mapa final'!$O$72),"")</f>
        <v/>
      </c>
      <c r="AI25" s="62" t="str">
        <f>IF(AND('Mapa final'!$Y$73="Alta",'Mapa final'!$AA$73="Catastrófico"),CONCATENATE("R10C",'Mapa final'!$O$73),"")</f>
        <v/>
      </c>
      <c r="AJ25" s="62" t="str">
        <f>IF(AND('Mapa final'!$Y$74="Alta",'Mapa final'!$AA$74="Catastrófico"),CONCATENATE("R10C",'Mapa final'!$O$74),"")</f>
        <v/>
      </c>
      <c r="AK25" s="62" t="str">
        <f>IF(AND('Mapa final'!$Y$75="Alta",'Mapa final'!$AA$75="Catastrófico"),CONCATENATE("R10C",'Mapa final'!$O$75),"")</f>
        <v/>
      </c>
      <c r="AL25" s="62" t="str">
        <f>IF(AND('Mapa final'!$Y$76="Alta",'Mapa final'!$AA$76="Catastrófico"),CONCATENATE("R10C",'Mapa final'!$O$76),"")</f>
        <v/>
      </c>
      <c r="AM25" s="63" t="str">
        <f>IF(AND('Mapa final'!$Y$77="Alta",'Mapa final'!$AA$77="Catastrófico"),CONCATENATE("R10C",'Mapa final'!$O$77),"")</f>
        <v/>
      </c>
      <c r="AN25" s="83"/>
      <c r="AO25" s="435"/>
      <c r="AP25" s="436"/>
      <c r="AQ25" s="436"/>
      <c r="AR25" s="436"/>
      <c r="AS25" s="436"/>
      <c r="AT25" s="437"/>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row>
    <row r="26" spans="1:76" ht="15" customHeight="1" x14ac:dyDescent="0.25">
      <c r="A26" s="83"/>
      <c r="B26" s="343"/>
      <c r="C26" s="343"/>
      <c r="D26" s="344"/>
      <c r="E26" s="438" t="s">
        <v>96</v>
      </c>
      <c r="F26" s="439"/>
      <c r="G26" s="439"/>
      <c r="H26" s="439"/>
      <c r="I26" s="456"/>
      <c r="J26" s="64" t="str">
        <f>IF(AND('Mapa final'!$Y$22="Media",'Mapa final'!$AA$22="Leve"),CONCATENATE("R1C",'Mapa final'!$O$22),"")</f>
        <v/>
      </c>
      <c r="K26" s="65" t="str">
        <f>IF(AND('Mapa final'!$Y$23="Media",'Mapa final'!$AA$23="Leve"),CONCATENATE("R1C",'Mapa final'!$O$23),"")</f>
        <v/>
      </c>
      <c r="L26" s="65" t="str">
        <f>IF(AND('Mapa final'!$Y$24="Media",'Mapa final'!$AA$24="Leve"),CONCATENATE("R1C",'Mapa final'!$O$24),"")</f>
        <v/>
      </c>
      <c r="M26" s="65" t="str">
        <f>IF(AND('Mapa final'!$Y$25="Media",'Mapa final'!$AA$25="Leve"),CONCATENATE("R1C",'Mapa final'!$O$25),"")</f>
        <v/>
      </c>
      <c r="N26" s="65" t="str">
        <f>IF(AND('Mapa final'!$Y$26="Media",'Mapa final'!$AA$26="Leve"),CONCATENATE("R1C",'Mapa final'!$O$26),"")</f>
        <v/>
      </c>
      <c r="O26" s="66" t="str">
        <f>IF(AND('Mapa final'!$Y$27="Media",'Mapa final'!$AA$27="Leve"),CONCATENATE("R1C",'Mapa final'!$O$27),"")</f>
        <v/>
      </c>
      <c r="P26" s="64" t="str">
        <f>IF(AND('Mapa final'!$Y$22="Media",'Mapa final'!$AA$22="Menor"),CONCATENATE("R1C",'Mapa final'!$O$22),"")</f>
        <v/>
      </c>
      <c r="Q26" s="65" t="str">
        <f>IF(AND('Mapa final'!$Y$23="Media",'Mapa final'!$AA$23="Menor"),CONCATENATE("R1C",'Mapa final'!$O$23),"")</f>
        <v/>
      </c>
      <c r="R26" s="65" t="str">
        <f>IF(AND('Mapa final'!$Y$24="Media",'Mapa final'!$AA$24="Menor"),CONCATENATE("R1C",'Mapa final'!$O$24),"")</f>
        <v/>
      </c>
      <c r="S26" s="65" t="str">
        <f>IF(AND('Mapa final'!$Y$25="Media",'Mapa final'!$AA$25="Menor"),CONCATENATE("R1C",'Mapa final'!$O$25),"")</f>
        <v/>
      </c>
      <c r="T26" s="65" t="str">
        <f>IF(AND('Mapa final'!$Y$26="Media",'Mapa final'!$AA$26="Menor"),CONCATENATE("R1C",'Mapa final'!$O$26),"")</f>
        <v/>
      </c>
      <c r="U26" s="66" t="str">
        <f>IF(AND('Mapa final'!$Y$27="Media",'Mapa final'!$AA$27="Menor"),CONCATENATE("R1C",'Mapa final'!$O$27),"")</f>
        <v/>
      </c>
      <c r="V26" s="64" t="str">
        <f>IF(AND('Mapa final'!$Y$22="Media",'Mapa final'!$AA$22="Moderado"),CONCATENATE("R1C",'Mapa final'!$O$22),"")</f>
        <v/>
      </c>
      <c r="W26" s="65" t="str">
        <f>IF(AND('Mapa final'!$Y$23="Media",'Mapa final'!$AA$23="Moderado"),CONCATENATE("R1C",'Mapa final'!$O$23),"")</f>
        <v/>
      </c>
      <c r="X26" s="65" t="str">
        <f>IF(AND('Mapa final'!$Y$24="Media",'Mapa final'!$AA$24="Moderado"),CONCATENATE("R1C",'Mapa final'!$O$24),"")</f>
        <v/>
      </c>
      <c r="Y26" s="65" t="str">
        <f>IF(AND('Mapa final'!$Y$25="Media",'Mapa final'!$AA$25="Moderado"),CONCATENATE("R1C",'Mapa final'!$O$25),"")</f>
        <v/>
      </c>
      <c r="Z26" s="65" t="str">
        <f>IF(AND('Mapa final'!$Y$26="Media",'Mapa final'!$AA$26="Moderado"),CONCATENATE("R1C",'Mapa final'!$O$26),"")</f>
        <v/>
      </c>
      <c r="AA26" s="66" t="str">
        <f>IF(AND('Mapa final'!$Y$27="Media",'Mapa final'!$AA$27="Moderado"),CONCATENATE("R1C",'Mapa final'!$O$27),"")</f>
        <v/>
      </c>
      <c r="AB26" s="46" t="str">
        <f>IF(AND('Mapa final'!$Y$22="Media",'Mapa final'!$AA$22="Mayor"),CONCATENATE("R1C",'Mapa final'!$O$22),"")</f>
        <v/>
      </c>
      <c r="AC26" s="47" t="str">
        <f>IF(AND('Mapa final'!$Y$23="Media",'Mapa final'!$AA$23="Mayor"),CONCATENATE("R1C",'Mapa final'!$O$23),"")</f>
        <v/>
      </c>
      <c r="AD26" s="47" t="str">
        <f>IF(AND('Mapa final'!$Y$24="Media",'Mapa final'!$AA$24="Mayor"),CONCATENATE("R1C",'Mapa final'!$O$24),"")</f>
        <v/>
      </c>
      <c r="AE26" s="47" t="str">
        <f>IF(AND('Mapa final'!$Y$25="Media",'Mapa final'!$AA$25="Mayor"),CONCATENATE("R1C",'Mapa final'!$O$25),"")</f>
        <v/>
      </c>
      <c r="AF26" s="47" t="str">
        <f>IF(AND('Mapa final'!$Y$26="Media",'Mapa final'!$AA$26="Mayor"),CONCATENATE("R1C",'Mapa final'!$O$26),"")</f>
        <v/>
      </c>
      <c r="AG26" s="48" t="str">
        <f>IF(AND('Mapa final'!$Y$27="Media",'Mapa final'!$AA$27="Mayor"),CONCATENATE("R1C",'Mapa final'!$O$27),"")</f>
        <v/>
      </c>
      <c r="AH26" s="49" t="str">
        <f>IF(AND('Mapa final'!$Y$22="Media",'Mapa final'!$AA$22="Catastrófico"),CONCATENATE("R1C",'Mapa final'!$O$22),"")</f>
        <v/>
      </c>
      <c r="AI26" s="50" t="str">
        <f>IF(AND('Mapa final'!$Y$23="Media",'Mapa final'!$AA$23="Catastrófico"),CONCATENATE("R1C",'Mapa final'!$O$23),"")</f>
        <v/>
      </c>
      <c r="AJ26" s="50" t="str">
        <f>IF(AND('Mapa final'!$Y$24="Media",'Mapa final'!$AA$24="Catastrófico"),CONCATENATE("R1C",'Mapa final'!$O$24),"")</f>
        <v/>
      </c>
      <c r="AK26" s="50" t="str">
        <f>IF(AND('Mapa final'!$Y$25="Media",'Mapa final'!$AA$25="Catastrófico"),CONCATENATE("R1C",'Mapa final'!$O$25),"")</f>
        <v/>
      </c>
      <c r="AL26" s="50" t="str">
        <f>IF(AND('Mapa final'!$Y$26="Media",'Mapa final'!$AA$26="Catastrófico"),CONCATENATE("R1C",'Mapa final'!$O$26),"")</f>
        <v/>
      </c>
      <c r="AM26" s="51" t="str">
        <f>IF(AND('Mapa final'!$Y$27="Media",'Mapa final'!$AA$27="Catastrófico"),CONCATENATE("R1C",'Mapa final'!$O$27),"")</f>
        <v/>
      </c>
      <c r="AN26" s="83"/>
      <c r="AO26" s="468" t="s">
        <v>97</v>
      </c>
      <c r="AP26" s="469"/>
      <c r="AQ26" s="469"/>
      <c r="AR26" s="469"/>
      <c r="AS26" s="469"/>
      <c r="AT26" s="470"/>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row>
    <row r="27" spans="1:76" ht="15" customHeight="1" x14ac:dyDescent="0.25">
      <c r="A27" s="83"/>
      <c r="B27" s="343"/>
      <c r="C27" s="343"/>
      <c r="D27" s="344"/>
      <c r="E27" s="440"/>
      <c r="F27" s="441"/>
      <c r="G27" s="441"/>
      <c r="H27" s="441"/>
      <c r="I27" s="457"/>
      <c r="J27" s="67" t="str">
        <f>IF(AND('Mapa final'!$Y$28="Media",'Mapa final'!$AA$28="Leve"),CONCATENATE("R2C",'Mapa final'!$O$28),"")</f>
        <v/>
      </c>
      <c r="K27" s="68" t="str">
        <f>IF(AND('Mapa final'!$Y$29="Media",'Mapa final'!$AA$29="Leve"),CONCATENATE("R2C",'Mapa final'!$O$29),"")</f>
        <v/>
      </c>
      <c r="L27" s="68" t="str">
        <f>IF(AND('Mapa final'!$Y$30="Media",'Mapa final'!$AA$30="Leve"),CONCATENATE("R2C",'Mapa final'!$O$30),"")</f>
        <v/>
      </c>
      <c r="M27" s="68" t="str">
        <f>IF(AND('Mapa final'!$Y$31="Media",'Mapa final'!$AA$31="Leve"),CONCATENATE("R2C",'Mapa final'!$O$31),"")</f>
        <v/>
      </c>
      <c r="N27" s="68" t="str">
        <f>IF(AND('Mapa final'!$Y$32="Media",'Mapa final'!$AA$32="Leve"),CONCATENATE("R2C",'Mapa final'!$O$32),"")</f>
        <v/>
      </c>
      <c r="O27" s="69" t="str">
        <f>IF(AND('Mapa final'!$Y$33="Media",'Mapa final'!$AA$33="Leve"),CONCATENATE("R2C",'Mapa final'!$O$33),"")</f>
        <v/>
      </c>
      <c r="P27" s="67" t="str">
        <f>IF(AND('Mapa final'!$Y$28="Media",'Mapa final'!$AA$28="Menor"),CONCATENATE("R2C",'Mapa final'!$O$28),"")</f>
        <v/>
      </c>
      <c r="Q27" s="68" t="str">
        <f>IF(AND('Mapa final'!$Y$29="Media",'Mapa final'!$AA$29="Menor"),CONCATENATE("R2C",'Mapa final'!$O$29),"")</f>
        <v/>
      </c>
      <c r="R27" s="68" t="str">
        <f>IF(AND('Mapa final'!$Y$30="Media",'Mapa final'!$AA$30="Menor"),CONCATENATE("R2C",'Mapa final'!$O$30),"")</f>
        <v/>
      </c>
      <c r="S27" s="68" t="str">
        <f>IF(AND('Mapa final'!$Y$31="Media",'Mapa final'!$AA$31="Menor"),CONCATENATE("R2C",'Mapa final'!$O$31),"")</f>
        <v/>
      </c>
      <c r="T27" s="68" t="str">
        <f>IF(AND('Mapa final'!$Y$32="Media",'Mapa final'!$AA$32="Menor"),CONCATENATE("R2C",'Mapa final'!$O$32),"")</f>
        <v/>
      </c>
      <c r="U27" s="69" t="str">
        <f>IF(AND('Mapa final'!$Y$33="Media",'Mapa final'!$AA$33="Menor"),CONCATENATE("R2C",'Mapa final'!$O$33),"")</f>
        <v/>
      </c>
      <c r="V27" s="67" t="str">
        <f>IF(AND('Mapa final'!$Y$28="Media",'Mapa final'!$AA$28="Moderado"),CONCATENATE("R2C",'Mapa final'!$O$28),"")</f>
        <v/>
      </c>
      <c r="W27" s="68" t="str">
        <f>IF(AND('Mapa final'!$Y$29="Media",'Mapa final'!$AA$29="Moderado"),CONCATENATE("R2C",'Mapa final'!$O$29),"")</f>
        <v/>
      </c>
      <c r="X27" s="68" t="str">
        <f>IF(AND('Mapa final'!$Y$30="Media",'Mapa final'!$AA$30="Moderado"),CONCATENATE("R2C",'Mapa final'!$O$30),"")</f>
        <v/>
      </c>
      <c r="Y27" s="68" t="str">
        <f>IF(AND('Mapa final'!$Y$31="Media",'Mapa final'!$AA$31="Moderado"),CONCATENATE("R2C",'Mapa final'!$O$31),"")</f>
        <v/>
      </c>
      <c r="Z27" s="68" t="str">
        <f>IF(AND('Mapa final'!$Y$32="Media",'Mapa final'!$AA$32="Moderado"),CONCATENATE("R2C",'Mapa final'!$O$32),"")</f>
        <v/>
      </c>
      <c r="AA27" s="69" t="str">
        <f>IF(AND('Mapa final'!$Y$33="Media",'Mapa final'!$AA$33="Moderado"),CONCATENATE("R2C",'Mapa final'!$O$33),"")</f>
        <v/>
      </c>
      <c r="AB27" s="52" t="str">
        <f>IF(AND('Mapa final'!$Y$28="Media",'Mapa final'!$AA$28="Mayor"),CONCATENATE("R2C",'Mapa final'!$O$28),"")</f>
        <v/>
      </c>
      <c r="AC27" s="53" t="str">
        <f>IF(AND('Mapa final'!$Y$29="Media",'Mapa final'!$AA$29="Mayor"),CONCATENATE("R2C",'Mapa final'!$O$29),"")</f>
        <v/>
      </c>
      <c r="AD27" s="53" t="str">
        <f>IF(AND('Mapa final'!$Y$30="Media",'Mapa final'!$AA$30="Mayor"),CONCATENATE("R2C",'Mapa final'!$O$30),"")</f>
        <v/>
      </c>
      <c r="AE27" s="53" t="str">
        <f>IF(AND('Mapa final'!$Y$31="Media",'Mapa final'!$AA$31="Mayor"),CONCATENATE("R2C",'Mapa final'!$O$31),"")</f>
        <v/>
      </c>
      <c r="AF27" s="53" t="str">
        <f>IF(AND('Mapa final'!$Y$32="Media",'Mapa final'!$AA$32="Mayor"),CONCATENATE("R2C",'Mapa final'!$O$32),"")</f>
        <v/>
      </c>
      <c r="AG27" s="54" t="str">
        <f>IF(AND('Mapa final'!$Y$33="Media",'Mapa final'!$AA$33="Mayor"),CONCATENATE("R2C",'Mapa final'!$O$33),"")</f>
        <v/>
      </c>
      <c r="AH27" s="55" t="str">
        <f>IF(AND('Mapa final'!$Y$28="Media",'Mapa final'!$AA$28="Catastrófico"),CONCATENATE("R2C",'Mapa final'!$O$28),"")</f>
        <v/>
      </c>
      <c r="AI27" s="56" t="str">
        <f>IF(AND('Mapa final'!$Y$29="Media",'Mapa final'!$AA$29="Catastrófico"),CONCATENATE("R2C",'Mapa final'!$O$29),"")</f>
        <v/>
      </c>
      <c r="AJ27" s="56" t="str">
        <f>IF(AND('Mapa final'!$Y$30="Media",'Mapa final'!$AA$30="Catastrófico"),CONCATENATE("R2C",'Mapa final'!$O$30),"")</f>
        <v/>
      </c>
      <c r="AK27" s="56" t="str">
        <f>IF(AND('Mapa final'!$Y$31="Media",'Mapa final'!$AA$31="Catastrófico"),CONCATENATE("R2C",'Mapa final'!$O$31),"")</f>
        <v/>
      </c>
      <c r="AL27" s="56" t="str">
        <f>IF(AND('Mapa final'!$Y$32="Media",'Mapa final'!$AA$32="Catastrófico"),CONCATENATE("R2C",'Mapa final'!$O$32),"")</f>
        <v/>
      </c>
      <c r="AM27" s="57" t="str">
        <f>IF(AND('Mapa final'!$Y$33="Media",'Mapa final'!$AA$33="Catastrófico"),CONCATENATE("R2C",'Mapa final'!$O$33),"")</f>
        <v/>
      </c>
      <c r="AN27" s="83"/>
      <c r="AO27" s="471"/>
      <c r="AP27" s="472"/>
      <c r="AQ27" s="472"/>
      <c r="AR27" s="472"/>
      <c r="AS27" s="472"/>
      <c r="AT27" s="47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row>
    <row r="28" spans="1:76" ht="15" customHeight="1" x14ac:dyDescent="0.25">
      <c r="A28" s="83"/>
      <c r="B28" s="343"/>
      <c r="C28" s="343"/>
      <c r="D28" s="344"/>
      <c r="E28" s="442"/>
      <c r="F28" s="441"/>
      <c r="G28" s="441"/>
      <c r="H28" s="441"/>
      <c r="I28" s="457"/>
      <c r="J28" s="67" t="str">
        <f>IF(AND('Mapa final'!$Y$34="Media",'Mapa final'!$AA$34="Leve"),CONCATENATE("R3C",'Mapa final'!$O$34),"")</f>
        <v/>
      </c>
      <c r="K28" s="68" t="str">
        <f>IF(AND('Mapa final'!$Y$35="Media",'Mapa final'!$AA$35="Leve"),CONCATENATE("R3C",'Mapa final'!$O$35),"")</f>
        <v/>
      </c>
      <c r="L28" s="68" t="str">
        <f>IF(AND('Mapa final'!$Y$36="Media",'Mapa final'!$AA$36="Leve"),CONCATENATE("R3C",'Mapa final'!$O$36),"")</f>
        <v/>
      </c>
      <c r="M28" s="68" t="str">
        <f>IF(AND('Mapa final'!$Y$37="Media",'Mapa final'!$AA$37="Leve"),CONCATENATE("R3C",'Mapa final'!$O$37),"")</f>
        <v/>
      </c>
      <c r="N28" s="68" t="str">
        <f>IF(AND('Mapa final'!$Y$38="Media",'Mapa final'!$AA$38="Leve"),CONCATENATE("R3C",'Mapa final'!$O$38),"")</f>
        <v/>
      </c>
      <c r="O28" s="69" t="str">
        <f>IF(AND('Mapa final'!$Y$39="Media",'Mapa final'!$AA$39="Leve"),CONCATENATE("R3C",'Mapa final'!$O$39),"")</f>
        <v/>
      </c>
      <c r="P28" s="67" t="str">
        <f>IF(AND('Mapa final'!$Y$34="Media",'Mapa final'!$AA$34="Menor"),CONCATENATE("R3C",'Mapa final'!$O$34),"")</f>
        <v/>
      </c>
      <c r="Q28" s="68" t="str">
        <f>IF(AND('Mapa final'!$Y$35="Media",'Mapa final'!$AA$35="Menor"),CONCATENATE("R3C",'Mapa final'!$O$35),"")</f>
        <v/>
      </c>
      <c r="R28" s="68" t="str">
        <f>IF(AND('Mapa final'!$Y$36="Media",'Mapa final'!$AA$36="Menor"),CONCATENATE("R3C",'Mapa final'!$O$36),"")</f>
        <v/>
      </c>
      <c r="S28" s="68" t="str">
        <f>IF(AND('Mapa final'!$Y$37="Media",'Mapa final'!$AA$37="Menor"),CONCATENATE("R3C",'Mapa final'!$O$37),"")</f>
        <v/>
      </c>
      <c r="T28" s="68" t="str">
        <f>IF(AND('Mapa final'!$Y$38="Media",'Mapa final'!$AA$38="Menor"),CONCATENATE("R3C",'Mapa final'!$O$38),"")</f>
        <v/>
      </c>
      <c r="U28" s="69" t="str">
        <f>IF(AND('Mapa final'!$Y$39="Media",'Mapa final'!$AA$39="Menor"),CONCATENATE("R3C",'Mapa final'!$O$39),"")</f>
        <v/>
      </c>
      <c r="V28" s="67" t="str">
        <f>IF(AND('Mapa final'!$Y$34="Media",'Mapa final'!$AA$34="Moderado"),CONCATENATE("R3C",'Mapa final'!$O$34),"")</f>
        <v/>
      </c>
      <c r="W28" s="68" t="str">
        <f>IF(AND('Mapa final'!$Y$35="Media",'Mapa final'!$AA$35="Moderado"),CONCATENATE("R3C",'Mapa final'!$O$35),"")</f>
        <v/>
      </c>
      <c r="X28" s="68" t="str">
        <f>IF(AND('Mapa final'!$Y$36="Media",'Mapa final'!$AA$36="Moderado"),CONCATENATE("R3C",'Mapa final'!$O$36),"")</f>
        <v/>
      </c>
      <c r="Y28" s="68" t="str">
        <f>IF(AND('Mapa final'!$Y$37="Media",'Mapa final'!$AA$37="Moderado"),CONCATENATE("R3C",'Mapa final'!$O$37),"")</f>
        <v/>
      </c>
      <c r="Z28" s="68" t="str">
        <f>IF(AND('Mapa final'!$Y$38="Media",'Mapa final'!$AA$38="Moderado"),CONCATENATE("R3C",'Mapa final'!$O$38),"")</f>
        <v/>
      </c>
      <c r="AA28" s="69" t="str">
        <f>IF(AND('Mapa final'!$Y$39="Media",'Mapa final'!$AA$39="Moderado"),CONCATENATE("R3C",'Mapa final'!$O$39),"")</f>
        <v/>
      </c>
      <c r="AB28" s="52" t="str">
        <f>IF(AND('Mapa final'!$Y$34="Media",'Mapa final'!$AA$34="Mayor"),CONCATENATE("R3C",'Mapa final'!$O$34),"")</f>
        <v/>
      </c>
      <c r="AC28" s="53" t="str">
        <f>IF(AND('Mapa final'!$Y$35="Media",'Mapa final'!$AA$35="Mayor"),CONCATENATE("R3C",'Mapa final'!$O$35),"")</f>
        <v/>
      </c>
      <c r="AD28" s="53" t="str">
        <f>IF(AND('Mapa final'!$Y$36="Media",'Mapa final'!$AA$36="Mayor"),CONCATENATE("R3C",'Mapa final'!$O$36),"")</f>
        <v/>
      </c>
      <c r="AE28" s="53" t="str">
        <f>IF(AND('Mapa final'!$Y$37="Media",'Mapa final'!$AA$37="Mayor"),CONCATENATE("R3C",'Mapa final'!$O$37),"")</f>
        <v/>
      </c>
      <c r="AF28" s="53" t="str">
        <f>IF(AND('Mapa final'!$Y$38="Media",'Mapa final'!$AA$38="Mayor"),CONCATENATE("R3C",'Mapa final'!$O$38),"")</f>
        <v/>
      </c>
      <c r="AG28" s="54" t="str">
        <f>IF(AND('Mapa final'!$Y$39="Media",'Mapa final'!$AA$39="Mayor"),CONCATENATE("R3C",'Mapa final'!$O$39),"")</f>
        <v/>
      </c>
      <c r="AH28" s="55" t="str">
        <f>IF(AND('Mapa final'!$Y$34="Media",'Mapa final'!$AA$34="Catastrófico"),CONCATENATE("R3C",'Mapa final'!$O$34),"")</f>
        <v/>
      </c>
      <c r="AI28" s="56" t="str">
        <f>IF(AND('Mapa final'!$Y$35="Media",'Mapa final'!$AA$35="Catastrófico"),CONCATENATE("R3C",'Mapa final'!$O$35),"")</f>
        <v/>
      </c>
      <c r="AJ28" s="56" t="str">
        <f>IF(AND('Mapa final'!$Y$36="Media",'Mapa final'!$AA$36="Catastrófico"),CONCATENATE("R3C",'Mapa final'!$O$36),"")</f>
        <v/>
      </c>
      <c r="AK28" s="56" t="str">
        <f>IF(AND('Mapa final'!$Y$37="Media",'Mapa final'!$AA$37="Catastrófico"),CONCATENATE("R3C",'Mapa final'!$O$37),"")</f>
        <v/>
      </c>
      <c r="AL28" s="56" t="str">
        <f>IF(AND('Mapa final'!$Y$38="Media",'Mapa final'!$AA$38="Catastrófico"),CONCATENATE("R3C",'Mapa final'!$O$38),"")</f>
        <v/>
      </c>
      <c r="AM28" s="57" t="str">
        <f>IF(AND('Mapa final'!$Y$39="Media",'Mapa final'!$AA$39="Catastrófico"),CONCATENATE("R3C",'Mapa final'!$O$39),"")</f>
        <v/>
      </c>
      <c r="AN28" s="83"/>
      <c r="AO28" s="471"/>
      <c r="AP28" s="472"/>
      <c r="AQ28" s="472"/>
      <c r="AR28" s="472"/>
      <c r="AS28" s="472"/>
      <c r="AT28" s="47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row>
    <row r="29" spans="1:76" ht="15" customHeight="1" x14ac:dyDescent="0.25">
      <c r="A29" s="83"/>
      <c r="B29" s="343"/>
      <c r="C29" s="343"/>
      <c r="D29" s="344"/>
      <c r="E29" s="442"/>
      <c r="F29" s="441"/>
      <c r="G29" s="441"/>
      <c r="H29" s="441"/>
      <c r="I29" s="457"/>
      <c r="J29" s="67" t="str">
        <f>IF(AND('Mapa final'!$Y$40="Media",'Mapa final'!$AA$40="Leve"),CONCATENATE("R4C",'Mapa final'!$O$40),"")</f>
        <v/>
      </c>
      <c r="K29" s="68" t="str">
        <f>IF(AND('Mapa final'!$Y$41="Media",'Mapa final'!$AA$41="Leve"),CONCATENATE("R4C",'Mapa final'!$O$41),"")</f>
        <v/>
      </c>
      <c r="L29" s="68" t="str">
        <f>IF(AND('Mapa final'!$Y$42="Media",'Mapa final'!$AA$42="Leve"),CONCATENATE("R4C",'Mapa final'!$O$42),"")</f>
        <v/>
      </c>
      <c r="M29" s="68" t="str">
        <f>IF(AND('Mapa final'!$Y$43="Media",'Mapa final'!$AA$43="Leve"),CONCATENATE("R4C",'Mapa final'!$O$43),"")</f>
        <v/>
      </c>
      <c r="N29" s="68" t="str">
        <f>IF(AND('Mapa final'!$Y$44="Media",'Mapa final'!$AA$44="Leve"),CONCATENATE("R4C",'Mapa final'!$O$44),"")</f>
        <v/>
      </c>
      <c r="O29" s="69" t="str">
        <f>IF(AND('Mapa final'!$Y$45="Media",'Mapa final'!$AA$45="Leve"),CONCATENATE("R4C",'Mapa final'!$O$45),"")</f>
        <v/>
      </c>
      <c r="P29" s="67" t="str">
        <f>IF(AND('Mapa final'!$Y$40="Media",'Mapa final'!$AA$40="Menor"),CONCATENATE("R4C",'Mapa final'!$O$40),"")</f>
        <v/>
      </c>
      <c r="Q29" s="68" t="str">
        <f>IF(AND('Mapa final'!$Y$41="Media",'Mapa final'!$AA$41="Menor"),CONCATENATE("R4C",'Mapa final'!$O$41),"")</f>
        <v/>
      </c>
      <c r="R29" s="68" t="str">
        <f>IF(AND('Mapa final'!$Y$42="Media",'Mapa final'!$AA$42="Menor"),CONCATENATE("R4C",'Mapa final'!$O$42),"")</f>
        <v/>
      </c>
      <c r="S29" s="68" t="str">
        <f>IF(AND('Mapa final'!$Y$43="Media",'Mapa final'!$AA$43="Menor"),CONCATENATE("R4C",'Mapa final'!$O$43),"")</f>
        <v/>
      </c>
      <c r="T29" s="68" t="str">
        <f>IF(AND('Mapa final'!$Y$44="Media",'Mapa final'!$AA$44="Menor"),CONCATENATE("R4C",'Mapa final'!$O$44),"")</f>
        <v/>
      </c>
      <c r="U29" s="69" t="str">
        <f>IF(AND('Mapa final'!$Y$45="Media",'Mapa final'!$AA$45="Menor"),CONCATENATE("R4C",'Mapa final'!$O$45),"")</f>
        <v/>
      </c>
      <c r="V29" s="67" t="str">
        <f>IF(AND('Mapa final'!$Y$40="Media",'Mapa final'!$AA$40="Moderado"),CONCATENATE("R4C",'Mapa final'!$O$40),"")</f>
        <v/>
      </c>
      <c r="W29" s="68" t="str">
        <f>IF(AND('Mapa final'!$Y$41="Media",'Mapa final'!$AA$41="Moderado"),CONCATENATE("R4C",'Mapa final'!$O$41),"")</f>
        <v/>
      </c>
      <c r="X29" s="68" t="str">
        <f>IF(AND('Mapa final'!$Y$42="Media",'Mapa final'!$AA$42="Moderado"),CONCATENATE("R4C",'Mapa final'!$O$42),"")</f>
        <v/>
      </c>
      <c r="Y29" s="68" t="str">
        <f>IF(AND('Mapa final'!$Y$43="Media",'Mapa final'!$AA$43="Moderado"),CONCATENATE("R4C",'Mapa final'!$O$43),"")</f>
        <v/>
      </c>
      <c r="Z29" s="68" t="str">
        <f>IF(AND('Mapa final'!$Y$44="Media",'Mapa final'!$AA$44="Moderado"),CONCATENATE("R4C",'Mapa final'!$O$44),"")</f>
        <v/>
      </c>
      <c r="AA29" s="69" t="str">
        <f>IF(AND('Mapa final'!$Y$45="Media",'Mapa final'!$AA$45="Moderado"),CONCATENATE("R4C",'Mapa final'!$O$45),"")</f>
        <v/>
      </c>
      <c r="AB29" s="52" t="str">
        <f>IF(AND('Mapa final'!$Y$40="Media",'Mapa final'!$AA$40="Mayor"),CONCATENATE("R4C",'Mapa final'!$O$40),"")</f>
        <v/>
      </c>
      <c r="AC29" s="53" t="str">
        <f>IF(AND('Mapa final'!$Y$41="Media",'Mapa final'!$AA$41="Mayor"),CONCATENATE("R4C",'Mapa final'!$O$41),"")</f>
        <v/>
      </c>
      <c r="AD29" s="53" t="str">
        <f>IF(AND('Mapa final'!$Y$42="Media",'Mapa final'!$AA$42="Mayor"),CONCATENATE("R4C",'Mapa final'!$O$42),"")</f>
        <v/>
      </c>
      <c r="AE29" s="53" t="str">
        <f>IF(AND('Mapa final'!$Y$43="Media",'Mapa final'!$AA$43="Mayor"),CONCATENATE("R4C",'Mapa final'!$O$43),"")</f>
        <v/>
      </c>
      <c r="AF29" s="53" t="str">
        <f>IF(AND('Mapa final'!$Y$44="Media",'Mapa final'!$AA$44="Mayor"),CONCATENATE("R4C",'Mapa final'!$O$44),"")</f>
        <v/>
      </c>
      <c r="AG29" s="54" t="str">
        <f>IF(AND('Mapa final'!$Y$45="Media",'Mapa final'!$AA$45="Mayor"),CONCATENATE("R4C",'Mapa final'!$O$45),"")</f>
        <v/>
      </c>
      <c r="AH29" s="55" t="str">
        <f>IF(AND('Mapa final'!$Y$40="Media",'Mapa final'!$AA$40="Catastrófico"),CONCATENATE("R4C",'Mapa final'!$O$40),"")</f>
        <v/>
      </c>
      <c r="AI29" s="56" t="str">
        <f>IF(AND('Mapa final'!$Y$41="Media",'Mapa final'!$AA$41="Catastrófico"),CONCATENATE("R4C",'Mapa final'!$O$41),"")</f>
        <v/>
      </c>
      <c r="AJ29" s="56" t="str">
        <f>IF(AND('Mapa final'!$Y$42="Media",'Mapa final'!$AA$42="Catastrófico"),CONCATENATE("R4C",'Mapa final'!$O$42),"")</f>
        <v/>
      </c>
      <c r="AK29" s="56" t="str">
        <f>IF(AND('Mapa final'!$Y$43="Media",'Mapa final'!$AA$43="Catastrófico"),CONCATENATE("R4C",'Mapa final'!$O$43),"")</f>
        <v/>
      </c>
      <c r="AL29" s="56" t="str">
        <f>IF(AND('Mapa final'!$Y$44="Media",'Mapa final'!$AA$44="Catastrófico"),CONCATENATE("R4C",'Mapa final'!$O$44),"")</f>
        <v/>
      </c>
      <c r="AM29" s="57" t="str">
        <f>IF(AND('Mapa final'!$Y$45="Media",'Mapa final'!$AA$45="Catastrófico"),CONCATENATE("R4C",'Mapa final'!$O$45),"")</f>
        <v/>
      </c>
      <c r="AN29" s="83"/>
      <c r="AO29" s="471"/>
      <c r="AP29" s="472"/>
      <c r="AQ29" s="472"/>
      <c r="AR29" s="472"/>
      <c r="AS29" s="472"/>
      <c r="AT29" s="47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row>
    <row r="30" spans="1:76" ht="15" customHeight="1" x14ac:dyDescent="0.25">
      <c r="A30" s="83"/>
      <c r="B30" s="343"/>
      <c r="C30" s="343"/>
      <c r="D30" s="344"/>
      <c r="E30" s="442"/>
      <c r="F30" s="441"/>
      <c r="G30" s="441"/>
      <c r="H30" s="441"/>
      <c r="I30" s="457"/>
      <c r="J30" s="67" t="str">
        <f>IF(AND('Mapa final'!$Y$46="Media",'Mapa final'!$AA$46="Leve"),CONCATENATE("R5C",'Mapa final'!$O$46),"")</f>
        <v/>
      </c>
      <c r="K30" s="68" t="str">
        <f>IF(AND('Mapa final'!$Y$47="Media",'Mapa final'!$AA$47="Leve"),CONCATENATE("R5C",'Mapa final'!$O$47),"")</f>
        <v/>
      </c>
      <c r="L30" s="68" t="str">
        <f>IF(AND('Mapa final'!$Y$48="Media",'Mapa final'!$AA$48="Leve"),CONCATENATE("R5C",'Mapa final'!$O$48),"")</f>
        <v/>
      </c>
      <c r="M30" s="68" t="str">
        <f>IF(AND('Mapa final'!$Y$49="Media",'Mapa final'!$AA$49="Leve"),CONCATENATE("R5C",'Mapa final'!$O$49),"")</f>
        <v/>
      </c>
      <c r="N30" s="68" t="str">
        <f>IF(AND('Mapa final'!$Y$50="Media",'Mapa final'!$AA$50="Leve"),CONCATENATE("R5C",'Mapa final'!$O$50),"")</f>
        <v/>
      </c>
      <c r="O30" s="69" t="str">
        <f>IF(AND('Mapa final'!$Y$51="Media",'Mapa final'!$AA$51="Leve"),CONCATENATE("R5C",'Mapa final'!$O$51),"")</f>
        <v/>
      </c>
      <c r="P30" s="67" t="str">
        <f>IF(AND('Mapa final'!$Y$46="Media",'Mapa final'!$AA$46="Menor"),CONCATENATE("R5C",'Mapa final'!$O$46),"")</f>
        <v/>
      </c>
      <c r="Q30" s="68" t="str">
        <f>IF(AND('Mapa final'!$Y$47="Media",'Mapa final'!$AA$47="Menor"),CONCATENATE("R5C",'Mapa final'!$O$47),"")</f>
        <v/>
      </c>
      <c r="R30" s="68" t="str">
        <f>IF(AND('Mapa final'!$Y$48="Media",'Mapa final'!$AA$48="Menor"),CONCATENATE("R5C",'Mapa final'!$O$48),"")</f>
        <v/>
      </c>
      <c r="S30" s="68" t="str">
        <f>IF(AND('Mapa final'!$Y$49="Media",'Mapa final'!$AA$49="Menor"),CONCATENATE("R5C",'Mapa final'!$O$49),"")</f>
        <v/>
      </c>
      <c r="T30" s="68" t="str">
        <f>IF(AND('Mapa final'!$Y$50="Media",'Mapa final'!$AA$50="Menor"),CONCATENATE("R5C",'Mapa final'!$O$50),"")</f>
        <v/>
      </c>
      <c r="U30" s="69" t="str">
        <f>IF(AND('Mapa final'!$Y$51="Media",'Mapa final'!$AA$51="Menor"),CONCATENATE("R5C",'Mapa final'!$O$51),"")</f>
        <v/>
      </c>
      <c r="V30" s="67" t="str">
        <f>IF(AND('Mapa final'!$Y$46="Media",'Mapa final'!$AA$46="Moderado"),CONCATENATE("R5C",'Mapa final'!$O$46),"")</f>
        <v/>
      </c>
      <c r="W30" s="68" t="str">
        <f>IF(AND('Mapa final'!$Y$47="Media",'Mapa final'!$AA$47="Moderado"),CONCATENATE("R5C",'Mapa final'!$O$47),"")</f>
        <v/>
      </c>
      <c r="X30" s="68" t="str">
        <f>IF(AND('Mapa final'!$Y$48="Media",'Mapa final'!$AA$48="Moderado"),CONCATENATE("R5C",'Mapa final'!$O$48),"")</f>
        <v/>
      </c>
      <c r="Y30" s="68" t="str">
        <f>IF(AND('Mapa final'!$Y$49="Media",'Mapa final'!$AA$49="Moderado"),CONCATENATE("R5C",'Mapa final'!$O$49),"")</f>
        <v/>
      </c>
      <c r="Z30" s="68" t="str">
        <f>IF(AND('Mapa final'!$Y$50="Media",'Mapa final'!$AA$50="Moderado"),CONCATENATE("R5C",'Mapa final'!$O$50),"")</f>
        <v/>
      </c>
      <c r="AA30" s="69" t="str">
        <f>IF(AND('Mapa final'!$Y$51="Media",'Mapa final'!$AA$51="Moderado"),CONCATENATE("R5C",'Mapa final'!$O$51),"")</f>
        <v/>
      </c>
      <c r="AB30" s="52" t="str">
        <f>IF(AND('Mapa final'!$Y$46="Media",'Mapa final'!$AA$46="Mayor"),CONCATENATE("R5C",'Mapa final'!$O$46),"")</f>
        <v/>
      </c>
      <c r="AC30" s="53" t="str">
        <f>IF(AND('Mapa final'!$Y$47="Media",'Mapa final'!$AA$47="Mayor"),CONCATENATE("R5C",'Mapa final'!$O$47),"")</f>
        <v/>
      </c>
      <c r="AD30" s="53" t="str">
        <f>IF(AND('Mapa final'!$Y$48="Media",'Mapa final'!$AA$48="Mayor"),CONCATENATE("R5C",'Mapa final'!$O$48),"")</f>
        <v/>
      </c>
      <c r="AE30" s="53" t="str">
        <f>IF(AND('Mapa final'!$Y$49="Media",'Mapa final'!$AA$49="Mayor"),CONCATENATE("R5C",'Mapa final'!$O$49),"")</f>
        <v/>
      </c>
      <c r="AF30" s="53" t="str">
        <f>IF(AND('Mapa final'!$Y$50="Media",'Mapa final'!$AA$50="Mayor"),CONCATENATE("R5C",'Mapa final'!$O$50),"")</f>
        <v/>
      </c>
      <c r="AG30" s="54" t="str">
        <f>IF(AND('Mapa final'!$Y$51="Media",'Mapa final'!$AA$51="Mayor"),CONCATENATE("R5C",'Mapa final'!$O$51),"")</f>
        <v/>
      </c>
      <c r="AH30" s="55" t="str">
        <f>IF(AND('Mapa final'!$Y$46="Media",'Mapa final'!$AA$46="Catastrófico"),CONCATENATE("R5C",'Mapa final'!$O$46),"")</f>
        <v/>
      </c>
      <c r="AI30" s="56" t="str">
        <f>IF(AND('Mapa final'!$Y$47="Media",'Mapa final'!$AA$47="Catastrófico"),CONCATENATE("R5C",'Mapa final'!$O$47),"")</f>
        <v/>
      </c>
      <c r="AJ30" s="56" t="str">
        <f>IF(AND('Mapa final'!$Y$48="Media",'Mapa final'!$AA$48="Catastrófico"),CONCATENATE("R5C",'Mapa final'!$O$48),"")</f>
        <v/>
      </c>
      <c r="AK30" s="56" t="str">
        <f>IF(AND('Mapa final'!$Y$49="Media",'Mapa final'!$AA$49="Catastrófico"),CONCATENATE("R5C",'Mapa final'!$O$49),"")</f>
        <v/>
      </c>
      <c r="AL30" s="56" t="str">
        <f>IF(AND('Mapa final'!$Y$50="Media",'Mapa final'!$AA$50="Catastrófico"),CONCATENATE("R5C",'Mapa final'!$O$50),"")</f>
        <v/>
      </c>
      <c r="AM30" s="57" t="str">
        <f>IF(AND('Mapa final'!$Y$51="Media",'Mapa final'!$AA$51="Catastrófico"),CONCATENATE("R5C",'Mapa final'!$O$51),"")</f>
        <v/>
      </c>
      <c r="AN30" s="83"/>
      <c r="AO30" s="471"/>
      <c r="AP30" s="472"/>
      <c r="AQ30" s="472"/>
      <c r="AR30" s="472"/>
      <c r="AS30" s="472"/>
      <c r="AT30" s="47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row>
    <row r="31" spans="1:76" ht="15" customHeight="1" x14ac:dyDescent="0.25">
      <c r="A31" s="83"/>
      <c r="B31" s="343"/>
      <c r="C31" s="343"/>
      <c r="D31" s="344"/>
      <c r="E31" s="442"/>
      <c r="F31" s="441"/>
      <c r="G31" s="441"/>
      <c r="H31" s="441"/>
      <c r="I31" s="457"/>
      <c r="J31" s="67" t="str">
        <f>IF(AND('Mapa final'!$Y$52="Media",'Mapa final'!$AA$52="Leve"),CONCATENATE("R6C",'Mapa final'!$O$52),"")</f>
        <v/>
      </c>
      <c r="K31" s="68" t="str">
        <f>IF(AND('Mapa final'!$Y$53="Media",'Mapa final'!$AA$53="Leve"),CONCATENATE("R6C",'Mapa final'!$O$53),"")</f>
        <v/>
      </c>
      <c r="L31" s="68" t="str">
        <f>IF(AND('Mapa final'!$Y$54="Media",'Mapa final'!$AA$54="Leve"),CONCATENATE("R6C",'Mapa final'!$O$54),"")</f>
        <v/>
      </c>
      <c r="M31" s="68" t="str">
        <f>IF(AND('Mapa final'!$Y$55="Media",'Mapa final'!$AA$55="Leve"),CONCATENATE("R6C",'Mapa final'!$O$55),"")</f>
        <v/>
      </c>
      <c r="N31" s="68" t="str">
        <f>IF(AND('Mapa final'!$Y$56="Media",'Mapa final'!$AA$56="Leve"),CONCATENATE("R6C",'Mapa final'!$O$56),"")</f>
        <v/>
      </c>
      <c r="O31" s="69" t="str">
        <f>IF(AND('Mapa final'!$Y$57="Media",'Mapa final'!$AA$57="Leve"),CONCATENATE("R6C",'Mapa final'!$O$57),"")</f>
        <v/>
      </c>
      <c r="P31" s="67" t="str">
        <f>IF(AND('Mapa final'!$Y$52="Media",'Mapa final'!$AA$52="Menor"),CONCATENATE("R6C",'Mapa final'!$O$52),"")</f>
        <v/>
      </c>
      <c r="Q31" s="68" t="str">
        <f>IF(AND('Mapa final'!$Y$53="Media",'Mapa final'!$AA$53="Menor"),CONCATENATE("R6C",'Mapa final'!$O$53),"")</f>
        <v/>
      </c>
      <c r="R31" s="68" t="str">
        <f>IF(AND('Mapa final'!$Y$54="Media",'Mapa final'!$AA$54="Menor"),CONCATENATE("R6C",'Mapa final'!$O$54),"")</f>
        <v/>
      </c>
      <c r="S31" s="68" t="str">
        <f>IF(AND('Mapa final'!$Y$55="Media",'Mapa final'!$AA$55="Menor"),CONCATENATE("R6C",'Mapa final'!$O$55),"")</f>
        <v/>
      </c>
      <c r="T31" s="68" t="str">
        <f>IF(AND('Mapa final'!$Y$56="Media",'Mapa final'!$AA$56="Menor"),CONCATENATE("R6C",'Mapa final'!$O$56),"")</f>
        <v/>
      </c>
      <c r="U31" s="69" t="str">
        <f>IF(AND('Mapa final'!$Y$57="Media",'Mapa final'!$AA$57="Menor"),CONCATENATE("R6C",'Mapa final'!$O$57),"")</f>
        <v/>
      </c>
      <c r="V31" s="67" t="str">
        <f>IF(AND('Mapa final'!$Y$52="Media",'Mapa final'!$AA$52="Moderado"),CONCATENATE("R6C",'Mapa final'!$O$52),"")</f>
        <v/>
      </c>
      <c r="W31" s="68" t="str">
        <f>IF(AND('Mapa final'!$Y$53="Media",'Mapa final'!$AA$53="Moderado"),CONCATENATE("R6C",'Mapa final'!$O$53),"")</f>
        <v/>
      </c>
      <c r="X31" s="68" t="str">
        <f>IF(AND('Mapa final'!$Y$54="Media",'Mapa final'!$AA$54="Moderado"),CONCATENATE("R6C",'Mapa final'!$O$54),"")</f>
        <v/>
      </c>
      <c r="Y31" s="68" t="str">
        <f>IF(AND('Mapa final'!$Y$55="Media",'Mapa final'!$AA$55="Moderado"),CONCATENATE("R6C",'Mapa final'!$O$55),"")</f>
        <v/>
      </c>
      <c r="Z31" s="68" t="str">
        <f>IF(AND('Mapa final'!$Y$56="Media",'Mapa final'!$AA$56="Moderado"),CONCATENATE("R6C",'Mapa final'!$O$56),"")</f>
        <v/>
      </c>
      <c r="AA31" s="69" t="str">
        <f>IF(AND('Mapa final'!$Y$57="Media",'Mapa final'!$AA$57="Moderado"),CONCATENATE("R6C",'Mapa final'!$O$57),"")</f>
        <v/>
      </c>
      <c r="AB31" s="52" t="str">
        <f>IF(AND('Mapa final'!$Y$52="Media",'Mapa final'!$AA$52="Mayor"),CONCATENATE("R6C",'Mapa final'!$O$52),"")</f>
        <v/>
      </c>
      <c r="AC31" s="53" t="str">
        <f>IF(AND('Mapa final'!$Y$53="Media",'Mapa final'!$AA$53="Mayor"),CONCATENATE("R6C",'Mapa final'!$O$53),"")</f>
        <v/>
      </c>
      <c r="AD31" s="53" t="str">
        <f>IF(AND('Mapa final'!$Y$54="Media",'Mapa final'!$AA$54="Mayor"),CONCATENATE("R6C",'Mapa final'!$O$54),"")</f>
        <v/>
      </c>
      <c r="AE31" s="53" t="str">
        <f>IF(AND('Mapa final'!$Y$55="Media",'Mapa final'!$AA$55="Mayor"),CONCATENATE("R6C",'Mapa final'!$O$55),"")</f>
        <v/>
      </c>
      <c r="AF31" s="53" t="str">
        <f>IF(AND('Mapa final'!$Y$56="Media",'Mapa final'!$AA$56="Mayor"),CONCATENATE("R6C",'Mapa final'!$O$56),"")</f>
        <v/>
      </c>
      <c r="AG31" s="54" t="str">
        <f>IF(AND('Mapa final'!$Y$57="Media",'Mapa final'!$AA$57="Mayor"),CONCATENATE("R6C",'Mapa final'!$O$57),"")</f>
        <v/>
      </c>
      <c r="AH31" s="55" t="str">
        <f>IF(AND('Mapa final'!$Y$52="Media",'Mapa final'!$AA$52="Catastrófico"),CONCATENATE("R6C",'Mapa final'!$O$52),"")</f>
        <v/>
      </c>
      <c r="AI31" s="56" t="str">
        <f>IF(AND('Mapa final'!$Y$53="Media",'Mapa final'!$AA$53="Catastrófico"),CONCATENATE("R6C",'Mapa final'!$O$53),"")</f>
        <v/>
      </c>
      <c r="AJ31" s="56" t="str">
        <f>IF(AND('Mapa final'!$Y$54="Media",'Mapa final'!$AA$54="Catastrófico"),CONCATENATE("R6C",'Mapa final'!$O$54),"")</f>
        <v/>
      </c>
      <c r="AK31" s="56" t="str">
        <f>IF(AND('Mapa final'!$Y$55="Media",'Mapa final'!$AA$55="Catastrófico"),CONCATENATE("R6C",'Mapa final'!$O$55),"")</f>
        <v/>
      </c>
      <c r="AL31" s="56" t="str">
        <f>IF(AND('Mapa final'!$Y$56="Media",'Mapa final'!$AA$56="Catastrófico"),CONCATENATE("R6C",'Mapa final'!$O$56),"")</f>
        <v/>
      </c>
      <c r="AM31" s="57" t="str">
        <f>IF(AND('Mapa final'!$Y$57="Media",'Mapa final'!$AA$57="Catastrófico"),CONCATENATE("R6C",'Mapa final'!$O$57),"")</f>
        <v/>
      </c>
      <c r="AN31" s="83"/>
      <c r="AO31" s="471"/>
      <c r="AP31" s="472"/>
      <c r="AQ31" s="472"/>
      <c r="AR31" s="472"/>
      <c r="AS31" s="472"/>
      <c r="AT31" s="47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row>
    <row r="32" spans="1:76" ht="15" customHeight="1" x14ac:dyDescent="0.25">
      <c r="A32" s="83"/>
      <c r="B32" s="343"/>
      <c r="C32" s="343"/>
      <c r="D32" s="344"/>
      <c r="E32" s="442"/>
      <c r="F32" s="441"/>
      <c r="G32" s="441"/>
      <c r="H32" s="441"/>
      <c r="I32" s="457"/>
      <c r="J32" s="67" t="str">
        <f>IF(AND('Mapa final'!$Y$58="Media",'Mapa final'!$AA$58="Leve"),CONCATENATE("R7C",'Mapa final'!$O$58),"")</f>
        <v/>
      </c>
      <c r="K32" s="68" t="str">
        <f>IF(AND('Mapa final'!$Y$59="Media",'Mapa final'!$AA$59="Leve"),CONCATENATE("R7C",'Mapa final'!$O$59),"")</f>
        <v/>
      </c>
      <c r="L32" s="68" t="e">
        <f>IF(AND('Mapa final'!#REF!="Media",'Mapa final'!#REF!="Leve"),CONCATENATE("R7C",'Mapa final'!#REF!),"")</f>
        <v>#REF!</v>
      </c>
      <c r="M32" s="68" t="e">
        <f>IF(AND('Mapa final'!#REF!="Media",'Mapa final'!#REF!="Leve"),CONCATENATE("R7C",'Mapa final'!#REF!),"")</f>
        <v>#REF!</v>
      </c>
      <c r="N32" s="68" t="e">
        <f>IF(AND('Mapa final'!#REF!="Media",'Mapa final'!#REF!="Leve"),CONCATENATE("R7C",'Mapa final'!#REF!),"")</f>
        <v>#REF!</v>
      </c>
      <c r="O32" s="69" t="e">
        <f>IF(AND('Mapa final'!#REF!="Media",'Mapa final'!#REF!="Leve"),CONCATENATE("R7C",'Mapa final'!#REF!),"")</f>
        <v>#REF!</v>
      </c>
      <c r="P32" s="67" t="str">
        <f>IF(AND('Mapa final'!$Y$58="Media",'Mapa final'!$AA$58="Menor"),CONCATENATE("R7C",'Mapa final'!$O$58),"")</f>
        <v/>
      </c>
      <c r="Q32" s="68" t="str">
        <f>IF(AND('Mapa final'!$Y$59="Media",'Mapa final'!$AA$59="Menor"),CONCATENATE("R7C",'Mapa final'!$O$59),"")</f>
        <v/>
      </c>
      <c r="R32" s="68" t="e">
        <f>IF(AND('Mapa final'!#REF!="Media",'Mapa final'!#REF!="Menor"),CONCATENATE("R7C",'Mapa final'!#REF!),"")</f>
        <v>#REF!</v>
      </c>
      <c r="S32" s="68" t="e">
        <f>IF(AND('Mapa final'!#REF!="Media",'Mapa final'!#REF!="Menor"),CONCATENATE("R7C",'Mapa final'!#REF!),"")</f>
        <v>#REF!</v>
      </c>
      <c r="T32" s="68" t="e">
        <f>IF(AND('Mapa final'!#REF!="Media",'Mapa final'!#REF!="Menor"),CONCATENATE("R7C",'Mapa final'!#REF!),"")</f>
        <v>#REF!</v>
      </c>
      <c r="U32" s="69" t="e">
        <f>IF(AND('Mapa final'!#REF!="Media",'Mapa final'!#REF!="Menor"),CONCATENATE("R7C",'Mapa final'!#REF!),"")</f>
        <v>#REF!</v>
      </c>
      <c r="V32" s="67" t="str">
        <f>IF(AND('Mapa final'!$Y$58="Media",'Mapa final'!$AA$58="Moderado"),CONCATENATE("R7C",'Mapa final'!$O$58),"")</f>
        <v/>
      </c>
      <c r="W32" s="68" t="str">
        <f>IF(AND('Mapa final'!$Y$59="Media",'Mapa final'!$AA$59="Moderado"),CONCATENATE("R7C",'Mapa final'!$O$59),"")</f>
        <v/>
      </c>
      <c r="X32" s="68" t="e">
        <f>IF(AND('Mapa final'!#REF!="Media",'Mapa final'!#REF!="Moderado"),CONCATENATE("R7C",'Mapa final'!#REF!),"")</f>
        <v>#REF!</v>
      </c>
      <c r="Y32" s="68" t="e">
        <f>IF(AND('Mapa final'!#REF!="Media",'Mapa final'!#REF!="Moderado"),CONCATENATE("R7C",'Mapa final'!#REF!),"")</f>
        <v>#REF!</v>
      </c>
      <c r="Z32" s="68" t="e">
        <f>IF(AND('Mapa final'!#REF!="Media",'Mapa final'!#REF!="Moderado"),CONCATENATE("R7C",'Mapa final'!#REF!),"")</f>
        <v>#REF!</v>
      </c>
      <c r="AA32" s="69" t="e">
        <f>IF(AND('Mapa final'!#REF!="Media",'Mapa final'!#REF!="Moderado"),CONCATENATE("R7C",'Mapa final'!#REF!),"")</f>
        <v>#REF!</v>
      </c>
      <c r="AB32" s="52" t="str">
        <f>IF(AND('Mapa final'!$Y$58="Media",'Mapa final'!$AA$58="Mayor"),CONCATENATE("R7C",'Mapa final'!$O$58),"")</f>
        <v/>
      </c>
      <c r="AC32" s="53" t="str">
        <f>IF(AND('Mapa final'!$Y$59="Media",'Mapa final'!$AA$59="Mayor"),CONCATENATE("R7C",'Mapa final'!$O$59),"")</f>
        <v/>
      </c>
      <c r="AD32" s="53" t="e">
        <f>IF(AND('Mapa final'!#REF!="Media",'Mapa final'!#REF!="Mayor"),CONCATENATE("R7C",'Mapa final'!#REF!),"")</f>
        <v>#REF!</v>
      </c>
      <c r="AE32" s="53" t="e">
        <f>IF(AND('Mapa final'!#REF!="Media",'Mapa final'!#REF!="Mayor"),CONCATENATE("R7C",'Mapa final'!#REF!),"")</f>
        <v>#REF!</v>
      </c>
      <c r="AF32" s="53" t="e">
        <f>IF(AND('Mapa final'!#REF!="Media",'Mapa final'!#REF!="Mayor"),CONCATENATE("R7C",'Mapa final'!#REF!),"")</f>
        <v>#REF!</v>
      </c>
      <c r="AG32" s="54" t="e">
        <f>IF(AND('Mapa final'!#REF!="Media",'Mapa final'!#REF!="Mayor"),CONCATENATE("R7C",'Mapa final'!#REF!),"")</f>
        <v>#REF!</v>
      </c>
      <c r="AH32" s="55" t="str">
        <f>IF(AND('Mapa final'!$Y$58="Media",'Mapa final'!$AA$58="Catastrófico"),CONCATENATE("R7C",'Mapa final'!$O$58),"")</f>
        <v/>
      </c>
      <c r="AI32" s="56" t="str">
        <f>IF(AND('Mapa final'!$Y$59="Media",'Mapa final'!$AA$59="Catastrófico"),CONCATENATE("R7C",'Mapa final'!$O$59),"")</f>
        <v/>
      </c>
      <c r="AJ32" s="56" t="e">
        <f>IF(AND('Mapa final'!#REF!="Media",'Mapa final'!#REF!="Catastrófico"),CONCATENATE("R7C",'Mapa final'!#REF!),"")</f>
        <v>#REF!</v>
      </c>
      <c r="AK32" s="56" t="e">
        <f>IF(AND('Mapa final'!#REF!="Media",'Mapa final'!#REF!="Catastrófico"),CONCATENATE("R7C",'Mapa final'!#REF!),"")</f>
        <v>#REF!</v>
      </c>
      <c r="AL32" s="56" t="e">
        <f>IF(AND('Mapa final'!#REF!="Media",'Mapa final'!#REF!="Catastrófico"),CONCATENATE("R7C",'Mapa final'!#REF!),"")</f>
        <v>#REF!</v>
      </c>
      <c r="AM32" s="57" t="e">
        <f>IF(AND('Mapa final'!#REF!="Media",'Mapa final'!#REF!="Catastrófico"),CONCATENATE("R7C",'Mapa final'!#REF!),"")</f>
        <v>#REF!</v>
      </c>
      <c r="AN32" s="83"/>
      <c r="AO32" s="471"/>
      <c r="AP32" s="472"/>
      <c r="AQ32" s="472"/>
      <c r="AR32" s="472"/>
      <c r="AS32" s="472"/>
      <c r="AT32" s="47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row>
    <row r="33" spans="1:80" ht="15" customHeight="1" x14ac:dyDescent="0.25">
      <c r="A33" s="83"/>
      <c r="B33" s="343"/>
      <c r="C33" s="343"/>
      <c r="D33" s="344"/>
      <c r="E33" s="442"/>
      <c r="F33" s="441"/>
      <c r="G33" s="441"/>
      <c r="H33" s="441"/>
      <c r="I33" s="457"/>
      <c r="J33" s="67" t="str">
        <f>IF(AND('Mapa final'!$Y$60="Media",'Mapa final'!$AA$60="Leve"),CONCATENATE("R8C",'Mapa final'!$O$60),"")</f>
        <v/>
      </c>
      <c r="K33" s="68" t="str">
        <f>IF(AND('Mapa final'!$Y$61="Media",'Mapa final'!$AA$61="Leve"),CONCATENATE("R8C",'Mapa final'!$O$61),"")</f>
        <v/>
      </c>
      <c r="L33" s="68" t="str">
        <f>IF(AND('Mapa final'!$Y$62="Media",'Mapa final'!$AA$62="Leve"),CONCATENATE("R8C",'Mapa final'!$O$62),"")</f>
        <v/>
      </c>
      <c r="M33" s="68" t="str">
        <f>IF(AND('Mapa final'!$Y$63="Media",'Mapa final'!$AA$63="Leve"),CONCATENATE("R8C",'Mapa final'!$O$63),"")</f>
        <v/>
      </c>
      <c r="N33" s="68" t="str">
        <f>IF(AND('Mapa final'!$Y$64="Media",'Mapa final'!$AA$64="Leve"),CONCATENATE("R8C",'Mapa final'!$O$64),"")</f>
        <v/>
      </c>
      <c r="O33" s="69" t="str">
        <f>IF(AND('Mapa final'!$Y$65="Media",'Mapa final'!$AA$65="Leve"),CONCATENATE("R8C",'Mapa final'!$O$65),"")</f>
        <v/>
      </c>
      <c r="P33" s="67" t="str">
        <f>IF(AND('Mapa final'!$Y$60="Media",'Mapa final'!$AA$60="Menor"),CONCATENATE("R8C",'Mapa final'!$O$60),"")</f>
        <v/>
      </c>
      <c r="Q33" s="68" t="str">
        <f>IF(AND('Mapa final'!$Y$61="Media",'Mapa final'!$AA$61="Menor"),CONCATENATE("R8C",'Mapa final'!$O$61),"")</f>
        <v/>
      </c>
      <c r="R33" s="68" t="str">
        <f>IF(AND('Mapa final'!$Y$62="Media",'Mapa final'!$AA$62="Menor"),CONCATENATE("R8C",'Mapa final'!$O$62),"")</f>
        <v/>
      </c>
      <c r="S33" s="68" t="str">
        <f>IF(AND('Mapa final'!$Y$63="Media",'Mapa final'!$AA$63="Menor"),CONCATENATE("R8C",'Mapa final'!$O$63),"")</f>
        <v/>
      </c>
      <c r="T33" s="68" t="str">
        <f>IF(AND('Mapa final'!$Y$64="Media",'Mapa final'!$AA$64="Menor"),CONCATENATE("R8C",'Mapa final'!$O$64),"")</f>
        <v/>
      </c>
      <c r="U33" s="69" t="str">
        <f>IF(AND('Mapa final'!$Y$65="Media",'Mapa final'!$AA$65="Menor"),CONCATENATE("R8C",'Mapa final'!$O$65),"")</f>
        <v/>
      </c>
      <c r="V33" s="67" t="str">
        <f>IF(AND('Mapa final'!$Y$60="Media",'Mapa final'!$AA$60="Moderado"),CONCATENATE("R8C",'Mapa final'!$O$60),"")</f>
        <v/>
      </c>
      <c r="W33" s="68" t="str">
        <f>IF(AND('Mapa final'!$Y$61="Media",'Mapa final'!$AA$61="Moderado"),CONCATENATE("R8C",'Mapa final'!$O$61),"")</f>
        <v/>
      </c>
      <c r="X33" s="68" t="str">
        <f>IF(AND('Mapa final'!$Y$62="Media",'Mapa final'!$AA$62="Moderado"),CONCATENATE("R8C",'Mapa final'!$O$62),"")</f>
        <v/>
      </c>
      <c r="Y33" s="68" t="str">
        <f>IF(AND('Mapa final'!$Y$63="Media",'Mapa final'!$AA$63="Moderado"),CONCATENATE("R8C",'Mapa final'!$O$63),"")</f>
        <v/>
      </c>
      <c r="Z33" s="68" t="str">
        <f>IF(AND('Mapa final'!$Y$64="Media",'Mapa final'!$AA$64="Moderado"),CONCATENATE("R8C",'Mapa final'!$O$64),"")</f>
        <v/>
      </c>
      <c r="AA33" s="69" t="str">
        <f>IF(AND('Mapa final'!$Y$65="Media",'Mapa final'!$AA$65="Moderado"),CONCATENATE("R8C",'Mapa final'!$O$65),"")</f>
        <v/>
      </c>
      <c r="AB33" s="52" t="str">
        <f>IF(AND('Mapa final'!$Y$60="Media",'Mapa final'!$AA$60="Mayor"),CONCATENATE("R8C",'Mapa final'!$O$60),"")</f>
        <v/>
      </c>
      <c r="AC33" s="53" t="str">
        <f>IF(AND('Mapa final'!$Y$61="Media",'Mapa final'!$AA$61="Mayor"),CONCATENATE("R8C",'Mapa final'!$O$61),"")</f>
        <v/>
      </c>
      <c r="AD33" s="53" t="str">
        <f>IF(AND('Mapa final'!$Y$62="Media",'Mapa final'!$AA$62="Mayor"),CONCATENATE("R8C",'Mapa final'!$O$62),"")</f>
        <v/>
      </c>
      <c r="AE33" s="53" t="str">
        <f>IF(AND('Mapa final'!$Y$63="Media",'Mapa final'!$AA$63="Mayor"),CONCATENATE("R8C",'Mapa final'!$O$63),"")</f>
        <v/>
      </c>
      <c r="AF33" s="53" t="str">
        <f>IF(AND('Mapa final'!$Y$64="Media",'Mapa final'!$AA$64="Mayor"),CONCATENATE("R8C",'Mapa final'!$O$64),"")</f>
        <v/>
      </c>
      <c r="AG33" s="54" t="str">
        <f>IF(AND('Mapa final'!$Y$65="Media",'Mapa final'!$AA$65="Mayor"),CONCATENATE("R8C",'Mapa final'!$O$65),"")</f>
        <v/>
      </c>
      <c r="AH33" s="55" t="str">
        <f>IF(AND('Mapa final'!$Y$60="Media",'Mapa final'!$AA$60="Catastrófico"),CONCATENATE("R8C",'Mapa final'!$O$60),"")</f>
        <v/>
      </c>
      <c r="AI33" s="56" t="str">
        <f>IF(AND('Mapa final'!$Y$61="Media",'Mapa final'!$AA$61="Catastrófico"),CONCATENATE("R8C",'Mapa final'!$O$61),"")</f>
        <v/>
      </c>
      <c r="AJ33" s="56" t="str">
        <f>IF(AND('Mapa final'!$Y$62="Media",'Mapa final'!$AA$62="Catastrófico"),CONCATENATE("R8C",'Mapa final'!$O$62),"")</f>
        <v/>
      </c>
      <c r="AK33" s="56" t="str">
        <f>IF(AND('Mapa final'!$Y$63="Media",'Mapa final'!$AA$63="Catastrófico"),CONCATENATE("R8C",'Mapa final'!$O$63),"")</f>
        <v/>
      </c>
      <c r="AL33" s="56" t="str">
        <f>IF(AND('Mapa final'!$Y$64="Media",'Mapa final'!$AA$64="Catastrófico"),CONCATENATE("R8C",'Mapa final'!$O$64),"")</f>
        <v/>
      </c>
      <c r="AM33" s="57" t="str">
        <f>IF(AND('Mapa final'!$Y$65="Media",'Mapa final'!$AA$65="Catastrófico"),CONCATENATE("R8C",'Mapa final'!$O$65),"")</f>
        <v/>
      </c>
      <c r="AN33" s="83"/>
      <c r="AO33" s="471"/>
      <c r="AP33" s="472"/>
      <c r="AQ33" s="472"/>
      <c r="AR33" s="472"/>
      <c r="AS33" s="472"/>
      <c r="AT33" s="47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row>
    <row r="34" spans="1:80" ht="15" customHeight="1" x14ac:dyDescent="0.25">
      <c r="A34" s="83"/>
      <c r="B34" s="343"/>
      <c r="C34" s="343"/>
      <c r="D34" s="344"/>
      <c r="E34" s="442"/>
      <c r="F34" s="441"/>
      <c r="G34" s="441"/>
      <c r="H34" s="441"/>
      <c r="I34" s="457"/>
      <c r="J34" s="67" t="str">
        <f>IF(AND('Mapa final'!$Y$66="Media",'Mapa final'!$AA$66="Leve"),CONCATENATE("R9C",'Mapa final'!$O$66),"")</f>
        <v/>
      </c>
      <c r="K34" s="68" t="str">
        <f>IF(AND('Mapa final'!$Y$67="Media",'Mapa final'!$AA$67="Leve"),CONCATENATE("R9C",'Mapa final'!$O$67),"")</f>
        <v/>
      </c>
      <c r="L34" s="68" t="str">
        <f>IF(AND('Mapa final'!$Y$68="Media",'Mapa final'!$AA$68="Leve"),CONCATENATE("R9C",'Mapa final'!$O$68),"")</f>
        <v/>
      </c>
      <c r="M34" s="68" t="str">
        <f>IF(AND('Mapa final'!$Y$69="Media",'Mapa final'!$AA$69="Leve"),CONCATENATE("R9C",'Mapa final'!$O$69),"")</f>
        <v/>
      </c>
      <c r="N34" s="68" t="str">
        <f>IF(AND('Mapa final'!$Y$70="Media",'Mapa final'!$AA$70="Leve"),CONCATENATE("R9C",'Mapa final'!$O$70),"")</f>
        <v/>
      </c>
      <c r="O34" s="69" t="str">
        <f>IF(AND('Mapa final'!$Y$71="Media",'Mapa final'!$AA$71="Leve"),CONCATENATE("R9C",'Mapa final'!$O$71),"")</f>
        <v/>
      </c>
      <c r="P34" s="67" t="str">
        <f>IF(AND('Mapa final'!$Y$66="Media",'Mapa final'!$AA$66="Menor"),CONCATENATE("R9C",'Mapa final'!$O$66),"")</f>
        <v/>
      </c>
      <c r="Q34" s="68" t="str">
        <f>IF(AND('Mapa final'!$Y$67="Media",'Mapa final'!$AA$67="Menor"),CONCATENATE("R9C",'Mapa final'!$O$67),"")</f>
        <v/>
      </c>
      <c r="R34" s="68" t="str">
        <f>IF(AND('Mapa final'!$Y$68="Media",'Mapa final'!$AA$68="Menor"),CONCATENATE("R9C",'Mapa final'!$O$68),"")</f>
        <v/>
      </c>
      <c r="S34" s="68" t="str">
        <f>IF(AND('Mapa final'!$Y$69="Media",'Mapa final'!$AA$69="Menor"),CONCATENATE("R9C",'Mapa final'!$O$69),"")</f>
        <v/>
      </c>
      <c r="T34" s="68" t="str">
        <f>IF(AND('Mapa final'!$Y$70="Media",'Mapa final'!$AA$70="Menor"),CONCATENATE("R9C",'Mapa final'!$O$70),"")</f>
        <v/>
      </c>
      <c r="U34" s="69" t="str">
        <f>IF(AND('Mapa final'!$Y$71="Media",'Mapa final'!$AA$71="Menor"),CONCATENATE("R9C",'Mapa final'!$O$71),"")</f>
        <v/>
      </c>
      <c r="V34" s="67" t="str">
        <f>IF(AND('Mapa final'!$Y$66="Media",'Mapa final'!$AA$66="Moderado"),CONCATENATE("R9C",'Mapa final'!$O$66),"")</f>
        <v/>
      </c>
      <c r="W34" s="68" t="str">
        <f>IF(AND('Mapa final'!$Y$67="Media",'Mapa final'!$AA$67="Moderado"),CONCATENATE("R9C",'Mapa final'!$O$67),"")</f>
        <v/>
      </c>
      <c r="X34" s="68" t="str">
        <f>IF(AND('Mapa final'!$Y$68="Media",'Mapa final'!$AA$68="Moderado"),CONCATENATE("R9C",'Mapa final'!$O$68),"")</f>
        <v/>
      </c>
      <c r="Y34" s="68" t="str">
        <f>IF(AND('Mapa final'!$Y$69="Media",'Mapa final'!$AA$69="Moderado"),CONCATENATE("R9C",'Mapa final'!$O$69),"")</f>
        <v/>
      </c>
      <c r="Z34" s="68" t="str">
        <f>IF(AND('Mapa final'!$Y$70="Media",'Mapa final'!$AA$70="Moderado"),CONCATENATE("R9C",'Mapa final'!$O$70),"")</f>
        <v/>
      </c>
      <c r="AA34" s="69" t="str">
        <f>IF(AND('Mapa final'!$Y$71="Media",'Mapa final'!$AA$71="Moderado"),CONCATENATE("R9C",'Mapa final'!$O$71),"")</f>
        <v/>
      </c>
      <c r="AB34" s="52" t="str">
        <f>IF(AND('Mapa final'!$Y$66="Media",'Mapa final'!$AA$66="Mayor"),CONCATENATE("R9C",'Mapa final'!$O$66),"")</f>
        <v/>
      </c>
      <c r="AC34" s="53" t="str">
        <f>IF(AND('Mapa final'!$Y$67="Media",'Mapa final'!$AA$67="Mayor"),CONCATENATE("R9C",'Mapa final'!$O$67),"")</f>
        <v/>
      </c>
      <c r="AD34" s="53" t="str">
        <f>IF(AND('Mapa final'!$Y$68="Media",'Mapa final'!$AA$68="Mayor"),CONCATENATE("R9C",'Mapa final'!$O$68),"")</f>
        <v/>
      </c>
      <c r="AE34" s="53" t="str">
        <f>IF(AND('Mapa final'!$Y$69="Media",'Mapa final'!$AA$69="Mayor"),CONCATENATE("R9C",'Mapa final'!$O$69),"")</f>
        <v/>
      </c>
      <c r="AF34" s="53" t="str">
        <f>IF(AND('Mapa final'!$Y$70="Media",'Mapa final'!$AA$70="Mayor"),CONCATENATE("R9C",'Mapa final'!$O$70),"")</f>
        <v/>
      </c>
      <c r="AG34" s="54" t="str">
        <f>IF(AND('Mapa final'!$Y$71="Media",'Mapa final'!$AA$71="Mayor"),CONCATENATE("R9C",'Mapa final'!$O$71),"")</f>
        <v/>
      </c>
      <c r="AH34" s="55" t="str">
        <f>IF(AND('Mapa final'!$Y$66="Media",'Mapa final'!$AA$66="Catastrófico"),CONCATENATE("R9C",'Mapa final'!$O$66),"")</f>
        <v/>
      </c>
      <c r="AI34" s="56" t="str">
        <f>IF(AND('Mapa final'!$Y$67="Media",'Mapa final'!$AA$67="Catastrófico"),CONCATENATE("R9C",'Mapa final'!$O$67),"")</f>
        <v/>
      </c>
      <c r="AJ34" s="56" t="str">
        <f>IF(AND('Mapa final'!$Y$68="Media",'Mapa final'!$AA$68="Catastrófico"),CONCATENATE("R9C",'Mapa final'!$O$68),"")</f>
        <v/>
      </c>
      <c r="AK34" s="56" t="str">
        <f>IF(AND('Mapa final'!$Y$69="Media",'Mapa final'!$AA$69="Catastrófico"),CONCATENATE("R9C",'Mapa final'!$O$69),"")</f>
        <v/>
      </c>
      <c r="AL34" s="56" t="str">
        <f>IF(AND('Mapa final'!$Y$70="Media",'Mapa final'!$AA$70="Catastrófico"),CONCATENATE("R9C",'Mapa final'!$O$70),"")</f>
        <v/>
      </c>
      <c r="AM34" s="57" t="str">
        <f>IF(AND('Mapa final'!$Y$71="Media",'Mapa final'!$AA$71="Catastrófico"),CONCATENATE("R9C",'Mapa final'!$O$71),"")</f>
        <v/>
      </c>
      <c r="AN34" s="83"/>
      <c r="AO34" s="471"/>
      <c r="AP34" s="472"/>
      <c r="AQ34" s="472"/>
      <c r="AR34" s="472"/>
      <c r="AS34" s="472"/>
      <c r="AT34" s="47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row>
    <row r="35" spans="1:80" ht="15.75" customHeight="1" thickBot="1" x14ac:dyDescent="0.3">
      <c r="A35" s="83"/>
      <c r="B35" s="343"/>
      <c r="C35" s="343"/>
      <c r="D35" s="344"/>
      <c r="E35" s="443"/>
      <c r="F35" s="444"/>
      <c r="G35" s="444"/>
      <c r="H35" s="444"/>
      <c r="I35" s="458"/>
      <c r="J35" s="67" t="str">
        <f>IF(AND('Mapa final'!$Y$72="Media",'Mapa final'!$AA$72="Leve"),CONCATENATE("R10C",'Mapa final'!$O$72),"")</f>
        <v/>
      </c>
      <c r="K35" s="68" t="str">
        <f>IF(AND('Mapa final'!$Y$73="Media",'Mapa final'!$AA$73="Leve"),CONCATENATE("R10C",'Mapa final'!$O$73),"")</f>
        <v/>
      </c>
      <c r="L35" s="68" t="str">
        <f>IF(AND('Mapa final'!$Y$74="Media",'Mapa final'!$AA$74="Leve"),CONCATENATE("R10C",'Mapa final'!$O$74),"")</f>
        <v/>
      </c>
      <c r="M35" s="68" t="str">
        <f>IF(AND('Mapa final'!$Y$75="Media",'Mapa final'!$AA$75="Leve"),CONCATENATE("R10C",'Mapa final'!$O$75),"")</f>
        <v/>
      </c>
      <c r="N35" s="68" t="str">
        <f>IF(AND('Mapa final'!$Y$76="Media",'Mapa final'!$AA$76="Leve"),CONCATENATE("R10C",'Mapa final'!$O$76),"")</f>
        <v/>
      </c>
      <c r="O35" s="69" t="str">
        <f>IF(AND('Mapa final'!$Y$77="Media",'Mapa final'!$AA$77="Leve"),CONCATENATE("R10C",'Mapa final'!$O$77),"")</f>
        <v/>
      </c>
      <c r="P35" s="67" t="str">
        <f>IF(AND('Mapa final'!$Y$72="Media",'Mapa final'!$AA$72="Menor"),CONCATENATE("R10C",'Mapa final'!$O$72),"")</f>
        <v/>
      </c>
      <c r="Q35" s="68" t="str">
        <f>IF(AND('Mapa final'!$Y$73="Media",'Mapa final'!$AA$73="Menor"),CONCATENATE("R10C",'Mapa final'!$O$73),"")</f>
        <v/>
      </c>
      <c r="R35" s="68" t="str">
        <f>IF(AND('Mapa final'!$Y$74="Media",'Mapa final'!$AA$74="Menor"),CONCATENATE("R10C",'Mapa final'!$O$74),"")</f>
        <v/>
      </c>
      <c r="S35" s="68" t="str">
        <f>IF(AND('Mapa final'!$Y$75="Media",'Mapa final'!$AA$75="Menor"),CONCATENATE("R10C",'Mapa final'!$O$75),"")</f>
        <v/>
      </c>
      <c r="T35" s="68" t="str">
        <f>IF(AND('Mapa final'!$Y$76="Media",'Mapa final'!$AA$76="Menor"),CONCATENATE("R10C",'Mapa final'!$O$76),"")</f>
        <v/>
      </c>
      <c r="U35" s="69" t="str">
        <f>IF(AND('Mapa final'!$Y$77="Media",'Mapa final'!$AA$77="Menor"),CONCATENATE("R10C",'Mapa final'!$O$77),"")</f>
        <v/>
      </c>
      <c r="V35" s="67" t="str">
        <f>IF(AND('Mapa final'!$Y$72="Media",'Mapa final'!$AA$72="Moderado"),CONCATENATE("R10C",'Mapa final'!$O$72),"")</f>
        <v/>
      </c>
      <c r="W35" s="68" t="str">
        <f>IF(AND('Mapa final'!$Y$73="Media",'Mapa final'!$AA$73="Moderado"),CONCATENATE("R10C",'Mapa final'!$O$73),"")</f>
        <v/>
      </c>
      <c r="X35" s="68" t="str">
        <f>IF(AND('Mapa final'!$Y$74="Media",'Mapa final'!$AA$74="Moderado"),CONCATENATE("R10C",'Mapa final'!$O$74),"")</f>
        <v/>
      </c>
      <c r="Y35" s="68" t="str">
        <f>IF(AND('Mapa final'!$Y$75="Media",'Mapa final'!$AA$75="Moderado"),CONCATENATE("R10C",'Mapa final'!$O$75),"")</f>
        <v/>
      </c>
      <c r="Z35" s="68" t="str">
        <f>IF(AND('Mapa final'!$Y$76="Media",'Mapa final'!$AA$76="Moderado"),CONCATENATE("R10C",'Mapa final'!$O$76),"")</f>
        <v/>
      </c>
      <c r="AA35" s="69" t="str">
        <f>IF(AND('Mapa final'!$Y$77="Media",'Mapa final'!$AA$77="Moderado"),CONCATENATE("R10C",'Mapa final'!$O$77),"")</f>
        <v/>
      </c>
      <c r="AB35" s="58" t="str">
        <f>IF(AND('Mapa final'!$Y$72="Media",'Mapa final'!$AA$72="Mayor"),CONCATENATE("R10C",'Mapa final'!$O$72),"")</f>
        <v/>
      </c>
      <c r="AC35" s="59" t="str">
        <f>IF(AND('Mapa final'!$Y$73="Media",'Mapa final'!$AA$73="Mayor"),CONCATENATE("R10C",'Mapa final'!$O$73),"")</f>
        <v/>
      </c>
      <c r="AD35" s="59" t="str">
        <f>IF(AND('Mapa final'!$Y$74="Media",'Mapa final'!$AA$74="Mayor"),CONCATENATE("R10C",'Mapa final'!$O$74),"")</f>
        <v/>
      </c>
      <c r="AE35" s="59" t="str">
        <f>IF(AND('Mapa final'!$Y$75="Media",'Mapa final'!$AA$75="Mayor"),CONCATENATE("R10C",'Mapa final'!$O$75),"")</f>
        <v/>
      </c>
      <c r="AF35" s="59" t="str">
        <f>IF(AND('Mapa final'!$Y$76="Media",'Mapa final'!$AA$76="Mayor"),CONCATENATE("R10C",'Mapa final'!$O$76),"")</f>
        <v/>
      </c>
      <c r="AG35" s="60" t="str">
        <f>IF(AND('Mapa final'!$Y$77="Media",'Mapa final'!$AA$77="Mayor"),CONCATENATE("R10C",'Mapa final'!$O$77),"")</f>
        <v/>
      </c>
      <c r="AH35" s="61" t="str">
        <f>IF(AND('Mapa final'!$Y$72="Media",'Mapa final'!$AA$72="Catastrófico"),CONCATENATE("R10C",'Mapa final'!$O$72),"")</f>
        <v/>
      </c>
      <c r="AI35" s="62" t="str">
        <f>IF(AND('Mapa final'!$Y$73="Media",'Mapa final'!$AA$73="Catastrófico"),CONCATENATE("R10C",'Mapa final'!$O$73),"")</f>
        <v/>
      </c>
      <c r="AJ35" s="62" t="str">
        <f>IF(AND('Mapa final'!$Y$74="Media",'Mapa final'!$AA$74="Catastrófico"),CONCATENATE("R10C",'Mapa final'!$O$74),"")</f>
        <v/>
      </c>
      <c r="AK35" s="62" t="str">
        <f>IF(AND('Mapa final'!$Y$75="Media",'Mapa final'!$AA$75="Catastrófico"),CONCATENATE("R10C",'Mapa final'!$O$75),"")</f>
        <v/>
      </c>
      <c r="AL35" s="62" t="str">
        <f>IF(AND('Mapa final'!$Y$76="Media",'Mapa final'!$AA$76="Catastrófico"),CONCATENATE("R10C",'Mapa final'!$O$76),"")</f>
        <v/>
      </c>
      <c r="AM35" s="63" t="str">
        <f>IF(AND('Mapa final'!$Y$77="Media",'Mapa final'!$AA$77="Catastrófico"),CONCATENATE("R10C",'Mapa final'!$O$77),"")</f>
        <v/>
      </c>
      <c r="AN35" s="83"/>
      <c r="AO35" s="474"/>
      <c r="AP35" s="475"/>
      <c r="AQ35" s="475"/>
      <c r="AR35" s="475"/>
      <c r="AS35" s="475"/>
      <c r="AT35" s="476"/>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row>
    <row r="36" spans="1:80" ht="15" customHeight="1" x14ac:dyDescent="0.25">
      <c r="A36" s="83"/>
      <c r="B36" s="343"/>
      <c r="C36" s="343"/>
      <c r="D36" s="344"/>
      <c r="E36" s="438" t="s">
        <v>98</v>
      </c>
      <c r="F36" s="439"/>
      <c r="G36" s="439"/>
      <c r="H36" s="439"/>
      <c r="I36" s="439"/>
      <c r="J36" s="73" t="str">
        <f>IF(AND('Mapa final'!$Y$22="Baja",'Mapa final'!$AA$22="Leve"),CONCATENATE("R1C",'Mapa final'!$O$22),"")</f>
        <v/>
      </c>
      <c r="K36" s="74" t="str">
        <f>IF(AND('Mapa final'!$Y$23="Baja",'Mapa final'!$AA$23="Leve"),CONCATENATE("R1C",'Mapa final'!$O$23),"")</f>
        <v/>
      </c>
      <c r="L36" s="74" t="str">
        <f>IF(AND('Mapa final'!$Y$24="Baja",'Mapa final'!$AA$24="Leve"),CONCATENATE("R1C",'Mapa final'!$O$24),"")</f>
        <v/>
      </c>
      <c r="M36" s="74" t="str">
        <f>IF(AND('Mapa final'!$Y$25="Baja",'Mapa final'!$AA$25="Leve"),CONCATENATE("R1C",'Mapa final'!$O$25),"")</f>
        <v/>
      </c>
      <c r="N36" s="74" t="str">
        <f>IF(AND('Mapa final'!$Y$26="Baja",'Mapa final'!$AA$26="Leve"),CONCATENATE("R1C",'Mapa final'!$O$26),"")</f>
        <v/>
      </c>
      <c r="O36" s="75" t="str">
        <f>IF(AND('Mapa final'!$Y$27="Baja",'Mapa final'!$AA$27="Leve"),CONCATENATE("R1C",'Mapa final'!$O$27),"")</f>
        <v/>
      </c>
      <c r="P36" s="64" t="str">
        <f>IF(AND('Mapa final'!$Y$22="Baja",'Mapa final'!$AA$22="Menor"),CONCATENATE("R1C",'Mapa final'!$O$22),"")</f>
        <v/>
      </c>
      <c r="Q36" s="65" t="str">
        <f>IF(AND('Mapa final'!$Y$23="Baja",'Mapa final'!$AA$23="Menor"),CONCATENATE("R1C",'Mapa final'!$O$23),"")</f>
        <v/>
      </c>
      <c r="R36" s="65" t="str">
        <f>IF(AND('Mapa final'!$Y$24="Baja",'Mapa final'!$AA$24="Menor"),CONCATENATE("R1C",'Mapa final'!$O$24),"")</f>
        <v/>
      </c>
      <c r="S36" s="65" t="str">
        <f>IF(AND('Mapa final'!$Y$25="Baja",'Mapa final'!$AA$25="Menor"),CONCATENATE("R1C",'Mapa final'!$O$25),"")</f>
        <v/>
      </c>
      <c r="T36" s="65" t="str">
        <f>IF(AND('Mapa final'!$Y$26="Baja",'Mapa final'!$AA$26="Menor"),CONCATENATE("R1C",'Mapa final'!$O$26),"")</f>
        <v/>
      </c>
      <c r="U36" s="66" t="str">
        <f>IF(AND('Mapa final'!$Y$27="Baja",'Mapa final'!$AA$27="Menor"),CONCATENATE("R1C",'Mapa final'!$O$27),"")</f>
        <v/>
      </c>
      <c r="V36" s="64" t="str">
        <f>IF(AND('Mapa final'!$Y$22="Baja",'Mapa final'!$AA$22="Moderado"),CONCATENATE("R1C",'Mapa final'!$O$22),"")</f>
        <v/>
      </c>
      <c r="W36" s="65" t="str">
        <f>IF(AND('Mapa final'!$Y$23="Baja",'Mapa final'!$AA$23="Moderado"),CONCATENATE("R1C",'Mapa final'!$O$23),"")</f>
        <v/>
      </c>
      <c r="X36" s="65" t="str">
        <f>IF(AND('Mapa final'!$Y$24="Baja",'Mapa final'!$AA$24="Moderado"),CONCATENATE("R1C",'Mapa final'!$O$24),"")</f>
        <v/>
      </c>
      <c r="Y36" s="65" t="str">
        <f>IF(AND('Mapa final'!$Y$25="Baja",'Mapa final'!$AA$25="Moderado"),CONCATENATE("R1C",'Mapa final'!$O$25),"")</f>
        <v/>
      </c>
      <c r="Z36" s="65" t="str">
        <f>IF(AND('Mapa final'!$Y$26="Baja",'Mapa final'!$AA$26="Moderado"),CONCATENATE("R1C",'Mapa final'!$O$26),"")</f>
        <v/>
      </c>
      <c r="AA36" s="66" t="str">
        <f>IF(AND('Mapa final'!$Y$27="Baja",'Mapa final'!$AA$27="Moderado"),CONCATENATE("R1C",'Mapa final'!$O$27),"")</f>
        <v/>
      </c>
      <c r="AB36" s="46" t="str">
        <f>IF(AND('Mapa final'!$Y$22="Baja",'Mapa final'!$AA$22="Mayor"),CONCATENATE("R1C",'Mapa final'!$O$22),"")</f>
        <v/>
      </c>
      <c r="AC36" s="47" t="str">
        <f>IF(AND('Mapa final'!$Y$23="Baja",'Mapa final'!$AA$23="Mayor"),CONCATENATE("R1C",'Mapa final'!$O$23),"")</f>
        <v/>
      </c>
      <c r="AD36" s="47" t="str">
        <f>IF(AND('Mapa final'!$Y$24="Baja",'Mapa final'!$AA$24="Mayor"),CONCATENATE("R1C",'Mapa final'!$O$24),"")</f>
        <v/>
      </c>
      <c r="AE36" s="47" t="str">
        <f>IF(AND('Mapa final'!$Y$25="Baja",'Mapa final'!$AA$25="Mayor"),CONCATENATE("R1C",'Mapa final'!$O$25),"")</f>
        <v/>
      </c>
      <c r="AF36" s="47" t="str">
        <f>IF(AND('Mapa final'!$Y$26="Baja",'Mapa final'!$AA$26="Mayor"),CONCATENATE("R1C",'Mapa final'!$O$26),"")</f>
        <v/>
      </c>
      <c r="AG36" s="48" t="str">
        <f>IF(AND('Mapa final'!$Y$27="Baja",'Mapa final'!$AA$27="Mayor"),CONCATENATE("R1C",'Mapa final'!$O$27),"")</f>
        <v/>
      </c>
      <c r="AH36" s="49" t="str">
        <f>IF(AND('Mapa final'!$Y$22="Baja",'Mapa final'!$AA$22="Catastrófico"),CONCATENATE("R1C",'Mapa final'!$O$22),"")</f>
        <v/>
      </c>
      <c r="AI36" s="50" t="str">
        <f>IF(AND('Mapa final'!$Y$23="Baja",'Mapa final'!$AA$23="Catastrófico"),CONCATENATE("R1C",'Mapa final'!$O$23),"")</f>
        <v/>
      </c>
      <c r="AJ36" s="50" t="str">
        <f>IF(AND('Mapa final'!$Y$24="Baja",'Mapa final'!$AA$24="Catastrófico"),CONCATENATE("R1C",'Mapa final'!$O$24),"")</f>
        <v/>
      </c>
      <c r="AK36" s="50" t="str">
        <f>IF(AND('Mapa final'!$Y$25="Baja",'Mapa final'!$AA$25="Catastrófico"),CONCATENATE("R1C",'Mapa final'!$O$25),"")</f>
        <v/>
      </c>
      <c r="AL36" s="50" t="str">
        <f>IF(AND('Mapa final'!$Y$26="Baja",'Mapa final'!$AA$26="Catastrófico"),CONCATENATE("R1C",'Mapa final'!$O$26),"")</f>
        <v/>
      </c>
      <c r="AM36" s="51" t="str">
        <f>IF(AND('Mapa final'!$Y$27="Baja",'Mapa final'!$AA$27="Catastrófico"),CONCATENATE("R1C",'Mapa final'!$O$27),"")</f>
        <v/>
      </c>
      <c r="AN36" s="83"/>
      <c r="AO36" s="459" t="s">
        <v>99</v>
      </c>
      <c r="AP36" s="460"/>
      <c r="AQ36" s="460"/>
      <c r="AR36" s="460"/>
      <c r="AS36" s="460"/>
      <c r="AT36" s="461"/>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row>
    <row r="37" spans="1:80" ht="15" customHeight="1" x14ac:dyDescent="0.25">
      <c r="A37" s="83"/>
      <c r="B37" s="343"/>
      <c r="C37" s="343"/>
      <c r="D37" s="344"/>
      <c r="E37" s="440"/>
      <c r="F37" s="441"/>
      <c r="G37" s="441"/>
      <c r="H37" s="441"/>
      <c r="I37" s="441"/>
      <c r="J37" s="76" t="str">
        <f>IF(AND('Mapa final'!$Y$28="Baja",'Mapa final'!$AA$28="Leve"),CONCATENATE("R2C",'Mapa final'!$O$28),"")</f>
        <v/>
      </c>
      <c r="K37" s="77" t="str">
        <f>IF(AND('Mapa final'!$Y$29="Baja",'Mapa final'!$AA$29="Leve"),CONCATENATE("R2C",'Mapa final'!$O$29),"")</f>
        <v/>
      </c>
      <c r="L37" s="77" t="str">
        <f>IF(AND('Mapa final'!$Y$30="Baja",'Mapa final'!$AA$30="Leve"),CONCATENATE("R2C",'Mapa final'!$O$30),"")</f>
        <v/>
      </c>
      <c r="M37" s="77" t="str">
        <f>IF(AND('Mapa final'!$Y$31="Baja",'Mapa final'!$AA$31="Leve"),CONCATENATE("R2C",'Mapa final'!$O$31),"")</f>
        <v/>
      </c>
      <c r="N37" s="77" t="str">
        <f>IF(AND('Mapa final'!$Y$32="Baja",'Mapa final'!$AA$32="Leve"),CONCATENATE("R2C",'Mapa final'!$O$32),"")</f>
        <v/>
      </c>
      <c r="O37" s="78" t="str">
        <f>IF(AND('Mapa final'!$Y$33="Baja",'Mapa final'!$AA$33="Leve"),CONCATENATE("R2C",'Mapa final'!$O$33),"")</f>
        <v/>
      </c>
      <c r="P37" s="67" t="str">
        <f>IF(AND('Mapa final'!$Y$28="Baja",'Mapa final'!$AA$28="Menor"),CONCATENATE("R2C",'Mapa final'!$O$28),"")</f>
        <v/>
      </c>
      <c r="Q37" s="68" t="str">
        <f>IF(AND('Mapa final'!$Y$29="Baja",'Mapa final'!$AA$29="Menor"),CONCATENATE("R2C",'Mapa final'!$O$29),"")</f>
        <v/>
      </c>
      <c r="R37" s="68" t="str">
        <f>IF(AND('Mapa final'!$Y$30="Baja",'Mapa final'!$AA$30="Menor"),CONCATENATE("R2C",'Mapa final'!$O$30),"")</f>
        <v/>
      </c>
      <c r="S37" s="68" t="str">
        <f>IF(AND('Mapa final'!$Y$31="Baja",'Mapa final'!$AA$31="Menor"),CONCATENATE("R2C",'Mapa final'!$O$31),"")</f>
        <v/>
      </c>
      <c r="T37" s="68" t="str">
        <f>IF(AND('Mapa final'!$Y$32="Baja",'Mapa final'!$AA$32="Menor"),CONCATENATE("R2C",'Mapa final'!$O$32),"")</f>
        <v/>
      </c>
      <c r="U37" s="69" t="str">
        <f>IF(AND('Mapa final'!$Y$33="Baja",'Mapa final'!$AA$33="Menor"),CONCATENATE("R2C",'Mapa final'!$O$33),"")</f>
        <v/>
      </c>
      <c r="V37" s="67" t="str">
        <f>IF(AND('Mapa final'!$Y$28="Baja",'Mapa final'!$AA$28="Moderado"),CONCATENATE("R2C",'Mapa final'!$O$28),"")</f>
        <v/>
      </c>
      <c r="W37" s="68" t="str">
        <f>IF(AND('Mapa final'!$Y$29="Baja",'Mapa final'!$AA$29="Moderado"),CONCATENATE("R2C",'Mapa final'!$O$29),"")</f>
        <v/>
      </c>
      <c r="X37" s="68" t="str">
        <f>IF(AND('Mapa final'!$Y$30="Baja",'Mapa final'!$AA$30="Moderado"),CONCATENATE("R2C",'Mapa final'!$O$30),"")</f>
        <v/>
      </c>
      <c r="Y37" s="68" t="str">
        <f>IF(AND('Mapa final'!$Y$31="Baja",'Mapa final'!$AA$31="Moderado"),CONCATENATE("R2C",'Mapa final'!$O$31),"")</f>
        <v/>
      </c>
      <c r="Z37" s="68" t="str">
        <f>IF(AND('Mapa final'!$Y$32="Baja",'Mapa final'!$AA$32="Moderado"),CONCATENATE("R2C",'Mapa final'!$O$32),"")</f>
        <v/>
      </c>
      <c r="AA37" s="69" t="str">
        <f>IF(AND('Mapa final'!$Y$33="Baja",'Mapa final'!$AA$33="Moderado"),CONCATENATE("R2C",'Mapa final'!$O$33),"")</f>
        <v/>
      </c>
      <c r="AB37" s="52" t="str">
        <f>IF(AND('Mapa final'!$Y$28="Baja",'Mapa final'!$AA$28="Mayor"),CONCATENATE("R2C",'Mapa final'!$O$28),"")</f>
        <v/>
      </c>
      <c r="AC37" s="53" t="str">
        <f>IF(AND('Mapa final'!$Y$29="Baja",'Mapa final'!$AA$29="Mayor"),CONCATENATE("R2C",'Mapa final'!$O$29),"")</f>
        <v/>
      </c>
      <c r="AD37" s="53" t="str">
        <f>IF(AND('Mapa final'!$Y$30="Baja",'Mapa final'!$AA$30="Mayor"),CONCATENATE("R2C",'Mapa final'!$O$30),"")</f>
        <v/>
      </c>
      <c r="AE37" s="53" t="str">
        <f>IF(AND('Mapa final'!$Y$31="Baja",'Mapa final'!$AA$31="Mayor"),CONCATENATE("R2C",'Mapa final'!$O$31),"")</f>
        <v/>
      </c>
      <c r="AF37" s="53" t="str">
        <f>IF(AND('Mapa final'!$Y$32="Baja",'Mapa final'!$AA$32="Mayor"),CONCATENATE("R2C",'Mapa final'!$O$32),"")</f>
        <v/>
      </c>
      <c r="AG37" s="54" t="str">
        <f>IF(AND('Mapa final'!$Y$33="Baja",'Mapa final'!$AA$33="Mayor"),CONCATENATE("R2C",'Mapa final'!$O$33),"")</f>
        <v/>
      </c>
      <c r="AH37" s="55" t="str">
        <f>IF(AND('Mapa final'!$Y$28="Baja",'Mapa final'!$AA$28="Catastrófico"),CONCATENATE("R2C",'Mapa final'!$O$28),"")</f>
        <v/>
      </c>
      <c r="AI37" s="56" t="str">
        <f>IF(AND('Mapa final'!$Y$29="Baja",'Mapa final'!$AA$29="Catastrófico"),CONCATENATE("R2C",'Mapa final'!$O$29),"")</f>
        <v/>
      </c>
      <c r="AJ37" s="56" t="str">
        <f>IF(AND('Mapa final'!$Y$30="Baja",'Mapa final'!$AA$30="Catastrófico"),CONCATENATE("R2C",'Mapa final'!$O$30),"")</f>
        <v/>
      </c>
      <c r="AK37" s="56" t="str">
        <f>IF(AND('Mapa final'!$Y$31="Baja",'Mapa final'!$AA$31="Catastrófico"),CONCATENATE("R2C",'Mapa final'!$O$31),"")</f>
        <v/>
      </c>
      <c r="AL37" s="56" t="str">
        <f>IF(AND('Mapa final'!$Y$32="Baja",'Mapa final'!$AA$32="Catastrófico"),CONCATENATE("R2C",'Mapa final'!$O$32),"")</f>
        <v/>
      </c>
      <c r="AM37" s="57" t="str">
        <f>IF(AND('Mapa final'!$Y$33="Baja",'Mapa final'!$AA$33="Catastrófico"),CONCATENATE("R2C",'Mapa final'!$O$33),"")</f>
        <v/>
      </c>
      <c r="AN37" s="83"/>
      <c r="AO37" s="462"/>
      <c r="AP37" s="463"/>
      <c r="AQ37" s="463"/>
      <c r="AR37" s="463"/>
      <c r="AS37" s="463"/>
      <c r="AT37" s="464"/>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row>
    <row r="38" spans="1:80" ht="15" customHeight="1" x14ac:dyDescent="0.25">
      <c r="A38" s="83"/>
      <c r="B38" s="343"/>
      <c r="C38" s="343"/>
      <c r="D38" s="344"/>
      <c r="E38" s="442"/>
      <c r="F38" s="441"/>
      <c r="G38" s="441"/>
      <c r="H38" s="441"/>
      <c r="I38" s="441"/>
      <c r="J38" s="76" t="str">
        <f>IF(AND('Mapa final'!$Y$34="Baja",'Mapa final'!$AA$34="Leve"),CONCATENATE("R3C",'Mapa final'!$O$34),"")</f>
        <v/>
      </c>
      <c r="K38" s="77" t="str">
        <f>IF(AND('Mapa final'!$Y$35="Baja",'Mapa final'!$AA$35="Leve"),CONCATENATE("R3C",'Mapa final'!$O$35),"")</f>
        <v/>
      </c>
      <c r="L38" s="77" t="str">
        <f>IF(AND('Mapa final'!$Y$36="Baja",'Mapa final'!$AA$36="Leve"),CONCATENATE("R3C",'Mapa final'!$O$36),"")</f>
        <v/>
      </c>
      <c r="M38" s="77" t="str">
        <f>IF(AND('Mapa final'!$Y$37="Baja",'Mapa final'!$AA$37="Leve"),CONCATENATE("R3C",'Mapa final'!$O$37),"")</f>
        <v/>
      </c>
      <c r="N38" s="77" t="str">
        <f>IF(AND('Mapa final'!$Y$38="Baja",'Mapa final'!$AA$38="Leve"),CONCATENATE("R3C",'Mapa final'!$O$38),"")</f>
        <v/>
      </c>
      <c r="O38" s="78" t="str">
        <f>IF(AND('Mapa final'!$Y$39="Baja",'Mapa final'!$AA$39="Leve"),CONCATENATE("R3C",'Mapa final'!$O$39),"")</f>
        <v/>
      </c>
      <c r="P38" s="67" t="str">
        <f>IF(AND('Mapa final'!$Y$34="Baja",'Mapa final'!$AA$34="Menor"),CONCATENATE("R3C",'Mapa final'!$O$34),"")</f>
        <v/>
      </c>
      <c r="Q38" s="68" t="str">
        <f>IF(AND('Mapa final'!$Y$35="Baja",'Mapa final'!$AA$35="Menor"),CONCATENATE("R3C",'Mapa final'!$O$35),"")</f>
        <v/>
      </c>
      <c r="R38" s="68" t="str">
        <f>IF(AND('Mapa final'!$Y$36="Baja",'Mapa final'!$AA$36="Menor"),CONCATENATE("R3C",'Mapa final'!$O$36),"")</f>
        <v/>
      </c>
      <c r="S38" s="68" t="str">
        <f>IF(AND('Mapa final'!$Y$37="Baja",'Mapa final'!$AA$37="Menor"),CONCATENATE("R3C",'Mapa final'!$O$37),"")</f>
        <v/>
      </c>
      <c r="T38" s="68" t="str">
        <f>IF(AND('Mapa final'!$Y$38="Baja",'Mapa final'!$AA$38="Menor"),CONCATENATE("R3C",'Mapa final'!$O$38),"")</f>
        <v/>
      </c>
      <c r="U38" s="69" t="str">
        <f>IF(AND('Mapa final'!$Y$39="Baja",'Mapa final'!$AA$39="Menor"),CONCATENATE("R3C",'Mapa final'!$O$39),"")</f>
        <v/>
      </c>
      <c r="V38" s="67" t="str">
        <f>IF(AND('Mapa final'!$Y$34="Baja",'Mapa final'!$AA$34="Moderado"),CONCATENATE("R3C",'Mapa final'!$O$34),"")</f>
        <v/>
      </c>
      <c r="W38" s="68" t="str">
        <f>IF(AND('Mapa final'!$Y$35="Baja",'Mapa final'!$AA$35="Moderado"),CONCATENATE("R3C",'Mapa final'!$O$35),"")</f>
        <v/>
      </c>
      <c r="X38" s="68" t="str">
        <f>IF(AND('Mapa final'!$Y$36="Baja",'Mapa final'!$AA$36="Moderado"),CONCATENATE("R3C",'Mapa final'!$O$36),"")</f>
        <v/>
      </c>
      <c r="Y38" s="68" t="str">
        <f>IF(AND('Mapa final'!$Y$37="Baja",'Mapa final'!$AA$37="Moderado"),CONCATENATE("R3C",'Mapa final'!$O$37),"")</f>
        <v/>
      </c>
      <c r="Z38" s="68" t="str">
        <f>IF(AND('Mapa final'!$Y$38="Baja",'Mapa final'!$AA$38="Moderado"),CONCATENATE("R3C",'Mapa final'!$O$38),"")</f>
        <v/>
      </c>
      <c r="AA38" s="69" t="str">
        <f>IF(AND('Mapa final'!$Y$39="Baja",'Mapa final'!$AA$39="Moderado"),CONCATENATE("R3C",'Mapa final'!$O$39),"")</f>
        <v/>
      </c>
      <c r="AB38" s="52" t="str">
        <f>IF(AND('Mapa final'!$Y$34="Baja",'Mapa final'!$AA$34="Mayor"),CONCATENATE("R3C",'Mapa final'!$O$34),"")</f>
        <v/>
      </c>
      <c r="AC38" s="53" t="str">
        <f>IF(AND('Mapa final'!$Y$35="Baja",'Mapa final'!$AA$35="Mayor"),CONCATENATE("R3C",'Mapa final'!$O$35),"")</f>
        <v/>
      </c>
      <c r="AD38" s="53" t="str">
        <f>IF(AND('Mapa final'!$Y$36="Baja",'Mapa final'!$AA$36="Mayor"),CONCATENATE("R3C",'Mapa final'!$O$36),"")</f>
        <v/>
      </c>
      <c r="AE38" s="53" t="str">
        <f>IF(AND('Mapa final'!$Y$37="Baja",'Mapa final'!$AA$37="Mayor"),CONCATENATE("R3C",'Mapa final'!$O$37),"")</f>
        <v/>
      </c>
      <c r="AF38" s="53" t="str">
        <f>IF(AND('Mapa final'!$Y$38="Baja",'Mapa final'!$AA$38="Mayor"),CONCATENATE("R3C",'Mapa final'!$O$38),"")</f>
        <v/>
      </c>
      <c r="AG38" s="54" t="str">
        <f>IF(AND('Mapa final'!$Y$39="Baja",'Mapa final'!$AA$39="Mayor"),CONCATENATE("R3C",'Mapa final'!$O$39),"")</f>
        <v/>
      </c>
      <c r="AH38" s="55" t="str">
        <f>IF(AND('Mapa final'!$Y$34="Baja",'Mapa final'!$AA$34="Catastrófico"),CONCATENATE("R3C",'Mapa final'!$O$34),"")</f>
        <v/>
      </c>
      <c r="AI38" s="56" t="str">
        <f>IF(AND('Mapa final'!$Y$35="Baja",'Mapa final'!$AA$35="Catastrófico"),CONCATENATE("R3C",'Mapa final'!$O$35),"")</f>
        <v/>
      </c>
      <c r="AJ38" s="56" t="str">
        <f>IF(AND('Mapa final'!$Y$36="Baja",'Mapa final'!$AA$36="Catastrófico"),CONCATENATE("R3C",'Mapa final'!$O$36),"")</f>
        <v/>
      </c>
      <c r="AK38" s="56" t="str">
        <f>IF(AND('Mapa final'!$Y$37="Baja",'Mapa final'!$AA$37="Catastrófico"),CONCATENATE("R3C",'Mapa final'!$O$37),"")</f>
        <v/>
      </c>
      <c r="AL38" s="56" t="str">
        <f>IF(AND('Mapa final'!$Y$38="Baja",'Mapa final'!$AA$38="Catastrófico"),CONCATENATE("R3C",'Mapa final'!$O$38),"")</f>
        <v/>
      </c>
      <c r="AM38" s="57" t="str">
        <f>IF(AND('Mapa final'!$Y$39="Baja",'Mapa final'!$AA$39="Catastrófico"),CONCATENATE("R3C",'Mapa final'!$O$39),"")</f>
        <v/>
      </c>
      <c r="AN38" s="83"/>
      <c r="AO38" s="462"/>
      <c r="AP38" s="463"/>
      <c r="AQ38" s="463"/>
      <c r="AR38" s="463"/>
      <c r="AS38" s="463"/>
      <c r="AT38" s="464"/>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row>
    <row r="39" spans="1:80" ht="15" customHeight="1" x14ac:dyDescent="0.25">
      <c r="A39" s="83"/>
      <c r="B39" s="343"/>
      <c r="C39" s="343"/>
      <c r="D39" s="344"/>
      <c r="E39" s="442"/>
      <c r="F39" s="441"/>
      <c r="G39" s="441"/>
      <c r="H39" s="441"/>
      <c r="I39" s="441"/>
      <c r="J39" s="76" t="str">
        <f>IF(AND('Mapa final'!$Y$40="Baja",'Mapa final'!$AA$40="Leve"),CONCATENATE("R4C",'Mapa final'!$O$40),"")</f>
        <v/>
      </c>
      <c r="K39" s="77" t="str">
        <f>IF(AND('Mapa final'!$Y$41="Baja",'Mapa final'!$AA$41="Leve"),CONCATENATE("R4C",'Mapa final'!$O$41),"")</f>
        <v/>
      </c>
      <c r="L39" s="77" t="str">
        <f>IF(AND('Mapa final'!$Y$42="Baja",'Mapa final'!$AA$42="Leve"),CONCATENATE("R4C",'Mapa final'!$O$42),"")</f>
        <v/>
      </c>
      <c r="M39" s="77" t="str">
        <f>IF(AND('Mapa final'!$Y$43="Baja",'Mapa final'!$AA$43="Leve"),CONCATENATE("R4C",'Mapa final'!$O$43),"")</f>
        <v/>
      </c>
      <c r="N39" s="77" t="str">
        <f>IF(AND('Mapa final'!$Y$44="Baja",'Mapa final'!$AA$44="Leve"),CONCATENATE("R4C",'Mapa final'!$O$44),"")</f>
        <v/>
      </c>
      <c r="O39" s="78" t="str">
        <f>IF(AND('Mapa final'!$Y$45="Baja",'Mapa final'!$AA$45="Leve"),CONCATENATE("R4C",'Mapa final'!$O$45),"")</f>
        <v/>
      </c>
      <c r="P39" s="67" t="str">
        <f>IF(AND('Mapa final'!$Y$40="Baja",'Mapa final'!$AA$40="Menor"),CONCATENATE("R4C",'Mapa final'!$O$40),"")</f>
        <v/>
      </c>
      <c r="Q39" s="68" t="str">
        <f>IF(AND('Mapa final'!$Y$41="Baja",'Mapa final'!$AA$41="Menor"),CONCATENATE("R4C",'Mapa final'!$O$41),"")</f>
        <v/>
      </c>
      <c r="R39" s="68" t="str">
        <f>IF(AND('Mapa final'!$Y$42="Baja",'Mapa final'!$AA$42="Menor"),CONCATENATE("R4C",'Mapa final'!$O$42),"")</f>
        <v/>
      </c>
      <c r="S39" s="68" t="str">
        <f>IF(AND('Mapa final'!$Y$43="Baja",'Mapa final'!$AA$43="Menor"),CONCATENATE("R4C",'Mapa final'!$O$43),"")</f>
        <v/>
      </c>
      <c r="T39" s="68" t="str">
        <f>IF(AND('Mapa final'!$Y$44="Baja",'Mapa final'!$AA$44="Menor"),CONCATENATE("R4C",'Mapa final'!$O$44),"")</f>
        <v/>
      </c>
      <c r="U39" s="69" t="str">
        <f>IF(AND('Mapa final'!$Y$45="Baja",'Mapa final'!$AA$45="Menor"),CONCATENATE("R4C",'Mapa final'!$O$45),"")</f>
        <v/>
      </c>
      <c r="V39" s="67" t="str">
        <f>IF(AND('Mapa final'!$Y$40="Baja",'Mapa final'!$AA$40="Moderado"),CONCATENATE("R4C",'Mapa final'!$O$40),"")</f>
        <v/>
      </c>
      <c r="W39" s="68" t="str">
        <f>IF(AND('Mapa final'!$Y$41="Baja",'Mapa final'!$AA$41="Moderado"),CONCATENATE("R4C",'Mapa final'!$O$41),"")</f>
        <v/>
      </c>
      <c r="X39" s="68" t="str">
        <f>IF(AND('Mapa final'!$Y$42="Baja",'Mapa final'!$AA$42="Moderado"),CONCATENATE("R4C",'Mapa final'!$O$42),"")</f>
        <v/>
      </c>
      <c r="Y39" s="68" t="str">
        <f>IF(AND('Mapa final'!$Y$43="Baja",'Mapa final'!$AA$43="Moderado"),CONCATENATE("R4C",'Mapa final'!$O$43),"")</f>
        <v/>
      </c>
      <c r="Z39" s="68" t="str">
        <f>IF(AND('Mapa final'!$Y$44="Baja",'Mapa final'!$AA$44="Moderado"),CONCATENATE("R4C",'Mapa final'!$O$44),"")</f>
        <v/>
      </c>
      <c r="AA39" s="69" t="str">
        <f>IF(AND('Mapa final'!$Y$45="Baja",'Mapa final'!$AA$45="Moderado"),CONCATENATE("R4C",'Mapa final'!$O$45),"")</f>
        <v/>
      </c>
      <c r="AB39" s="52" t="str">
        <f>IF(AND('Mapa final'!$Y$40="Baja",'Mapa final'!$AA$40="Mayor"),CONCATENATE("R4C",'Mapa final'!$O$40),"")</f>
        <v/>
      </c>
      <c r="AC39" s="53" t="str">
        <f>IF(AND('Mapa final'!$Y$41="Baja",'Mapa final'!$AA$41="Mayor"),CONCATENATE("R4C",'Mapa final'!$O$41),"")</f>
        <v/>
      </c>
      <c r="AD39" s="53" t="str">
        <f>IF(AND('Mapa final'!$Y$42="Baja",'Mapa final'!$AA$42="Mayor"),CONCATENATE("R4C",'Mapa final'!$O$42),"")</f>
        <v/>
      </c>
      <c r="AE39" s="53" t="str">
        <f>IF(AND('Mapa final'!$Y$43="Baja",'Mapa final'!$AA$43="Mayor"),CONCATENATE("R4C",'Mapa final'!$O$43),"")</f>
        <v/>
      </c>
      <c r="AF39" s="53" t="str">
        <f>IF(AND('Mapa final'!$Y$44="Baja",'Mapa final'!$AA$44="Mayor"),CONCATENATE("R4C",'Mapa final'!$O$44),"")</f>
        <v/>
      </c>
      <c r="AG39" s="54" t="str">
        <f>IF(AND('Mapa final'!$Y$45="Baja",'Mapa final'!$AA$45="Mayor"),CONCATENATE("R4C",'Mapa final'!$O$45),"")</f>
        <v/>
      </c>
      <c r="AH39" s="55" t="str">
        <f>IF(AND('Mapa final'!$Y$40="Baja",'Mapa final'!$AA$40="Catastrófico"),CONCATENATE("R4C",'Mapa final'!$O$40),"")</f>
        <v/>
      </c>
      <c r="AI39" s="56" t="str">
        <f>IF(AND('Mapa final'!$Y$41="Baja",'Mapa final'!$AA$41="Catastrófico"),CONCATENATE("R4C",'Mapa final'!$O$41),"")</f>
        <v/>
      </c>
      <c r="AJ39" s="56" t="str">
        <f>IF(AND('Mapa final'!$Y$42="Baja",'Mapa final'!$AA$42="Catastrófico"),CONCATENATE("R4C",'Mapa final'!$O$42),"")</f>
        <v/>
      </c>
      <c r="AK39" s="56" t="str">
        <f>IF(AND('Mapa final'!$Y$43="Baja",'Mapa final'!$AA$43="Catastrófico"),CONCATENATE("R4C",'Mapa final'!$O$43),"")</f>
        <v/>
      </c>
      <c r="AL39" s="56" t="str">
        <f>IF(AND('Mapa final'!$Y$44="Baja",'Mapa final'!$AA$44="Catastrófico"),CONCATENATE("R4C",'Mapa final'!$O$44),"")</f>
        <v/>
      </c>
      <c r="AM39" s="57" t="str">
        <f>IF(AND('Mapa final'!$Y$45="Baja",'Mapa final'!$AA$45="Catastrófico"),CONCATENATE("R4C",'Mapa final'!$O$45),"")</f>
        <v/>
      </c>
      <c r="AN39" s="83"/>
      <c r="AO39" s="462"/>
      <c r="AP39" s="463"/>
      <c r="AQ39" s="463"/>
      <c r="AR39" s="463"/>
      <c r="AS39" s="463"/>
      <c r="AT39" s="464"/>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row>
    <row r="40" spans="1:80" ht="15" customHeight="1" x14ac:dyDescent="0.25">
      <c r="A40" s="83"/>
      <c r="B40" s="343"/>
      <c r="C40" s="343"/>
      <c r="D40" s="344"/>
      <c r="E40" s="442"/>
      <c r="F40" s="441"/>
      <c r="G40" s="441"/>
      <c r="H40" s="441"/>
      <c r="I40" s="441"/>
      <c r="J40" s="76" t="str">
        <f>IF(AND('Mapa final'!$Y$46="Baja",'Mapa final'!$AA$46="Leve"),CONCATENATE("R5C",'Mapa final'!$O$46),"")</f>
        <v/>
      </c>
      <c r="K40" s="77" t="str">
        <f>IF(AND('Mapa final'!$Y$47="Baja",'Mapa final'!$AA$47="Leve"),CONCATENATE("R5C",'Mapa final'!$O$47),"")</f>
        <v/>
      </c>
      <c r="L40" s="77" t="str">
        <f>IF(AND('Mapa final'!$Y$48="Baja",'Mapa final'!$AA$48="Leve"),CONCATENATE("R5C",'Mapa final'!$O$48),"")</f>
        <v/>
      </c>
      <c r="M40" s="77" t="str">
        <f>IF(AND('Mapa final'!$Y$49="Baja",'Mapa final'!$AA$49="Leve"),CONCATENATE("R5C",'Mapa final'!$O$49),"")</f>
        <v/>
      </c>
      <c r="N40" s="77" t="str">
        <f>IF(AND('Mapa final'!$Y$50="Baja",'Mapa final'!$AA$50="Leve"),CONCATENATE("R5C",'Mapa final'!$O$50),"")</f>
        <v/>
      </c>
      <c r="O40" s="78" t="str">
        <f>IF(AND('Mapa final'!$Y$51="Baja",'Mapa final'!$AA$51="Leve"),CONCATENATE("R5C",'Mapa final'!$O$51),"")</f>
        <v/>
      </c>
      <c r="P40" s="67" t="str">
        <f>IF(AND('Mapa final'!$Y$46="Baja",'Mapa final'!$AA$46="Menor"),CONCATENATE("R5C",'Mapa final'!$O$46),"")</f>
        <v/>
      </c>
      <c r="Q40" s="68" t="str">
        <f>IF(AND('Mapa final'!$Y$47="Baja",'Mapa final'!$AA$47="Menor"),CONCATENATE("R5C",'Mapa final'!$O$47),"")</f>
        <v/>
      </c>
      <c r="R40" s="68" t="str">
        <f>IF(AND('Mapa final'!$Y$48="Baja",'Mapa final'!$AA$48="Menor"),CONCATENATE("R5C",'Mapa final'!$O$48),"")</f>
        <v/>
      </c>
      <c r="S40" s="68" t="str">
        <f>IF(AND('Mapa final'!$Y$49="Baja",'Mapa final'!$AA$49="Menor"),CONCATENATE("R5C",'Mapa final'!$O$49),"")</f>
        <v/>
      </c>
      <c r="T40" s="68" t="str">
        <f>IF(AND('Mapa final'!$Y$50="Baja",'Mapa final'!$AA$50="Menor"),CONCATENATE("R5C",'Mapa final'!$O$50),"")</f>
        <v/>
      </c>
      <c r="U40" s="69" t="str">
        <f>IF(AND('Mapa final'!$Y$51="Baja",'Mapa final'!$AA$51="Menor"),CONCATENATE("R5C",'Mapa final'!$O$51),"")</f>
        <v/>
      </c>
      <c r="V40" s="67" t="str">
        <f>IF(AND('Mapa final'!$Y$46="Baja",'Mapa final'!$AA$46="Moderado"),CONCATENATE("R5C",'Mapa final'!$O$46),"")</f>
        <v/>
      </c>
      <c r="W40" s="68" t="str">
        <f>IF(AND('Mapa final'!$Y$47="Baja",'Mapa final'!$AA$47="Moderado"),CONCATENATE("R5C",'Mapa final'!$O$47),"")</f>
        <v/>
      </c>
      <c r="X40" s="68" t="str">
        <f>IF(AND('Mapa final'!$Y$48="Baja",'Mapa final'!$AA$48="Moderado"),CONCATENATE("R5C",'Mapa final'!$O$48),"")</f>
        <v/>
      </c>
      <c r="Y40" s="68" t="str">
        <f>IF(AND('Mapa final'!$Y$49="Baja",'Mapa final'!$AA$49="Moderado"),CONCATENATE("R5C",'Mapa final'!$O$49),"")</f>
        <v/>
      </c>
      <c r="Z40" s="68" t="str">
        <f>IF(AND('Mapa final'!$Y$50="Baja",'Mapa final'!$AA$50="Moderado"),CONCATENATE("R5C",'Mapa final'!$O$50),"")</f>
        <v/>
      </c>
      <c r="AA40" s="69" t="str">
        <f>IF(AND('Mapa final'!$Y$51="Baja",'Mapa final'!$AA$51="Moderado"),CONCATENATE("R5C",'Mapa final'!$O$51),"")</f>
        <v/>
      </c>
      <c r="AB40" s="52" t="str">
        <f>IF(AND('Mapa final'!$Y$46="Baja",'Mapa final'!$AA$46="Mayor"),CONCATENATE("R5C",'Mapa final'!$O$46),"")</f>
        <v/>
      </c>
      <c r="AC40" s="53" t="str">
        <f>IF(AND('Mapa final'!$Y$47="Baja",'Mapa final'!$AA$47="Mayor"),CONCATENATE("R5C",'Mapa final'!$O$47),"")</f>
        <v/>
      </c>
      <c r="AD40" s="53" t="str">
        <f>IF(AND('Mapa final'!$Y$48="Baja",'Mapa final'!$AA$48="Mayor"),CONCATENATE("R5C",'Mapa final'!$O$48),"")</f>
        <v/>
      </c>
      <c r="AE40" s="53" t="str">
        <f>IF(AND('Mapa final'!$Y$49="Baja",'Mapa final'!$AA$49="Mayor"),CONCATENATE("R5C",'Mapa final'!$O$49),"")</f>
        <v/>
      </c>
      <c r="AF40" s="53" t="str">
        <f>IF(AND('Mapa final'!$Y$50="Baja",'Mapa final'!$AA$50="Mayor"),CONCATENATE("R5C",'Mapa final'!$O$50),"")</f>
        <v/>
      </c>
      <c r="AG40" s="54" t="str">
        <f>IF(AND('Mapa final'!$Y$51="Baja",'Mapa final'!$AA$51="Mayor"),CONCATENATE("R5C",'Mapa final'!$O$51),"")</f>
        <v/>
      </c>
      <c r="AH40" s="55" t="str">
        <f>IF(AND('Mapa final'!$Y$46="Baja",'Mapa final'!$AA$46="Catastrófico"),CONCATENATE("R5C",'Mapa final'!$O$46),"")</f>
        <v/>
      </c>
      <c r="AI40" s="56" t="str">
        <f>IF(AND('Mapa final'!$Y$47="Baja",'Mapa final'!$AA$47="Catastrófico"),CONCATENATE("R5C",'Mapa final'!$O$47),"")</f>
        <v/>
      </c>
      <c r="AJ40" s="56" t="str">
        <f>IF(AND('Mapa final'!$Y$48="Baja",'Mapa final'!$AA$48="Catastrófico"),CONCATENATE("R5C",'Mapa final'!$O$48),"")</f>
        <v/>
      </c>
      <c r="AK40" s="56" t="str">
        <f>IF(AND('Mapa final'!$Y$49="Baja",'Mapa final'!$AA$49="Catastrófico"),CONCATENATE("R5C",'Mapa final'!$O$49),"")</f>
        <v/>
      </c>
      <c r="AL40" s="56" t="str">
        <f>IF(AND('Mapa final'!$Y$50="Baja",'Mapa final'!$AA$50="Catastrófico"),CONCATENATE("R5C",'Mapa final'!$O$50),"")</f>
        <v/>
      </c>
      <c r="AM40" s="57" t="str">
        <f>IF(AND('Mapa final'!$Y$51="Baja",'Mapa final'!$AA$51="Catastrófico"),CONCATENATE("R5C",'Mapa final'!$O$51),"")</f>
        <v/>
      </c>
      <c r="AN40" s="83"/>
      <c r="AO40" s="462"/>
      <c r="AP40" s="463"/>
      <c r="AQ40" s="463"/>
      <c r="AR40" s="463"/>
      <c r="AS40" s="463"/>
      <c r="AT40" s="464"/>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row>
    <row r="41" spans="1:80" ht="15" customHeight="1" x14ac:dyDescent="0.25">
      <c r="A41" s="83"/>
      <c r="B41" s="343"/>
      <c r="C41" s="343"/>
      <c r="D41" s="344"/>
      <c r="E41" s="442"/>
      <c r="F41" s="441"/>
      <c r="G41" s="441"/>
      <c r="H41" s="441"/>
      <c r="I41" s="441"/>
      <c r="J41" s="76" t="str">
        <f>IF(AND('Mapa final'!$Y$52="Baja",'Mapa final'!$AA$52="Leve"),CONCATENATE("R6C",'Mapa final'!$O$52),"")</f>
        <v/>
      </c>
      <c r="K41" s="77" t="str">
        <f>IF(AND('Mapa final'!$Y$53="Baja",'Mapa final'!$AA$53="Leve"),CONCATENATE("R6C",'Mapa final'!$O$53),"")</f>
        <v/>
      </c>
      <c r="L41" s="77" t="str">
        <f>IF(AND('Mapa final'!$Y$54="Baja",'Mapa final'!$AA$54="Leve"),CONCATENATE("R6C",'Mapa final'!$O$54),"")</f>
        <v/>
      </c>
      <c r="M41" s="77" t="str">
        <f>IF(AND('Mapa final'!$Y$55="Baja",'Mapa final'!$AA$55="Leve"),CONCATENATE("R6C",'Mapa final'!$O$55),"")</f>
        <v/>
      </c>
      <c r="N41" s="77" t="str">
        <f>IF(AND('Mapa final'!$Y$56="Baja",'Mapa final'!$AA$56="Leve"),CONCATENATE("R6C",'Mapa final'!$O$56),"")</f>
        <v/>
      </c>
      <c r="O41" s="78" t="str">
        <f>IF(AND('Mapa final'!$Y$57="Baja",'Mapa final'!$AA$57="Leve"),CONCATENATE("R6C",'Mapa final'!$O$57),"")</f>
        <v/>
      </c>
      <c r="P41" s="67" t="str">
        <f>IF(AND('Mapa final'!$Y$52="Baja",'Mapa final'!$AA$52="Menor"),CONCATENATE("R6C",'Mapa final'!$O$52),"")</f>
        <v/>
      </c>
      <c r="Q41" s="68" t="str">
        <f>IF(AND('Mapa final'!$Y$53="Baja",'Mapa final'!$AA$53="Menor"),CONCATENATE("R6C",'Mapa final'!$O$53),"")</f>
        <v/>
      </c>
      <c r="R41" s="68" t="str">
        <f>IF(AND('Mapa final'!$Y$54="Baja",'Mapa final'!$AA$54="Menor"),CONCATENATE("R6C",'Mapa final'!$O$54),"")</f>
        <v/>
      </c>
      <c r="S41" s="68" t="str">
        <f>IF(AND('Mapa final'!$Y$55="Baja",'Mapa final'!$AA$55="Menor"),CONCATENATE("R6C",'Mapa final'!$O$55),"")</f>
        <v/>
      </c>
      <c r="T41" s="68" t="str">
        <f>IF(AND('Mapa final'!$Y$56="Baja",'Mapa final'!$AA$56="Menor"),CONCATENATE("R6C",'Mapa final'!$O$56),"")</f>
        <v/>
      </c>
      <c r="U41" s="69" t="str">
        <f>IF(AND('Mapa final'!$Y$57="Baja",'Mapa final'!$AA$57="Menor"),CONCATENATE("R6C",'Mapa final'!$O$57),"")</f>
        <v/>
      </c>
      <c r="V41" s="67" t="str">
        <f>IF(AND('Mapa final'!$Y$52="Baja",'Mapa final'!$AA$52="Moderado"),CONCATENATE("R6C",'Mapa final'!$O$52),"")</f>
        <v/>
      </c>
      <c r="W41" s="68" t="str">
        <f>IF(AND('Mapa final'!$Y$53="Baja",'Mapa final'!$AA$53="Moderado"),CONCATENATE("R6C",'Mapa final'!$O$53),"")</f>
        <v/>
      </c>
      <c r="X41" s="68" t="str">
        <f>IF(AND('Mapa final'!$Y$54="Baja",'Mapa final'!$AA$54="Moderado"),CONCATENATE("R6C",'Mapa final'!$O$54),"")</f>
        <v/>
      </c>
      <c r="Y41" s="68" t="str">
        <f>IF(AND('Mapa final'!$Y$55="Baja",'Mapa final'!$AA$55="Moderado"),CONCATENATE("R6C",'Mapa final'!$O$55),"")</f>
        <v/>
      </c>
      <c r="Z41" s="68" t="str">
        <f>IF(AND('Mapa final'!$Y$56="Baja",'Mapa final'!$AA$56="Moderado"),CONCATENATE("R6C",'Mapa final'!$O$56),"")</f>
        <v/>
      </c>
      <c r="AA41" s="69" t="str">
        <f>IF(AND('Mapa final'!$Y$57="Baja",'Mapa final'!$AA$57="Moderado"),CONCATENATE("R6C",'Mapa final'!$O$57),"")</f>
        <v/>
      </c>
      <c r="AB41" s="52" t="str">
        <f>IF(AND('Mapa final'!$Y$52="Baja",'Mapa final'!$AA$52="Mayor"),CONCATENATE("R6C",'Mapa final'!$O$52),"")</f>
        <v/>
      </c>
      <c r="AC41" s="53" t="str">
        <f>IF(AND('Mapa final'!$Y$53="Baja",'Mapa final'!$AA$53="Mayor"),CONCATENATE("R6C",'Mapa final'!$O$53),"")</f>
        <v/>
      </c>
      <c r="AD41" s="53" t="str">
        <f>IF(AND('Mapa final'!$Y$54="Baja",'Mapa final'!$AA$54="Mayor"),CONCATENATE("R6C",'Mapa final'!$O$54),"")</f>
        <v/>
      </c>
      <c r="AE41" s="53" t="str">
        <f>IF(AND('Mapa final'!$Y$55="Baja",'Mapa final'!$AA$55="Mayor"),CONCATENATE("R6C",'Mapa final'!$O$55),"")</f>
        <v/>
      </c>
      <c r="AF41" s="53" t="str">
        <f>IF(AND('Mapa final'!$Y$56="Baja",'Mapa final'!$AA$56="Mayor"),CONCATENATE("R6C",'Mapa final'!$O$56),"")</f>
        <v/>
      </c>
      <c r="AG41" s="54" t="str">
        <f>IF(AND('Mapa final'!$Y$57="Baja",'Mapa final'!$AA$57="Mayor"),CONCATENATE("R6C",'Mapa final'!$O$57),"")</f>
        <v/>
      </c>
      <c r="AH41" s="55" t="str">
        <f>IF(AND('Mapa final'!$Y$52="Baja",'Mapa final'!$AA$52="Catastrófico"),CONCATENATE("R6C",'Mapa final'!$O$52),"")</f>
        <v/>
      </c>
      <c r="AI41" s="56" t="str">
        <f>IF(AND('Mapa final'!$Y$53="Baja",'Mapa final'!$AA$53="Catastrófico"),CONCATENATE("R6C",'Mapa final'!$O$53),"")</f>
        <v/>
      </c>
      <c r="AJ41" s="56" t="str">
        <f>IF(AND('Mapa final'!$Y$54="Baja",'Mapa final'!$AA$54="Catastrófico"),CONCATENATE("R6C",'Mapa final'!$O$54),"")</f>
        <v/>
      </c>
      <c r="AK41" s="56" t="str">
        <f>IF(AND('Mapa final'!$Y$55="Baja",'Mapa final'!$AA$55="Catastrófico"),CONCATENATE("R6C",'Mapa final'!$O$55),"")</f>
        <v/>
      </c>
      <c r="AL41" s="56" t="str">
        <f>IF(AND('Mapa final'!$Y$56="Baja",'Mapa final'!$AA$56="Catastrófico"),CONCATENATE("R6C",'Mapa final'!$O$56),"")</f>
        <v/>
      </c>
      <c r="AM41" s="57" t="str">
        <f>IF(AND('Mapa final'!$Y$57="Baja",'Mapa final'!$AA$57="Catastrófico"),CONCATENATE("R6C",'Mapa final'!$O$57),"")</f>
        <v/>
      </c>
      <c r="AN41" s="83"/>
      <c r="AO41" s="462"/>
      <c r="AP41" s="463"/>
      <c r="AQ41" s="463"/>
      <c r="AR41" s="463"/>
      <c r="AS41" s="463"/>
      <c r="AT41" s="464"/>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row>
    <row r="42" spans="1:80" ht="15" customHeight="1" x14ac:dyDescent="0.25">
      <c r="A42" s="83"/>
      <c r="B42" s="343"/>
      <c r="C42" s="343"/>
      <c r="D42" s="344"/>
      <c r="E42" s="442"/>
      <c r="F42" s="441"/>
      <c r="G42" s="441"/>
      <c r="H42" s="441"/>
      <c r="I42" s="441"/>
      <c r="J42" s="76" t="str">
        <f>IF(AND('Mapa final'!$Y$58="Baja",'Mapa final'!$AA$58="Leve"),CONCATENATE("R7C",'Mapa final'!$O$58),"")</f>
        <v/>
      </c>
      <c r="K42" s="77" t="str">
        <f>IF(AND('Mapa final'!$Y$59="Baja",'Mapa final'!$AA$59="Leve"),CONCATENATE("R7C",'Mapa final'!$O$59),"")</f>
        <v/>
      </c>
      <c r="L42" s="77" t="e">
        <f>IF(AND('Mapa final'!#REF!="Baja",'Mapa final'!#REF!="Leve"),CONCATENATE("R7C",'Mapa final'!#REF!),"")</f>
        <v>#REF!</v>
      </c>
      <c r="M42" s="77" t="e">
        <f>IF(AND('Mapa final'!#REF!="Baja",'Mapa final'!#REF!="Leve"),CONCATENATE("R7C",'Mapa final'!#REF!),"")</f>
        <v>#REF!</v>
      </c>
      <c r="N42" s="77" t="e">
        <f>IF(AND('Mapa final'!#REF!="Baja",'Mapa final'!#REF!="Leve"),CONCATENATE("R7C",'Mapa final'!#REF!),"")</f>
        <v>#REF!</v>
      </c>
      <c r="O42" s="78" t="e">
        <f>IF(AND('Mapa final'!#REF!="Baja",'Mapa final'!#REF!="Leve"),CONCATENATE("R7C",'Mapa final'!#REF!),"")</f>
        <v>#REF!</v>
      </c>
      <c r="P42" s="67" t="str">
        <f>IF(AND('Mapa final'!$Y$58="Baja",'Mapa final'!$AA$58="Menor"),CONCATENATE("R7C",'Mapa final'!$O$58),"")</f>
        <v/>
      </c>
      <c r="Q42" s="68" t="str">
        <f>IF(AND('Mapa final'!$Y$59="Baja",'Mapa final'!$AA$59="Menor"),CONCATENATE("R7C",'Mapa final'!$O$59),"")</f>
        <v/>
      </c>
      <c r="R42" s="68" t="e">
        <f>IF(AND('Mapa final'!#REF!="Baja",'Mapa final'!#REF!="Menor"),CONCATENATE("R7C",'Mapa final'!#REF!),"")</f>
        <v>#REF!</v>
      </c>
      <c r="S42" s="68" t="e">
        <f>IF(AND('Mapa final'!#REF!="Baja",'Mapa final'!#REF!="Menor"),CONCATENATE("R7C",'Mapa final'!#REF!),"")</f>
        <v>#REF!</v>
      </c>
      <c r="T42" s="68" t="e">
        <f>IF(AND('Mapa final'!#REF!="Baja",'Mapa final'!#REF!="Menor"),CONCATENATE("R7C",'Mapa final'!#REF!),"")</f>
        <v>#REF!</v>
      </c>
      <c r="U42" s="69" t="e">
        <f>IF(AND('Mapa final'!#REF!="Baja",'Mapa final'!#REF!="Menor"),CONCATENATE("R7C",'Mapa final'!#REF!),"")</f>
        <v>#REF!</v>
      </c>
      <c r="V42" s="67" t="str">
        <f>IF(AND('Mapa final'!$Y$58="Baja",'Mapa final'!$AA$58="Moderado"),CONCATENATE("R7C",'Mapa final'!$O$58),"")</f>
        <v/>
      </c>
      <c r="W42" s="68" t="str">
        <f>IF(AND('Mapa final'!$Y$59="Baja",'Mapa final'!$AA$59="Moderado"),CONCATENATE("R7C",'Mapa final'!$O$59),"")</f>
        <v/>
      </c>
      <c r="X42" s="68" t="e">
        <f>IF(AND('Mapa final'!#REF!="Baja",'Mapa final'!#REF!="Moderado"),CONCATENATE("R7C",'Mapa final'!#REF!),"")</f>
        <v>#REF!</v>
      </c>
      <c r="Y42" s="68" t="e">
        <f>IF(AND('Mapa final'!#REF!="Baja",'Mapa final'!#REF!="Moderado"),CONCATENATE("R7C",'Mapa final'!#REF!),"")</f>
        <v>#REF!</v>
      </c>
      <c r="Z42" s="68" t="e">
        <f>IF(AND('Mapa final'!#REF!="Baja",'Mapa final'!#REF!="Moderado"),CONCATENATE("R7C",'Mapa final'!#REF!),"")</f>
        <v>#REF!</v>
      </c>
      <c r="AA42" s="69" t="e">
        <f>IF(AND('Mapa final'!#REF!="Baja",'Mapa final'!#REF!="Moderado"),CONCATENATE("R7C",'Mapa final'!#REF!),"")</f>
        <v>#REF!</v>
      </c>
      <c r="AB42" s="52" t="str">
        <f>IF(AND('Mapa final'!$Y$58="Baja",'Mapa final'!$AA$58="Mayor"),CONCATENATE("R7C",'Mapa final'!$O$58),"")</f>
        <v/>
      </c>
      <c r="AC42" s="53" t="str">
        <f>IF(AND('Mapa final'!$Y$59="Baja",'Mapa final'!$AA$59="Mayor"),CONCATENATE("R7C",'Mapa final'!$O$59),"")</f>
        <v/>
      </c>
      <c r="AD42" s="53" t="e">
        <f>IF(AND('Mapa final'!#REF!="Baja",'Mapa final'!#REF!="Mayor"),CONCATENATE("R7C",'Mapa final'!#REF!),"")</f>
        <v>#REF!</v>
      </c>
      <c r="AE42" s="53" t="e">
        <f>IF(AND('Mapa final'!#REF!="Baja",'Mapa final'!#REF!="Mayor"),CONCATENATE("R7C",'Mapa final'!#REF!),"")</f>
        <v>#REF!</v>
      </c>
      <c r="AF42" s="53" t="e">
        <f>IF(AND('Mapa final'!#REF!="Baja",'Mapa final'!#REF!="Mayor"),CONCATENATE("R7C",'Mapa final'!#REF!),"")</f>
        <v>#REF!</v>
      </c>
      <c r="AG42" s="54" t="e">
        <f>IF(AND('Mapa final'!#REF!="Baja",'Mapa final'!#REF!="Mayor"),CONCATENATE("R7C",'Mapa final'!#REF!),"")</f>
        <v>#REF!</v>
      </c>
      <c r="AH42" s="55" t="str">
        <f>IF(AND('Mapa final'!$Y$58="Baja",'Mapa final'!$AA$58="Catastrófico"),CONCATENATE("R7C",'Mapa final'!$O$58),"")</f>
        <v/>
      </c>
      <c r="AI42" s="56" t="str">
        <f>IF(AND('Mapa final'!$Y$59="Baja",'Mapa final'!$AA$59="Catastrófico"),CONCATENATE("R7C",'Mapa final'!$O$59),"")</f>
        <v/>
      </c>
      <c r="AJ42" s="56" t="e">
        <f>IF(AND('Mapa final'!#REF!="Baja",'Mapa final'!#REF!="Catastrófico"),CONCATENATE("R7C",'Mapa final'!#REF!),"")</f>
        <v>#REF!</v>
      </c>
      <c r="AK42" s="56" t="e">
        <f>IF(AND('Mapa final'!#REF!="Baja",'Mapa final'!#REF!="Catastrófico"),CONCATENATE("R7C",'Mapa final'!#REF!),"")</f>
        <v>#REF!</v>
      </c>
      <c r="AL42" s="56" t="e">
        <f>IF(AND('Mapa final'!#REF!="Baja",'Mapa final'!#REF!="Catastrófico"),CONCATENATE("R7C",'Mapa final'!#REF!),"")</f>
        <v>#REF!</v>
      </c>
      <c r="AM42" s="57" t="e">
        <f>IF(AND('Mapa final'!#REF!="Baja",'Mapa final'!#REF!="Catastrófico"),CONCATENATE("R7C",'Mapa final'!#REF!),"")</f>
        <v>#REF!</v>
      </c>
      <c r="AN42" s="83"/>
      <c r="AO42" s="462"/>
      <c r="AP42" s="463"/>
      <c r="AQ42" s="463"/>
      <c r="AR42" s="463"/>
      <c r="AS42" s="463"/>
      <c r="AT42" s="464"/>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row>
    <row r="43" spans="1:80" ht="15" customHeight="1" x14ac:dyDescent="0.25">
      <c r="A43" s="83"/>
      <c r="B43" s="343"/>
      <c r="C43" s="343"/>
      <c r="D43" s="344"/>
      <c r="E43" s="442"/>
      <c r="F43" s="441"/>
      <c r="G43" s="441"/>
      <c r="H43" s="441"/>
      <c r="I43" s="441"/>
      <c r="J43" s="76" t="str">
        <f>IF(AND('Mapa final'!$Y$60="Baja",'Mapa final'!$AA$60="Leve"),CONCATENATE("R8C",'Mapa final'!$O$60),"")</f>
        <v/>
      </c>
      <c r="K43" s="77" t="str">
        <f>IF(AND('Mapa final'!$Y$61="Baja",'Mapa final'!$AA$61="Leve"),CONCATENATE("R8C",'Mapa final'!$O$61),"")</f>
        <v/>
      </c>
      <c r="L43" s="77" t="str">
        <f>IF(AND('Mapa final'!$Y$62="Baja",'Mapa final'!$AA$62="Leve"),CONCATENATE("R8C",'Mapa final'!$O$62),"")</f>
        <v/>
      </c>
      <c r="M43" s="77" t="str">
        <f>IF(AND('Mapa final'!$Y$63="Baja",'Mapa final'!$AA$63="Leve"),CONCATENATE("R8C",'Mapa final'!$O$63),"")</f>
        <v/>
      </c>
      <c r="N43" s="77" t="str">
        <f>IF(AND('Mapa final'!$Y$64="Baja",'Mapa final'!$AA$64="Leve"),CONCATENATE("R8C",'Mapa final'!$O$64),"")</f>
        <v/>
      </c>
      <c r="O43" s="78" t="str">
        <f>IF(AND('Mapa final'!$Y$65="Baja",'Mapa final'!$AA$65="Leve"),CONCATENATE("R8C",'Mapa final'!$O$65),"")</f>
        <v/>
      </c>
      <c r="P43" s="67" t="str">
        <f>IF(AND('Mapa final'!$Y$60="Baja",'Mapa final'!$AA$60="Menor"),CONCATENATE("R8C",'Mapa final'!$O$60),"")</f>
        <v/>
      </c>
      <c r="Q43" s="68" t="str">
        <f>IF(AND('Mapa final'!$Y$61="Baja",'Mapa final'!$AA$61="Menor"),CONCATENATE("R8C",'Mapa final'!$O$61),"")</f>
        <v/>
      </c>
      <c r="R43" s="68" t="str">
        <f>IF(AND('Mapa final'!$Y$62="Baja",'Mapa final'!$AA$62="Menor"),CONCATENATE("R8C",'Mapa final'!$O$62),"")</f>
        <v/>
      </c>
      <c r="S43" s="68" t="str">
        <f>IF(AND('Mapa final'!$Y$63="Baja",'Mapa final'!$AA$63="Menor"),CONCATENATE("R8C",'Mapa final'!$O$63),"")</f>
        <v/>
      </c>
      <c r="T43" s="68" t="str">
        <f>IF(AND('Mapa final'!$Y$64="Baja",'Mapa final'!$AA$64="Menor"),CONCATENATE("R8C",'Mapa final'!$O$64),"")</f>
        <v/>
      </c>
      <c r="U43" s="69" t="str">
        <f>IF(AND('Mapa final'!$Y$65="Baja",'Mapa final'!$AA$65="Menor"),CONCATENATE("R8C",'Mapa final'!$O$65),"")</f>
        <v/>
      </c>
      <c r="V43" s="67" t="str">
        <f>IF(AND('Mapa final'!$Y$60="Baja",'Mapa final'!$AA$60="Moderado"),CONCATENATE("R8C",'Mapa final'!$O$60),"")</f>
        <v/>
      </c>
      <c r="W43" s="68" t="str">
        <f>IF(AND('Mapa final'!$Y$61="Baja",'Mapa final'!$AA$61="Moderado"),CONCATENATE("R8C",'Mapa final'!$O$61),"")</f>
        <v/>
      </c>
      <c r="X43" s="68" t="str">
        <f>IF(AND('Mapa final'!$Y$62="Baja",'Mapa final'!$AA$62="Moderado"),CONCATENATE("R8C",'Mapa final'!$O$62),"")</f>
        <v/>
      </c>
      <c r="Y43" s="68" t="str">
        <f>IF(AND('Mapa final'!$Y$63="Baja",'Mapa final'!$AA$63="Moderado"),CONCATENATE("R8C",'Mapa final'!$O$63),"")</f>
        <v/>
      </c>
      <c r="Z43" s="68" t="str">
        <f>IF(AND('Mapa final'!$Y$64="Baja",'Mapa final'!$AA$64="Moderado"),CONCATENATE("R8C",'Mapa final'!$O$64),"")</f>
        <v/>
      </c>
      <c r="AA43" s="69" t="str">
        <f>IF(AND('Mapa final'!$Y$65="Baja",'Mapa final'!$AA$65="Moderado"),CONCATENATE("R8C",'Mapa final'!$O$65),"")</f>
        <v/>
      </c>
      <c r="AB43" s="52" t="str">
        <f>IF(AND('Mapa final'!$Y$60="Baja",'Mapa final'!$AA$60="Mayor"),CONCATENATE("R8C",'Mapa final'!$O$60),"")</f>
        <v/>
      </c>
      <c r="AC43" s="53" t="str">
        <f>IF(AND('Mapa final'!$Y$61="Baja",'Mapa final'!$AA$61="Mayor"),CONCATENATE("R8C",'Mapa final'!$O$61),"")</f>
        <v/>
      </c>
      <c r="AD43" s="53" t="str">
        <f>IF(AND('Mapa final'!$Y$62="Baja",'Mapa final'!$AA$62="Mayor"),CONCATENATE("R8C",'Mapa final'!$O$62),"")</f>
        <v/>
      </c>
      <c r="AE43" s="53" t="str">
        <f>IF(AND('Mapa final'!$Y$63="Baja",'Mapa final'!$AA$63="Mayor"),CONCATENATE("R8C",'Mapa final'!$O$63),"")</f>
        <v/>
      </c>
      <c r="AF43" s="53" t="str">
        <f>IF(AND('Mapa final'!$Y$64="Baja",'Mapa final'!$AA$64="Mayor"),CONCATENATE("R8C",'Mapa final'!$O$64),"")</f>
        <v/>
      </c>
      <c r="AG43" s="54" t="str">
        <f>IF(AND('Mapa final'!$Y$65="Baja",'Mapa final'!$AA$65="Mayor"),CONCATENATE("R8C",'Mapa final'!$O$65),"")</f>
        <v/>
      </c>
      <c r="AH43" s="55" t="str">
        <f>IF(AND('Mapa final'!$Y$60="Baja",'Mapa final'!$AA$60="Catastrófico"),CONCATENATE("R8C",'Mapa final'!$O$60),"")</f>
        <v/>
      </c>
      <c r="AI43" s="56" t="str">
        <f>IF(AND('Mapa final'!$Y$61="Baja",'Mapa final'!$AA$61="Catastrófico"),CONCATENATE("R8C",'Mapa final'!$O$61),"")</f>
        <v/>
      </c>
      <c r="AJ43" s="56" t="str">
        <f>IF(AND('Mapa final'!$Y$62="Baja",'Mapa final'!$AA$62="Catastrófico"),CONCATENATE("R8C",'Mapa final'!$O$62),"")</f>
        <v/>
      </c>
      <c r="AK43" s="56" t="str">
        <f>IF(AND('Mapa final'!$Y$63="Baja",'Mapa final'!$AA$63="Catastrófico"),CONCATENATE("R8C",'Mapa final'!$O$63),"")</f>
        <v/>
      </c>
      <c r="AL43" s="56" t="str">
        <f>IF(AND('Mapa final'!$Y$64="Baja",'Mapa final'!$AA$64="Catastrófico"),CONCATENATE("R8C",'Mapa final'!$O$64),"")</f>
        <v/>
      </c>
      <c r="AM43" s="57" t="str">
        <f>IF(AND('Mapa final'!$Y$65="Baja",'Mapa final'!$AA$65="Catastrófico"),CONCATENATE("R8C",'Mapa final'!$O$65),"")</f>
        <v/>
      </c>
      <c r="AN43" s="83"/>
      <c r="AO43" s="462"/>
      <c r="AP43" s="463"/>
      <c r="AQ43" s="463"/>
      <c r="AR43" s="463"/>
      <c r="AS43" s="463"/>
      <c r="AT43" s="464"/>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row>
    <row r="44" spans="1:80" ht="15" customHeight="1" x14ac:dyDescent="0.25">
      <c r="A44" s="83"/>
      <c r="B44" s="343"/>
      <c r="C44" s="343"/>
      <c r="D44" s="344"/>
      <c r="E44" s="442"/>
      <c r="F44" s="441"/>
      <c r="G44" s="441"/>
      <c r="H44" s="441"/>
      <c r="I44" s="441"/>
      <c r="J44" s="76" t="str">
        <f>IF(AND('Mapa final'!$Y$66="Baja",'Mapa final'!$AA$66="Leve"),CONCATENATE("R9C",'Mapa final'!$O$66),"")</f>
        <v/>
      </c>
      <c r="K44" s="77" t="str">
        <f>IF(AND('Mapa final'!$Y$67="Baja",'Mapa final'!$AA$67="Leve"),CONCATENATE("R9C",'Mapa final'!$O$67),"")</f>
        <v/>
      </c>
      <c r="L44" s="77" t="str">
        <f>IF(AND('Mapa final'!$Y$68="Baja",'Mapa final'!$AA$68="Leve"),CONCATENATE("R9C",'Mapa final'!$O$68),"")</f>
        <v/>
      </c>
      <c r="M44" s="77" t="str">
        <f>IF(AND('Mapa final'!$Y$69="Baja",'Mapa final'!$AA$69="Leve"),CONCATENATE("R9C",'Mapa final'!$O$69),"")</f>
        <v/>
      </c>
      <c r="N44" s="77" t="str">
        <f>IF(AND('Mapa final'!$Y$70="Baja",'Mapa final'!$AA$70="Leve"),CONCATENATE("R9C",'Mapa final'!$O$70),"")</f>
        <v/>
      </c>
      <c r="O44" s="78" t="str">
        <f>IF(AND('Mapa final'!$Y$71="Baja",'Mapa final'!$AA$71="Leve"),CONCATENATE("R9C",'Mapa final'!$O$71),"")</f>
        <v/>
      </c>
      <c r="P44" s="67" t="str">
        <f>IF(AND('Mapa final'!$Y$66="Baja",'Mapa final'!$AA$66="Menor"),CONCATENATE("R9C",'Mapa final'!$O$66),"")</f>
        <v/>
      </c>
      <c r="Q44" s="68" t="str">
        <f>IF(AND('Mapa final'!$Y$67="Baja",'Mapa final'!$AA$67="Menor"),CONCATENATE("R9C",'Mapa final'!$O$67),"")</f>
        <v/>
      </c>
      <c r="R44" s="68" t="str">
        <f>IF(AND('Mapa final'!$Y$68="Baja",'Mapa final'!$AA$68="Menor"),CONCATENATE("R9C",'Mapa final'!$O$68),"")</f>
        <v/>
      </c>
      <c r="S44" s="68" t="str">
        <f>IF(AND('Mapa final'!$Y$69="Baja",'Mapa final'!$AA$69="Menor"),CONCATENATE("R9C",'Mapa final'!$O$69),"")</f>
        <v/>
      </c>
      <c r="T44" s="68" t="str">
        <f>IF(AND('Mapa final'!$Y$70="Baja",'Mapa final'!$AA$70="Menor"),CONCATENATE("R9C",'Mapa final'!$O$70),"")</f>
        <v/>
      </c>
      <c r="U44" s="69" t="str">
        <f>IF(AND('Mapa final'!$Y$71="Baja",'Mapa final'!$AA$71="Menor"),CONCATENATE("R9C",'Mapa final'!$O$71),"")</f>
        <v/>
      </c>
      <c r="V44" s="67" t="str">
        <f>IF(AND('Mapa final'!$Y$66="Baja",'Mapa final'!$AA$66="Moderado"),CONCATENATE("R9C",'Mapa final'!$O$66),"")</f>
        <v/>
      </c>
      <c r="W44" s="68" t="str">
        <f>IF(AND('Mapa final'!$Y$67="Baja",'Mapa final'!$AA$67="Moderado"),CONCATENATE("R9C",'Mapa final'!$O$67),"")</f>
        <v/>
      </c>
      <c r="X44" s="68" t="str">
        <f>IF(AND('Mapa final'!$Y$68="Baja",'Mapa final'!$AA$68="Moderado"),CONCATENATE("R9C",'Mapa final'!$O$68),"")</f>
        <v/>
      </c>
      <c r="Y44" s="68" t="str">
        <f>IF(AND('Mapa final'!$Y$69="Baja",'Mapa final'!$AA$69="Moderado"),CONCATENATE("R9C",'Mapa final'!$O$69),"")</f>
        <v/>
      </c>
      <c r="Z44" s="68" t="str">
        <f>IF(AND('Mapa final'!$Y$70="Baja",'Mapa final'!$AA$70="Moderado"),CONCATENATE("R9C",'Mapa final'!$O$70),"")</f>
        <v/>
      </c>
      <c r="AA44" s="69" t="str">
        <f>IF(AND('Mapa final'!$Y$71="Baja",'Mapa final'!$AA$71="Moderado"),CONCATENATE("R9C",'Mapa final'!$O$71),"")</f>
        <v/>
      </c>
      <c r="AB44" s="52" t="str">
        <f>IF(AND('Mapa final'!$Y$66="Baja",'Mapa final'!$AA$66="Mayor"),CONCATENATE("R9C",'Mapa final'!$O$66),"")</f>
        <v/>
      </c>
      <c r="AC44" s="53" t="str">
        <f>IF(AND('Mapa final'!$Y$67="Baja",'Mapa final'!$AA$67="Mayor"),CONCATENATE("R9C",'Mapa final'!$O$67),"")</f>
        <v/>
      </c>
      <c r="AD44" s="53" t="str">
        <f>IF(AND('Mapa final'!$Y$68="Baja",'Mapa final'!$AA$68="Mayor"),CONCATENATE("R9C",'Mapa final'!$O$68),"")</f>
        <v/>
      </c>
      <c r="AE44" s="53" t="str">
        <f>IF(AND('Mapa final'!$Y$69="Baja",'Mapa final'!$AA$69="Mayor"),CONCATENATE("R9C",'Mapa final'!$O$69),"")</f>
        <v/>
      </c>
      <c r="AF44" s="53" t="str">
        <f>IF(AND('Mapa final'!$Y$70="Baja",'Mapa final'!$AA$70="Mayor"),CONCATENATE("R9C",'Mapa final'!$O$70),"")</f>
        <v/>
      </c>
      <c r="AG44" s="54" t="str">
        <f>IF(AND('Mapa final'!$Y$71="Baja",'Mapa final'!$AA$71="Mayor"),CONCATENATE("R9C",'Mapa final'!$O$71),"")</f>
        <v/>
      </c>
      <c r="AH44" s="55" t="str">
        <f>IF(AND('Mapa final'!$Y$66="Baja",'Mapa final'!$AA$66="Catastrófico"),CONCATENATE("R9C",'Mapa final'!$O$66),"")</f>
        <v/>
      </c>
      <c r="AI44" s="56" t="str">
        <f>IF(AND('Mapa final'!$Y$67="Baja",'Mapa final'!$AA$67="Catastrófico"),CONCATENATE("R9C",'Mapa final'!$O$67),"")</f>
        <v/>
      </c>
      <c r="AJ44" s="56" t="str">
        <f>IF(AND('Mapa final'!$Y$68="Baja",'Mapa final'!$AA$68="Catastrófico"),CONCATENATE("R9C",'Mapa final'!$O$68),"")</f>
        <v/>
      </c>
      <c r="AK44" s="56" t="str">
        <f>IF(AND('Mapa final'!$Y$69="Baja",'Mapa final'!$AA$69="Catastrófico"),CONCATENATE("R9C",'Mapa final'!$O$69),"")</f>
        <v/>
      </c>
      <c r="AL44" s="56" t="str">
        <f>IF(AND('Mapa final'!$Y$70="Baja",'Mapa final'!$AA$70="Catastrófico"),CONCATENATE("R9C",'Mapa final'!$O$70),"")</f>
        <v/>
      </c>
      <c r="AM44" s="57" t="str">
        <f>IF(AND('Mapa final'!$Y$71="Baja",'Mapa final'!$AA$71="Catastrófico"),CONCATENATE("R9C",'Mapa final'!$O$71),"")</f>
        <v/>
      </c>
      <c r="AN44" s="83"/>
      <c r="AO44" s="462"/>
      <c r="AP44" s="463"/>
      <c r="AQ44" s="463"/>
      <c r="AR44" s="463"/>
      <c r="AS44" s="463"/>
      <c r="AT44" s="464"/>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row>
    <row r="45" spans="1:80" ht="15.75" customHeight="1" thickBot="1" x14ac:dyDescent="0.3">
      <c r="A45" s="83"/>
      <c r="B45" s="343"/>
      <c r="C45" s="343"/>
      <c r="D45" s="344"/>
      <c r="E45" s="443"/>
      <c r="F45" s="444"/>
      <c r="G45" s="444"/>
      <c r="H45" s="444"/>
      <c r="I45" s="444"/>
      <c r="J45" s="79" t="str">
        <f>IF(AND('Mapa final'!$Y$72="Baja",'Mapa final'!$AA$72="Leve"),CONCATENATE("R10C",'Mapa final'!$O$72),"")</f>
        <v/>
      </c>
      <c r="K45" s="80" t="str">
        <f>IF(AND('Mapa final'!$Y$73="Baja",'Mapa final'!$AA$73="Leve"),CONCATENATE("R10C",'Mapa final'!$O$73),"")</f>
        <v/>
      </c>
      <c r="L45" s="80" t="str">
        <f>IF(AND('Mapa final'!$Y$74="Baja",'Mapa final'!$AA$74="Leve"),CONCATENATE("R10C",'Mapa final'!$O$74),"")</f>
        <v/>
      </c>
      <c r="M45" s="80" t="str">
        <f>IF(AND('Mapa final'!$Y$75="Baja",'Mapa final'!$AA$75="Leve"),CONCATENATE("R10C",'Mapa final'!$O$75),"")</f>
        <v/>
      </c>
      <c r="N45" s="80" t="str">
        <f>IF(AND('Mapa final'!$Y$76="Baja",'Mapa final'!$AA$76="Leve"),CONCATENATE("R10C",'Mapa final'!$O$76),"")</f>
        <v/>
      </c>
      <c r="O45" s="81" t="str">
        <f>IF(AND('Mapa final'!$Y$77="Baja",'Mapa final'!$AA$77="Leve"),CONCATENATE("R10C",'Mapa final'!$O$77),"")</f>
        <v/>
      </c>
      <c r="P45" s="67" t="str">
        <f>IF(AND('Mapa final'!$Y$72="Baja",'Mapa final'!$AA$72="Menor"),CONCATENATE("R10C",'Mapa final'!$O$72),"")</f>
        <v/>
      </c>
      <c r="Q45" s="68" t="str">
        <f>IF(AND('Mapa final'!$Y$73="Baja",'Mapa final'!$AA$73="Menor"),CONCATENATE("R10C",'Mapa final'!$O$73),"")</f>
        <v/>
      </c>
      <c r="R45" s="68" t="str">
        <f>IF(AND('Mapa final'!$Y$74="Baja",'Mapa final'!$AA$74="Menor"),CONCATENATE("R10C",'Mapa final'!$O$74),"")</f>
        <v/>
      </c>
      <c r="S45" s="68" t="str">
        <f>IF(AND('Mapa final'!$Y$75="Baja",'Mapa final'!$AA$75="Menor"),CONCATENATE("R10C",'Mapa final'!$O$75),"")</f>
        <v/>
      </c>
      <c r="T45" s="68" t="str">
        <f>IF(AND('Mapa final'!$Y$76="Baja",'Mapa final'!$AA$76="Menor"),CONCATENATE("R10C",'Mapa final'!$O$76),"")</f>
        <v/>
      </c>
      <c r="U45" s="69" t="str">
        <f>IF(AND('Mapa final'!$Y$77="Baja",'Mapa final'!$AA$77="Menor"),CONCATENATE("R10C",'Mapa final'!$O$77),"")</f>
        <v/>
      </c>
      <c r="V45" s="70" t="str">
        <f>IF(AND('Mapa final'!$Y$72="Baja",'Mapa final'!$AA$72="Moderado"),CONCATENATE("R10C",'Mapa final'!$O$72),"")</f>
        <v/>
      </c>
      <c r="W45" s="71" t="str">
        <f>IF(AND('Mapa final'!$Y$73="Baja",'Mapa final'!$AA$73="Moderado"),CONCATENATE("R10C",'Mapa final'!$O$73),"")</f>
        <v/>
      </c>
      <c r="X45" s="71" t="str">
        <f>IF(AND('Mapa final'!$Y$74="Baja",'Mapa final'!$AA$74="Moderado"),CONCATENATE("R10C",'Mapa final'!$O$74),"")</f>
        <v/>
      </c>
      <c r="Y45" s="71" t="str">
        <f>IF(AND('Mapa final'!$Y$75="Baja",'Mapa final'!$AA$75="Moderado"),CONCATENATE("R10C",'Mapa final'!$O$75),"")</f>
        <v/>
      </c>
      <c r="Z45" s="71" t="str">
        <f>IF(AND('Mapa final'!$Y$76="Baja",'Mapa final'!$AA$76="Moderado"),CONCATENATE("R10C",'Mapa final'!$O$76),"")</f>
        <v/>
      </c>
      <c r="AA45" s="72" t="str">
        <f>IF(AND('Mapa final'!$Y$77="Baja",'Mapa final'!$AA$77="Moderado"),CONCATENATE("R10C",'Mapa final'!$O$77),"")</f>
        <v/>
      </c>
      <c r="AB45" s="58" t="str">
        <f>IF(AND('Mapa final'!$Y$72="Baja",'Mapa final'!$AA$72="Mayor"),CONCATENATE("R10C",'Mapa final'!$O$72),"")</f>
        <v/>
      </c>
      <c r="AC45" s="59" t="str">
        <f>IF(AND('Mapa final'!$Y$73="Baja",'Mapa final'!$AA$73="Mayor"),CONCATENATE("R10C",'Mapa final'!$O$73),"")</f>
        <v/>
      </c>
      <c r="AD45" s="59" t="str">
        <f>IF(AND('Mapa final'!$Y$74="Baja",'Mapa final'!$AA$74="Mayor"),CONCATENATE("R10C",'Mapa final'!$O$74),"")</f>
        <v/>
      </c>
      <c r="AE45" s="59" t="str">
        <f>IF(AND('Mapa final'!$Y$75="Baja",'Mapa final'!$AA$75="Mayor"),CONCATENATE("R10C",'Mapa final'!$O$75),"")</f>
        <v/>
      </c>
      <c r="AF45" s="59" t="str">
        <f>IF(AND('Mapa final'!$Y$76="Baja",'Mapa final'!$AA$76="Mayor"),CONCATENATE("R10C",'Mapa final'!$O$76),"")</f>
        <v/>
      </c>
      <c r="AG45" s="60" t="str">
        <f>IF(AND('Mapa final'!$Y$77="Baja",'Mapa final'!$AA$77="Mayor"),CONCATENATE("R10C",'Mapa final'!$O$77),"")</f>
        <v/>
      </c>
      <c r="AH45" s="61" t="str">
        <f>IF(AND('Mapa final'!$Y$72="Baja",'Mapa final'!$AA$72="Catastrófico"),CONCATENATE("R10C",'Mapa final'!$O$72),"")</f>
        <v/>
      </c>
      <c r="AI45" s="62" t="str">
        <f>IF(AND('Mapa final'!$Y$73="Baja",'Mapa final'!$AA$73="Catastrófico"),CONCATENATE("R10C",'Mapa final'!$O$73),"")</f>
        <v/>
      </c>
      <c r="AJ45" s="62" t="str">
        <f>IF(AND('Mapa final'!$Y$74="Baja",'Mapa final'!$AA$74="Catastrófico"),CONCATENATE("R10C",'Mapa final'!$O$74),"")</f>
        <v/>
      </c>
      <c r="AK45" s="62" t="str">
        <f>IF(AND('Mapa final'!$Y$75="Baja",'Mapa final'!$AA$75="Catastrófico"),CONCATENATE("R10C",'Mapa final'!$O$75),"")</f>
        <v/>
      </c>
      <c r="AL45" s="62" t="str">
        <f>IF(AND('Mapa final'!$Y$76="Baja",'Mapa final'!$AA$76="Catastrófico"),CONCATENATE("R10C",'Mapa final'!$O$76),"")</f>
        <v/>
      </c>
      <c r="AM45" s="63" t="str">
        <f>IF(AND('Mapa final'!$Y$77="Baja",'Mapa final'!$AA$77="Catastrófico"),CONCATENATE("R10C",'Mapa final'!$O$77),"")</f>
        <v/>
      </c>
      <c r="AN45" s="83"/>
      <c r="AO45" s="465"/>
      <c r="AP45" s="466"/>
      <c r="AQ45" s="466"/>
      <c r="AR45" s="466"/>
      <c r="AS45" s="466"/>
      <c r="AT45" s="467"/>
    </row>
    <row r="46" spans="1:80" ht="46.5" customHeight="1" x14ac:dyDescent="0.35">
      <c r="A46" s="83"/>
      <c r="B46" s="343"/>
      <c r="C46" s="343"/>
      <c r="D46" s="344"/>
      <c r="E46" s="438" t="s">
        <v>100</v>
      </c>
      <c r="F46" s="439"/>
      <c r="G46" s="439"/>
      <c r="H46" s="439"/>
      <c r="I46" s="456"/>
      <c r="J46" s="73" t="str">
        <f>IF(AND('Mapa final'!$Y$22="Muy Baja",'Mapa final'!$AA$22="Leve"),CONCATENATE("R1C",'Mapa final'!$O$22),"")</f>
        <v/>
      </c>
      <c r="K46" s="74" t="str">
        <f>IF(AND('Mapa final'!$Y$23="Muy Baja",'Mapa final'!$AA$23="Leve"),CONCATENATE("R1C",'Mapa final'!$O$23),"")</f>
        <v/>
      </c>
      <c r="L46" s="74" t="str">
        <f>IF(AND('Mapa final'!$Y$24="Muy Baja",'Mapa final'!$AA$24="Leve"),CONCATENATE("R1C",'Mapa final'!$O$24),"")</f>
        <v/>
      </c>
      <c r="M46" s="74" t="str">
        <f>IF(AND('Mapa final'!$Y$25="Muy Baja",'Mapa final'!$AA$25="Leve"),CONCATENATE("R1C",'Mapa final'!$O$25),"")</f>
        <v/>
      </c>
      <c r="N46" s="74" t="str">
        <f>IF(AND('Mapa final'!$Y$26="Muy Baja",'Mapa final'!$AA$26="Leve"),CONCATENATE("R1C",'Mapa final'!$O$26),"")</f>
        <v/>
      </c>
      <c r="O46" s="75" t="str">
        <f>IF(AND('Mapa final'!$Y$27="Muy Baja",'Mapa final'!$AA$27="Leve"),CONCATENATE("R1C",'Mapa final'!$O$27),"")</f>
        <v/>
      </c>
      <c r="P46" s="73" t="str">
        <f>IF(AND('Mapa final'!$Y$22="Muy Baja",'Mapa final'!$AA$22="Menor"),CONCATENATE("R1C",'Mapa final'!$O$22),"")</f>
        <v/>
      </c>
      <c r="Q46" s="74" t="str">
        <f>IF(AND('Mapa final'!$Y$23="Muy Baja",'Mapa final'!$AA$23="Menor"),CONCATENATE("R1C",'Mapa final'!$O$23),"")</f>
        <v/>
      </c>
      <c r="R46" s="74" t="str">
        <f>IF(AND('Mapa final'!$Y$24="Muy Baja",'Mapa final'!$AA$24="Menor"),CONCATENATE("R1C",'Mapa final'!$O$24),"")</f>
        <v/>
      </c>
      <c r="S46" s="74" t="str">
        <f>IF(AND('Mapa final'!$Y$25="Muy Baja",'Mapa final'!$AA$25="Menor"),CONCATENATE("R1C",'Mapa final'!$O$25),"")</f>
        <v/>
      </c>
      <c r="T46" s="74" t="str">
        <f>IF(AND('Mapa final'!$Y$26="Muy Baja",'Mapa final'!$AA$26="Menor"),CONCATENATE("R1C",'Mapa final'!$O$26),"")</f>
        <v/>
      </c>
      <c r="U46" s="75" t="str">
        <f>IF(AND('Mapa final'!$Y$27="Muy Baja",'Mapa final'!$AA$27="Menor"),CONCATENATE("R1C",'Mapa final'!$O$27),"")</f>
        <v/>
      </c>
      <c r="V46" s="64" t="str">
        <f>IF(AND('Mapa final'!$Y$22="Muy Baja",'Mapa final'!$AA$22="Moderado"),CONCATENATE("R1C",'Mapa final'!$O$22),"")</f>
        <v/>
      </c>
      <c r="W46" s="82" t="str">
        <f>IF(AND('Mapa final'!$Y$23="Muy Baja",'Mapa final'!$AA$23="Moderado"),CONCATENATE("R1C",'Mapa final'!$O$23),"")</f>
        <v/>
      </c>
      <c r="X46" s="65" t="str">
        <f>IF(AND('Mapa final'!$Y$24="Muy Baja",'Mapa final'!$AA$24="Moderado"),CONCATENATE("R1C",'Mapa final'!$O$24),"")</f>
        <v/>
      </c>
      <c r="Y46" s="65" t="str">
        <f>IF(AND('Mapa final'!$Y$25="Muy Baja",'Mapa final'!$AA$25="Moderado"),CONCATENATE("R1C",'Mapa final'!$O$25),"")</f>
        <v/>
      </c>
      <c r="Z46" s="65" t="str">
        <f>IF(AND('Mapa final'!$Y$26="Muy Baja",'Mapa final'!$AA$26="Moderado"),CONCATENATE("R1C",'Mapa final'!$O$26),"")</f>
        <v/>
      </c>
      <c r="AA46" s="66" t="str">
        <f>IF(AND('Mapa final'!$Y$27="Muy Baja",'Mapa final'!$AA$27="Moderado"),CONCATENATE("R1C",'Mapa final'!$O$27),"")</f>
        <v/>
      </c>
      <c r="AB46" s="46" t="str">
        <f>IF(AND('Mapa final'!$Y$22="Muy Baja",'Mapa final'!$AA$22="Mayor"),CONCATENATE("R1C",'Mapa final'!$O$22),"")</f>
        <v/>
      </c>
      <c r="AC46" s="47" t="str">
        <f>IF(AND('Mapa final'!$Y$23="Muy Baja",'Mapa final'!$AA$23="Mayor"),CONCATENATE("R1C",'Mapa final'!$O$23),"")</f>
        <v/>
      </c>
      <c r="AD46" s="47" t="str">
        <f>IF(AND('Mapa final'!$Y$24="Muy Baja",'Mapa final'!$AA$24="Mayor"),CONCATENATE("R1C",'Mapa final'!$O$24),"")</f>
        <v/>
      </c>
      <c r="AE46" s="47" t="str">
        <f>IF(AND('Mapa final'!$Y$25="Muy Baja",'Mapa final'!$AA$25="Mayor"),CONCATENATE("R1C",'Mapa final'!$O$25),"")</f>
        <v/>
      </c>
      <c r="AF46" s="47" t="str">
        <f>IF(AND('Mapa final'!$Y$26="Muy Baja",'Mapa final'!$AA$26="Mayor"),CONCATENATE("R1C",'Mapa final'!$O$26),"")</f>
        <v/>
      </c>
      <c r="AG46" s="48" t="str">
        <f>IF(AND('Mapa final'!$Y$27="Muy Baja",'Mapa final'!$AA$27="Mayor"),CONCATENATE("R1C",'Mapa final'!$O$27),"")</f>
        <v/>
      </c>
      <c r="AH46" s="49" t="str">
        <f>IF(AND('Mapa final'!$Y$22="Muy Baja",'Mapa final'!$AA$22="Catastrófico"),CONCATENATE("R1C",'Mapa final'!$O$22),"")</f>
        <v/>
      </c>
      <c r="AI46" s="50" t="str">
        <f>IF(AND('Mapa final'!$Y$23="Muy Baja",'Mapa final'!$AA$23="Catastrófico"),CONCATENATE("R1C",'Mapa final'!$O$23),"")</f>
        <v/>
      </c>
      <c r="AJ46" s="50" t="str">
        <f>IF(AND('Mapa final'!$Y$24="Muy Baja",'Mapa final'!$AA$24="Catastrófico"),CONCATENATE("R1C",'Mapa final'!$O$24),"")</f>
        <v/>
      </c>
      <c r="AK46" s="50" t="str">
        <f>IF(AND('Mapa final'!$Y$25="Muy Baja",'Mapa final'!$AA$25="Catastrófico"),CONCATENATE("R1C",'Mapa final'!$O$25),"")</f>
        <v/>
      </c>
      <c r="AL46" s="50" t="str">
        <f>IF(AND('Mapa final'!$Y$26="Muy Baja",'Mapa final'!$AA$26="Catastrófico"),CONCATENATE("R1C",'Mapa final'!$O$26),"")</f>
        <v/>
      </c>
      <c r="AM46" s="51" t="str">
        <f>IF(AND('Mapa final'!$Y$27="Muy Baja",'Mapa final'!$AA$27="Catastrófico"),CONCATENATE("R1C",'Mapa final'!$O$27),"")</f>
        <v/>
      </c>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ht="46.5" customHeight="1" x14ac:dyDescent="0.25">
      <c r="A47" s="83"/>
      <c r="B47" s="343"/>
      <c r="C47" s="343"/>
      <c r="D47" s="344"/>
      <c r="E47" s="440"/>
      <c r="F47" s="441"/>
      <c r="G47" s="441"/>
      <c r="H47" s="441"/>
      <c r="I47" s="457"/>
      <c r="J47" s="76" t="str">
        <f>IF(AND('Mapa final'!$Y$28="Muy Baja",'Mapa final'!$AA$28="Leve"),CONCATENATE("R2C",'Mapa final'!$O$28),"")</f>
        <v/>
      </c>
      <c r="K47" s="77" t="str">
        <f>IF(AND('Mapa final'!$Y$29="Muy Baja",'Mapa final'!$AA$29="Leve"),CONCATENATE("R2C",'Mapa final'!$O$29),"")</f>
        <v/>
      </c>
      <c r="L47" s="77" t="str">
        <f>IF(AND('Mapa final'!$Y$30="Muy Baja",'Mapa final'!$AA$30="Leve"),CONCATENATE("R2C",'Mapa final'!$O$30),"")</f>
        <v/>
      </c>
      <c r="M47" s="77" t="str">
        <f>IF(AND('Mapa final'!$Y$31="Muy Baja",'Mapa final'!$AA$31="Leve"),CONCATENATE("R2C",'Mapa final'!$O$31),"")</f>
        <v/>
      </c>
      <c r="N47" s="77" t="str">
        <f>IF(AND('Mapa final'!$Y$32="Muy Baja",'Mapa final'!$AA$32="Leve"),CONCATENATE("R2C",'Mapa final'!$O$32),"")</f>
        <v/>
      </c>
      <c r="O47" s="78" t="str">
        <f>IF(AND('Mapa final'!$Y$33="Muy Baja",'Mapa final'!$AA$33="Leve"),CONCATENATE("R2C",'Mapa final'!$O$33),"")</f>
        <v/>
      </c>
      <c r="P47" s="76" t="str">
        <f>IF(AND('Mapa final'!$Y$28="Muy Baja",'Mapa final'!$AA$28="Menor"),CONCATENATE("R2C",'Mapa final'!$O$28),"")</f>
        <v/>
      </c>
      <c r="Q47" s="77" t="str">
        <f>IF(AND('Mapa final'!$Y$29="Muy Baja",'Mapa final'!$AA$29="Menor"),CONCATENATE("R2C",'Mapa final'!$O$29),"")</f>
        <v/>
      </c>
      <c r="R47" s="77" t="str">
        <f>IF(AND('Mapa final'!$Y$30="Muy Baja",'Mapa final'!$AA$30="Menor"),CONCATENATE("R2C",'Mapa final'!$O$30),"")</f>
        <v/>
      </c>
      <c r="S47" s="77" t="str">
        <f>IF(AND('Mapa final'!$Y$31="Muy Baja",'Mapa final'!$AA$31="Menor"),CONCATENATE("R2C",'Mapa final'!$O$31),"")</f>
        <v/>
      </c>
      <c r="T47" s="77" t="str">
        <f>IF(AND('Mapa final'!$Y$32="Muy Baja",'Mapa final'!$AA$32="Menor"),CONCATENATE("R2C",'Mapa final'!$O$32),"")</f>
        <v/>
      </c>
      <c r="U47" s="78" t="str">
        <f>IF(AND('Mapa final'!$Y$33="Muy Baja",'Mapa final'!$AA$33="Menor"),CONCATENATE("R2C",'Mapa final'!$O$33),"")</f>
        <v/>
      </c>
      <c r="V47" s="67" t="str">
        <f>IF(AND('Mapa final'!$Y$28="Muy Baja",'Mapa final'!$AA$28="Moderado"),CONCATENATE("R2C",'Mapa final'!$O$28),"")</f>
        <v/>
      </c>
      <c r="W47" s="68" t="str">
        <f>IF(AND('Mapa final'!$Y$29="Muy Baja",'Mapa final'!$AA$29="Moderado"),CONCATENATE("R2C",'Mapa final'!$O$29),"")</f>
        <v/>
      </c>
      <c r="X47" s="68" t="str">
        <f>IF(AND('Mapa final'!$Y$30="Muy Baja",'Mapa final'!$AA$30="Moderado"),CONCATENATE("R2C",'Mapa final'!$O$30),"")</f>
        <v/>
      </c>
      <c r="Y47" s="68" t="str">
        <f>IF(AND('Mapa final'!$Y$31="Muy Baja",'Mapa final'!$AA$31="Moderado"),CONCATENATE("R2C",'Mapa final'!$O$31),"")</f>
        <v/>
      </c>
      <c r="Z47" s="68" t="str">
        <f>IF(AND('Mapa final'!$Y$32="Muy Baja",'Mapa final'!$AA$32="Moderado"),CONCATENATE("R2C",'Mapa final'!$O$32),"")</f>
        <v/>
      </c>
      <c r="AA47" s="69" t="str">
        <f>IF(AND('Mapa final'!$Y$33="Muy Baja",'Mapa final'!$AA$33="Moderado"),CONCATENATE("R2C",'Mapa final'!$O$33),"")</f>
        <v/>
      </c>
      <c r="AB47" s="52" t="str">
        <f>IF(AND('Mapa final'!$Y$28="Muy Baja",'Mapa final'!$AA$28="Mayor"),CONCATENATE("R2C",'Mapa final'!$O$28),"")</f>
        <v/>
      </c>
      <c r="AC47" s="53" t="str">
        <f>IF(AND('Mapa final'!$Y$29="Muy Baja",'Mapa final'!$AA$29="Mayor"),CONCATENATE("R2C",'Mapa final'!$O$29),"")</f>
        <v/>
      </c>
      <c r="AD47" s="53" t="str">
        <f>IF(AND('Mapa final'!$Y$30="Muy Baja",'Mapa final'!$AA$30="Mayor"),CONCATENATE("R2C",'Mapa final'!$O$30),"")</f>
        <v/>
      </c>
      <c r="AE47" s="53" t="str">
        <f>IF(AND('Mapa final'!$Y$31="Muy Baja",'Mapa final'!$AA$31="Mayor"),CONCATENATE("R2C",'Mapa final'!$O$31),"")</f>
        <v/>
      </c>
      <c r="AF47" s="53" t="str">
        <f>IF(AND('Mapa final'!$Y$32="Muy Baja",'Mapa final'!$AA$32="Mayor"),CONCATENATE("R2C",'Mapa final'!$O$32),"")</f>
        <v/>
      </c>
      <c r="AG47" s="54" t="str">
        <f>IF(AND('Mapa final'!$Y$33="Muy Baja",'Mapa final'!$AA$33="Mayor"),CONCATENATE("R2C",'Mapa final'!$O$33),"")</f>
        <v/>
      </c>
      <c r="AH47" s="55" t="str">
        <f>IF(AND('Mapa final'!$Y$28="Muy Baja",'Mapa final'!$AA$28="Catastrófico"),CONCATENATE("R2C",'Mapa final'!$O$28),"")</f>
        <v/>
      </c>
      <c r="AI47" s="56" t="str">
        <f>IF(AND('Mapa final'!$Y$29="Muy Baja",'Mapa final'!$AA$29="Catastrófico"),CONCATENATE("R2C",'Mapa final'!$O$29),"")</f>
        <v/>
      </c>
      <c r="AJ47" s="56" t="str">
        <f>IF(AND('Mapa final'!$Y$30="Muy Baja",'Mapa final'!$AA$30="Catastrófico"),CONCATENATE("R2C",'Mapa final'!$O$30),"")</f>
        <v/>
      </c>
      <c r="AK47" s="56" t="str">
        <f>IF(AND('Mapa final'!$Y$31="Muy Baja",'Mapa final'!$AA$31="Catastrófico"),CONCATENATE("R2C",'Mapa final'!$O$31),"")</f>
        <v/>
      </c>
      <c r="AL47" s="56" t="str">
        <f>IF(AND('Mapa final'!$Y$32="Muy Baja",'Mapa final'!$AA$32="Catastrófico"),CONCATENATE("R2C",'Mapa final'!$O$32),"")</f>
        <v/>
      </c>
      <c r="AM47" s="57" t="str">
        <f>IF(AND('Mapa final'!$Y$33="Muy Baja",'Mapa final'!$AA$33="Catastrófico"),CONCATENATE("R2C",'Mapa final'!$O$33),"")</f>
        <v/>
      </c>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ht="15" customHeight="1" x14ac:dyDescent="0.25">
      <c r="A48" s="83"/>
      <c r="B48" s="343"/>
      <c r="C48" s="343"/>
      <c r="D48" s="344"/>
      <c r="E48" s="440"/>
      <c r="F48" s="441"/>
      <c r="G48" s="441"/>
      <c r="H48" s="441"/>
      <c r="I48" s="457"/>
      <c r="J48" s="76" t="str">
        <f>IF(AND('Mapa final'!$Y$34="Muy Baja",'Mapa final'!$AA$34="Leve"),CONCATENATE("R3C",'Mapa final'!$O$34),"")</f>
        <v/>
      </c>
      <c r="K48" s="77" t="str">
        <f>IF(AND('Mapa final'!$Y$35="Muy Baja",'Mapa final'!$AA$35="Leve"),CONCATENATE("R3C",'Mapa final'!$O$35),"")</f>
        <v/>
      </c>
      <c r="L48" s="77" t="str">
        <f>IF(AND('Mapa final'!$Y$36="Muy Baja",'Mapa final'!$AA$36="Leve"),CONCATENATE("R3C",'Mapa final'!$O$36),"")</f>
        <v/>
      </c>
      <c r="M48" s="77" t="str">
        <f>IF(AND('Mapa final'!$Y$37="Muy Baja",'Mapa final'!$AA$37="Leve"),CONCATENATE("R3C",'Mapa final'!$O$37),"")</f>
        <v/>
      </c>
      <c r="N48" s="77" t="str">
        <f>IF(AND('Mapa final'!$Y$38="Muy Baja",'Mapa final'!$AA$38="Leve"),CONCATENATE("R3C",'Mapa final'!$O$38),"")</f>
        <v/>
      </c>
      <c r="O48" s="78" t="str">
        <f>IF(AND('Mapa final'!$Y$39="Muy Baja",'Mapa final'!$AA$39="Leve"),CONCATENATE("R3C",'Mapa final'!$O$39),"")</f>
        <v/>
      </c>
      <c r="P48" s="76" t="str">
        <f>IF(AND('Mapa final'!$Y$34="Muy Baja",'Mapa final'!$AA$34="Menor"),CONCATENATE("R3C",'Mapa final'!$O$34),"")</f>
        <v/>
      </c>
      <c r="Q48" s="77" t="str">
        <f>IF(AND('Mapa final'!$Y$35="Muy Baja",'Mapa final'!$AA$35="Menor"),CONCATENATE("R3C",'Mapa final'!$O$35),"")</f>
        <v/>
      </c>
      <c r="R48" s="77" t="str">
        <f>IF(AND('Mapa final'!$Y$36="Muy Baja",'Mapa final'!$AA$36="Menor"),CONCATENATE("R3C",'Mapa final'!$O$36),"")</f>
        <v/>
      </c>
      <c r="S48" s="77" t="str">
        <f>IF(AND('Mapa final'!$Y$37="Muy Baja",'Mapa final'!$AA$37="Menor"),CONCATENATE("R3C",'Mapa final'!$O$37),"")</f>
        <v/>
      </c>
      <c r="T48" s="77" t="str">
        <f>IF(AND('Mapa final'!$Y$38="Muy Baja",'Mapa final'!$AA$38="Menor"),CONCATENATE("R3C",'Mapa final'!$O$38),"")</f>
        <v/>
      </c>
      <c r="U48" s="78" t="str">
        <f>IF(AND('Mapa final'!$Y$39="Muy Baja",'Mapa final'!$AA$39="Menor"),CONCATENATE("R3C",'Mapa final'!$O$39),"")</f>
        <v/>
      </c>
      <c r="V48" s="67" t="str">
        <f>IF(AND('Mapa final'!$Y$34="Muy Baja",'Mapa final'!$AA$34="Moderado"),CONCATENATE("R3C",'Mapa final'!$O$34),"")</f>
        <v/>
      </c>
      <c r="W48" s="68" t="str">
        <f>IF(AND('Mapa final'!$Y$35="Muy Baja",'Mapa final'!$AA$35="Moderado"),CONCATENATE("R3C",'Mapa final'!$O$35),"")</f>
        <v/>
      </c>
      <c r="X48" s="68" t="str">
        <f>IF(AND('Mapa final'!$Y$36="Muy Baja",'Mapa final'!$AA$36="Moderado"),CONCATENATE("R3C",'Mapa final'!$O$36),"")</f>
        <v/>
      </c>
      <c r="Y48" s="68" t="str">
        <f>IF(AND('Mapa final'!$Y$37="Muy Baja",'Mapa final'!$AA$37="Moderado"),CONCATENATE("R3C",'Mapa final'!$O$37),"")</f>
        <v/>
      </c>
      <c r="Z48" s="68" t="str">
        <f>IF(AND('Mapa final'!$Y$38="Muy Baja",'Mapa final'!$AA$38="Moderado"),CONCATENATE("R3C",'Mapa final'!$O$38),"")</f>
        <v/>
      </c>
      <c r="AA48" s="69" t="str">
        <f>IF(AND('Mapa final'!$Y$39="Muy Baja",'Mapa final'!$AA$39="Moderado"),CONCATENATE("R3C",'Mapa final'!$O$39),"")</f>
        <v/>
      </c>
      <c r="AB48" s="52" t="str">
        <f>IF(AND('Mapa final'!$Y$34="Muy Baja",'Mapa final'!$AA$34="Mayor"),CONCATENATE("R3C",'Mapa final'!$O$34),"")</f>
        <v/>
      </c>
      <c r="AC48" s="53" t="str">
        <f>IF(AND('Mapa final'!$Y$35="Muy Baja",'Mapa final'!$AA$35="Mayor"),CONCATENATE("R3C",'Mapa final'!$O$35),"")</f>
        <v/>
      </c>
      <c r="AD48" s="53" t="str">
        <f>IF(AND('Mapa final'!$Y$36="Muy Baja",'Mapa final'!$AA$36="Mayor"),CONCATENATE("R3C",'Mapa final'!$O$36),"")</f>
        <v/>
      </c>
      <c r="AE48" s="53" t="str">
        <f>IF(AND('Mapa final'!$Y$37="Muy Baja",'Mapa final'!$AA$37="Mayor"),CONCATENATE("R3C",'Mapa final'!$O$37),"")</f>
        <v/>
      </c>
      <c r="AF48" s="53" t="str">
        <f>IF(AND('Mapa final'!$Y$38="Muy Baja",'Mapa final'!$AA$38="Mayor"),CONCATENATE("R3C",'Mapa final'!$O$38),"")</f>
        <v/>
      </c>
      <c r="AG48" s="54" t="str">
        <f>IF(AND('Mapa final'!$Y$39="Muy Baja",'Mapa final'!$AA$39="Mayor"),CONCATENATE("R3C",'Mapa final'!$O$39),"")</f>
        <v/>
      </c>
      <c r="AH48" s="55" t="str">
        <f>IF(AND('Mapa final'!$Y$34="Muy Baja",'Mapa final'!$AA$34="Catastrófico"),CONCATENATE("R3C",'Mapa final'!$O$34),"")</f>
        <v/>
      </c>
      <c r="AI48" s="56" t="str">
        <f>IF(AND('Mapa final'!$Y$35="Muy Baja",'Mapa final'!$AA$35="Catastrófico"),CONCATENATE("R3C",'Mapa final'!$O$35),"")</f>
        <v/>
      </c>
      <c r="AJ48" s="56" t="str">
        <f>IF(AND('Mapa final'!$Y$36="Muy Baja",'Mapa final'!$AA$36="Catastrófico"),CONCATENATE("R3C",'Mapa final'!$O$36),"")</f>
        <v/>
      </c>
      <c r="AK48" s="56" t="str">
        <f>IF(AND('Mapa final'!$Y$37="Muy Baja",'Mapa final'!$AA$37="Catastrófico"),CONCATENATE("R3C",'Mapa final'!$O$37),"")</f>
        <v/>
      </c>
      <c r="AL48" s="56" t="str">
        <f>IF(AND('Mapa final'!$Y$38="Muy Baja",'Mapa final'!$AA$38="Catastrófico"),CONCATENATE("R3C",'Mapa final'!$O$38),"")</f>
        <v/>
      </c>
      <c r="AM48" s="57" t="str">
        <f>IF(AND('Mapa final'!$Y$39="Muy Baja",'Mapa final'!$AA$39="Catastrófico"),CONCATENATE("R3C",'Mapa final'!$O$39),"")</f>
        <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ht="15" customHeight="1" x14ac:dyDescent="0.25">
      <c r="A49" s="83"/>
      <c r="B49" s="343"/>
      <c r="C49" s="343"/>
      <c r="D49" s="344"/>
      <c r="E49" s="442"/>
      <c r="F49" s="441"/>
      <c r="G49" s="441"/>
      <c r="H49" s="441"/>
      <c r="I49" s="457"/>
      <c r="J49" s="76" t="str">
        <f>IF(AND('Mapa final'!$Y$40="Muy Baja",'Mapa final'!$AA$40="Leve"),CONCATENATE("R4C",'Mapa final'!$O$40),"")</f>
        <v/>
      </c>
      <c r="K49" s="77" t="str">
        <f>IF(AND('Mapa final'!$Y$41="Muy Baja",'Mapa final'!$AA$41="Leve"),CONCATENATE("R4C",'Mapa final'!$O$41),"")</f>
        <v/>
      </c>
      <c r="L49" s="77" t="str">
        <f>IF(AND('Mapa final'!$Y$42="Muy Baja",'Mapa final'!$AA$42="Leve"),CONCATENATE("R4C",'Mapa final'!$O$42),"")</f>
        <v/>
      </c>
      <c r="M49" s="77" t="str">
        <f>IF(AND('Mapa final'!$Y$43="Muy Baja",'Mapa final'!$AA$43="Leve"),CONCATENATE("R4C",'Mapa final'!$O$43),"")</f>
        <v/>
      </c>
      <c r="N49" s="77" t="str">
        <f>IF(AND('Mapa final'!$Y$44="Muy Baja",'Mapa final'!$AA$44="Leve"),CONCATENATE("R4C",'Mapa final'!$O$44),"")</f>
        <v/>
      </c>
      <c r="O49" s="78" t="str">
        <f>IF(AND('Mapa final'!$Y$45="Muy Baja",'Mapa final'!$AA$45="Leve"),CONCATENATE("R4C",'Mapa final'!$O$45),"")</f>
        <v/>
      </c>
      <c r="P49" s="76" t="str">
        <f>IF(AND('Mapa final'!$Y$40="Muy Baja",'Mapa final'!$AA$40="Menor"),CONCATENATE("R4C",'Mapa final'!$O$40),"")</f>
        <v/>
      </c>
      <c r="Q49" s="77" t="str">
        <f>IF(AND('Mapa final'!$Y$41="Muy Baja",'Mapa final'!$AA$41="Menor"),CONCATENATE("R4C",'Mapa final'!$O$41),"")</f>
        <v/>
      </c>
      <c r="R49" s="77" t="str">
        <f>IF(AND('Mapa final'!$Y$42="Muy Baja",'Mapa final'!$AA$42="Menor"),CONCATENATE("R4C",'Mapa final'!$O$42),"")</f>
        <v/>
      </c>
      <c r="S49" s="77" t="str">
        <f>IF(AND('Mapa final'!$Y$43="Muy Baja",'Mapa final'!$AA$43="Menor"),CONCATENATE("R4C",'Mapa final'!$O$43),"")</f>
        <v/>
      </c>
      <c r="T49" s="77" t="str">
        <f>IF(AND('Mapa final'!$Y$44="Muy Baja",'Mapa final'!$AA$44="Menor"),CONCATENATE("R4C",'Mapa final'!$O$44),"")</f>
        <v/>
      </c>
      <c r="U49" s="78" t="str">
        <f>IF(AND('Mapa final'!$Y$45="Muy Baja",'Mapa final'!$AA$45="Menor"),CONCATENATE("R4C",'Mapa final'!$O$45),"")</f>
        <v/>
      </c>
      <c r="V49" s="67" t="str">
        <f>IF(AND('Mapa final'!$Y$40="Muy Baja",'Mapa final'!$AA$40="Moderado"),CONCATENATE("R4C",'Mapa final'!$O$40),"")</f>
        <v/>
      </c>
      <c r="W49" s="68" t="str">
        <f>IF(AND('Mapa final'!$Y$41="Muy Baja",'Mapa final'!$AA$41="Moderado"),CONCATENATE("R4C",'Mapa final'!$O$41),"")</f>
        <v/>
      </c>
      <c r="X49" s="68" t="str">
        <f>IF(AND('Mapa final'!$Y$42="Muy Baja",'Mapa final'!$AA$42="Moderado"),CONCATENATE("R4C",'Mapa final'!$O$42),"")</f>
        <v/>
      </c>
      <c r="Y49" s="68" t="str">
        <f>IF(AND('Mapa final'!$Y$43="Muy Baja",'Mapa final'!$AA$43="Moderado"),CONCATENATE("R4C",'Mapa final'!$O$43),"")</f>
        <v/>
      </c>
      <c r="Z49" s="68" t="str">
        <f>IF(AND('Mapa final'!$Y$44="Muy Baja",'Mapa final'!$AA$44="Moderado"),CONCATENATE("R4C",'Mapa final'!$O$44),"")</f>
        <v/>
      </c>
      <c r="AA49" s="69" t="str">
        <f>IF(AND('Mapa final'!$Y$45="Muy Baja",'Mapa final'!$AA$45="Moderado"),CONCATENATE("R4C",'Mapa final'!$O$45),"")</f>
        <v/>
      </c>
      <c r="AB49" s="52" t="str">
        <f>IF(AND('Mapa final'!$Y$40="Muy Baja",'Mapa final'!$AA$40="Mayor"),CONCATENATE("R4C",'Mapa final'!$O$40),"")</f>
        <v/>
      </c>
      <c r="AC49" s="53" t="str">
        <f>IF(AND('Mapa final'!$Y$41="Muy Baja",'Mapa final'!$AA$41="Mayor"),CONCATENATE("R4C",'Mapa final'!$O$41),"")</f>
        <v/>
      </c>
      <c r="AD49" s="53" t="str">
        <f>IF(AND('Mapa final'!$Y$42="Muy Baja",'Mapa final'!$AA$42="Mayor"),CONCATENATE("R4C",'Mapa final'!$O$42),"")</f>
        <v/>
      </c>
      <c r="AE49" s="53" t="str">
        <f>IF(AND('Mapa final'!$Y$43="Muy Baja",'Mapa final'!$AA$43="Mayor"),CONCATENATE("R4C",'Mapa final'!$O$43),"")</f>
        <v/>
      </c>
      <c r="AF49" s="53" t="str">
        <f>IF(AND('Mapa final'!$Y$44="Muy Baja",'Mapa final'!$AA$44="Mayor"),CONCATENATE("R4C",'Mapa final'!$O$44),"")</f>
        <v/>
      </c>
      <c r="AG49" s="54" t="str">
        <f>IF(AND('Mapa final'!$Y$45="Muy Baja",'Mapa final'!$AA$45="Mayor"),CONCATENATE("R4C",'Mapa final'!$O$45),"")</f>
        <v/>
      </c>
      <c r="AH49" s="55" t="str">
        <f>IF(AND('Mapa final'!$Y$40="Muy Baja",'Mapa final'!$AA$40="Catastrófico"),CONCATENATE("R4C",'Mapa final'!$O$40),"")</f>
        <v/>
      </c>
      <c r="AI49" s="56" t="str">
        <f>IF(AND('Mapa final'!$Y$41="Muy Baja",'Mapa final'!$AA$41="Catastrófico"),CONCATENATE("R4C",'Mapa final'!$O$41),"")</f>
        <v/>
      </c>
      <c r="AJ49" s="56" t="str">
        <f>IF(AND('Mapa final'!$Y$42="Muy Baja",'Mapa final'!$AA$42="Catastrófico"),CONCATENATE("R4C",'Mapa final'!$O$42),"")</f>
        <v/>
      </c>
      <c r="AK49" s="56" t="str">
        <f>IF(AND('Mapa final'!$Y$43="Muy Baja",'Mapa final'!$AA$43="Catastrófico"),CONCATENATE("R4C",'Mapa final'!$O$43),"")</f>
        <v/>
      </c>
      <c r="AL49" s="56" t="str">
        <f>IF(AND('Mapa final'!$Y$44="Muy Baja",'Mapa final'!$AA$44="Catastrófico"),CONCATENATE("R4C",'Mapa final'!$O$44),"")</f>
        <v/>
      </c>
      <c r="AM49" s="57" t="str">
        <f>IF(AND('Mapa final'!$Y$45="Muy Baja",'Mapa final'!$AA$45="Catastrófico"),CONCATENATE("R4C",'Mapa final'!$O$45),"")</f>
        <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ht="15" customHeight="1" x14ac:dyDescent="0.25">
      <c r="A50" s="83"/>
      <c r="B50" s="343"/>
      <c r="C50" s="343"/>
      <c r="D50" s="344"/>
      <c r="E50" s="442"/>
      <c r="F50" s="441"/>
      <c r="G50" s="441"/>
      <c r="H50" s="441"/>
      <c r="I50" s="457"/>
      <c r="J50" s="76" t="str">
        <f>IF(AND('Mapa final'!$Y$46="Muy Baja",'Mapa final'!$AA$46="Leve"),CONCATENATE("R5C",'Mapa final'!$O$46),"")</f>
        <v/>
      </c>
      <c r="K50" s="77" t="str">
        <f>IF(AND('Mapa final'!$Y$47="Muy Baja",'Mapa final'!$AA$47="Leve"),CONCATENATE("R5C",'Mapa final'!$O$47),"")</f>
        <v/>
      </c>
      <c r="L50" s="77" t="str">
        <f>IF(AND('Mapa final'!$Y$48="Muy Baja",'Mapa final'!$AA$48="Leve"),CONCATENATE("R5C",'Mapa final'!$O$48),"")</f>
        <v/>
      </c>
      <c r="M50" s="77" t="str">
        <f>IF(AND('Mapa final'!$Y$49="Muy Baja",'Mapa final'!$AA$49="Leve"),CONCATENATE("R5C",'Mapa final'!$O$49),"")</f>
        <v/>
      </c>
      <c r="N50" s="77" t="str">
        <f>IF(AND('Mapa final'!$Y$50="Muy Baja",'Mapa final'!$AA$50="Leve"),CONCATENATE("R5C",'Mapa final'!$O$50),"")</f>
        <v/>
      </c>
      <c r="O50" s="78" t="str">
        <f>IF(AND('Mapa final'!$Y$51="Muy Baja",'Mapa final'!$AA$51="Leve"),CONCATENATE("R5C",'Mapa final'!$O$51),"")</f>
        <v/>
      </c>
      <c r="P50" s="76" t="str">
        <f>IF(AND('Mapa final'!$Y$46="Muy Baja",'Mapa final'!$AA$46="Menor"),CONCATENATE("R5C",'Mapa final'!$O$46),"")</f>
        <v/>
      </c>
      <c r="Q50" s="77" t="str">
        <f>IF(AND('Mapa final'!$Y$47="Muy Baja",'Mapa final'!$AA$47="Menor"),CONCATENATE("R5C",'Mapa final'!$O$47),"")</f>
        <v/>
      </c>
      <c r="R50" s="77" t="str">
        <f>IF(AND('Mapa final'!$Y$48="Muy Baja",'Mapa final'!$AA$48="Menor"),CONCATENATE("R5C",'Mapa final'!$O$48),"")</f>
        <v/>
      </c>
      <c r="S50" s="77" t="str">
        <f>IF(AND('Mapa final'!$Y$49="Muy Baja",'Mapa final'!$AA$49="Menor"),CONCATENATE("R5C",'Mapa final'!$O$49),"")</f>
        <v/>
      </c>
      <c r="T50" s="77" t="str">
        <f>IF(AND('Mapa final'!$Y$50="Muy Baja",'Mapa final'!$AA$50="Menor"),CONCATENATE("R5C",'Mapa final'!$O$50),"")</f>
        <v/>
      </c>
      <c r="U50" s="78" t="str">
        <f>IF(AND('Mapa final'!$Y$51="Muy Baja",'Mapa final'!$AA$51="Menor"),CONCATENATE("R5C",'Mapa final'!$O$51),"")</f>
        <v/>
      </c>
      <c r="V50" s="67" t="str">
        <f>IF(AND('Mapa final'!$Y$46="Muy Baja",'Mapa final'!$AA$46="Moderado"),CONCATENATE("R5C",'Mapa final'!$O$46),"")</f>
        <v/>
      </c>
      <c r="W50" s="68" t="str">
        <f>IF(AND('Mapa final'!$Y$47="Muy Baja",'Mapa final'!$AA$47="Moderado"),CONCATENATE("R5C",'Mapa final'!$O$47),"")</f>
        <v/>
      </c>
      <c r="X50" s="68" t="str">
        <f>IF(AND('Mapa final'!$Y$48="Muy Baja",'Mapa final'!$AA$48="Moderado"),CONCATENATE("R5C",'Mapa final'!$O$48),"")</f>
        <v/>
      </c>
      <c r="Y50" s="68" t="str">
        <f>IF(AND('Mapa final'!$Y$49="Muy Baja",'Mapa final'!$AA$49="Moderado"),CONCATENATE("R5C",'Mapa final'!$O$49),"")</f>
        <v/>
      </c>
      <c r="Z50" s="68" t="str">
        <f>IF(AND('Mapa final'!$Y$50="Muy Baja",'Mapa final'!$AA$50="Moderado"),CONCATENATE("R5C",'Mapa final'!$O$50),"")</f>
        <v/>
      </c>
      <c r="AA50" s="69" t="str">
        <f>IF(AND('Mapa final'!$Y$51="Muy Baja",'Mapa final'!$AA$51="Moderado"),CONCATENATE("R5C",'Mapa final'!$O$51),"")</f>
        <v/>
      </c>
      <c r="AB50" s="52" t="str">
        <f>IF(AND('Mapa final'!$Y$46="Muy Baja",'Mapa final'!$AA$46="Mayor"),CONCATENATE("R5C",'Mapa final'!$O$46),"")</f>
        <v/>
      </c>
      <c r="AC50" s="53" t="str">
        <f>IF(AND('Mapa final'!$Y$47="Muy Baja",'Mapa final'!$AA$47="Mayor"),CONCATENATE("R5C",'Mapa final'!$O$47),"")</f>
        <v/>
      </c>
      <c r="AD50" s="53" t="str">
        <f>IF(AND('Mapa final'!$Y$48="Muy Baja",'Mapa final'!$AA$48="Mayor"),CONCATENATE("R5C",'Mapa final'!$O$48),"")</f>
        <v/>
      </c>
      <c r="AE50" s="53" t="str">
        <f>IF(AND('Mapa final'!$Y$49="Muy Baja",'Mapa final'!$AA$49="Mayor"),CONCATENATE("R5C",'Mapa final'!$O$49),"")</f>
        <v/>
      </c>
      <c r="AF50" s="53" t="str">
        <f>IF(AND('Mapa final'!$Y$50="Muy Baja",'Mapa final'!$AA$50="Mayor"),CONCATENATE("R5C",'Mapa final'!$O$50),"")</f>
        <v/>
      </c>
      <c r="AG50" s="54" t="str">
        <f>IF(AND('Mapa final'!$Y$51="Muy Baja",'Mapa final'!$AA$51="Mayor"),CONCATENATE("R5C",'Mapa final'!$O$51),"")</f>
        <v/>
      </c>
      <c r="AH50" s="55" t="str">
        <f>IF(AND('Mapa final'!$Y$46="Muy Baja",'Mapa final'!$AA$46="Catastrófico"),CONCATENATE("R5C",'Mapa final'!$O$46),"")</f>
        <v/>
      </c>
      <c r="AI50" s="56" t="str">
        <f>IF(AND('Mapa final'!$Y$47="Muy Baja",'Mapa final'!$AA$47="Catastrófico"),CONCATENATE("R5C",'Mapa final'!$O$47),"")</f>
        <v/>
      </c>
      <c r="AJ50" s="56" t="str">
        <f>IF(AND('Mapa final'!$Y$48="Muy Baja",'Mapa final'!$AA$48="Catastrófico"),CONCATENATE("R5C",'Mapa final'!$O$48),"")</f>
        <v/>
      </c>
      <c r="AK50" s="56" t="str">
        <f>IF(AND('Mapa final'!$Y$49="Muy Baja",'Mapa final'!$AA$49="Catastrófico"),CONCATENATE("R5C",'Mapa final'!$O$49),"")</f>
        <v/>
      </c>
      <c r="AL50" s="56" t="str">
        <f>IF(AND('Mapa final'!$Y$50="Muy Baja",'Mapa final'!$AA$50="Catastrófico"),CONCATENATE("R5C",'Mapa final'!$O$50),"")</f>
        <v/>
      </c>
      <c r="AM50" s="57" t="str">
        <f>IF(AND('Mapa final'!$Y$51="Muy Baja",'Mapa final'!$AA$51="Catastrófico"),CONCATENATE("R5C",'Mapa final'!$O$51),"")</f>
        <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 customHeight="1" x14ac:dyDescent="0.25">
      <c r="A51" s="83"/>
      <c r="B51" s="343"/>
      <c r="C51" s="343"/>
      <c r="D51" s="344"/>
      <c r="E51" s="442"/>
      <c r="F51" s="441"/>
      <c r="G51" s="441"/>
      <c r="H51" s="441"/>
      <c r="I51" s="457"/>
      <c r="J51" s="76" t="str">
        <f>IF(AND('Mapa final'!$Y$52="Muy Baja",'Mapa final'!$AA$52="Leve"),CONCATENATE("R6C",'Mapa final'!$O$52),"")</f>
        <v/>
      </c>
      <c r="K51" s="77" t="str">
        <f>IF(AND('Mapa final'!$Y$53="Muy Baja",'Mapa final'!$AA$53="Leve"),CONCATENATE("R6C",'Mapa final'!$O$53),"")</f>
        <v/>
      </c>
      <c r="L51" s="77" t="str">
        <f>IF(AND('Mapa final'!$Y$54="Muy Baja",'Mapa final'!$AA$54="Leve"),CONCATENATE("R6C",'Mapa final'!$O$54),"")</f>
        <v/>
      </c>
      <c r="M51" s="77" t="str">
        <f>IF(AND('Mapa final'!$Y$55="Muy Baja",'Mapa final'!$AA$55="Leve"),CONCATENATE("R6C",'Mapa final'!$O$55),"")</f>
        <v/>
      </c>
      <c r="N51" s="77" t="str">
        <f>IF(AND('Mapa final'!$Y$56="Muy Baja",'Mapa final'!$AA$56="Leve"),CONCATENATE("R6C",'Mapa final'!$O$56),"")</f>
        <v/>
      </c>
      <c r="O51" s="78" t="str">
        <f>IF(AND('Mapa final'!$Y$57="Muy Baja",'Mapa final'!$AA$57="Leve"),CONCATENATE("R6C",'Mapa final'!$O$57),"")</f>
        <v/>
      </c>
      <c r="P51" s="76" t="str">
        <f>IF(AND('Mapa final'!$Y$52="Muy Baja",'Mapa final'!$AA$52="Menor"),CONCATENATE("R6C",'Mapa final'!$O$52),"")</f>
        <v/>
      </c>
      <c r="Q51" s="77" t="str">
        <f>IF(AND('Mapa final'!$Y$53="Muy Baja",'Mapa final'!$AA$53="Menor"),CONCATENATE("R6C",'Mapa final'!$O$53),"")</f>
        <v/>
      </c>
      <c r="R51" s="77" t="str">
        <f>IF(AND('Mapa final'!$Y$54="Muy Baja",'Mapa final'!$AA$54="Menor"),CONCATENATE("R6C",'Mapa final'!$O$54),"")</f>
        <v/>
      </c>
      <c r="S51" s="77" t="str">
        <f>IF(AND('Mapa final'!$Y$55="Muy Baja",'Mapa final'!$AA$55="Menor"),CONCATENATE("R6C",'Mapa final'!$O$55),"")</f>
        <v/>
      </c>
      <c r="T51" s="77" t="str">
        <f>IF(AND('Mapa final'!$Y$56="Muy Baja",'Mapa final'!$AA$56="Menor"),CONCATENATE("R6C",'Mapa final'!$O$56),"")</f>
        <v/>
      </c>
      <c r="U51" s="78" t="str">
        <f>IF(AND('Mapa final'!$Y$57="Muy Baja",'Mapa final'!$AA$57="Menor"),CONCATENATE("R6C",'Mapa final'!$O$57),"")</f>
        <v/>
      </c>
      <c r="V51" s="67" t="str">
        <f>IF(AND('Mapa final'!$Y$52="Muy Baja",'Mapa final'!$AA$52="Moderado"),CONCATENATE("R6C",'Mapa final'!$O$52),"")</f>
        <v/>
      </c>
      <c r="W51" s="68" t="str">
        <f>IF(AND('Mapa final'!$Y$53="Muy Baja",'Mapa final'!$AA$53="Moderado"),CONCATENATE("R6C",'Mapa final'!$O$53),"")</f>
        <v/>
      </c>
      <c r="X51" s="68" t="str">
        <f>IF(AND('Mapa final'!$Y$54="Muy Baja",'Mapa final'!$AA$54="Moderado"),CONCATENATE("R6C",'Mapa final'!$O$54),"")</f>
        <v/>
      </c>
      <c r="Y51" s="68" t="str">
        <f>IF(AND('Mapa final'!$Y$55="Muy Baja",'Mapa final'!$AA$55="Moderado"),CONCATENATE("R6C",'Mapa final'!$O$55),"")</f>
        <v/>
      </c>
      <c r="Z51" s="68" t="str">
        <f>IF(AND('Mapa final'!$Y$56="Muy Baja",'Mapa final'!$AA$56="Moderado"),CONCATENATE("R6C",'Mapa final'!$O$56),"")</f>
        <v/>
      </c>
      <c r="AA51" s="69" t="str">
        <f>IF(AND('Mapa final'!$Y$57="Muy Baja",'Mapa final'!$AA$57="Moderado"),CONCATENATE("R6C",'Mapa final'!$O$57),"")</f>
        <v/>
      </c>
      <c r="AB51" s="52" t="str">
        <f>IF(AND('Mapa final'!$Y$52="Muy Baja",'Mapa final'!$AA$52="Mayor"),CONCATENATE("R6C",'Mapa final'!$O$52),"")</f>
        <v/>
      </c>
      <c r="AC51" s="53" t="str">
        <f>IF(AND('Mapa final'!$Y$53="Muy Baja",'Mapa final'!$AA$53="Mayor"),CONCATENATE("R6C",'Mapa final'!$O$53),"")</f>
        <v/>
      </c>
      <c r="AD51" s="53" t="str">
        <f>IF(AND('Mapa final'!$Y$54="Muy Baja",'Mapa final'!$AA$54="Mayor"),CONCATENATE("R6C",'Mapa final'!$O$54),"")</f>
        <v/>
      </c>
      <c r="AE51" s="53" t="str">
        <f>IF(AND('Mapa final'!$Y$55="Muy Baja",'Mapa final'!$AA$55="Mayor"),CONCATENATE("R6C",'Mapa final'!$O$55),"")</f>
        <v/>
      </c>
      <c r="AF51" s="53" t="str">
        <f>IF(AND('Mapa final'!$Y$56="Muy Baja",'Mapa final'!$AA$56="Mayor"),CONCATENATE("R6C",'Mapa final'!$O$56),"")</f>
        <v/>
      </c>
      <c r="AG51" s="54" t="str">
        <f>IF(AND('Mapa final'!$Y$57="Muy Baja",'Mapa final'!$AA$57="Mayor"),CONCATENATE("R6C",'Mapa final'!$O$57),"")</f>
        <v/>
      </c>
      <c r="AH51" s="55" t="str">
        <f>IF(AND('Mapa final'!$Y$52="Muy Baja",'Mapa final'!$AA$52="Catastrófico"),CONCATENATE("R6C",'Mapa final'!$O$52),"")</f>
        <v/>
      </c>
      <c r="AI51" s="56" t="str">
        <f>IF(AND('Mapa final'!$Y$53="Muy Baja",'Mapa final'!$AA$53="Catastrófico"),CONCATENATE("R6C",'Mapa final'!$O$53),"")</f>
        <v/>
      </c>
      <c r="AJ51" s="56" t="str">
        <f>IF(AND('Mapa final'!$Y$54="Muy Baja",'Mapa final'!$AA$54="Catastrófico"),CONCATENATE("R6C",'Mapa final'!$O$54),"")</f>
        <v/>
      </c>
      <c r="AK51" s="56" t="str">
        <f>IF(AND('Mapa final'!$Y$55="Muy Baja",'Mapa final'!$AA$55="Catastrófico"),CONCATENATE("R6C",'Mapa final'!$O$55),"")</f>
        <v/>
      </c>
      <c r="AL51" s="56" t="str">
        <f>IF(AND('Mapa final'!$Y$56="Muy Baja",'Mapa final'!$AA$56="Catastrófico"),CONCATENATE("R6C",'Mapa final'!$O$56),"")</f>
        <v/>
      </c>
      <c r="AM51" s="57" t="str">
        <f>IF(AND('Mapa final'!$Y$57="Muy Baja",'Mapa final'!$AA$57="Catastrófico"),CONCATENATE("R6C",'Mapa final'!$O$57),"")</f>
        <v/>
      </c>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ht="15" customHeight="1" x14ac:dyDescent="0.25">
      <c r="A52" s="83"/>
      <c r="B52" s="343"/>
      <c r="C52" s="343"/>
      <c r="D52" s="344"/>
      <c r="E52" s="442"/>
      <c r="F52" s="441"/>
      <c r="G52" s="441"/>
      <c r="H52" s="441"/>
      <c r="I52" s="457"/>
      <c r="J52" s="76" t="str">
        <f>IF(AND('Mapa final'!$Y$58="Muy Baja",'Mapa final'!$AA$58="Leve"),CONCATENATE("R7C",'Mapa final'!$O$58),"")</f>
        <v/>
      </c>
      <c r="K52" s="77" t="str">
        <f>IF(AND('Mapa final'!$Y$59="Muy Baja",'Mapa final'!$AA$59="Leve"),CONCATENATE("R7C",'Mapa final'!$O$59),"")</f>
        <v/>
      </c>
      <c r="L52" s="77" t="e">
        <f>IF(AND('Mapa final'!#REF!="Muy Baja",'Mapa final'!#REF!="Leve"),CONCATENATE("R7C",'Mapa final'!#REF!),"")</f>
        <v>#REF!</v>
      </c>
      <c r="M52" s="77" t="e">
        <f>IF(AND('Mapa final'!#REF!="Muy Baja",'Mapa final'!#REF!="Leve"),CONCATENATE("R7C",'Mapa final'!#REF!),"")</f>
        <v>#REF!</v>
      </c>
      <c r="N52" s="77" t="e">
        <f>IF(AND('Mapa final'!#REF!="Muy Baja",'Mapa final'!#REF!="Leve"),CONCATENATE("R7C",'Mapa final'!#REF!),"")</f>
        <v>#REF!</v>
      </c>
      <c r="O52" s="78" t="e">
        <f>IF(AND('Mapa final'!#REF!="Muy Baja",'Mapa final'!#REF!="Leve"),CONCATENATE("R7C",'Mapa final'!#REF!),"")</f>
        <v>#REF!</v>
      </c>
      <c r="P52" s="76" t="str">
        <f>IF(AND('Mapa final'!$Y$58="Muy Baja",'Mapa final'!$AA$58="Menor"),CONCATENATE("R7C",'Mapa final'!$O$58),"")</f>
        <v/>
      </c>
      <c r="Q52" s="77" t="str">
        <f>IF(AND('Mapa final'!$Y$59="Muy Baja",'Mapa final'!$AA$59="Menor"),CONCATENATE("R7C",'Mapa final'!$O$59),"")</f>
        <v/>
      </c>
      <c r="R52" s="77" t="e">
        <f>IF(AND('Mapa final'!#REF!="Muy Baja",'Mapa final'!#REF!="Menor"),CONCATENATE("R7C",'Mapa final'!#REF!),"")</f>
        <v>#REF!</v>
      </c>
      <c r="S52" s="77" t="e">
        <f>IF(AND('Mapa final'!#REF!="Muy Baja",'Mapa final'!#REF!="Menor"),CONCATENATE("R7C",'Mapa final'!#REF!),"")</f>
        <v>#REF!</v>
      </c>
      <c r="T52" s="77" t="e">
        <f>IF(AND('Mapa final'!#REF!="Muy Baja",'Mapa final'!#REF!="Menor"),CONCATENATE("R7C",'Mapa final'!#REF!),"")</f>
        <v>#REF!</v>
      </c>
      <c r="U52" s="78" t="e">
        <f>IF(AND('Mapa final'!#REF!="Muy Baja",'Mapa final'!#REF!="Menor"),CONCATENATE("R7C",'Mapa final'!#REF!),"")</f>
        <v>#REF!</v>
      </c>
      <c r="V52" s="67" t="str">
        <f>IF(AND('Mapa final'!$Y$58="Muy Baja",'Mapa final'!$AA$58="Moderado"),CONCATENATE("R7C",'Mapa final'!$O$58),"")</f>
        <v/>
      </c>
      <c r="W52" s="68" t="str">
        <f>IF(AND('Mapa final'!$Y$59="Muy Baja",'Mapa final'!$AA$59="Moderado"),CONCATENATE("R7C",'Mapa final'!$O$59),"")</f>
        <v/>
      </c>
      <c r="X52" s="68" t="e">
        <f>IF(AND('Mapa final'!#REF!="Muy Baja",'Mapa final'!#REF!="Moderado"),CONCATENATE("R7C",'Mapa final'!#REF!),"")</f>
        <v>#REF!</v>
      </c>
      <c r="Y52" s="68" t="e">
        <f>IF(AND('Mapa final'!#REF!="Muy Baja",'Mapa final'!#REF!="Moderado"),CONCATENATE("R7C",'Mapa final'!#REF!),"")</f>
        <v>#REF!</v>
      </c>
      <c r="Z52" s="68" t="e">
        <f>IF(AND('Mapa final'!#REF!="Muy Baja",'Mapa final'!#REF!="Moderado"),CONCATENATE("R7C",'Mapa final'!#REF!),"")</f>
        <v>#REF!</v>
      </c>
      <c r="AA52" s="69" t="e">
        <f>IF(AND('Mapa final'!#REF!="Muy Baja",'Mapa final'!#REF!="Moderado"),CONCATENATE("R7C",'Mapa final'!#REF!),"")</f>
        <v>#REF!</v>
      </c>
      <c r="AB52" s="52" t="str">
        <f>IF(AND('Mapa final'!$Y$58="Muy Baja",'Mapa final'!$AA$58="Mayor"),CONCATENATE("R7C",'Mapa final'!$O$58),"")</f>
        <v/>
      </c>
      <c r="AC52" s="53" t="str">
        <f>IF(AND('Mapa final'!$Y$59="Muy Baja",'Mapa final'!$AA$59="Mayor"),CONCATENATE("R7C",'Mapa final'!$O$59),"")</f>
        <v/>
      </c>
      <c r="AD52" s="53" t="e">
        <f>IF(AND('Mapa final'!#REF!="Muy Baja",'Mapa final'!#REF!="Mayor"),CONCATENATE("R7C",'Mapa final'!#REF!),"")</f>
        <v>#REF!</v>
      </c>
      <c r="AE52" s="53" t="e">
        <f>IF(AND('Mapa final'!#REF!="Muy Baja",'Mapa final'!#REF!="Mayor"),CONCATENATE("R7C",'Mapa final'!#REF!),"")</f>
        <v>#REF!</v>
      </c>
      <c r="AF52" s="53" t="e">
        <f>IF(AND('Mapa final'!#REF!="Muy Baja",'Mapa final'!#REF!="Mayor"),CONCATENATE("R7C",'Mapa final'!#REF!),"")</f>
        <v>#REF!</v>
      </c>
      <c r="AG52" s="54" t="e">
        <f>IF(AND('Mapa final'!#REF!="Muy Baja",'Mapa final'!#REF!="Mayor"),CONCATENATE("R7C",'Mapa final'!#REF!),"")</f>
        <v>#REF!</v>
      </c>
      <c r="AH52" s="55" t="str">
        <f>IF(AND('Mapa final'!$Y$58="Muy Baja",'Mapa final'!$AA$58="Catastrófico"),CONCATENATE("R7C",'Mapa final'!$O$58),"")</f>
        <v/>
      </c>
      <c r="AI52" s="56" t="str">
        <f>IF(AND('Mapa final'!$Y$59="Muy Baja",'Mapa final'!$AA$59="Catastrófico"),CONCATENATE("R7C",'Mapa final'!$O$59),"")</f>
        <v/>
      </c>
      <c r="AJ52" s="56" t="e">
        <f>IF(AND('Mapa final'!#REF!="Muy Baja",'Mapa final'!#REF!="Catastrófico"),CONCATENATE("R7C",'Mapa final'!#REF!),"")</f>
        <v>#REF!</v>
      </c>
      <c r="AK52" s="56" t="e">
        <f>IF(AND('Mapa final'!#REF!="Muy Baja",'Mapa final'!#REF!="Catastrófico"),CONCATENATE("R7C",'Mapa final'!#REF!),"")</f>
        <v>#REF!</v>
      </c>
      <c r="AL52" s="56" t="e">
        <f>IF(AND('Mapa final'!#REF!="Muy Baja",'Mapa final'!#REF!="Catastrófico"),CONCATENATE("R7C",'Mapa final'!#REF!),"")</f>
        <v>#REF!</v>
      </c>
      <c r="AM52" s="57" t="e">
        <f>IF(AND('Mapa final'!#REF!="Muy Baja",'Mapa final'!#REF!="Catastrófico"),CONCATENATE("R7C",'Mapa final'!#REF!),"")</f>
        <v>#REF!</v>
      </c>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343"/>
      <c r="C53" s="343"/>
      <c r="D53" s="344"/>
      <c r="E53" s="442"/>
      <c r="F53" s="441"/>
      <c r="G53" s="441"/>
      <c r="H53" s="441"/>
      <c r="I53" s="457"/>
      <c r="J53" s="76" t="str">
        <f>IF(AND('Mapa final'!$Y$60="Muy Baja",'Mapa final'!$AA$60="Leve"),CONCATENATE("R8C",'Mapa final'!$O$60),"")</f>
        <v/>
      </c>
      <c r="K53" s="77" t="str">
        <f>IF(AND('Mapa final'!$Y$61="Muy Baja",'Mapa final'!$AA$61="Leve"),CONCATENATE("R8C",'Mapa final'!$O$61),"")</f>
        <v/>
      </c>
      <c r="L53" s="77" t="str">
        <f>IF(AND('Mapa final'!$Y$62="Muy Baja",'Mapa final'!$AA$62="Leve"),CONCATENATE("R8C",'Mapa final'!$O$62),"")</f>
        <v/>
      </c>
      <c r="M53" s="77" t="str">
        <f>IF(AND('Mapa final'!$Y$63="Muy Baja",'Mapa final'!$AA$63="Leve"),CONCATENATE("R8C",'Mapa final'!$O$63),"")</f>
        <v/>
      </c>
      <c r="N53" s="77" t="str">
        <f>IF(AND('Mapa final'!$Y$64="Muy Baja",'Mapa final'!$AA$64="Leve"),CONCATENATE("R8C",'Mapa final'!$O$64),"")</f>
        <v/>
      </c>
      <c r="O53" s="78" t="str">
        <f>IF(AND('Mapa final'!$Y$65="Muy Baja",'Mapa final'!$AA$65="Leve"),CONCATENATE("R8C",'Mapa final'!$O$65),"")</f>
        <v/>
      </c>
      <c r="P53" s="76" t="str">
        <f>IF(AND('Mapa final'!$Y$60="Muy Baja",'Mapa final'!$AA$60="Menor"),CONCATENATE("R8C",'Mapa final'!$O$60),"")</f>
        <v/>
      </c>
      <c r="Q53" s="77" t="str">
        <f>IF(AND('Mapa final'!$Y$61="Muy Baja",'Mapa final'!$AA$61="Menor"),CONCATENATE("R8C",'Mapa final'!$O$61),"")</f>
        <v/>
      </c>
      <c r="R53" s="77" t="str">
        <f>IF(AND('Mapa final'!$Y$62="Muy Baja",'Mapa final'!$AA$62="Menor"),CONCATENATE("R8C",'Mapa final'!$O$62),"")</f>
        <v/>
      </c>
      <c r="S53" s="77" t="str">
        <f>IF(AND('Mapa final'!$Y$63="Muy Baja",'Mapa final'!$AA$63="Menor"),CONCATENATE("R8C",'Mapa final'!$O$63),"")</f>
        <v/>
      </c>
      <c r="T53" s="77" t="str">
        <f>IF(AND('Mapa final'!$Y$64="Muy Baja",'Mapa final'!$AA$64="Menor"),CONCATENATE("R8C",'Mapa final'!$O$64),"")</f>
        <v/>
      </c>
      <c r="U53" s="78" t="str">
        <f>IF(AND('Mapa final'!$Y$65="Muy Baja",'Mapa final'!$AA$65="Menor"),CONCATENATE("R8C",'Mapa final'!$O$65),"")</f>
        <v/>
      </c>
      <c r="V53" s="67" t="str">
        <f>IF(AND('Mapa final'!$Y$60="Muy Baja",'Mapa final'!$AA$60="Moderado"),CONCATENATE("R8C",'Mapa final'!$O$60),"")</f>
        <v/>
      </c>
      <c r="W53" s="68" t="str">
        <f>IF(AND('Mapa final'!$Y$61="Muy Baja",'Mapa final'!$AA$61="Moderado"),CONCATENATE("R8C",'Mapa final'!$O$61),"")</f>
        <v/>
      </c>
      <c r="X53" s="68" t="str">
        <f>IF(AND('Mapa final'!$Y$62="Muy Baja",'Mapa final'!$AA$62="Moderado"),CONCATENATE("R8C",'Mapa final'!$O$62),"")</f>
        <v/>
      </c>
      <c r="Y53" s="68" t="str">
        <f>IF(AND('Mapa final'!$Y$63="Muy Baja",'Mapa final'!$AA$63="Moderado"),CONCATENATE("R8C",'Mapa final'!$O$63),"")</f>
        <v/>
      </c>
      <c r="Z53" s="68" t="str">
        <f>IF(AND('Mapa final'!$Y$64="Muy Baja",'Mapa final'!$AA$64="Moderado"),CONCATENATE("R8C",'Mapa final'!$O$64),"")</f>
        <v/>
      </c>
      <c r="AA53" s="69" t="str">
        <f>IF(AND('Mapa final'!$Y$65="Muy Baja",'Mapa final'!$AA$65="Moderado"),CONCATENATE("R8C",'Mapa final'!$O$65),"")</f>
        <v/>
      </c>
      <c r="AB53" s="52" t="str">
        <f>IF(AND('Mapa final'!$Y$60="Muy Baja",'Mapa final'!$AA$60="Mayor"),CONCATENATE("R8C",'Mapa final'!$O$60),"")</f>
        <v/>
      </c>
      <c r="AC53" s="53" t="str">
        <f>IF(AND('Mapa final'!$Y$61="Muy Baja",'Mapa final'!$AA$61="Mayor"),CONCATENATE("R8C",'Mapa final'!$O$61),"")</f>
        <v/>
      </c>
      <c r="AD53" s="53" t="str">
        <f>IF(AND('Mapa final'!$Y$62="Muy Baja",'Mapa final'!$AA$62="Mayor"),CONCATENATE("R8C",'Mapa final'!$O$62),"")</f>
        <v/>
      </c>
      <c r="AE53" s="53" t="str">
        <f>IF(AND('Mapa final'!$Y$63="Muy Baja",'Mapa final'!$AA$63="Mayor"),CONCATENATE("R8C",'Mapa final'!$O$63),"")</f>
        <v/>
      </c>
      <c r="AF53" s="53" t="str">
        <f>IF(AND('Mapa final'!$Y$64="Muy Baja",'Mapa final'!$AA$64="Mayor"),CONCATENATE("R8C",'Mapa final'!$O$64),"")</f>
        <v/>
      </c>
      <c r="AG53" s="54" t="str">
        <f>IF(AND('Mapa final'!$Y$65="Muy Baja",'Mapa final'!$AA$65="Mayor"),CONCATENATE("R8C",'Mapa final'!$O$65),"")</f>
        <v/>
      </c>
      <c r="AH53" s="55" t="str">
        <f>IF(AND('Mapa final'!$Y$60="Muy Baja",'Mapa final'!$AA$60="Catastrófico"),CONCATENATE("R8C",'Mapa final'!$O$60),"")</f>
        <v/>
      </c>
      <c r="AI53" s="56" t="str">
        <f>IF(AND('Mapa final'!$Y$61="Muy Baja",'Mapa final'!$AA$61="Catastrófico"),CONCATENATE("R8C",'Mapa final'!$O$61),"")</f>
        <v/>
      </c>
      <c r="AJ53" s="56" t="str">
        <f>IF(AND('Mapa final'!$Y$62="Muy Baja",'Mapa final'!$AA$62="Catastrófico"),CONCATENATE("R8C",'Mapa final'!$O$62),"")</f>
        <v/>
      </c>
      <c r="AK53" s="56" t="str">
        <f>IF(AND('Mapa final'!$Y$63="Muy Baja",'Mapa final'!$AA$63="Catastrófico"),CONCATENATE("R8C",'Mapa final'!$O$63),"")</f>
        <v/>
      </c>
      <c r="AL53" s="56" t="str">
        <f>IF(AND('Mapa final'!$Y$64="Muy Baja",'Mapa final'!$AA$64="Catastrófico"),CONCATENATE("R8C",'Mapa final'!$O$64),"")</f>
        <v/>
      </c>
      <c r="AM53" s="57" t="str">
        <f>IF(AND('Mapa final'!$Y$65="Muy Baja",'Mapa final'!$AA$65="Catastrófico"),CONCATENATE("R8C",'Mapa final'!$O$65),"")</f>
        <v/>
      </c>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343"/>
      <c r="C54" s="343"/>
      <c r="D54" s="344"/>
      <c r="E54" s="442"/>
      <c r="F54" s="441"/>
      <c r="G54" s="441"/>
      <c r="H54" s="441"/>
      <c r="I54" s="457"/>
      <c r="J54" s="76" t="str">
        <f>IF(AND('Mapa final'!$Y$66="Muy Baja",'Mapa final'!$AA$66="Leve"),CONCATENATE("R9C",'Mapa final'!$O$66),"")</f>
        <v/>
      </c>
      <c r="K54" s="77" t="str">
        <f>IF(AND('Mapa final'!$Y$67="Muy Baja",'Mapa final'!$AA$67="Leve"),CONCATENATE("R9C",'Mapa final'!$O$67),"")</f>
        <v/>
      </c>
      <c r="L54" s="77" t="str">
        <f>IF(AND('Mapa final'!$Y$68="Muy Baja",'Mapa final'!$AA$68="Leve"),CONCATENATE("R9C",'Mapa final'!$O$68),"")</f>
        <v/>
      </c>
      <c r="M54" s="77" t="str">
        <f>IF(AND('Mapa final'!$Y$69="Muy Baja",'Mapa final'!$AA$69="Leve"),CONCATENATE("R9C",'Mapa final'!$O$69),"")</f>
        <v/>
      </c>
      <c r="N54" s="77" t="str">
        <f>IF(AND('Mapa final'!$Y$70="Muy Baja",'Mapa final'!$AA$70="Leve"),CONCATENATE("R9C",'Mapa final'!$O$70),"")</f>
        <v/>
      </c>
      <c r="O54" s="78" t="str">
        <f>IF(AND('Mapa final'!$Y$71="Muy Baja",'Mapa final'!$AA$71="Leve"),CONCATENATE("R9C",'Mapa final'!$O$71),"")</f>
        <v/>
      </c>
      <c r="P54" s="76" t="str">
        <f>IF(AND('Mapa final'!$Y$66="Muy Baja",'Mapa final'!$AA$66="Menor"),CONCATENATE("R9C",'Mapa final'!$O$66),"")</f>
        <v/>
      </c>
      <c r="Q54" s="77" t="str">
        <f>IF(AND('Mapa final'!$Y$67="Muy Baja",'Mapa final'!$AA$67="Menor"),CONCATENATE("R9C",'Mapa final'!$O$67),"")</f>
        <v/>
      </c>
      <c r="R54" s="77" t="str">
        <f>IF(AND('Mapa final'!$Y$68="Muy Baja",'Mapa final'!$AA$68="Menor"),CONCATENATE("R9C",'Mapa final'!$O$68),"")</f>
        <v/>
      </c>
      <c r="S54" s="77" t="str">
        <f>IF(AND('Mapa final'!$Y$69="Muy Baja",'Mapa final'!$AA$69="Menor"),CONCATENATE("R9C",'Mapa final'!$O$69),"")</f>
        <v/>
      </c>
      <c r="T54" s="77" t="str">
        <f>IF(AND('Mapa final'!$Y$70="Muy Baja",'Mapa final'!$AA$70="Menor"),CONCATENATE("R9C",'Mapa final'!$O$70),"")</f>
        <v/>
      </c>
      <c r="U54" s="78" t="str">
        <f>IF(AND('Mapa final'!$Y$71="Muy Baja",'Mapa final'!$AA$71="Menor"),CONCATENATE("R9C",'Mapa final'!$O$71),"")</f>
        <v/>
      </c>
      <c r="V54" s="67" t="str">
        <f>IF(AND('Mapa final'!$Y$66="Muy Baja",'Mapa final'!$AA$66="Moderado"),CONCATENATE("R9C",'Mapa final'!$O$66),"")</f>
        <v/>
      </c>
      <c r="W54" s="68" t="str">
        <f>IF(AND('Mapa final'!$Y$67="Muy Baja",'Mapa final'!$AA$67="Moderado"),CONCATENATE("R9C",'Mapa final'!$O$67),"")</f>
        <v/>
      </c>
      <c r="X54" s="68" t="str">
        <f>IF(AND('Mapa final'!$Y$68="Muy Baja",'Mapa final'!$AA$68="Moderado"),CONCATENATE("R9C",'Mapa final'!$O$68),"")</f>
        <v/>
      </c>
      <c r="Y54" s="68" t="str">
        <f>IF(AND('Mapa final'!$Y$69="Muy Baja",'Mapa final'!$AA$69="Moderado"),CONCATENATE("R9C",'Mapa final'!$O$69),"")</f>
        <v/>
      </c>
      <c r="Z54" s="68" t="str">
        <f>IF(AND('Mapa final'!$Y$70="Muy Baja",'Mapa final'!$AA$70="Moderado"),CONCATENATE("R9C",'Mapa final'!$O$70),"")</f>
        <v/>
      </c>
      <c r="AA54" s="69" t="str">
        <f>IF(AND('Mapa final'!$Y$71="Muy Baja",'Mapa final'!$AA$71="Moderado"),CONCATENATE("R9C",'Mapa final'!$O$71),"")</f>
        <v/>
      </c>
      <c r="AB54" s="52" t="str">
        <f>IF(AND('Mapa final'!$Y$66="Muy Baja",'Mapa final'!$AA$66="Mayor"),CONCATENATE("R9C",'Mapa final'!$O$66),"")</f>
        <v/>
      </c>
      <c r="AC54" s="53" t="str">
        <f>IF(AND('Mapa final'!$Y$67="Muy Baja",'Mapa final'!$AA$67="Mayor"),CONCATENATE("R9C",'Mapa final'!$O$67),"")</f>
        <v/>
      </c>
      <c r="AD54" s="53" t="str">
        <f>IF(AND('Mapa final'!$Y$68="Muy Baja",'Mapa final'!$AA$68="Mayor"),CONCATENATE("R9C",'Mapa final'!$O$68),"")</f>
        <v/>
      </c>
      <c r="AE54" s="53" t="str">
        <f>IF(AND('Mapa final'!$Y$69="Muy Baja",'Mapa final'!$AA$69="Mayor"),CONCATENATE("R9C",'Mapa final'!$O$69),"")</f>
        <v/>
      </c>
      <c r="AF54" s="53" t="str">
        <f>IF(AND('Mapa final'!$Y$70="Muy Baja",'Mapa final'!$AA$70="Mayor"),CONCATENATE("R9C",'Mapa final'!$O$70),"")</f>
        <v/>
      </c>
      <c r="AG54" s="54" t="str">
        <f>IF(AND('Mapa final'!$Y$71="Muy Baja",'Mapa final'!$AA$71="Mayor"),CONCATENATE("R9C",'Mapa final'!$O$71),"")</f>
        <v/>
      </c>
      <c r="AH54" s="55" t="str">
        <f>IF(AND('Mapa final'!$Y$66="Muy Baja",'Mapa final'!$AA$66="Catastrófico"),CONCATENATE("R9C",'Mapa final'!$O$66),"")</f>
        <v/>
      </c>
      <c r="AI54" s="56" t="str">
        <f>IF(AND('Mapa final'!$Y$67="Muy Baja",'Mapa final'!$AA$67="Catastrófico"),CONCATENATE("R9C",'Mapa final'!$O$67),"")</f>
        <v/>
      </c>
      <c r="AJ54" s="56" t="str">
        <f>IF(AND('Mapa final'!$Y$68="Muy Baja",'Mapa final'!$AA$68="Catastrófico"),CONCATENATE("R9C",'Mapa final'!$O$68),"")</f>
        <v/>
      </c>
      <c r="AK54" s="56" t="str">
        <f>IF(AND('Mapa final'!$Y$69="Muy Baja",'Mapa final'!$AA$69="Catastrófico"),CONCATENATE("R9C",'Mapa final'!$O$69),"")</f>
        <v/>
      </c>
      <c r="AL54" s="56" t="str">
        <f>IF(AND('Mapa final'!$Y$70="Muy Baja",'Mapa final'!$AA$70="Catastrófico"),CONCATENATE("R9C",'Mapa final'!$O$70),"")</f>
        <v/>
      </c>
      <c r="AM54" s="57" t="str">
        <f>IF(AND('Mapa final'!$Y$71="Muy Baja",'Mapa final'!$AA$71="Catastrófico"),CONCATENATE("R9C",'Mapa final'!$O$71),"")</f>
        <v/>
      </c>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ht="15.75" customHeight="1" thickBot="1" x14ac:dyDescent="0.3">
      <c r="A55" s="83"/>
      <c r="B55" s="343"/>
      <c r="C55" s="343"/>
      <c r="D55" s="344"/>
      <c r="E55" s="443"/>
      <c r="F55" s="444"/>
      <c r="G55" s="444"/>
      <c r="H55" s="444"/>
      <c r="I55" s="458"/>
      <c r="J55" s="79" t="str">
        <f>IF(AND('Mapa final'!$Y$72="Muy Baja",'Mapa final'!$AA$72="Leve"),CONCATENATE("R10C",'Mapa final'!$O$72),"")</f>
        <v/>
      </c>
      <c r="K55" s="80" t="str">
        <f>IF(AND('Mapa final'!$Y$73="Muy Baja",'Mapa final'!$AA$73="Leve"),CONCATENATE("R10C",'Mapa final'!$O$73),"")</f>
        <v/>
      </c>
      <c r="L55" s="80" t="str">
        <f>IF(AND('Mapa final'!$Y$74="Muy Baja",'Mapa final'!$AA$74="Leve"),CONCATENATE("R10C",'Mapa final'!$O$74),"")</f>
        <v/>
      </c>
      <c r="M55" s="80" t="str">
        <f>IF(AND('Mapa final'!$Y$75="Muy Baja",'Mapa final'!$AA$75="Leve"),CONCATENATE("R10C",'Mapa final'!$O$75),"")</f>
        <v/>
      </c>
      <c r="N55" s="80" t="str">
        <f>IF(AND('Mapa final'!$Y$76="Muy Baja",'Mapa final'!$AA$76="Leve"),CONCATENATE("R10C",'Mapa final'!$O$76),"")</f>
        <v/>
      </c>
      <c r="O55" s="81" t="str">
        <f>IF(AND('Mapa final'!$Y$77="Muy Baja",'Mapa final'!$AA$77="Leve"),CONCATENATE("R10C",'Mapa final'!$O$77),"")</f>
        <v/>
      </c>
      <c r="P55" s="79" t="str">
        <f>IF(AND('Mapa final'!$Y$72="Muy Baja",'Mapa final'!$AA$72="Menor"),CONCATENATE("R10C",'Mapa final'!$O$72),"")</f>
        <v/>
      </c>
      <c r="Q55" s="80" t="str">
        <f>IF(AND('Mapa final'!$Y$73="Muy Baja",'Mapa final'!$AA$73="Menor"),CONCATENATE("R10C",'Mapa final'!$O$73),"")</f>
        <v/>
      </c>
      <c r="R55" s="80" t="str">
        <f>IF(AND('Mapa final'!$Y$74="Muy Baja",'Mapa final'!$AA$74="Menor"),CONCATENATE("R10C",'Mapa final'!$O$74),"")</f>
        <v/>
      </c>
      <c r="S55" s="80" t="str">
        <f>IF(AND('Mapa final'!$Y$75="Muy Baja",'Mapa final'!$AA$75="Menor"),CONCATENATE("R10C",'Mapa final'!$O$75),"")</f>
        <v/>
      </c>
      <c r="T55" s="80" t="str">
        <f>IF(AND('Mapa final'!$Y$76="Muy Baja",'Mapa final'!$AA$76="Menor"),CONCATENATE("R10C",'Mapa final'!$O$76),"")</f>
        <v/>
      </c>
      <c r="U55" s="81" t="str">
        <f>IF(AND('Mapa final'!$Y$77="Muy Baja",'Mapa final'!$AA$77="Menor"),CONCATENATE("R10C",'Mapa final'!$O$77),"")</f>
        <v/>
      </c>
      <c r="V55" s="70" t="str">
        <f>IF(AND('Mapa final'!$Y$72="Muy Baja",'Mapa final'!$AA$72="Moderado"),CONCATENATE("R10C",'Mapa final'!$O$72),"")</f>
        <v/>
      </c>
      <c r="W55" s="71" t="str">
        <f>IF(AND('Mapa final'!$Y$73="Muy Baja",'Mapa final'!$AA$73="Moderado"),CONCATENATE("R10C",'Mapa final'!$O$73),"")</f>
        <v/>
      </c>
      <c r="X55" s="71" t="str">
        <f>IF(AND('Mapa final'!$Y$74="Muy Baja",'Mapa final'!$AA$74="Moderado"),CONCATENATE("R10C",'Mapa final'!$O$74),"")</f>
        <v/>
      </c>
      <c r="Y55" s="71" t="str">
        <f>IF(AND('Mapa final'!$Y$75="Muy Baja",'Mapa final'!$AA$75="Moderado"),CONCATENATE("R10C",'Mapa final'!$O$75),"")</f>
        <v/>
      </c>
      <c r="Z55" s="71" t="str">
        <f>IF(AND('Mapa final'!$Y$76="Muy Baja",'Mapa final'!$AA$76="Moderado"),CONCATENATE("R10C",'Mapa final'!$O$76),"")</f>
        <v/>
      </c>
      <c r="AA55" s="72" t="str">
        <f>IF(AND('Mapa final'!$Y$77="Muy Baja",'Mapa final'!$AA$77="Moderado"),CONCATENATE("R10C",'Mapa final'!$O$77),"")</f>
        <v/>
      </c>
      <c r="AB55" s="58" t="str">
        <f>IF(AND('Mapa final'!$Y$72="Muy Baja",'Mapa final'!$AA$72="Mayor"),CONCATENATE("R10C",'Mapa final'!$O$72),"")</f>
        <v/>
      </c>
      <c r="AC55" s="59" t="str">
        <f>IF(AND('Mapa final'!$Y$73="Muy Baja",'Mapa final'!$AA$73="Mayor"),CONCATENATE("R10C",'Mapa final'!$O$73),"")</f>
        <v/>
      </c>
      <c r="AD55" s="59" t="str">
        <f>IF(AND('Mapa final'!$Y$74="Muy Baja",'Mapa final'!$AA$74="Mayor"),CONCATENATE("R10C",'Mapa final'!$O$74),"")</f>
        <v/>
      </c>
      <c r="AE55" s="59" t="str">
        <f>IF(AND('Mapa final'!$Y$75="Muy Baja",'Mapa final'!$AA$75="Mayor"),CONCATENATE("R10C",'Mapa final'!$O$75),"")</f>
        <v/>
      </c>
      <c r="AF55" s="59" t="str">
        <f>IF(AND('Mapa final'!$Y$76="Muy Baja",'Mapa final'!$AA$76="Mayor"),CONCATENATE("R10C",'Mapa final'!$O$76),"")</f>
        <v/>
      </c>
      <c r="AG55" s="60" t="str">
        <f>IF(AND('Mapa final'!$Y$77="Muy Baja",'Mapa final'!$AA$77="Mayor"),CONCATENATE("R10C",'Mapa final'!$O$77),"")</f>
        <v/>
      </c>
      <c r="AH55" s="61" t="str">
        <f>IF(AND('Mapa final'!$Y$72="Muy Baja",'Mapa final'!$AA$72="Catastrófico"),CONCATENATE("R10C",'Mapa final'!$O$72),"")</f>
        <v/>
      </c>
      <c r="AI55" s="62" t="str">
        <f>IF(AND('Mapa final'!$Y$73="Muy Baja",'Mapa final'!$AA$73="Catastrófico"),CONCATENATE("R10C",'Mapa final'!$O$73),"")</f>
        <v/>
      </c>
      <c r="AJ55" s="62" t="str">
        <f>IF(AND('Mapa final'!$Y$74="Muy Baja",'Mapa final'!$AA$74="Catastrófico"),CONCATENATE("R10C",'Mapa final'!$O$74),"")</f>
        <v/>
      </c>
      <c r="AK55" s="62" t="str">
        <f>IF(AND('Mapa final'!$Y$75="Muy Baja",'Mapa final'!$AA$75="Catastrófico"),CONCATENATE("R10C",'Mapa final'!$O$75),"")</f>
        <v/>
      </c>
      <c r="AL55" s="62" t="str">
        <f>IF(AND('Mapa final'!$Y$76="Muy Baja",'Mapa final'!$AA$76="Catastrófico"),CONCATENATE("R10C",'Mapa final'!$O$76),"")</f>
        <v/>
      </c>
      <c r="AM55" s="63" t="str">
        <f>IF(AND('Mapa final'!$Y$77="Muy Baja",'Mapa final'!$AA$77="Catastrófico"),CONCATENATE("R10C",'Mapa final'!$O$77),"")</f>
        <v/>
      </c>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438" t="s">
        <v>101</v>
      </c>
      <c r="K56" s="439"/>
      <c r="L56" s="439"/>
      <c r="M56" s="439"/>
      <c r="N56" s="439"/>
      <c r="O56" s="456"/>
      <c r="P56" s="438" t="s">
        <v>102</v>
      </c>
      <c r="Q56" s="439"/>
      <c r="R56" s="439"/>
      <c r="S56" s="439"/>
      <c r="T56" s="439"/>
      <c r="U56" s="456"/>
      <c r="V56" s="438" t="s">
        <v>103</v>
      </c>
      <c r="W56" s="439"/>
      <c r="X56" s="439"/>
      <c r="Y56" s="439"/>
      <c r="Z56" s="439"/>
      <c r="AA56" s="456"/>
      <c r="AB56" s="438" t="s">
        <v>104</v>
      </c>
      <c r="AC56" s="477"/>
      <c r="AD56" s="439"/>
      <c r="AE56" s="439"/>
      <c r="AF56" s="439"/>
      <c r="AG56" s="456"/>
      <c r="AH56" s="438" t="s">
        <v>105</v>
      </c>
      <c r="AI56" s="439"/>
      <c r="AJ56" s="439"/>
      <c r="AK56" s="439"/>
      <c r="AL56" s="439"/>
      <c r="AM56" s="456"/>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442"/>
      <c r="K57" s="441"/>
      <c r="L57" s="441"/>
      <c r="M57" s="441"/>
      <c r="N57" s="441"/>
      <c r="O57" s="457"/>
      <c r="P57" s="442"/>
      <c r="Q57" s="441"/>
      <c r="R57" s="441"/>
      <c r="S57" s="441"/>
      <c r="T57" s="441"/>
      <c r="U57" s="457"/>
      <c r="V57" s="442"/>
      <c r="W57" s="441"/>
      <c r="X57" s="441"/>
      <c r="Y57" s="441"/>
      <c r="Z57" s="441"/>
      <c r="AA57" s="457"/>
      <c r="AB57" s="442"/>
      <c r="AC57" s="441"/>
      <c r="AD57" s="441"/>
      <c r="AE57" s="441"/>
      <c r="AF57" s="441"/>
      <c r="AG57" s="457"/>
      <c r="AH57" s="442"/>
      <c r="AI57" s="441"/>
      <c r="AJ57" s="441"/>
      <c r="AK57" s="441"/>
      <c r="AL57" s="441"/>
      <c r="AM57" s="457"/>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442"/>
      <c r="K58" s="441"/>
      <c r="L58" s="441"/>
      <c r="M58" s="441"/>
      <c r="N58" s="441"/>
      <c r="O58" s="457"/>
      <c r="P58" s="442"/>
      <c r="Q58" s="441"/>
      <c r="R58" s="441"/>
      <c r="S58" s="441"/>
      <c r="T58" s="441"/>
      <c r="U58" s="457"/>
      <c r="V58" s="442"/>
      <c r="W58" s="441"/>
      <c r="X58" s="441"/>
      <c r="Y58" s="441"/>
      <c r="Z58" s="441"/>
      <c r="AA58" s="457"/>
      <c r="AB58" s="442"/>
      <c r="AC58" s="441"/>
      <c r="AD58" s="441"/>
      <c r="AE58" s="441"/>
      <c r="AF58" s="441"/>
      <c r="AG58" s="457"/>
      <c r="AH58" s="442"/>
      <c r="AI58" s="441"/>
      <c r="AJ58" s="441"/>
      <c r="AK58" s="441"/>
      <c r="AL58" s="441"/>
      <c r="AM58" s="457"/>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442"/>
      <c r="K59" s="441"/>
      <c r="L59" s="441"/>
      <c r="M59" s="441"/>
      <c r="N59" s="441"/>
      <c r="O59" s="457"/>
      <c r="P59" s="442"/>
      <c r="Q59" s="441"/>
      <c r="R59" s="441"/>
      <c r="S59" s="441"/>
      <c r="T59" s="441"/>
      <c r="U59" s="457"/>
      <c r="V59" s="442"/>
      <c r="W59" s="441"/>
      <c r="X59" s="441"/>
      <c r="Y59" s="441"/>
      <c r="Z59" s="441"/>
      <c r="AA59" s="457"/>
      <c r="AB59" s="442"/>
      <c r="AC59" s="441"/>
      <c r="AD59" s="441"/>
      <c r="AE59" s="441"/>
      <c r="AF59" s="441"/>
      <c r="AG59" s="457"/>
      <c r="AH59" s="442"/>
      <c r="AI59" s="441"/>
      <c r="AJ59" s="441"/>
      <c r="AK59" s="441"/>
      <c r="AL59" s="441"/>
      <c r="AM59" s="457"/>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442"/>
      <c r="K60" s="441"/>
      <c r="L60" s="441"/>
      <c r="M60" s="441"/>
      <c r="N60" s="441"/>
      <c r="O60" s="457"/>
      <c r="P60" s="442"/>
      <c r="Q60" s="441"/>
      <c r="R60" s="441"/>
      <c r="S60" s="441"/>
      <c r="T60" s="441"/>
      <c r="U60" s="457"/>
      <c r="V60" s="442"/>
      <c r="W60" s="441"/>
      <c r="X60" s="441"/>
      <c r="Y60" s="441"/>
      <c r="Z60" s="441"/>
      <c r="AA60" s="457"/>
      <c r="AB60" s="442"/>
      <c r="AC60" s="441"/>
      <c r="AD60" s="441"/>
      <c r="AE60" s="441"/>
      <c r="AF60" s="441"/>
      <c r="AG60" s="457"/>
      <c r="AH60" s="442"/>
      <c r="AI60" s="441"/>
      <c r="AJ60" s="441"/>
      <c r="AK60" s="441"/>
      <c r="AL60" s="441"/>
      <c r="AM60" s="457"/>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ht="15.75" thickBot="1" x14ac:dyDescent="0.3">
      <c r="A61" s="83"/>
      <c r="B61" s="83"/>
      <c r="C61" s="83"/>
      <c r="D61" s="83"/>
      <c r="E61" s="83"/>
      <c r="F61" s="83"/>
      <c r="G61" s="83"/>
      <c r="H61" s="83"/>
      <c r="I61" s="83"/>
      <c r="J61" s="443"/>
      <c r="K61" s="444"/>
      <c r="L61" s="444"/>
      <c r="M61" s="444"/>
      <c r="N61" s="444"/>
      <c r="O61" s="458"/>
      <c r="P61" s="443"/>
      <c r="Q61" s="444"/>
      <c r="R61" s="444"/>
      <c r="S61" s="444"/>
      <c r="T61" s="444"/>
      <c r="U61" s="458"/>
      <c r="V61" s="443"/>
      <c r="W61" s="444"/>
      <c r="X61" s="444"/>
      <c r="Y61" s="444"/>
      <c r="Z61" s="444"/>
      <c r="AA61" s="458"/>
      <c r="AB61" s="443"/>
      <c r="AC61" s="444"/>
      <c r="AD61" s="444"/>
      <c r="AE61" s="444"/>
      <c r="AF61" s="444"/>
      <c r="AG61" s="458"/>
      <c r="AH61" s="443"/>
      <c r="AI61" s="444"/>
      <c r="AJ61" s="444"/>
      <c r="AK61" s="444"/>
      <c r="AL61" s="444"/>
      <c r="AM61" s="458"/>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row>
    <row r="63" spans="1:80" ht="15" customHeight="1" x14ac:dyDescent="0.25">
      <c r="A63" s="83"/>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3"/>
      <c r="AV63" s="83"/>
      <c r="AW63" s="83"/>
      <c r="AX63" s="83"/>
      <c r="AY63" s="83"/>
      <c r="AZ63" s="83"/>
      <c r="BA63" s="83"/>
      <c r="BB63" s="83"/>
      <c r="BC63" s="83"/>
      <c r="BD63" s="83"/>
      <c r="BE63" s="83"/>
      <c r="BF63" s="83"/>
      <c r="BG63" s="83"/>
      <c r="BH63" s="83"/>
    </row>
    <row r="64" spans="1:80" ht="15" customHeight="1" x14ac:dyDescent="0.25">
      <c r="A64" s="83"/>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3"/>
      <c r="AV64" s="83"/>
      <c r="AW64" s="83"/>
      <c r="AX64" s="83"/>
      <c r="AY64" s="83"/>
      <c r="AZ64" s="83"/>
      <c r="BA64" s="83"/>
      <c r="BB64" s="83"/>
      <c r="BC64" s="83"/>
      <c r="BD64" s="83"/>
      <c r="BE64" s="83"/>
      <c r="BF64" s="83"/>
      <c r="BG64" s="83"/>
      <c r="BH64" s="83"/>
    </row>
    <row r="65" spans="1:6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row>
    <row r="66" spans="1:6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row>
    <row r="67" spans="1:6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row>
    <row r="68" spans="1:6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row>
    <row r="69" spans="1:6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row>
    <row r="70" spans="1:6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row>
    <row r="71" spans="1:6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row>
    <row r="72" spans="1:6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row>
    <row r="73" spans="1:6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row>
    <row r="74" spans="1:6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row>
    <row r="75" spans="1:6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row>
    <row r="76" spans="1:6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row>
    <row r="77" spans="1:6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row>
    <row r="78" spans="1:6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row>
    <row r="79" spans="1:6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row>
    <row r="80" spans="1:6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row>
    <row r="81" spans="1:60"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row>
    <row r="82" spans="1:60"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row>
    <row r="83" spans="1:60"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row>
    <row r="84" spans="1:60"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row>
    <row r="85" spans="1:60"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row>
    <row r="86" spans="1:60"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row>
    <row r="87" spans="1:60"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row>
    <row r="88" spans="1:60"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row>
    <row r="89" spans="1:60"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row>
    <row r="90" spans="1:60"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row>
    <row r="91" spans="1:60"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row>
    <row r="92" spans="1:60"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row>
    <row r="93" spans="1:60"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row>
    <row r="94" spans="1:60"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row>
    <row r="95" spans="1:60"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row>
    <row r="96" spans="1:60"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row>
    <row r="97" spans="1:60"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row>
    <row r="98" spans="1:60"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row>
    <row r="99" spans="1:60"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row>
    <row r="100" spans="1:60"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row>
    <row r="101" spans="1:60"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row>
    <row r="102" spans="1:60"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row>
    <row r="103" spans="1:60"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row>
    <row r="104" spans="1:60"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row>
    <row r="105" spans="1:60"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row>
    <row r="106" spans="1:60"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row>
    <row r="107" spans="1:60"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row>
    <row r="108" spans="1:60"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row>
    <row r="109" spans="1:60"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row>
    <row r="110" spans="1:60"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row>
    <row r="111" spans="1:60"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row>
    <row r="112" spans="1:60"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row>
    <row r="113" spans="1:60"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row>
    <row r="114" spans="1:60"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row>
    <row r="115" spans="1:60"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row>
    <row r="116" spans="1:60"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row>
    <row r="117" spans="1:60"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row>
    <row r="118" spans="1:60"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row>
    <row r="119" spans="1:60"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row>
    <row r="120" spans="1:60"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row>
    <row r="121" spans="1:60"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row>
    <row r="122" spans="1:60" x14ac:dyDescent="0.25">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row>
    <row r="123" spans="1:60" x14ac:dyDescent="0.25">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row>
    <row r="124" spans="1:60" x14ac:dyDescent="0.25">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row>
    <row r="125" spans="1:60" x14ac:dyDescent="0.25">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row>
    <row r="126" spans="1:60" x14ac:dyDescent="0.25">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row>
    <row r="127" spans="1:60" x14ac:dyDescent="0.25">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row>
    <row r="128" spans="1:60" x14ac:dyDescent="0.25">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row>
    <row r="129" spans="1:60" x14ac:dyDescent="0.25">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row>
    <row r="130" spans="1:60" x14ac:dyDescent="0.25">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row>
    <row r="131" spans="1:60" x14ac:dyDescent="0.25">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row>
    <row r="132" spans="1:60" x14ac:dyDescent="0.25">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row>
    <row r="133" spans="1:60" x14ac:dyDescent="0.25">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row>
    <row r="134" spans="1:60" x14ac:dyDescent="0.25">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row>
    <row r="135" spans="1:60" x14ac:dyDescent="0.25">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row>
    <row r="136" spans="1:60" x14ac:dyDescent="0.25">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row>
    <row r="137" spans="1:60" x14ac:dyDescent="0.25">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row>
    <row r="138" spans="1:60" x14ac:dyDescent="0.25">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row>
    <row r="139" spans="1:60" x14ac:dyDescent="0.25">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row>
    <row r="140" spans="1:60" x14ac:dyDescent="0.25">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row>
    <row r="141" spans="1:60" x14ac:dyDescent="0.25">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row>
    <row r="142" spans="1:60" x14ac:dyDescent="0.25">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row>
    <row r="143" spans="1:60" x14ac:dyDescent="0.25">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row>
    <row r="144" spans="1:60" x14ac:dyDescent="0.25">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row>
    <row r="145" spans="1:60" x14ac:dyDescent="0.25">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row>
    <row r="146" spans="1:60" x14ac:dyDescent="0.25">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c r="AX146" s="83"/>
      <c r="AY146" s="83"/>
      <c r="AZ146" s="83"/>
      <c r="BA146" s="83"/>
      <c r="BB146" s="83"/>
      <c r="BC146" s="83"/>
      <c r="BD146" s="83"/>
      <c r="BE146" s="83"/>
      <c r="BF146" s="83"/>
      <c r="BG146" s="83"/>
      <c r="BH146" s="83"/>
    </row>
    <row r="147" spans="1:60" x14ac:dyDescent="0.25">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c r="AX147" s="83"/>
      <c r="AY147" s="83"/>
      <c r="AZ147" s="83"/>
      <c r="BA147" s="83"/>
      <c r="BB147" s="83"/>
      <c r="BC147" s="83"/>
      <c r="BD147" s="83"/>
      <c r="BE147" s="83"/>
      <c r="BF147" s="83"/>
      <c r="BG147" s="83"/>
      <c r="BH147" s="83"/>
    </row>
    <row r="148" spans="1:60" x14ac:dyDescent="0.25">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row>
    <row r="149" spans="1:60" x14ac:dyDescent="0.25">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c r="BB149" s="83"/>
      <c r="BC149" s="83"/>
      <c r="BD149" s="83"/>
      <c r="BE149" s="83"/>
      <c r="BF149" s="83"/>
      <c r="BG149" s="83"/>
      <c r="BH149" s="83"/>
    </row>
    <row r="150" spans="1:60" x14ac:dyDescent="0.25">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3"/>
    </row>
    <row r="151" spans="1:60" x14ac:dyDescent="0.25">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row>
    <row r="152" spans="1:60" x14ac:dyDescent="0.25">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3"/>
      <c r="BB152" s="83"/>
      <c r="BC152" s="83"/>
      <c r="BD152" s="83"/>
      <c r="BE152" s="83"/>
      <c r="BF152" s="83"/>
      <c r="BG152" s="83"/>
      <c r="BH152" s="83"/>
    </row>
    <row r="153" spans="1:60" x14ac:dyDescent="0.25">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row>
    <row r="154" spans="1:60" x14ac:dyDescent="0.25">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c r="BB154" s="83"/>
      <c r="BC154" s="83"/>
      <c r="BD154" s="83"/>
      <c r="BE154" s="83"/>
      <c r="BF154" s="83"/>
      <c r="BG154" s="83"/>
      <c r="BH154" s="83"/>
    </row>
    <row r="155" spans="1:60" x14ac:dyDescent="0.25">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c r="BB155" s="83"/>
      <c r="BC155" s="83"/>
      <c r="BD155" s="83"/>
      <c r="BE155" s="83"/>
      <c r="BF155" s="83"/>
      <c r="BG155" s="83"/>
      <c r="BH155" s="83"/>
    </row>
    <row r="156" spans="1:60" x14ac:dyDescent="0.25">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row>
    <row r="157" spans="1:60" x14ac:dyDescent="0.25">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row>
    <row r="158" spans="1:60" x14ac:dyDescent="0.25">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row>
    <row r="159" spans="1:60" x14ac:dyDescent="0.25">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3"/>
    </row>
    <row r="160" spans="1:60" x14ac:dyDescent="0.25">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3"/>
      <c r="BB160" s="83"/>
      <c r="BC160" s="83"/>
      <c r="BD160" s="83"/>
      <c r="BE160" s="83"/>
      <c r="BF160" s="83"/>
      <c r="BG160" s="83"/>
      <c r="BH160" s="83"/>
    </row>
    <row r="161" spans="1:60" x14ac:dyDescent="0.25">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c r="BC161" s="83"/>
      <c r="BD161" s="83"/>
      <c r="BE161" s="83"/>
      <c r="BF161" s="83"/>
      <c r="BG161" s="83"/>
      <c r="BH161" s="83"/>
    </row>
    <row r="162" spans="1:60" x14ac:dyDescent="0.25">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3"/>
      <c r="BE162" s="83"/>
      <c r="BF162" s="83"/>
      <c r="BG162" s="83"/>
      <c r="BH162" s="83"/>
    </row>
    <row r="163" spans="1:60" x14ac:dyDescent="0.25">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row>
    <row r="164" spans="1:60" x14ac:dyDescent="0.25">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c r="BC164" s="83"/>
      <c r="BD164" s="83"/>
      <c r="BE164" s="83"/>
      <c r="BF164" s="83"/>
      <c r="BG164" s="83"/>
      <c r="BH164" s="83"/>
    </row>
    <row r="165" spans="1:60" x14ac:dyDescent="0.25">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3"/>
    </row>
    <row r="166" spans="1:60" x14ac:dyDescent="0.25">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row>
    <row r="167" spans="1:60" x14ac:dyDescent="0.25">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3"/>
    </row>
    <row r="168" spans="1:60" x14ac:dyDescent="0.25">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row>
    <row r="169" spans="1:60" x14ac:dyDescent="0.25">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row>
    <row r="170" spans="1:60" x14ac:dyDescent="0.25">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row>
    <row r="171" spans="1:60" x14ac:dyDescent="0.25">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row>
    <row r="172" spans="1:60" x14ac:dyDescent="0.25">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row>
    <row r="173" spans="1:60" x14ac:dyDescent="0.25">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row>
    <row r="174" spans="1:60" x14ac:dyDescent="0.25">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row>
    <row r="175" spans="1:60" x14ac:dyDescent="0.25">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row>
    <row r="176" spans="1:60" x14ac:dyDescent="0.25">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3"/>
    </row>
    <row r="177" spans="1:60" x14ac:dyDescent="0.25">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BD177" s="83"/>
      <c r="BE177" s="83"/>
      <c r="BF177" s="83"/>
      <c r="BG177" s="83"/>
      <c r="BH177" s="83"/>
    </row>
    <row r="178" spans="1:60" x14ac:dyDescent="0.25">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row>
    <row r="179" spans="1:60" x14ac:dyDescent="0.25">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row>
    <row r="180" spans="1:60" x14ac:dyDescent="0.25">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row>
    <row r="181" spans="1:60" x14ac:dyDescent="0.25">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row>
    <row r="182" spans="1:60" x14ac:dyDescent="0.25">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3"/>
      <c r="BB182" s="83"/>
      <c r="BC182" s="83"/>
      <c r="BD182" s="83"/>
      <c r="BE182" s="83"/>
      <c r="BF182" s="83"/>
      <c r="BG182" s="83"/>
      <c r="BH182" s="83"/>
    </row>
    <row r="183" spans="1:60" x14ac:dyDescent="0.25">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3"/>
    </row>
    <row r="184" spans="1:60" x14ac:dyDescent="0.25">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row>
    <row r="185" spans="1:60" x14ac:dyDescent="0.25">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c r="BC185" s="83"/>
      <c r="BD185" s="83"/>
      <c r="BE185" s="83"/>
      <c r="BF185" s="83"/>
      <c r="BG185" s="83"/>
      <c r="BH185" s="83"/>
    </row>
    <row r="186" spans="1:60" x14ac:dyDescent="0.25">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3"/>
      <c r="BD186" s="83"/>
      <c r="BE186" s="83"/>
      <c r="BF186" s="83"/>
      <c r="BG186" s="83"/>
      <c r="BH186" s="83"/>
    </row>
    <row r="187" spans="1:60" x14ac:dyDescent="0.25">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3"/>
      <c r="BH187" s="83"/>
    </row>
    <row r="188" spans="1:60" x14ac:dyDescent="0.25">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c r="BC188" s="83"/>
      <c r="BD188" s="83"/>
      <c r="BE188" s="83"/>
      <c r="BF188" s="83"/>
      <c r="BG188" s="83"/>
      <c r="BH188" s="83"/>
    </row>
    <row r="189" spans="1:60" x14ac:dyDescent="0.25">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row>
    <row r="190" spans="1:60" x14ac:dyDescent="0.25">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c r="BC190" s="83"/>
      <c r="BD190" s="83"/>
      <c r="BE190" s="83"/>
      <c r="BF190" s="83"/>
      <c r="BG190" s="83"/>
      <c r="BH190" s="83"/>
    </row>
    <row r="191" spans="1:60" x14ac:dyDescent="0.25">
      <c r="A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3"/>
      <c r="BH191" s="83"/>
    </row>
    <row r="192" spans="1:60" x14ac:dyDescent="0.25">
      <c r="A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83"/>
      <c r="BD192" s="83"/>
      <c r="BE192" s="83"/>
      <c r="BF192" s="83"/>
      <c r="BG192" s="83"/>
      <c r="BH192" s="83"/>
    </row>
    <row r="193" spans="1:60" x14ac:dyDescent="0.25">
      <c r="A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3"/>
      <c r="BH193" s="83"/>
    </row>
    <row r="194" spans="1:60" x14ac:dyDescent="0.25">
      <c r="A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83"/>
      <c r="BG194" s="83"/>
      <c r="BH194" s="83"/>
    </row>
    <row r="195" spans="1:60" x14ac:dyDescent="0.25">
      <c r="A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3"/>
      <c r="BB195" s="83"/>
      <c r="BC195" s="83"/>
      <c r="BD195" s="83"/>
      <c r="BE195" s="83"/>
      <c r="BF195" s="83"/>
      <c r="BG195" s="83"/>
      <c r="BH195" s="83"/>
    </row>
    <row r="196" spans="1:60" x14ac:dyDescent="0.25">
      <c r="A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c r="AX196" s="83"/>
      <c r="AY196" s="83"/>
      <c r="AZ196" s="83"/>
      <c r="BA196" s="83"/>
      <c r="BB196" s="83"/>
      <c r="BC196" s="83"/>
      <c r="BD196" s="83"/>
      <c r="BE196" s="83"/>
      <c r="BF196" s="83"/>
      <c r="BG196" s="83"/>
      <c r="BH196" s="83"/>
    </row>
    <row r="197" spans="1:60" x14ac:dyDescent="0.25">
      <c r="A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3"/>
      <c r="BB197" s="83"/>
      <c r="BC197" s="83"/>
      <c r="BD197" s="83"/>
      <c r="BE197" s="83"/>
      <c r="BF197" s="83"/>
      <c r="BG197" s="83"/>
      <c r="BH197" s="83"/>
    </row>
    <row r="198" spans="1:60" x14ac:dyDescent="0.25">
      <c r="A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3"/>
      <c r="BB198" s="83"/>
      <c r="BC198" s="83"/>
      <c r="BD198" s="83"/>
      <c r="BE198" s="83"/>
      <c r="BF198" s="83"/>
      <c r="BG198" s="83"/>
      <c r="BH198" s="83"/>
    </row>
    <row r="199" spans="1:60" x14ac:dyDescent="0.25">
      <c r="A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c r="AX199" s="83"/>
      <c r="AY199" s="83"/>
      <c r="AZ199" s="83"/>
      <c r="BA199" s="83"/>
      <c r="BB199" s="83"/>
      <c r="BC199" s="83"/>
      <c r="BD199" s="83"/>
      <c r="BE199" s="83"/>
      <c r="BF199" s="83"/>
      <c r="BG199" s="83"/>
      <c r="BH199" s="83"/>
    </row>
    <row r="200" spans="1:60" x14ac:dyDescent="0.25">
      <c r="A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3"/>
      <c r="AW200" s="83"/>
      <c r="AX200" s="83"/>
      <c r="AY200" s="83"/>
      <c r="AZ200" s="83"/>
      <c r="BA200" s="83"/>
      <c r="BB200" s="83"/>
      <c r="BC200" s="83"/>
      <c r="BD200" s="83"/>
      <c r="BE200" s="83"/>
      <c r="BF200" s="83"/>
      <c r="BG200" s="83"/>
      <c r="BH200" s="83"/>
    </row>
    <row r="201" spans="1:60" x14ac:dyDescent="0.25">
      <c r="A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c r="BC201" s="83"/>
      <c r="BD201" s="83"/>
      <c r="BE201" s="83"/>
      <c r="BF201" s="83"/>
      <c r="BG201" s="83"/>
      <c r="BH201" s="83"/>
    </row>
    <row r="202" spans="1:60" x14ac:dyDescent="0.25">
      <c r="A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3"/>
      <c r="BB202" s="83"/>
      <c r="BC202" s="83"/>
      <c r="BD202" s="83"/>
      <c r="BE202" s="83"/>
      <c r="BF202" s="83"/>
      <c r="BG202" s="83"/>
      <c r="BH202" s="83"/>
    </row>
    <row r="203" spans="1:60" x14ac:dyDescent="0.25">
      <c r="A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83"/>
      <c r="BG203" s="83"/>
      <c r="BH203" s="83"/>
    </row>
    <row r="204" spans="1:60" x14ac:dyDescent="0.25">
      <c r="A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3"/>
      <c r="BC204" s="83"/>
      <c r="BD204" s="83"/>
      <c r="BE204" s="83"/>
      <c r="BF204" s="83"/>
      <c r="BG204" s="83"/>
      <c r="BH204" s="83"/>
    </row>
    <row r="205" spans="1:60" x14ac:dyDescent="0.25">
      <c r="A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c r="BC205" s="83"/>
      <c r="BD205" s="83"/>
      <c r="BE205" s="83"/>
      <c r="BF205" s="83"/>
      <c r="BG205" s="83"/>
      <c r="BH205" s="83"/>
    </row>
    <row r="206" spans="1:60" x14ac:dyDescent="0.25">
      <c r="A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c r="BC206" s="83"/>
      <c r="BD206" s="83"/>
      <c r="BE206" s="83"/>
      <c r="BF206" s="83"/>
      <c r="BG206" s="83"/>
      <c r="BH206" s="83"/>
    </row>
    <row r="207" spans="1:60" x14ac:dyDescent="0.25">
      <c r="A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c r="AX207" s="83"/>
      <c r="AY207" s="83"/>
      <c r="AZ207" s="83"/>
      <c r="BA207" s="83"/>
      <c r="BB207" s="83"/>
      <c r="BC207" s="83"/>
      <c r="BD207" s="83"/>
      <c r="BE207" s="83"/>
      <c r="BF207" s="83"/>
      <c r="BG207" s="83"/>
      <c r="BH207" s="83"/>
    </row>
    <row r="208" spans="1:60" x14ac:dyDescent="0.25">
      <c r="A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83"/>
      <c r="AU208" s="83"/>
      <c r="AV208" s="83"/>
      <c r="AW208" s="83"/>
      <c r="AX208" s="83"/>
      <c r="AY208" s="83"/>
      <c r="AZ208" s="83"/>
      <c r="BA208" s="83"/>
      <c r="BB208" s="83"/>
      <c r="BC208" s="83"/>
      <c r="BD208" s="83"/>
      <c r="BE208" s="83"/>
      <c r="BF208" s="83"/>
      <c r="BG208" s="83"/>
      <c r="BH208" s="83"/>
    </row>
    <row r="209" spans="1:60" x14ac:dyDescent="0.25">
      <c r="A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c r="AX209" s="83"/>
      <c r="AY209" s="83"/>
      <c r="AZ209" s="83"/>
      <c r="BA209" s="83"/>
      <c r="BB209" s="83"/>
      <c r="BC209" s="83"/>
      <c r="BD209" s="83"/>
      <c r="BE209" s="83"/>
      <c r="BF209" s="83"/>
      <c r="BG209" s="83"/>
      <c r="BH209" s="83"/>
    </row>
    <row r="210" spans="1:60" x14ac:dyDescent="0.25">
      <c r="A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c r="AX210" s="83"/>
      <c r="AY210" s="83"/>
      <c r="AZ210" s="83"/>
      <c r="BA210" s="83"/>
      <c r="BB210" s="83"/>
      <c r="BC210" s="83"/>
      <c r="BD210" s="83"/>
      <c r="BE210" s="83"/>
      <c r="BF210" s="83"/>
      <c r="BG210" s="83"/>
      <c r="BH210" s="83"/>
    </row>
    <row r="211" spans="1:60" x14ac:dyDescent="0.25">
      <c r="A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row>
    <row r="212" spans="1:60" x14ac:dyDescent="0.25">
      <c r="A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c r="BC212" s="83"/>
      <c r="BD212" s="83"/>
      <c r="BE212" s="83"/>
      <c r="BF212" s="83"/>
      <c r="BG212" s="83"/>
      <c r="BH212" s="83"/>
    </row>
    <row r="213" spans="1:60" x14ac:dyDescent="0.25">
      <c r="A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3"/>
      <c r="BB213" s="83"/>
      <c r="BC213" s="83"/>
      <c r="BD213" s="83"/>
      <c r="BE213" s="83"/>
      <c r="BF213" s="83"/>
      <c r="BG213" s="83"/>
      <c r="BH213" s="83"/>
    </row>
    <row r="214" spans="1:60" x14ac:dyDescent="0.25">
      <c r="A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c r="AX214" s="83"/>
      <c r="AY214" s="83"/>
      <c r="AZ214" s="83"/>
      <c r="BA214" s="83"/>
      <c r="BB214" s="83"/>
      <c r="BC214" s="83"/>
      <c r="BD214" s="83"/>
      <c r="BE214" s="83"/>
      <c r="BF214" s="83"/>
      <c r="BG214" s="83"/>
      <c r="BH214" s="83"/>
    </row>
    <row r="215" spans="1:60" x14ac:dyDescent="0.25">
      <c r="A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3"/>
      <c r="BB215" s="83"/>
      <c r="BC215" s="83"/>
      <c r="BD215" s="83"/>
      <c r="BE215" s="83"/>
      <c r="BF215" s="83"/>
      <c r="BG215" s="83"/>
      <c r="BH215" s="83"/>
    </row>
    <row r="216" spans="1:60" x14ac:dyDescent="0.25">
      <c r="A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3"/>
      <c r="BB216" s="83"/>
      <c r="BC216" s="83"/>
      <c r="BD216" s="83"/>
      <c r="BE216" s="83"/>
      <c r="BF216" s="83"/>
      <c r="BG216" s="83"/>
      <c r="BH216" s="83"/>
    </row>
    <row r="217" spans="1:60" x14ac:dyDescent="0.25">
      <c r="A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3"/>
      <c r="BB217" s="83"/>
      <c r="BC217" s="83"/>
      <c r="BD217" s="83"/>
      <c r="BE217" s="83"/>
      <c r="BF217" s="83"/>
      <c r="BG217" s="83"/>
      <c r="BH217" s="83"/>
    </row>
    <row r="218" spans="1:60" x14ac:dyDescent="0.25">
      <c r="A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83"/>
      <c r="AU218" s="83"/>
      <c r="AV218" s="83"/>
      <c r="AW218" s="83"/>
      <c r="AX218" s="83"/>
      <c r="AY218" s="83"/>
      <c r="AZ218" s="83"/>
      <c r="BA218" s="83"/>
      <c r="BB218" s="83"/>
      <c r="BC218" s="83"/>
      <c r="BD218" s="83"/>
      <c r="BE218" s="83"/>
      <c r="BF218" s="83"/>
      <c r="BG218" s="83"/>
      <c r="BH218" s="83"/>
    </row>
    <row r="219" spans="1:60" x14ac:dyDescent="0.25">
      <c r="A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83"/>
      <c r="AU219" s="83"/>
      <c r="AV219" s="83"/>
      <c r="AW219" s="83"/>
      <c r="AX219" s="83"/>
      <c r="AY219" s="83"/>
      <c r="AZ219" s="83"/>
      <c r="BA219" s="83"/>
      <c r="BB219" s="83"/>
      <c r="BC219" s="83"/>
      <c r="BD219" s="83"/>
      <c r="BE219" s="83"/>
      <c r="BF219" s="83"/>
      <c r="BG219" s="83"/>
      <c r="BH219" s="83"/>
    </row>
    <row r="220" spans="1:60" x14ac:dyDescent="0.25">
      <c r="A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c r="AX220" s="83"/>
      <c r="AY220" s="83"/>
      <c r="AZ220" s="83"/>
      <c r="BA220" s="83"/>
      <c r="BB220" s="83"/>
      <c r="BC220" s="83"/>
      <c r="BD220" s="83"/>
      <c r="BE220" s="83"/>
      <c r="BF220" s="83"/>
      <c r="BG220" s="83"/>
      <c r="BH220" s="83"/>
    </row>
    <row r="221" spans="1:60" x14ac:dyDescent="0.25">
      <c r="A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3"/>
      <c r="AU221" s="83"/>
      <c r="AV221" s="83"/>
      <c r="AW221" s="83"/>
      <c r="AX221" s="83"/>
      <c r="AY221" s="83"/>
      <c r="AZ221" s="83"/>
      <c r="BA221" s="83"/>
      <c r="BB221" s="83"/>
      <c r="BC221" s="83"/>
      <c r="BD221" s="83"/>
      <c r="BE221" s="83"/>
      <c r="BF221" s="83"/>
      <c r="BG221" s="83"/>
      <c r="BH221" s="83"/>
    </row>
    <row r="222" spans="1:60" x14ac:dyDescent="0.25">
      <c r="A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row>
    <row r="223" spans="1:60" x14ac:dyDescent="0.25">
      <c r="A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row>
    <row r="224" spans="1:60" x14ac:dyDescent="0.25">
      <c r="A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row>
    <row r="225" spans="1:60" x14ac:dyDescent="0.25">
      <c r="A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c r="AP225" s="83"/>
      <c r="AQ225" s="83"/>
      <c r="AR225" s="83"/>
      <c r="AS225" s="83"/>
      <c r="AT225" s="83"/>
      <c r="AU225" s="83"/>
      <c r="AV225" s="83"/>
      <c r="AW225" s="83"/>
      <c r="AX225" s="83"/>
      <c r="AY225" s="83"/>
      <c r="AZ225" s="83"/>
      <c r="BA225" s="83"/>
      <c r="BB225" s="83"/>
      <c r="BC225" s="83"/>
      <c r="BD225" s="83"/>
      <c r="BE225" s="83"/>
      <c r="BF225" s="83"/>
      <c r="BG225" s="83"/>
      <c r="BH225" s="83"/>
    </row>
    <row r="226" spans="1:60" x14ac:dyDescent="0.25">
      <c r="A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c r="AP226" s="83"/>
      <c r="AQ226" s="83"/>
      <c r="AR226" s="83"/>
      <c r="AS226" s="83"/>
      <c r="AT226" s="83"/>
      <c r="AU226" s="83"/>
      <c r="AV226" s="83"/>
      <c r="AW226" s="83"/>
      <c r="AX226" s="83"/>
      <c r="AY226" s="83"/>
      <c r="AZ226" s="83"/>
      <c r="BA226" s="83"/>
      <c r="BB226" s="83"/>
      <c r="BC226" s="83"/>
      <c r="BD226" s="83"/>
      <c r="BE226" s="83"/>
      <c r="BF226" s="83"/>
      <c r="BG226" s="83"/>
      <c r="BH226" s="83"/>
    </row>
    <row r="227" spans="1:60" x14ac:dyDescent="0.25">
      <c r="A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83"/>
      <c r="AU227" s="83"/>
      <c r="AV227" s="83"/>
      <c r="AW227" s="83"/>
      <c r="AX227" s="83"/>
      <c r="AY227" s="83"/>
      <c r="AZ227" s="83"/>
      <c r="BA227" s="83"/>
      <c r="BB227" s="83"/>
      <c r="BC227" s="83"/>
      <c r="BD227" s="83"/>
      <c r="BE227" s="83"/>
      <c r="BF227" s="83"/>
      <c r="BG227" s="83"/>
      <c r="BH227" s="83"/>
    </row>
    <row r="228" spans="1:60" x14ac:dyDescent="0.25">
      <c r="A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3"/>
      <c r="BC228" s="83"/>
      <c r="BD228" s="83"/>
      <c r="BE228" s="83"/>
      <c r="BF228" s="83"/>
      <c r="BG228" s="83"/>
      <c r="BH228" s="83"/>
    </row>
    <row r="229" spans="1:60" x14ac:dyDescent="0.25">
      <c r="A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3"/>
      <c r="BB229" s="83"/>
      <c r="BC229" s="83"/>
      <c r="BD229" s="83"/>
      <c r="BE229" s="83"/>
      <c r="BF229" s="83"/>
      <c r="BG229" s="83"/>
      <c r="BH229" s="83"/>
    </row>
    <row r="230" spans="1:60" x14ac:dyDescent="0.25">
      <c r="A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83"/>
      <c r="AY230" s="83"/>
      <c r="AZ230" s="83"/>
      <c r="BA230" s="83"/>
      <c r="BB230" s="83"/>
      <c r="BC230" s="83"/>
      <c r="BD230" s="83"/>
      <c r="BE230" s="83"/>
      <c r="BF230" s="83"/>
      <c r="BG230" s="83"/>
      <c r="BH230" s="83"/>
    </row>
    <row r="231" spans="1:60" x14ac:dyDescent="0.25">
      <c r="A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c r="AP231" s="83"/>
      <c r="AQ231" s="83"/>
      <c r="AR231" s="83"/>
      <c r="AS231" s="83"/>
      <c r="AT231" s="83"/>
      <c r="AU231" s="83"/>
      <c r="AV231" s="83"/>
      <c r="AW231" s="83"/>
      <c r="AX231" s="83"/>
      <c r="AY231" s="83"/>
      <c r="AZ231" s="83"/>
      <c r="BA231" s="83"/>
      <c r="BB231" s="83"/>
      <c r="BC231" s="83"/>
      <c r="BD231" s="83"/>
      <c r="BE231" s="83"/>
      <c r="BF231" s="83"/>
      <c r="BG231" s="83"/>
      <c r="BH231" s="83"/>
    </row>
    <row r="232" spans="1:60" x14ac:dyDescent="0.25">
      <c r="A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83"/>
      <c r="AU232" s="83"/>
      <c r="AV232" s="83"/>
      <c r="AW232" s="83"/>
      <c r="AX232" s="83"/>
      <c r="AY232" s="83"/>
      <c r="AZ232" s="83"/>
      <c r="BA232" s="83"/>
      <c r="BB232" s="83"/>
      <c r="BC232" s="83"/>
      <c r="BD232" s="83"/>
      <c r="BE232" s="83"/>
      <c r="BF232" s="83"/>
      <c r="BG232" s="83"/>
      <c r="BH232" s="83"/>
    </row>
    <row r="233" spans="1:60" x14ac:dyDescent="0.25">
      <c r="A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83"/>
      <c r="AR233" s="83"/>
      <c r="AS233" s="83"/>
      <c r="AT233" s="83"/>
      <c r="AU233" s="83"/>
      <c r="AV233" s="83"/>
      <c r="AW233" s="83"/>
      <c r="AX233" s="83"/>
      <c r="AY233" s="83"/>
      <c r="AZ233" s="83"/>
      <c r="BA233" s="83"/>
      <c r="BB233" s="83"/>
      <c r="BC233" s="83"/>
      <c r="BD233" s="83"/>
      <c r="BE233" s="83"/>
      <c r="BF233" s="83"/>
      <c r="BG233" s="83"/>
      <c r="BH233" s="83"/>
    </row>
    <row r="234" spans="1:60" x14ac:dyDescent="0.25">
      <c r="A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c r="AP234" s="83"/>
      <c r="AQ234" s="83"/>
      <c r="AR234" s="83"/>
      <c r="AS234" s="83"/>
      <c r="AT234" s="83"/>
      <c r="AU234" s="83"/>
      <c r="AV234" s="83"/>
      <c r="AW234" s="83"/>
      <c r="AX234" s="83"/>
      <c r="AY234" s="83"/>
      <c r="AZ234" s="83"/>
      <c r="BA234" s="83"/>
      <c r="BB234" s="83"/>
      <c r="BC234" s="83"/>
      <c r="BD234" s="83"/>
      <c r="BE234" s="83"/>
      <c r="BF234" s="83"/>
      <c r="BG234" s="83"/>
      <c r="BH234" s="83"/>
    </row>
    <row r="235" spans="1:60" x14ac:dyDescent="0.25">
      <c r="A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c r="AP235" s="83"/>
      <c r="AQ235" s="83"/>
      <c r="AR235" s="83"/>
      <c r="AS235" s="83"/>
      <c r="AT235" s="83"/>
      <c r="AU235" s="83"/>
      <c r="AV235" s="83"/>
      <c r="AW235" s="83"/>
      <c r="AX235" s="83"/>
      <c r="AY235" s="83"/>
      <c r="AZ235" s="83"/>
      <c r="BA235" s="83"/>
      <c r="BB235" s="83"/>
      <c r="BC235" s="83"/>
      <c r="BD235" s="83"/>
      <c r="BE235" s="83"/>
      <c r="BF235" s="83"/>
      <c r="BG235" s="83"/>
      <c r="BH235" s="83"/>
    </row>
    <row r="236" spans="1:60" x14ac:dyDescent="0.25">
      <c r="A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c r="AP236" s="83"/>
      <c r="AQ236" s="83"/>
      <c r="AR236" s="83"/>
      <c r="AS236" s="83"/>
      <c r="AT236" s="83"/>
      <c r="AU236" s="83"/>
      <c r="AV236" s="83"/>
      <c r="AW236" s="83"/>
      <c r="AX236" s="83"/>
      <c r="AY236" s="83"/>
      <c r="AZ236" s="83"/>
      <c r="BA236" s="83"/>
      <c r="BB236" s="83"/>
      <c r="BC236" s="83"/>
      <c r="BD236" s="83"/>
      <c r="BE236" s="83"/>
      <c r="BF236" s="83"/>
      <c r="BG236" s="83"/>
      <c r="BH236" s="83"/>
    </row>
    <row r="237" spans="1:60" x14ac:dyDescent="0.25">
      <c r="A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83"/>
      <c r="AU237" s="83"/>
      <c r="AV237" s="83"/>
      <c r="AW237" s="83"/>
      <c r="AX237" s="83"/>
      <c r="AY237" s="83"/>
      <c r="AZ237" s="83"/>
      <c r="BA237" s="83"/>
      <c r="BB237" s="83"/>
      <c r="BC237" s="83"/>
      <c r="BD237" s="83"/>
      <c r="BE237" s="83"/>
      <c r="BF237" s="83"/>
      <c r="BG237" s="83"/>
      <c r="BH237" s="83"/>
    </row>
    <row r="238" spans="1:60" x14ac:dyDescent="0.25">
      <c r="A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83"/>
      <c r="AU238" s="83"/>
      <c r="AV238" s="83"/>
      <c r="AW238" s="83"/>
      <c r="AX238" s="83"/>
      <c r="AY238" s="83"/>
      <c r="AZ238" s="83"/>
      <c r="BA238" s="83"/>
      <c r="BB238" s="83"/>
      <c r="BC238" s="83"/>
      <c r="BD238" s="83"/>
      <c r="BE238" s="83"/>
      <c r="BF238" s="83"/>
      <c r="BG238" s="83"/>
      <c r="BH238" s="83"/>
    </row>
    <row r="239" spans="1:60" x14ac:dyDescent="0.25">
      <c r="A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c r="AP239" s="83"/>
      <c r="AQ239" s="83"/>
      <c r="AR239" s="83"/>
      <c r="AS239" s="83"/>
      <c r="AT239" s="83"/>
      <c r="AU239" s="83"/>
      <c r="AV239" s="83"/>
      <c r="AW239" s="83"/>
      <c r="AX239" s="83"/>
      <c r="AY239" s="83"/>
      <c r="AZ239" s="83"/>
      <c r="BA239" s="83"/>
      <c r="BB239" s="83"/>
      <c r="BC239" s="83"/>
      <c r="BD239" s="83"/>
      <c r="BE239" s="83"/>
      <c r="BF239" s="83"/>
      <c r="BG239" s="83"/>
      <c r="BH239" s="83"/>
    </row>
    <row r="240" spans="1:60" x14ac:dyDescent="0.25">
      <c r="A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c r="AP240" s="83"/>
      <c r="AQ240" s="83"/>
      <c r="AR240" s="83"/>
      <c r="AS240" s="83"/>
      <c r="AT240" s="83"/>
      <c r="AU240" s="83"/>
      <c r="AV240" s="83"/>
      <c r="AW240" s="83"/>
      <c r="AX240" s="83"/>
      <c r="AY240" s="83"/>
      <c r="AZ240" s="83"/>
      <c r="BA240" s="83"/>
      <c r="BB240" s="83"/>
      <c r="BC240" s="83"/>
      <c r="BD240" s="83"/>
      <c r="BE240" s="83"/>
      <c r="BF240" s="83"/>
      <c r="BG240" s="83"/>
      <c r="BH240" s="83"/>
    </row>
    <row r="241" spans="1:60" x14ac:dyDescent="0.25">
      <c r="A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c r="AP241" s="83"/>
      <c r="AQ241" s="83"/>
      <c r="AR241" s="83"/>
      <c r="AS241" s="83"/>
      <c r="AT241" s="83"/>
      <c r="AU241" s="83"/>
      <c r="AV241" s="83"/>
      <c r="AW241" s="83"/>
      <c r="AX241" s="83"/>
      <c r="AY241" s="83"/>
      <c r="AZ241" s="83"/>
      <c r="BA241" s="83"/>
      <c r="BB241" s="83"/>
      <c r="BC241" s="83"/>
      <c r="BD241" s="83"/>
      <c r="BE241" s="83"/>
      <c r="BF241" s="83"/>
      <c r="BG241" s="83"/>
      <c r="BH241" s="83"/>
    </row>
    <row r="242" spans="1:60" x14ac:dyDescent="0.25">
      <c r="A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c r="AP242" s="83"/>
      <c r="AQ242" s="83"/>
      <c r="AR242" s="83"/>
      <c r="AS242" s="83"/>
      <c r="AT242" s="83"/>
      <c r="AU242" s="83"/>
      <c r="AV242" s="83"/>
      <c r="AW242" s="83"/>
      <c r="AX242" s="83"/>
      <c r="AY242" s="83"/>
      <c r="AZ242" s="83"/>
      <c r="BA242" s="83"/>
      <c r="BB242" s="83"/>
      <c r="BC242" s="83"/>
      <c r="BD242" s="83"/>
      <c r="BE242" s="83"/>
      <c r="BF242" s="83"/>
      <c r="BG242" s="83"/>
      <c r="BH242" s="83"/>
    </row>
    <row r="243" spans="1:60" x14ac:dyDescent="0.25">
      <c r="A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83"/>
      <c r="AR243" s="83"/>
      <c r="AS243" s="83"/>
      <c r="AT243" s="83"/>
      <c r="AU243" s="83"/>
      <c r="AV243" s="83"/>
      <c r="AW243" s="83"/>
      <c r="AX243" s="83"/>
      <c r="AY243" s="83"/>
      <c r="AZ243" s="83"/>
      <c r="BA243" s="83"/>
      <c r="BB243" s="83"/>
      <c r="BC243" s="83"/>
      <c r="BD243" s="83"/>
      <c r="BE243" s="83"/>
      <c r="BF243" s="83"/>
      <c r="BG243" s="83"/>
      <c r="BH243" s="83"/>
    </row>
    <row r="244" spans="1:60" x14ac:dyDescent="0.25">
      <c r="A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c r="AP244" s="83"/>
      <c r="AQ244" s="83"/>
      <c r="AR244" s="83"/>
      <c r="AS244" s="83"/>
      <c r="AT244" s="83"/>
      <c r="AU244" s="83"/>
      <c r="AV244" s="83"/>
      <c r="AW244" s="83"/>
      <c r="AX244" s="83"/>
      <c r="AY244" s="83"/>
      <c r="AZ244" s="83"/>
      <c r="BA244" s="83"/>
      <c r="BB244" s="83"/>
      <c r="BC244" s="83"/>
      <c r="BD244" s="83"/>
      <c r="BE244" s="83"/>
      <c r="BF244" s="83"/>
      <c r="BG244" s="83"/>
      <c r="BH244" s="83"/>
    </row>
    <row r="245" spans="1:60" x14ac:dyDescent="0.25">
      <c r="A245" s="83"/>
    </row>
    <row r="246" spans="1:60" x14ac:dyDescent="0.25">
      <c r="A246" s="83"/>
    </row>
    <row r="247" spans="1:60" x14ac:dyDescent="0.25">
      <c r="A247" s="83"/>
    </row>
    <row r="248" spans="1:60" x14ac:dyDescent="0.25">
      <c r="A248" s="83"/>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90" zoomScaleNormal="90" workbookViewId="0">
      <selection activeCell="C8" sqref="C8"/>
    </sheetView>
  </sheetViews>
  <sheetFormatPr baseColWidth="10" defaultColWidth="11.42578125" defaultRowHeight="15" x14ac:dyDescent="0.25"/>
  <cols>
    <col min="2" max="2" width="24.140625" customWidth="1"/>
    <col min="3" max="3" width="70.140625" customWidth="1"/>
    <col min="4" max="4" width="29.85546875" customWidth="1"/>
  </cols>
  <sheetData>
    <row r="1" spans="1:37" ht="23.25" x14ac:dyDescent="0.25">
      <c r="A1" s="83"/>
      <c r="B1" s="478" t="s">
        <v>107</v>
      </c>
      <c r="C1" s="478"/>
      <c r="D1" s="478"/>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spans="1:37" x14ac:dyDescent="0.25">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row>
    <row r="3" spans="1:37" ht="25.5" x14ac:dyDescent="0.25">
      <c r="A3" s="83"/>
      <c r="B3" s="11"/>
      <c r="C3" s="12" t="s">
        <v>108</v>
      </c>
      <c r="D3" s="12" t="s">
        <v>91</v>
      </c>
      <c r="E3" s="83"/>
      <c r="F3" s="83"/>
      <c r="G3" s="83"/>
      <c r="H3" s="83"/>
      <c r="I3" s="83"/>
      <c r="J3" s="83"/>
      <c r="K3" s="83"/>
      <c r="L3" s="83"/>
      <c r="M3" s="83"/>
      <c r="N3" s="83"/>
      <c r="O3" s="83"/>
      <c r="P3" s="83"/>
      <c r="Q3" s="83"/>
      <c r="R3" s="83"/>
      <c r="S3" s="83"/>
      <c r="T3" s="83"/>
      <c r="U3" s="83"/>
      <c r="V3" s="83"/>
      <c r="W3" s="83"/>
      <c r="X3" s="83"/>
      <c r="Y3" s="83"/>
      <c r="Z3" s="83"/>
      <c r="AA3" s="83"/>
      <c r="AB3" s="83"/>
      <c r="AC3" s="83"/>
      <c r="AD3" s="83"/>
      <c r="AE3" s="83"/>
    </row>
    <row r="4" spans="1:37" ht="51" x14ac:dyDescent="0.25">
      <c r="A4" s="83"/>
      <c r="B4" s="13" t="s">
        <v>109</v>
      </c>
      <c r="C4" s="14" t="s">
        <v>110</v>
      </c>
      <c r="D4" s="15">
        <v>0.2</v>
      </c>
      <c r="E4" s="83"/>
      <c r="F4" s="83"/>
      <c r="G4" s="83"/>
      <c r="H4" s="83"/>
      <c r="I4" s="83"/>
      <c r="J4" s="83"/>
      <c r="K4" s="83"/>
      <c r="L4" s="83"/>
      <c r="M4" s="83"/>
      <c r="N4" s="83"/>
      <c r="O4" s="83"/>
      <c r="P4" s="83"/>
      <c r="Q4" s="83"/>
      <c r="R4" s="83"/>
      <c r="S4" s="83"/>
      <c r="T4" s="83"/>
      <c r="U4" s="83"/>
      <c r="V4" s="83"/>
      <c r="W4" s="83"/>
      <c r="X4" s="83"/>
      <c r="Y4" s="83"/>
      <c r="Z4" s="83"/>
      <c r="AA4" s="83"/>
      <c r="AB4" s="83"/>
      <c r="AC4" s="83"/>
      <c r="AD4" s="83"/>
      <c r="AE4" s="83"/>
    </row>
    <row r="5" spans="1:37" ht="51" x14ac:dyDescent="0.25">
      <c r="A5" s="83"/>
      <c r="B5" s="16" t="s">
        <v>111</v>
      </c>
      <c r="C5" s="17" t="s">
        <v>112</v>
      </c>
      <c r="D5" s="18">
        <v>0.4</v>
      </c>
      <c r="E5" s="83"/>
      <c r="F5" s="83"/>
      <c r="G5" s="83"/>
      <c r="H5" s="83"/>
      <c r="I5" s="83"/>
      <c r="J5" s="83"/>
      <c r="K5" s="83"/>
      <c r="L5" s="83"/>
      <c r="M5" s="83"/>
      <c r="N5" s="83"/>
      <c r="O5" s="83"/>
      <c r="P5" s="83"/>
      <c r="Q5" s="83"/>
      <c r="R5" s="83"/>
      <c r="S5" s="83"/>
      <c r="T5" s="83"/>
      <c r="U5" s="83"/>
      <c r="V5" s="83"/>
      <c r="W5" s="83"/>
      <c r="X5" s="83"/>
      <c r="Y5" s="83"/>
      <c r="Z5" s="83"/>
      <c r="AA5" s="83"/>
      <c r="AB5" s="83"/>
      <c r="AC5" s="83"/>
      <c r="AD5" s="83"/>
      <c r="AE5" s="83"/>
    </row>
    <row r="6" spans="1:37" ht="51" x14ac:dyDescent="0.25">
      <c r="A6" s="83"/>
      <c r="B6" s="19" t="s">
        <v>113</v>
      </c>
      <c r="C6" s="17" t="s">
        <v>114</v>
      </c>
      <c r="D6" s="18">
        <v>0.6</v>
      </c>
      <c r="E6" s="83"/>
      <c r="F6" s="83"/>
      <c r="G6" s="83"/>
      <c r="H6" s="83"/>
      <c r="I6" s="83"/>
      <c r="J6" s="83"/>
      <c r="K6" s="83"/>
      <c r="L6" s="83"/>
      <c r="M6" s="83"/>
      <c r="N6" s="83"/>
      <c r="O6" s="83"/>
      <c r="P6" s="83"/>
      <c r="Q6" s="83"/>
      <c r="R6" s="83"/>
      <c r="S6" s="83"/>
      <c r="T6" s="83"/>
      <c r="U6" s="83"/>
      <c r="V6" s="83"/>
      <c r="W6" s="83"/>
      <c r="X6" s="83"/>
      <c r="Y6" s="83"/>
      <c r="Z6" s="83"/>
      <c r="AA6" s="83"/>
      <c r="AB6" s="83"/>
      <c r="AC6" s="83"/>
      <c r="AD6" s="83"/>
      <c r="AE6" s="83"/>
    </row>
    <row r="7" spans="1:37" ht="76.5" x14ac:dyDescent="0.25">
      <c r="A7" s="83"/>
      <c r="B7" s="20" t="s">
        <v>115</v>
      </c>
      <c r="C7" s="17" t="s">
        <v>116</v>
      </c>
      <c r="D7" s="18">
        <v>0.8</v>
      </c>
      <c r="E7" s="83"/>
      <c r="F7" s="83"/>
      <c r="G7" s="83"/>
      <c r="H7" s="83"/>
      <c r="I7" s="83"/>
      <c r="J7" s="83"/>
      <c r="K7" s="83"/>
      <c r="L7" s="83"/>
      <c r="M7" s="83"/>
      <c r="N7" s="83"/>
      <c r="O7" s="83"/>
      <c r="P7" s="83"/>
      <c r="Q7" s="83"/>
      <c r="R7" s="83"/>
      <c r="S7" s="83"/>
      <c r="T7" s="83"/>
      <c r="U7" s="83"/>
      <c r="V7" s="83"/>
      <c r="W7" s="83"/>
      <c r="X7" s="83"/>
      <c r="Y7" s="83"/>
      <c r="Z7" s="83"/>
      <c r="AA7" s="83"/>
      <c r="AB7" s="83"/>
      <c r="AC7" s="83"/>
      <c r="AD7" s="83"/>
      <c r="AE7" s="83"/>
    </row>
    <row r="8" spans="1:37" ht="51" x14ac:dyDescent="0.25">
      <c r="A8" s="83"/>
      <c r="B8" s="21" t="s">
        <v>117</v>
      </c>
      <c r="C8" s="17" t="s">
        <v>118</v>
      </c>
      <c r="D8" s="18">
        <v>1</v>
      </c>
      <c r="E8" s="83"/>
      <c r="F8" s="83"/>
      <c r="G8" s="83"/>
      <c r="H8" s="83"/>
      <c r="I8" s="83"/>
      <c r="J8" s="83"/>
      <c r="K8" s="83"/>
      <c r="L8" s="83"/>
      <c r="M8" s="83"/>
      <c r="N8" s="83"/>
      <c r="O8" s="83"/>
      <c r="P8" s="83"/>
      <c r="Q8" s="83"/>
      <c r="R8" s="83"/>
      <c r="S8" s="83"/>
      <c r="T8" s="83"/>
      <c r="U8" s="83"/>
      <c r="V8" s="83"/>
      <c r="W8" s="83"/>
      <c r="X8" s="83"/>
      <c r="Y8" s="83"/>
      <c r="Z8" s="83"/>
      <c r="AA8" s="83"/>
      <c r="AB8" s="83"/>
      <c r="AC8" s="83"/>
      <c r="AD8" s="83"/>
      <c r="AE8" s="83"/>
    </row>
    <row r="9" spans="1:37" x14ac:dyDescent="0.25">
      <c r="A9" s="83"/>
      <c r="B9" s="107"/>
      <c r="C9" s="107"/>
      <c r="D9" s="107"/>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row>
    <row r="10" spans="1:37" ht="16.5" x14ac:dyDescent="0.25">
      <c r="A10" s="83"/>
      <c r="B10" s="108"/>
      <c r="C10" s="107"/>
      <c r="D10" s="107"/>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row>
    <row r="11" spans="1:37" x14ac:dyDescent="0.25">
      <c r="A11" s="83"/>
      <c r="B11" s="107"/>
      <c r="C11" s="107"/>
      <c r="D11" s="107"/>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row>
    <row r="12" spans="1:37" x14ac:dyDescent="0.25">
      <c r="A12" s="83"/>
      <c r="B12" s="107"/>
      <c r="C12" s="107"/>
      <c r="D12" s="107"/>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row>
    <row r="13" spans="1:37" x14ac:dyDescent="0.25">
      <c r="A13" s="83"/>
      <c r="B13" s="107"/>
      <c r="C13" s="107"/>
      <c r="D13" s="107"/>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row>
    <row r="14" spans="1:37" x14ac:dyDescent="0.25">
      <c r="A14" s="83"/>
      <c r="B14" s="107"/>
      <c r="C14" s="107"/>
      <c r="D14" s="107"/>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row>
    <row r="15" spans="1:37" x14ac:dyDescent="0.25">
      <c r="A15" s="83"/>
      <c r="B15" s="107"/>
      <c r="C15" s="107"/>
      <c r="D15" s="107"/>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row>
    <row r="16" spans="1:37" x14ac:dyDescent="0.25">
      <c r="A16" s="83"/>
      <c r="B16" s="107"/>
      <c r="C16" s="107"/>
      <c r="D16" s="107"/>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row>
    <row r="17" spans="1:37" x14ac:dyDescent="0.25">
      <c r="A17" s="83"/>
      <c r="B17" s="107"/>
      <c r="C17" s="107"/>
      <c r="D17" s="107"/>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row>
    <row r="18" spans="1:37" x14ac:dyDescent="0.25">
      <c r="A18" s="83"/>
      <c r="B18" s="107"/>
      <c r="C18" s="107"/>
      <c r="D18" s="107"/>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row>
    <row r="19" spans="1:37" x14ac:dyDescent="0.25">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row>
    <row r="20" spans="1:37" x14ac:dyDescent="0.25">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row>
    <row r="21" spans="1:37" x14ac:dyDescent="0.25">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row>
    <row r="22" spans="1:37" x14ac:dyDescent="0.25">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row>
    <row r="23" spans="1:37" x14ac:dyDescent="0.25">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row>
    <row r="24" spans="1:37" x14ac:dyDescent="0.25">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row>
    <row r="25" spans="1:37" x14ac:dyDescent="0.25">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row>
    <row r="26" spans="1:37" x14ac:dyDescent="0.25">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row>
    <row r="27" spans="1:37" x14ac:dyDescent="0.25">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row>
    <row r="28" spans="1:37" x14ac:dyDescent="0.25">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row>
    <row r="29" spans="1:37" x14ac:dyDescent="0.25">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row>
    <row r="30" spans="1:37" x14ac:dyDescent="0.25">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row>
    <row r="31" spans="1:37" x14ac:dyDescent="0.25">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row>
    <row r="32" spans="1:37" x14ac:dyDescent="0.25">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row>
    <row r="33" spans="1:31" x14ac:dyDescent="0.25">
      <c r="A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row>
    <row r="34" spans="1:31" x14ac:dyDescent="0.25">
      <c r="A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row>
    <row r="35" spans="1:31" x14ac:dyDescent="0.25">
      <c r="A35" s="83"/>
    </row>
    <row r="36" spans="1:31" x14ac:dyDescent="0.25">
      <c r="A36" s="83"/>
    </row>
    <row r="37" spans="1:31" x14ac:dyDescent="0.25">
      <c r="A37" s="83"/>
    </row>
    <row r="38" spans="1:31" x14ac:dyDescent="0.25">
      <c r="A38" s="83"/>
    </row>
    <row r="39" spans="1:31" x14ac:dyDescent="0.25">
      <c r="A39" s="83"/>
    </row>
    <row r="40" spans="1:31" x14ac:dyDescent="0.25">
      <c r="A40" s="83"/>
    </row>
    <row r="41" spans="1:31" x14ac:dyDescent="0.25">
      <c r="A41" s="83"/>
    </row>
    <row r="42" spans="1:31" x14ac:dyDescent="0.25">
      <c r="A42" s="83"/>
    </row>
    <row r="43" spans="1:31" x14ac:dyDescent="0.25">
      <c r="A43" s="83"/>
    </row>
    <row r="44" spans="1:31" x14ac:dyDescent="0.25">
      <c r="A44" s="83"/>
    </row>
    <row r="45" spans="1:31" x14ac:dyDescent="0.25">
      <c r="A45" s="83"/>
    </row>
    <row r="46" spans="1:31" x14ac:dyDescent="0.25">
      <c r="A46" s="83"/>
    </row>
    <row r="47" spans="1:31" x14ac:dyDescent="0.25">
      <c r="A47" s="83"/>
    </row>
    <row r="48" spans="1:31" x14ac:dyDescent="0.25">
      <c r="A48" s="83"/>
    </row>
    <row r="49" spans="1:1" x14ac:dyDescent="0.25">
      <c r="A49" s="83"/>
    </row>
    <row r="50" spans="1:1" x14ac:dyDescent="0.25">
      <c r="A50" s="83"/>
    </row>
    <row r="51" spans="1:1" x14ac:dyDescent="0.25">
      <c r="A51" s="83"/>
    </row>
    <row r="52" spans="1:1" x14ac:dyDescent="0.25">
      <c r="A52" s="83"/>
    </row>
    <row r="53" spans="1:1" x14ac:dyDescent="0.25">
      <c r="A53" s="83"/>
    </row>
    <row r="54" spans="1:1" x14ac:dyDescent="0.25">
      <c r="A54" s="83"/>
    </row>
    <row r="55" spans="1:1" x14ac:dyDescent="0.25">
      <c r="A55" s="83"/>
    </row>
  </sheetData>
  <mergeCells count="1">
    <mergeCell ref="B1:D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zoomScale="60" zoomScaleNormal="60" workbookViewId="0">
      <selection activeCell="E4" sqref="D4:E4"/>
    </sheetView>
  </sheetViews>
  <sheetFormatPr baseColWidth="10" defaultColWidth="11.42578125" defaultRowHeight="15" x14ac:dyDescent="0.25"/>
  <cols>
    <col min="1" max="1" width="5.42578125" customWidth="1"/>
    <col min="2" max="2" width="40.42578125" customWidth="1"/>
    <col min="3" max="3" width="69.5703125" customWidth="1"/>
    <col min="4" max="4" width="135" bestFit="1" customWidth="1"/>
    <col min="5" max="5" width="56.140625" customWidth="1"/>
  </cols>
  <sheetData>
    <row r="1" spans="1:21" ht="33.75" x14ac:dyDescent="0.25">
      <c r="A1" s="83"/>
      <c r="B1" s="479" t="s">
        <v>119</v>
      </c>
      <c r="C1" s="479"/>
      <c r="D1" s="479"/>
      <c r="E1" s="83"/>
      <c r="F1" s="83"/>
      <c r="G1" s="83"/>
      <c r="H1" s="83"/>
      <c r="I1" s="83"/>
      <c r="J1" s="83"/>
      <c r="K1" s="83"/>
      <c r="L1" s="83"/>
      <c r="M1" s="83"/>
      <c r="N1" s="83"/>
      <c r="O1" s="83"/>
      <c r="P1" s="83"/>
      <c r="Q1" s="83"/>
      <c r="R1" s="83"/>
      <c r="S1" s="83"/>
      <c r="T1" s="83"/>
      <c r="U1" s="83"/>
    </row>
    <row r="2" spans="1:21" x14ac:dyDescent="0.25">
      <c r="A2" s="83"/>
      <c r="B2" s="83"/>
      <c r="C2" s="83"/>
      <c r="D2" s="83"/>
      <c r="E2" s="83"/>
      <c r="F2" s="83"/>
      <c r="G2" s="83"/>
      <c r="H2" s="83"/>
      <c r="I2" s="83"/>
      <c r="J2" s="83"/>
      <c r="K2" s="83"/>
      <c r="L2" s="83"/>
      <c r="M2" s="83"/>
      <c r="N2" s="83"/>
      <c r="O2" s="83"/>
      <c r="P2" s="83"/>
      <c r="Q2" s="83"/>
      <c r="R2" s="83"/>
      <c r="S2" s="83"/>
      <c r="T2" s="83"/>
      <c r="U2" s="83"/>
    </row>
    <row r="3" spans="1:21" ht="60" x14ac:dyDescent="0.25">
      <c r="A3" s="83"/>
      <c r="B3" s="104"/>
      <c r="C3" s="36" t="s">
        <v>120</v>
      </c>
      <c r="D3" s="36" t="s">
        <v>121</v>
      </c>
      <c r="E3" s="36" t="s">
        <v>284</v>
      </c>
      <c r="F3" s="83"/>
      <c r="G3" s="83"/>
      <c r="H3" s="83"/>
      <c r="I3" s="83"/>
      <c r="J3" s="83"/>
      <c r="K3" s="83"/>
      <c r="L3" s="83"/>
      <c r="M3" s="83"/>
      <c r="N3" s="83"/>
      <c r="O3" s="83"/>
      <c r="P3" s="83"/>
      <c r="Q3" s="83"/>
      <c r="R3" s="83"/>
      <c r="S3" s="83"/>
      <c r="T3" s="83"/>
      <c r="U3" s="83"/>
    </row>
    <row r="4" spans="1:21" ht="33.75" x14ac:dyDescent="0.25">
      <c r="A4" s="103" t="s">
        <v>122</v>
      </c>
      <c r="B4" s="39" t="s">
        <v>123</v>
      </c>
      <c r="C4" s="44" t="s">
        <v>124</v>
      </c>
      <c r="D4" s="37" t="s">
        <v>125</v>
      </c>
      <c r="E4" s="37" t="s">
        <v>285</v>
      </c>
      <c r="F4" s="83"/>
      <c r="G4" s="83"/>
      <c r="H4" s="83"/>
      <c r="I4" s="83"/>
      <c r="J4" s="83"/>
      <c r="K4" s="83"/>
      <c r="L4" s="83"/>
      <c r="M4" s="83"/>
      <c r="N4" s="83"/>
      <c r="O4" s="83"/>
      <c r="P4" s="83"/>
      <c r="Q4" s="83"/>
      <c r="R4" s="83"/>
      <c r="S4" s="83"/>
      <c r="T4" s="83"/>
      <c r="U4" s="83"/>
    </row>
    <row r="5" spans="1:21" ht="67.5" x14ac:dyDescent="0.25">
      <c r="A5" s="103" t="s">
        <v>126</v>
      </c>
      <c r="B5" s="40" t="s">
        <v>127</v>
      </c>
      <c r="C5" s="45" t="s">
        <v>128</v>
      </c>
      <c r="D5" s="38" t="s">
        <v>289</v>
      </c>
      <c r="E5" s="38" t="s">
        <v>286</v>
      </c>
      <c r="F5" s="83"/>
      <c r="G5" s="83"/>
      <c r="H5" s="83"/>
      <c r="I5" s="83"/>
      <c r="J5" s="83"/>
      <c r="K5" s="83"/>
      <c r="L5" s="83"/>
      <c r="M5" s="83"/>
      <c r="N5" s="83"/>
      <c r="O5" s="83"/>
      <c r="P5" s="83"/>
      <c r="Q5" s="83"/>
      <c r="R5" s="83"/>
      <c r="S5" s="83"/>
      <c r="T5" s="83"/>
      <c r="U5" s="83"/>
    </row>
    <row r="6" spans="1:21" ht="67.5" x14ac:dyDescent="0.25">
      <c r="A6" s="103" t="s">
        <v>97</v>
      </c>
      <c r="B6" s="41" t="s">
        <v>130</v>
      </c>
      <c r="C6" s="45" t="s">
        <v>131</v>
      </c>
      <c r="D6" s="38" t="s">
        <v>132</v>
      </c>
      <c r="E6" s="38" t="s">
        <v>287</v>
      </c>
      <c r="F6" s="83"/>
      <c r="G6" s="83"/>
      <c r="H6" s="83"/>
      <c r="I6" s="83"/>
      <c r="J6" s="83"/>
      <c r="K6" s="83"/>
      <c r="L6" s="83"/>
      <c r="M6" s="83"/>
      <c r="N6" s="83"/>
      <c r="O6" s="83"/>
      <c r="P6" s="83"/>
      <c r="Q6" s="83"/>
      <c r="R6" s="83"/>
      <c r="S6" s="83"/>
      <c r="T6" s="83"/>
      <c r="U6" s="83"/>
    </row>
    <row r="7" spans="1:21" ht="101.25" x14ac:dyDescent="0.25">
      <c r="A7" s="103" t="s">
        <v>133</v>
      </c>
      <c r="B7" s="42" t="s">
        <v>134</v>
      </c>
      <c r="C7" s="45" t="s">
        <v>135</v>
      </c>
      <c r="D7" s="38" t="s">
        <v>136</v>
      </c>
      <c r="E7" s="38" t="s">
        <v>288</v>
      </c>
      <c r="F7" s="83"/>
      <c r="G7" s="83"/>
      <c r="H7" s="83"/>
      <c r="I7" s="83"/>
      <c r="J7" s="83"/>
      <c r="K7" s="83"/>
      <c r="L7" s="83"/>
      <c r="M7" s="83"/>
      <c r="N7" s="83"/>
      <c r="O7" s="83"/>
      <c r="P7" s="83"/>
      <c r="Q7" s="83"/>
      <c r="R7" s="83"/>
      <c r="S7" s="83"/>
      <c r="T7" s="83"/>
      <c r="U7" s="83"/>
    </row>
    <row r="8" spans="1:21" ht="67.5" x14ac:dyDescent="0.25">
      <c r="A8" s="103" t="s">
        <v>137</v>
      </c>
      <c r="B8" s="43" t="s">
        <v>138</v>
      </c>
      <c r="C8" s="45" t="s">
        <v>139</v>
      </c>
      <c r="D8" s="38" t="s">
        <v>140</v>
      </c>
      <c r="E8" s="38" t="s">
        <v>290</v>
      </c>
      <c r="F8" s="83"/>
      <c r="G8" s="83"/>
      <c r="H8" s="83"/>
      <c r="I8" s="83"/>
      <c r="J8" s="83"/>
      <c r="K8" s="83"/>
      <c r="L8" s="83"/>
      <c r="M8" s="83"/>
      <c r="N8" s="83"/>
      <c r="O8" s="83"/>
      <c r="P8" s="83"/>
      <c r="Q8" s="83"/>
      <c r="R8" s="83"/>
      <c r="S8" s="83"/>
      <c r="T8" s="83"/>
      <c r="U8" s="83"/>
    </row>
    <row r="9" spans="1:21" ht="20.25" x14ac:dyDescent="0.25">
      <c r="A9" s="103"/>
      <c r="B9" s="103"/>
      <c r="C9" s="105"/>
      <c r="D9" s="105"/>
      <c r="E9" s="83"/>
      <c r="F9" s="83"/>
      <c r="G9" s="83"/>
      <c r="H9" s="83"/>
      <c r="I9" s="83"/>
      <c r="J9" s="83"/>
      <c r="K9" s="83"/>
      <c r="L9" s="83"/>
      <c r="M9" s="83"/>
      <c r="N9" s="83"/>
      <c r="O9" s="83"/>
      <c r="P9" s="83"/>
      <c r="Q9" s="83"/>
      <c r="R9" s="83"/>
      <c r="S9" s="83"/>
      <c r="T9" s="83"/>
      <c r="U9" s="83"/>
    </row>
    <row r="10" spans="1:21" ht="16.5" x14ac:dyDescent="0.25">
      <c r="A10" s="103"/>
      <c r="B10" s="106"/>
      <c r="C10" s="106"/>
      <c r="D10" s="106"/>
      <c r="E10" s="83"/>
      <c r="F10" s="83"/>
      <c r="G10" s="83"/>
      <c r="H10" s="83"/>
      <c r="I10" s="83"/>
      <c r="J10" s="83"/>
      <c r="K10" s="83"/>
      <c r="L10" s="83"/>
      <c r="M10" s="83"/>
      <c r="N10" s="83"/>
      <c r="O10" s="83"/>
      <c r="P10" s="83"/>
      <c r="Q10" s="83"/>
      <c r="R10" s="83"/>
      <c r="S10" s="83"/>
      <c r="T10" s="83"/>
      <c r="U10" s="83"/>
    </row>
    <row r="11" spans="1:21" x14ac:dyDescent="0.25">
      <c r="A11" s="103"/>
      <c r="B11" s="103" t="s">
        <v>141</v>
      </c>
      <c r="C11" s="103" t="s">
        <v>142</v>
      </c>
      <c r="D11" s="103" t="s">
        <v>143</v>
      </c>
      <c r="E11" s="83"/>
      <c r="F11" s="83"/>
      <c r="G11" s="83"/>
      <c r="H11" s="83"/>
      <c r="I11" s="83"/>
      <c r="J11" s="83"/>
      <c r="K11" s="83"/>
      <c r="L11" s="83"/>
      <c r="M11" s="83"/>
      <c r="N11" s="83"/>
      <c r="O11" s="83"/>
      <c r="P11" s="83"/>
      <c r="Q11" s="83"/>
      <c r="R11" s="83"/>
      <c r="S11" s="83"/>
      <c r="T11" s="83"/>
      <c r="U11" s="83"/>
    </row>
    <row r="12" spans="1:21" x14ac:dyDescent="0.25">
      <c r="A12" s="103"/>
      <c r="B12" s="103" t="s">
        <v>144</v>
      </c>
      <c r="C12" s="103" t="s">
        <v>145</v>
      </c>
      <c r="D12" s="103" t="s">
        <v>146</v>
      </c>
      <c r="E12" s="83"/>
      <c r="F12" s="83"/>
      <c r="G12" s="83"/>
      <c r="H12" s="83"/>
      <c r="I12" s="83"/>
      <c r="J12" s="83"/>
      <c r="K12" s="83"/>
      <c r="L12" s="83"/>
      <c r="M12" s="83"/>
      <c r="N12" s="83"/>
      <c r="O12" s="83"/>
      <c r="P12" s="83"/>
      <c r="Q12" s="83"/>
      <c r="R12" s="83"/>
      <c r="S12" s="83"/>
      <c r="T12" s="83"/>
      <c r="U12" s="83"/>
    </row>
    <row r="13" spans="1:21" x14ac:dyDescent="0.25">
      <c r="A13" s="103"/>
      <c r="B13" s="103"/>
      <c r="C13" s="103" t="s">
        <v>147</v>
      </c>
      <c r="D13" s="103" t="s">
        <v>148</v>
      </c>
      <c r="E13" s="83"/>
      <c r="F13" s="83"/>
      <c r="G13" s="83"/>
      <c r="H13" s="83"/>
      <c r="I13" s="83"/>
      <c r="J13" s="83"/>
      <c r="K13" s="83"/>
      <c r="L13" s="83"/>
      <c r="M13" s="83"/>
      <c r="N13" s="83"/>
      <c r="O13" s="83"/>
      <c r="P13" s="83"/>
      <c r="Q13" s="83"/>
      <c r="R13" s="83"/>
      <c r="S13" s="83"/>
      <c r="T13" s="83"/>
      <c r="U13" s="83"/>
    </row>
    <row r="14" spans="1:21" x14ac:dyDescent="0.25">
      <c r="A14" s="103"/>
      <c r="B14" s="103"/>
      <c r="C14" s="103" t="s">
        <v>149</v>
      </c>
      <c r="D14" s="103" t="s">
        <v>150</v>
      </c>
      <c r="E14" s="83"/>
      <c r="F14" s="83"/>
      <c r="G14" s="83"/>
      <c r="H14" s="83"/>
      <c r="I14" s="83"/>
      <c r="J14" s="83"/>
      <c r="K14" s="83"/>
      <c r="L14" s="83"/>
      <c r="M14" s="83"/>
      <c r="N14" s="83"/>
      <c r="O14" s="83"/>
      <c r="P14" s="83"/>
      <c r="Q14" s="83"/>
      <c r="R14" s="83"/>
      <c r="S14" s="83"/>
      <c r="T14" s="83"/>
      <c r="U14" s="83"/>
    </row>
    <row r="15" spans="1:21" x14ac:dyDescent="0.25">
      <c r="A15" s="103"/>
      <c r="B15" s="103"/>
      <c r="C15" s="103" t="s">
        <v>151</v>
      </c>
      <c r="D15" s="103" t="s">
        <v>152</v>
      </c>
      <c r="E15" s="83"/>
      <c r="F15" s="83"/>
      <c r="G15" s="83"/>
      <c r="H15" s="83"/>
      <c r="I15" s="83"/>
      <c r="J15" s="83"/>
      <c r="K15" s="83"/>
      <c r="L15" s="83"/>
      <c r="M15" s="83"/>
      <c r="N15" s="83"/>
      <c r="O15" s="83"/>
      <c r="P15" s="83"/>
      <c r="Q15" s="83"/>
      <c r="R15" s="83"/>
      <c r="S15" s="83"/>
      <c r="T15" s="83"/>
      <c r="U15" s="83"/>
    </row>
    <row r="16" spans="1:21" x14ac:dyDescent="0.25">
      <c r="A16" s="103"/>
      <c r="B16" s="103"/>
      <c r="C16" s="103"/>
      <c r="D16" s="103"/>
      <c r="E16" s="83"/>
      <c r="F16" s="83"/>
      <c r="G16" s="83"/>
      <c r="H16" s="83"/>
      <c r="I16" s="83"/>
      <c r="J16" s="83"/>
      <c r="K16" s="83"/>
      <c r="L16" s="83"/>
      <c r="M16" s="83"/>
      <c r="N16" s="83"/>
      <c r="O16" s="83"/>
    </row>
    <row r="17" spans="1:15" x14ac:dyDescent="0.25">
      <c r="A17" s="103"/>
      <c r="B17" s="103"/>
      <c r="C17" s="103"/>
      <c r="D17" s="103"/>
      <c r="E17" s="83"/>
      <c r="F17" s="83"/>
      <c r="G17" s="83"/>
      <c r="H17" s="83"/>
      <c r="I17" s="83"/>
      <c r="J17" s="83"/>
      <c r="K17" s="83"/>
      <c r="L17" s="83"/>
      <c r="M17" s="83"/>
      <c r="N17" s="83"/>
      <c r="O17" s="83"/>
    </row>
    <row r="18" spans="1:15" x14ac:dyDescent="0.25">
      <c r="A18" s="103"/>
      <c r="B18" s="107"/>
      <c r="C18" s="107"/>
      <c r="D18" s="107"/>
      <c r="E18" s="83"/>
      <c r="F18" s="83"/>
      <c r="G18" s="83"/>
      <c r="H18" s="83"/>
      <c r="I18" s="83"/>
      <c r="J18" s="83"/>
      <c r="K18" s="83"/>
      <c r="L18" s="83"/>
      <c r="M18" s="83"/>
      <c r="N18" s="83"/>
      <c r="O18" s="83"/>
    </row>
    <row r="19" spans="1:15" x14ac:dyDescent="0.25">
      <c r="A19" s="103"/>
      <c r="B19" s="107"/>
      <c r="C19" s="107"/>
      <c r="D19" s="107"/>
      <c r="E19" s="83"/>
      <c r="F19" s="83"/>
      <c r="G19" s="83"/>
      <c r="H19" s="83"/>
      <c r="I19" s="83"/>
      <c r="J19" s="83"/>
      <c r="K19" s="83"/>
      <c r="L19" s="83"/>
      <c r="M19" s="83"/>
      <c r="N19" s="83"/>
      <c r="O19" s="83"/>
    </row>
    <row r="20" spans="1:15" x14ac:dyDescent="0.25">
      <c r="A20" s="103"/>
      <c r="B20" s="107"/>
      <c r="C20" s="107"/>
      <c r="D20" s="107"/>
      <c r="E20" s="83"/>
      <c r="F20" s="83"/>
      <c r="G20" s="83"/>
      <c r="H20" s="83"/>
      <c r="I20" s="83"/>
      <c r="J20" s="83"/>
      <c r="K20" s="83"/>
      <c r="L20" s="83"/>
      <c r="M20" s="83"/>
      <c r="N20" s="83"/>
      <c r="O20" s="83"/>
    </row>
    <row r="21" spans="1:15" x14ac:dyDescent="0.25">
      <c r="A21" s="103"/>
      <c r="B21" s="107"/>
      <c r="C21" s="107"/>
      <c r="D21" s="107"/>
      <c r="E21" s="83"/>
      <c r="F21" s="83"/>
      <c r="G21" s="83"/>
      <c r="H21" s="83"/>
      <c r="I21" s="83"/>
      <c r="J21" s="83"/>
      <c r="K21" s="83"/>
      <c r="L21" s="83"/>
      <c r="M21" s="83"/>
      <c r="N21" s="83"/>
      <c r="O21" s="83"/>
    </row>
    <row r="22" spans="1:15" ht="20.25" x14ac:dyDescent="0.25">
      <c r="A22" s="103"/>
      <c r="B22" s="103"/>
      <c r="C22" s="105"/>
      <c r="D22" s="105"/>
      <c r="E22" s="83"/>
      <c r="F22" s="83"/>
      <c r="G22" s="83"/>
      <c r="H22" s="83"/>
      <c r="I22" s="83"/>
      <c r="J22" s="83"/>
      <c r="K22" s="83"/>
      <c r="L22" s="83"/>
      <c r="M22" s="83"/>
      <c r="N22" s="83"/>
      <c r="O22" s="83"/>
    </row>
    <row r="23" spans="1:15" ht="20.25" x14ac:dyDescent="0.25">
      <c r="A23" s="103"/>
      <c r="B23" s="103"/>
      <c r="C23" s="105"/>
      <c r="D23" s="105"/>
      <c r="E23" s="83"/>
      <c r="F23" s="83"/>
      <c r="G23" s="83"/>
      <c r="H23" s="83"/>
      <c r="I23" s="83"/>
      <c r="J23" s="83"/>
      <c r="K23" s="83"/>
      <c r="L23" s="83"/>
      <c r="M23" s="83"/>
      <c r="N23" s="83"/>
      <c r="O23" s="83"/>
    </row>
    <row r="24" spans="1:15" ht="20.25" x14ac:dyDescent="0.25">
      <c r="A24" s="103"/>
      <c r="B24" s="103"/>
      <c r="C24" s="105"/>
      <c r="D24" s="105"/>
      <c r="E24" s="83"/>
      <c r="F24" s="83"/>
      <c r="G24" s="83"/>
      <c r="H24" s="83"/>
      <c r="I24" s="83"/>
      <c r="J24" s="83"/>
      <c r="K24" s="83"/>
      <c r="L24" s="83"/>
      <c r="M24" s="83"/>
      <c r="N24" s="83"/>
      <c r="O24" s="83"/>
    </row>
    <row r="25" spans="1:15" ht="20.25" x14ac:dyDescent="0.25">
      <c r="A25" s="103"/>
      <c r="B25" s="103"/>
      <c r="C25" s="105"/>
      <c r="D25" s="105"/>
      <c r="E25" s="83"/>
      <c r="F25" s="83"/>
      <c r="G25" s="83"/>
      <c r="H25" s="83"/>
      <c r="I25" s="83"/>
      <c r="J25" s="83"/>
      <c r="K25" s="83"/>
      <c r="L25" s="83"/>
      <c r="M25" s="83"/>
      <c r="N25" s="83"/>
      <c r="O25" s="83"/>
    </row>
    <row r="26" spans="1:15" ht="20.25" x14ac:dyDescent="0.25">
      <c r="A26" s="103"/>
      <c r="B26" s="103"/>
      <c r="C26" s="105"/>
      <c r="D26" s="105"/>
      <c r="E26" s="83"/>
      <c r="F26" s="83"/>
      <c r="G26" s="83"/>
      <c r="H26" s="83"/>
      <c r="I26" s="83"/>
      <c r="J26" s="83"/>
      <c r="K26" s="83"/>
      <c r="L26" s="83"/>
      <c r="M26" s="83"/>
      <c r="N26" s="83"/>
      <c r="O26" s="83"/>
    </row>
    <row r="27" spans="1:15" ht="20.25" x14ac:dyDescent="0.25">
      <c r="A27" s="103"/>
      <c r="B27" s="103"/>
      <c r="C27" s="105"/>
      <c r="D27" s="105"/>
      <c r="E27" s="83"/>
      <c r="F27" s="83"/>
      <c r="G27" s="83"/>
      <c r="H27" s="83"/>
      <c r="I27" s="83"/>
      <c r="J27" s="83"/>
      <c r="K27" s="83"/>
      <c r="L27" s="83"/>
      <c r="M27" s="83"/>
      <c r="N27" s="83"/>
      <c r="O27" s="83"/>
    </row>
    <row r="28" spans="1:15" ht="20.25" x14ac:dyDescent="0.25">
      <c r="A28" s="103"/>
      <c r="B28" s="103"/>
      <c r="C28" s="105"/>
      <c r="D28" s="105"/>
      <c r="E28" s="83"/>
      <c r="F28" s="83"/>
      <c r="G28" s="83"/>
      <c r="H28" s="83"/>
      <c r="I28" s="83"/>
      <c r="J28" s="83"/>
      <c r="K28" s="83"/>
      <c r="L28" s="83"/>
      <c r="M28" s="83"/>
      <c r="N28" s="83"/>
      <c r="O28" s="83"/>
    </row>
    <row r="29" spans="1:15" ht="20.25" x14ac:dyDescent="0.25">
      <c r="A29" s="103"/>
      <c r="B29" s="103"/>
      <c r="C29" s="105"/>
      <c r="D29" s="105"/>
      <c r="E29" s="83"/>
      <c r="F29" s="83"/>
      <c r="G29" s="83"/>
      <c r="H29" s="83"/>
      <c r="I29" s="83"/>
      <c r="J29" s="83"/>
      <c r="K29" s="83"/>
      <c r="L29" s="83"/>
      <c r="M29" s="83"/>
      <c r="N29" s="83"/>
      <c r="O29" s="83"/>
    </row>
    <row r="30" spans="1:15" ht="20.25" x14ac:dyDescent="0.25">
      <c r="A30" s="103"/>
      <c r="B30" s="103"/>
      <c r="C30" s="105"/>
      <c r="D30" s="105"/>
      <c r="E30" s="83"/>
      <c r="F30" s="83"/>
      <c r="G30" s="83"/>
      <c r="H30" s="83"/>
      <c r="I30" s="83"/>
      <c r="J30" s="83"/>
      <c r="K30" s="83"/>
      <c r="L30" s="83"/>
      <c r="M30" s="83"/>
      <c r="N30" s="83"/>
      <c r="O30" s="83"/>
    </row>
    <row r="31" spans="1:15" ht="20.25" x14ac:dyDescent="0.25">
      <c r="A31" s="103"/>
      <c r="B31" s="103"/>
      <c r="C31" s="105"/>
      <c r="D31" s="105"/>
      <c r="E31" s="83"/>
      <c r="F31" s="83"/>
      <c r="G31" s="83"/>
      <c r="H31" s="83"/>
      <c r="I31" s="83"/>
      <c r="J31" s="83"/>
      <c r="K31" s="83"/>
      <c r="L31" s="83"/>
      <c r="M31" s="83"/>
      <c r="N31" s="83"/>
      <c r="O31" s="83"/>
    </row>
    <row r="32" spans="1:15" ht="20.25" x14ac:dyDescent="0.25">
      <c r="A32" s="103"/>
      <c r="B32" s="103"/>
      <c r="C32" s="105"/>
      <c r="D32" s="105"/>
      <c r="E32" s="83"/>
      <c r="F32" s="83"/>
      <c r="G32" s="83"/>
      <c r="H32" s="83"/>
      <c r="I32" s="83"/>
      <c r="J32" s="83"/>
      <c r="K32" s="83"/>
      <c r="L32" s="83"/>
      <c r="M32" s="83"/>
      <c r="N32" s="83"/>
      <c r="O32" s="83"/>
    </row>
    <row r="33" spans="1:15" ht="20.25" x14ac:dyDescent="0.25">
      <c r="A33" s="103"/>
      <c r="B33" s="103"/>
      <c r="C33" s="105"/>
      <c r="D33" s="105"/>
      <c r="E33" s="83"/>
      <c r="F33" s="83"/>
      <c r="G33" s="83"/>
      <c r="H33" s="83"/>
      <c r="I33" s="83"/>
      <c r="J33" s="83"/>
      <c r="K33" s="83"/>
      <c r="L33" s="83"/>
      <c r="M33" s="83"/>
      <c r="N33" s="83"/>
      <c r="O33" s="83"/>
    </row>
    <row r="34" spans="1:15" ht="20.25" x14ac:dyDescent="0.25">
      <c r="A34" s="103"/>
      <c r="B34" s="103"/>
      <c r="C34" s="105"/>
      <c r="D34" s="105"/>
      <c r="E34" s="83"/>
      <c r="F34" s="83"/>
      <c r="G34" s="83"/>
      <c r="H34" s="83"/>
      <c r="I34" s="83"/>
      <c r="J34" s="83"/>
      <c r="K34" s="83"/>
      <c r="L34" s="83"/>
      <c r="M34" s="83"/>
      <c r="N34" s="83"/>
      <c r="O34" s="83"/>
    </row>
    <row r="35" spans="1:15" ht="20.25" x14ac:dyDescent="0.25">
      <c r="A35" s="103"/>
      <c r="B35" s="103"/>
      <c r="C35" s="105"/>
      <c r="D35" s="105"/>
      <c r="E35" s="83"/>
      <c r="F35" s="83"/>
      <c r="G35" s="83"/>
      <c r="H35" s="83"/>
      <c r="I35" s="83"/>
      <c r="J35" s="83"/>
      <c r="K35" s="83"/>
      <c r="L35" s="83"/>
      <c r="M35" s="83"/>
      <c r="N35" s="83"/>
      <c r="O35" s="83"/>
    </row>
    <row r="36" spans="1:15" ht="20.25" x14ac:dyDescent="0.25">
      <c r="A36" s="103"/>
      <c r="B36" s="103"/>
      <c r="C36" s="105"/>
      <c r="D36" s="105"/>
      <c r="E36" s="83"/>
      <c r="F36" s="83"/>
      <c r="G36" s="83"/>
      <c r="H36" s="83"/>
      <c r="I36" s="83"/>
      <c r="J36" s="83"/>
      <c r="K36" s="83"/>
      <c r="L36" s="83"/>
      <c r="M36" s="83"/>
      <c r="N36" s="83"/>
      <c r="O36" s="83"/>
    </row>
    <row r="37" spans="1:15" ht="20.25" x14ac:dyDescent="0.25">
      <c r="A37" s="103"/>
      <c r="B37" s="103"/>
      <c r="C37" s="105"/>
      <c r="D37" s="105"/>
      <c r="E37" s="83"/>
      <c r="F37" s="83"/>
      <c r="G37" s="83"/>
      <c r="H37" s="83"/>
      <c r="I37" s="83"/>
      <c r="J37" s="83"/>
      <c r="K37" s="83"/>
      <c r="L37" s="83"/>
      <c r="M37" s="83"/>
      <c r="N37" s="83"/>
      <c r="O37" s="83"/>
    </row>
    <row r="38" spans="1:15" ht="20.25" x14ac:dyDescent="0.25">
      <c r="A38" s="103"/>
      <c r="B38" s="103"/>
      <c r="C38" s="105"/>
      <c r="D38" s="105"/>
      <c r="E38" s="83"/>
      <c r="F38" s="83"/>
      <c r="G38" s="83"/>
      <c r="H38" s="83"/>
      <c r="I38" s="83"/>
      <c r="J38" s="83"/>
      <c r="K38" s="83"/>
      <c r="L38" s="83"/>
      <c r="M38" s="83"/>
      <c r="N38" s="83"/>
      <c r="O38" s="83"/>
    </row>
    <row r="39" spans="1:15" ht="20.25" x14ac:dyDescent="0.25">
      <c r="A39" s="103"/>
      <c r="B39" s="103"/>
      <c r="C39" s="105"/>
      <c r="D39" s="105"/>
      <c r="E39" s="83"/>
      <c r="F39" s="83"/>
      <c r="G39" s="83"/>
      <c r="H39" s="83"/>
      <c r="I39" s="83"/>
      <c r="J39" s="83"/>
      <c r="K39" s="83"/>
      <c r="L39" s="83"/>
      <c r="M39" s="83"/>
      <c r="N39" s="83"/>
      <c r="O39" s="83"/>
    </row>
    <row r="40" spans="1:15" ht="20.25" x14ac:dyDescent="0.25">
      <c r="A40" s="103"/>
      <c r="B40" s="103"/>
      <c r="C40" s="105"/>
      <c r="D40" s="105"/>
      <c r="E40" s="83"/>
      <c r="F40" s="83"/>
      <c r="G40" s="83"/>
      <c r="H40" s="83"/>
      <c r="I40" s="83"/>
      <c r="J40" s="83"/>
      <c r="K40" s="83"/>
      <c r="L40" s="83"/>
      <c r="M40" s="83"/>
      <c r="N40" s="83"/>
      <c r="O40" s="83"/>
    </row>
    <row r="41" spans="1:15" ht="20.25" x14ac:dyDescent="0.25">
      <c r="A41" s="103"/>
      <c r="B41" s="103"/>
      <c r="C41" s="105"/>
      <c r="D41" s="105"/>
      <c r="E41" s="83"/>
      <c r="F41" s="83"/>
      <c r="G41" s="83"/>
      <c r="H41" s="83"/>
      <c r="I41" s="83"/>
      <c r="J41" s="83"/>
      <c r="K41" s="83"/>
      <c r="L41" s="83"/>
      <c r="M41" s="83"/>
      <c r="N41" s="83"/>
      <c r="O41" s="83"/>
    </row>
    <row r="42" spans="1:15" ht="20.25" x14ac:dyDescent="0.25">
      <c r="A42" s="103"/>
      <c r="B42" s="103"/>
      <c r="C42" s="105"/>
      <c r="D42" s="105"/>
      <c r="E42" s="83"/>
      <c r="F42" s="83"/>
      <c r="G42" s="83"/>
      <c r="H42" s="83"/>
      <c r="I42" s="83"/>
      <c r="J42" s="83"/>
      <c r="K42" s="83"/>
      <c r="L42" s="83"/>
      <c r="M42" s="83"/>
      <c r="N42" s="83"/>
      <c r="O42" s="83"/>
    </row>
    <row r="43" spans="1:15" ht="20.25" x14ac:dyDescent="0.25">
      <c r="A43" s="103"/>
      <c r="B43" s="103"/>
      <c r="C43" s="105"/>
      <c r="D43" s="105"/>
      <c r="E43" s="83"/>
      <c r="F43" s="83"/>
      <c r="G43" s="83"/>
      <c r="H43" s="83"/>
      <c r="I43" s="83"/>
      <c r="J43" s="83"/>
      <c r="K43" s="83"/>
      <c r="L43" s="83"/>
      <c r="M43" s="83"/>
      <c r="N43" s="83"/>
      <c r="O43" s="83"/>
    </row>
    <row r="44" spans="1:15" ht="20.25" x14ac:dyDescent="0.25">
      <c r="A44" s="103"/>
      <c r="B44" s="103"/>
      <c r="C44" s="105"/>
      <c r="D44" s="105"/>
      <c r="E44" s="83"/>
      <c r="F44" s="83"/>
      <c r="G44" s="83"/>
      <c r="H44" s="83"/>
      <c r="I44" s="83"/>
      <c r="J44" s="83"/>
      <c r="K44" s="83"/>
      <c r="L44" s="83"/>
      <c r="M44" s="83"/>
      <c r="N44" s="83"/>
      <c r="O44" s="83"/>
    </row>
    <row r="45" spans="1:15" ht="20.25" x14ac:dyDescent="0.25">
      <c r="A45" s="103"/>
      <c r="B45" s="103"/>
      <c r="C45" s="105"/>
      <c r="D45" s="105"/>
      <c r="E45" s="83"/>
      <c r="F45" s="83"/>
      <c r="G45" s="83"/>
      <c r="H45" s="83"/>
      <c r="I45" s="83"/>
      <c r="J45" s="83"/>
      <c r="K45" s="83"/>
      <c r="L45" s="83"/>
      <c r="M45" s="83"/>
      <c r="N45" s="83"/>
      <c r="O45" s="83"/>
    </row>
    <row r="46" spans="1:15" ht="20.25" x14ac:dyDescent="0.25">
      <c r="A46" s="103"/>
      <c r="B46" s="103"/>
      <c r="C46" s="105"/>
      <c r="D46" s="105"/>
      <c r="E46" s="83"/>
      <c r="F46" s="83"/>
      <c r="G46" s="83"/>
      <c r="H46" s="83"/>
      <c r="I46" s="83"/>
      <c r="J46" s="83"/>
      <c r="K46" s="83"/>
      <c r="L46" s="83"/>
      <c r="M46" s="83"/>
      <c r="N46" s="83"/>
      <c r="O46" s="83"/>
    </row>
    <row r="47" spans="1:15" ht="20.25" x14ac:dyDescent="0.25">
      <c r="A47" s="103"/>
      <c r="B47" s="103"/>
      <c r="C47" s="105"/>
      <c r="D47" s="105"/>
      <c r="E47" s="83"/>
      <c r="F47" s="83"/>
      <c r="G47" s="83"/>
      <c r="H47" s="83"/>
      <c r="I47" s="83"/>
      <c r="J47" s="83"/>
      <c r="K47" s="83"/>
      <c r="L47" s="83"/>
      <c r="M47" s="83"/>
      <c r="N47" s="83"/>
      <c r="O47" s="83"/>
    </row>
    <row r="48" spans="1:15" ht="20.25" x14ac:dyDescent="0.25">
      <c r="A48" s="103"/>
      <c r="B48" s="103"/>
      <c r="C48" s="105"/>
      <c r="D48" s="105"/>
      <c r="E48" s="83"/>
      <c r="F48" s="83"/>
      <c r="G48" s="83"/>
      <c r="H48" s="83"/>
      <c r="I48" s="83"/>
      <c r="J48" s="83"/>
      <c r="K48" s="83"/>
      <c r="L48" s="83"/>
      <c r="M48" s="83"/>
      <c r="N48" s="83"/>
      <c r="O48" s="83"/>
    </row>
    <row r="49" spans="1:15" ht="20.25" x14ac:dyDescent="0.25">
      <c r="A49" s="103"/>
      <c r="B49" s="103"/>
      <c r="C49" s="105"/>
      <c r="D49" s="105"/>
      <c r="E49" s="83"/>
      <c r="F49" s="83"/>
      <c r="G49" s="83"/>
      <c r="H49" s="83"/>
      <c r="I49" s="83"/>
      <c r="J49" s="83"/>
      <c r="K49" s="83"/>
      <c r="L49" s="83"/>
      <c r="M49" s="83"/>
      <c r="N49" s="83"/>
      <c r="O49" s="83"/>
    </row>
    <row r="50" spans="1:15" ht="20.25" x14ac:dyDescent="0.25">
      <c r="A50" s="103"/>
      <c r="B50" s="103"/>
      <c r="C50" s="105"/>
      <c r="D50" s="105"/>
      <c r="E50" s="83"/>
      <c r="F50" s="83"/>
      <c r="G50" s="83"/>
      <c r="H50" s="83"/>
      <c r="I50" s="83"/>
      <c r="J50" s="83"/>
      <c r="K50" s="83"/>
      <c r="L50" s="83"/>
      <c r="M50" s="83"/>
      <c r="N50" s="83"/>
      <c r="O50" s="83"/>
    </row>
    <row r="51" spans="1:15" ht="20.25" x14ac:dyDescent="0.25">
      <c r="A51" s="103"/>
      <c r="B51" s="103"/>
      <c r="C51" s="105"/>
      <c r="D51" s="105"/>
      <c r="E51" s="83"/>
      <c r="F51" s="83"/>
      <c r="G51" s="83"/>
      <c r="H51" s="83"/>
      <c r="I51" s="83"/>
      <c r="J51" s="83"/>
      <c r="K51" s="83"/>
      <c r="L51" s="83"/>
      <c r="M51" s="83"/>
      <c r="N51" s="83"/>
      <c r="O51" s="83"/>
    </row>
    <row r="52" spans="1:15" ht="20.25" x14ac:dyDescent="0.25">
      <c r="A52" s="103"/>
      <c r="B52" s="23"/>
      <c r="C52" s="34"/>
      <c r="D52" s="34"/>
    </row>
    <row r="53" spans="1:15" ht="20.25" x14ac:dyDescent="0.25">
      <c r="A53" s="103"/>
      <c r="B53" s="23"/>
      <c r="C53" s="34"/>
      <c r="D53" s="34"/>
    </row>
    <row r="54" spans="1:15" ht="20.25" x14ac:dyDescent="0.25">
      <c r="A54" s="103"/>
      <c r="B54" s="23"/>
      <c r="C54" s="34"/>
      <c r="D54" s="34"/>
    </row>
    <row r="55" spans="1:15" ht="20.25" x14ac:dyDescent="0.25">
      <c r="A55" s="103"/>
      <c r="B55" s="23"/>
      <c r="C55" s="34"/>
      <c r="D55" s="34"/>
    </row>
    <row r="56" spans="1:15" ht="20.25" x14ac:dyDescent="0.25">
      <c r="A56" s="103"/>
      <c r="B56" s="23"/>
      <c r="C56" s="34"/>
      <c r="D56" s="34"/>
    </row>
    <row r="57" spans="1:15" ht="20.25" x14ac:dyDescent="0.25">
      <c r="A57" s="103"/>
      <c r="B57" s="23"/>
      <c r="C57" s="34"/>
      <c r="D57" s="34"/>
    </row>
    <row r="58" spans="1:15" ht="20.25" x14ac:dyDescent="0.25">
      <c r="A58" s="103"/>
      <c r="B58" s="23"/>
      <c r="C58" s="34"/>
      <c r="D58" s="34"/>
    </row>
    <row r="59" spans="1:15" ht="20.25" x14ac:dyDescent="0.25">
      <c r="A59" s="103"/>
      <c r="B59" s="23"/>
      <c r="C59" s="34"/>
      <c r="D59" s="34"/>
    </row>
    <row r="60" spans="1:15" ht="20.25" x14ac:dyDescent="0.25">
      <c r="A60" s="103"/>
      <c r="B60" s="23"/>
      <c r="C60" s="34"/>
      <c r="D60" s="34"/>
    </row>
    <row r="61" spans="1:15" ht="20.25" x14ac:dyDescent="0.25">
      <c r="A61" s="103"/>
      <c r="B61" s="23"/>
      <c r="C61" s="34"/>
      <c r="D61" s="34"/>
    </row>
    <row r="62" spans="1:15" ht="20.25" x14ac:dyDescent="0.25">
      <c r="A62" s="103"/>
      <c r="B62" s="23"/>
      <c r="C62" s="34"/>
      <c r="D62" s="34"/>
    </row>
    <row r="63" spans="1:15" ht="20.25" x14ac:dyDescent="0.25">
      <c r="A63" s="103"/>
      <c r="B63" s="23"/>
      <c r="C63" s="34"/>
      <c r="D63" s="34"/>
    </row>
    <row r="64" spans="1:15" ht="20.25" x14ac:dyDescent="0.25">
      <c r="A64" s="103"/>
      <c r="B64" s="23"/>
      <c r="C64" s="34"/>
      <c r="D64" s="34"/>
    </row>
    <row r="65" spans="1:4" ht="20.25" x14ac:dyDescent="0.25">
      <c r="A65" s="103"/>
      <c r="B65" s="23"/>
      <c r="C65" s="34"/>
      <c r="D65" s="34"/>
    </row>
    <row r="66" spans="1:4" ht="20.25" x14ac:dyDescent="0.25">
      <c r="A66" s="103"/>
      <c r="B66" s="23"/>
      <c r="C66" s="34"/>
      <c r="D66" s="34"/>
    </row>
    <row r="67" spans="1:4" ht="20.25" x14ac:dyDescent="0.25">
      <c r="A67" s="103"/>
      <c r="B67" s="23"/>
      <c r="C67" s="34"/>
      <c r="D67" s="34"/>
    </row>
    <row r="68" spans="1:4" ht="20.25" x14ac:dyDescent="0.25">
      <c r="A68" s="103"/>
      <c r="B68" s="23"/>
      <c r="C68" s="34"/>
      <c r="D68" s="34"/>
    </row>
    <row r="69" spans="1:4" ht="20.25" x14ac:dyDescent="0.25">
      <c r="A69" s="103"/>
      <c r="B69" s="23"/>
      <c r="C69" s="34"/>
      <c r="D69" s="34"/>
    </row>
    <row r="70" spans="1:4" ht="20.25" x14ac:dyDescent="0.25">
      <c r="A70" s="103"/>
      <c r="B70" s="23"/>
      <c r="C70" s="34"/>
      <c r="D70" s="34"/>
    </row>
    <row r="71" spans="1:4" ht="20.25" x14ac:dyDescent="0.25">
      <c r="A71" s="103"/>
      <c r="B71" s="23"/>
      <c r="C71" s="34"/>
      <c r="D71" s="34"/>
    </row>
    <row r="72" spans="1:4" ht="20.25" x14ac:dyDescent="0.25">
      <c r="A72" s="103"/>
      <c r="B72" s="23"/>
      <c r="C72" s="34"/>
      <c r="D72" s="34"/>
    </row>
    <row r="73" spans="1:4" ht="20.25" x14ac:dyDescent="0.25">
      <c r="A73" s="103"/>
      <c r="B73" s="23"/>
      <c r="C73" s="34"/>
      <c r="D73" s="34"/>
    </row>
    <row r="74" spans="1:4" ht="20.25" x14ac:dyDescent="0.25">
      <c r="A74" s="103"/>
      <c r="B74" s="23"/>
      <c r="C74" s="34"/>
      <c r="D74" s="34"/>
    </row>
    <row r="75" spans="1:4" ht="20.25" x14ac:dyDescent="0.25">
      <c r="A75" s="103"/>
      <c r="B75" s="23"/>
      <c r="C75" s="34"/>
      <c r="D75" s="34"/>
    </row>
    <row r="76" spans="1:4" ht="20.25" x14ac:dyDescent="0.25">
      <c r="A76" s="103"/>
      <c r="B76" s="23"/>
      <c r="C76" s="34"/>
      <c r="D76" s="34"/>
    </row>
    <row r="77" spans="1:4" ht="20.25" x14ac:dyDescent="0.25">
      <c r="A77" s="103"/>
      <c r="B77" s="23"/>
      <c r="C77" s="34"/>
      <c r="D77" s="34"/>
    </row>
    <row r="78" spans="1:4" ht="20.25" x14ac:dyDescent="0.25">
      <c r="A78" s="103"/>
      <c r="B78" s="23"/>
      <c r="C78" s="34"/>
      <c r="D78" s="34"/>
    </row>
    <row r="79" spans="1:4" ht="20.25" x14ac:dyDescent="0.25">
      <c r="A79" s="103"/>
      <c r="B79" s="23"/>
      <c r="C79" s="34"/>
      <c r="D79" s="34"/>
    </row>
    <row r="80" spans="1:4" ht="20.25" x14ac:dyDescent="0.25">
      <c r="A80" s="103"/>
      <c r="B80" s="23"/>
      <c r="C80" s="34"/>
      <c r="D80" s="34"/>
    </row>
    <row r="81" spans="1:4" ht="20.25" x14ac:dyDescent="0.25">
      <c r="A81" s="103"/>
      <c r="B81" s="23"/>
      <c r="C81" s="34"/>
      <c r="D81" s="34"/>
    </row>
    <row r="82" spans="1:4" ht="20.25" x14ac:dyDescent="0.25">
      <c r="A82" s="103"/>
      <c r="B82" s="23"/>
      <c r="C82" s="34"/>
      <c r="D82" s="34"/>
    </row>
    <row r="83" spans="1:4" ht="20.25" x14ac:dyDescent="0.25">
      <c r="A83" s="103"/>
      <c r="B83" s="23"/>
      <c r="C83" s="34"/>
      <c r="D83" s="34"/>
    </row>
    <row r="84" spans="1:4" ht="20.25" x14ac:dyDescent="0.25">
      <c r="A84" s="103"/>
      <c r="B84" s="23"/>
      <c r="C84" s="34"/>
      <c r="D84" s="34"/>
    </row>
    <row r="85" spans="1:4" ht="20.25" x14ac:dyDescent="0.25">
      <c r="A85" s="103"/>
      <c r="B85" s="23"/>
      <c r="C85" s="34"/>
      <c r="D85" s="34"/>
    </row>
    <row r="86" spans="1:4" ht="20.25" x14ac:dyDescent="0.25">
      <c r="A86" s="103"/>
      <c r="B86" s="23"/>
      <c r="C86" s="34"/>
      <c r="D86" s="34"/>
    </row>
    <row r="87" spans="1:4" ht="20.25" x14ac:dyDescent="0.25">
      <c r="A87" s="103"/>
      <c r="B87" s="23"/>
      <c r="C87" s="34"/>
      <c r="D87" s="34"/>
    </row>
    <row r="88" spans="1:4" ht="20.25" x14ac:dyDescent="0.25">
      <c r="A88" s="103"/>
      <c r="B88" s="23"/>
      <c r="C88" s="34"/>
      <c r="D88" s="34"/>
    </row>
    <row r="89" spans="1:4" ht="20.25" x14ac:dyDescent="0.25">
      <c r="A89" s="103"/>
      <c r="B89" s="23"/>
      <c r="C89" s="34"/>
      <c r="D89" s="34"/>
    </row>
    <row r="90" spans="1:4" ht="20.25" x14ac:dyDescent="0.25">
      <c r="A90" s="103"/>
      <c r="B90" s="23"/>
      <c r="C90" s="34"/>
      <c r="D90" s="34"/>
    </row>
    <row r="91" spans="1:4" ht="20.25" x14ac:dyDescent="0.25">
      <c r="A91" s="103"/>
      <c r="B91" s="23"/>
      <c r="C91" s="34"/>
      <c r="D91" s="34"/>
    </row>
    <row r="92" spans="1:4" ht="20.25" x14ac:dyDescent="0.25">
      <c r="A92" s="103"/>
      <c r="B92" s="23"/>
      <c r="C92" s="34"/>
      <c r="D92" s="34"/>
    </row>
    <row r="93" spans="1:4" ht="20.25" x14ac:dyDescent="0.25">
      <c r="A93" s="103"/>
      <c r="B93" s="23"/>
      <c r="C93" s="34"/>
      <c r="D93" s="34"/>
    </row>
    <row r="94" spans="1:4" ht="20.25" x14ac:dyDescent="0.25">
      <c r="A94" s="103"/>
      <c r="B94" s="23"/>
      <c r="C94" s="34"/>
      <c r="D94" s="34"/>
    </row>
    <row r="95" spans="1:4" ht="20.25" x14ac:dyDescent="0.25">
      <c r="A95" s="103"/>
      <c r="B95" s="23"/>
      <c r="C95" s="34"/>
      <c r="D95" s="34"/>
    </row>
    <row r="96" spans="1:4" ht="20.25" x14ac:dyDescent="0.25">
      <c r="A96" s="103"/>
      <c r="B96" s="23"/>
      <c r="C96" s="34"/>
      <c r="D96" s="34"/>
    </row>
    <row r="97" spans="1:4" ht="20.25" x14ac:dyDescent="0.25">
      <c r="A97" s="103"/>
      <c r="B97" s="23"/>
      <c r="C97" s="34"/>
      <c r="D97" s="34"/>
    </row>
    <row r="98" spans="1:4" ht="20.25" x14ac:dyDescent="0.25">
      <c r="A98" s="103"/>
      <c r="B98" s="23"/>
      <c r="C98" s="34"/>
      <c r="D98" s="34"/>
    </row>
    <row r="99" spans="1:4" ht="20.25" x14ac:dyDescent="0.25">
      <c r="A99" s="103"/>
      <c r="B99" s="23"/>
      <c r="C99" s="34"/>
      <c r="D99" s="34"/>
    </row>
    <row r="100" spans="1:4" ht="20.25" x14ac:dyDescent="0.25">
      <c r="A100" s="103"/>
      <c r="B100" s="23"/>
      <c r="C100" s="34"/>
      <c r="D100" s="34"/>
    </row>
    <row r="101" spans="1:4" ht="20.25" x14ac:dyDescent="0.25">
      <c r="A101" s="103"/>
      <c r="B101" s="23"/>
      <c r="C101" s="34"/>
      <c r="D101" s="34"/>
    </row>
    <row r="102" spans="1:4" ht="20.25" x14ac:dyDescent="0.25">
      <c r="A102" s="103"/>
      <c r="B102" s="23"/>
      <c r="C102" s="34"/>
      <c r="D102" s="34"/>
    </row>
    <row r="103" spans="1:4" ht="20.25" x14ac:dyDescent="0.25">
      <c r="A103" s="103"/>
      <c r="B103" s="23"/>
      <c r="C103" s="34"/>
      <c r="D103" s="34"/>
    </row>
    <row r="104" spans="1:4" ht="20.25" x14ac:dyDescent="0.25">
      <c r="A104" s="103"/>
      <c r="B104" s="23"/>
      <c r="C104" s="34"/>
      <c r="D104" s="34"/>
    </row>
    <row r="105" spans="1:4" ht="20.25" x14ac:dyDescent="0.25">
      <c r="A105" s="103"/>
      <c r="B105" s="23"/>
      <c r="C105" s="34"/>
      <c r="D105" s="34"/>
    </row>
    <row r="106" spans="1:4" ht="20.25" x14ac:dyDescent="0.25">
      <c r="A106" s="103"/>
      <c r="B106" s="23"/>
      <c r="C106" s="34"/>
      <c r="D106" s="34"/>
    </row>
    <row r="107" spans="1:4" ht="20.25" x14ac:dyDescent="0.25">
      <c r="A107" s="103"/>
      <c r="B107" s="23"/>
      <c r="C107" s="34"/>
      <c r="D107" s="34"/>
    </row>
    <row r="108" spans="1:4" ht="20.25" x14ac:dyDescent="0.25">
      <c r="A108" s="103"/>
      <c r="B108" s="23"/>
      <c r="C108" s="34"/>
      <c r="D108" s="34"/>
    </row>
    <row r="109" spans="1:4" ht="20.25" x14ac:dyDescent="0.25">
      <c r="A109" s="103"/>
      <c r="B109" s="23"/>
      <c r="C109" s="34"/>
      <c r="D109" s="34"/>
    </row>
    <row r="110" spans="1:4" ht="20.25" x14ac:dyDescent="0.25">
      <c r="A110" s="103"/>
      <c r="B110" s="23"/>
      <c r="C110" s="34"/>
      <c r="D110" s="34"/>
    </row>
    <row r="111" spans="1:4" ht="20.25" x14ac:dyDescent="0.25">
      <c r="A111" s="103"/>
      <c r="B111" s="23"/>
      <c r="C111" s="34"/>
      <c r="D111" s="34"/>
    </row>
    <row r="112" spans="1:4" ht="20.25" x14ac:dyDescent="0.25">
      <c r="A112" s="103"/>
      <c r="B112" s="23"/>
      <c r="C112" s="34"/>
      <c r="D112" s="34"/>
    </row>
    <row r="113" spans="1:4" ht="20.25" x14ac:dyDescent="0.25">
      <c r="A113" s="103"/>
      <c r="B113" s="23"/>
      <c r="C113" s="34"/>
      <c r="D113" s="34"/>
    </row>
    <row r="114" spans="1:4" ht="20.25" x14ac:dyDescent="0.25">
      <c r="A114" s="103"/>
      <c r="B114" s="23"/>
      <c r="C114" s="34"/>
      <c r="D114" s="34"/>
    </row>
    <row r="115" spans="1:4" ht="20.25" x14ac:dyDescent="0.25">
      <c r="A115" s="103"/>
      <c r="B115" s="23"/>
      <c r="C115" s="34"/>
      <c r="D115" s="34"/>
    </row>
    <row r="116" spans="1:4" ht="20.25" x14ac:dyDescent="0.25">
      <c r="A116" s="103"/>
      <c r="B116" s="23"/>
      <c r="C116" s="34"/>
      <c r="D116" s="34"/>
    </row>
    <row r="117" spans="1:4" ht="20.25" x14ac:dyDescent="0.25">
      <c r="A117" s="103"/>
      <c r="B117" s="23"/>
      <c r="C117" s="34"/>
      <c r="D117" s="34"/>
    </row>
    <row r="118" spans="1:4" ht="20.25" x14ac:dyDescent="0.25">
      <c r="A118" s="103"/>
      <c r="B118" s="23"/>
      <c r="C118" s="34"/>
      <c r="D118" s="34"/>
    </row>
    <row r="119" spans="1:4" ht="20.25" x14ac:dyDescent="0.25">
      <c r="A119" s="103"/>
      <c r="B119" s="23"/>
      <c r="C119" s="34"/>
      <c r="D119" s="34"/>
    </row>
    <row r="120" spans="1:4" ht="20.25" x14ac:dyDescent="0.25">
      <c r="A120" s="103"/>
      <c r="B120" s="23"/>
      <c r="C120" s="34"/>
      <c r="D120" s="34"/>
    </row>
    <row r="121" spans="1:4" ht="20.25" x14ac:dyDescent="0.25">
      <c r="A121" s="103"/>
      <c r="B121" s="23"/>
      <c r="C121" s="34"/>
      <c r="D121" s="34"/>
    </row>
    <row r="122" spans="1:4" ht="20.25" x14ac:dyDescent="0.25">
      <c r="A122" s="103"/>
      <c r="B122" s="23"/>
      <c r="C122" s="34"/>
      <c r="D122" s="34"/>
    </row>
    <row r="123" spans="1:4" ht="20.25" x14ac:dyDescent="0.25">
      <c r="A123" s="103"/>
      <c r="B123" s="23"/>
      <c r="C123" s="34"/>
      <c r="D123" s="34"/>
    </row>
    <row r="124" spans="1:4" ht="20.25" x14ac:dyDescent="0.25">
      <c r="A124" s="103"/>
      <c r="B124" s="23"/>
      <c r="C124" s="34"/>
      <c r="D124" s="34"/>
    </row>
    <row r="125" spans="1:4" ht="20.25" x14ac:dyDescent="0.25">
      <c r="A125" s="103"/>
      <c r="B125" s="23"/>
      <c r="C125" s="34"/>
      <c r="D125" s="34"/>
    </row>
    <row r="126" spans="1:4" ht="20.25" x14ac:dyDescent="0.25">
      <c r="A126" s="103"/>
      <c r="B126" s="23"/>
      <c r="C126" s="34"/>
      <c r="D126" s="34"/>
    </row>
    <row r="127" spans="1:4" ht="20.25" x14ac:dyDescent="0.25">
      <c r="A127" s="103"/>
      <c r="B127" s="23"/>
      <c r="C127" s="34"/>
      <c r="D127" s="34"/>
    </row>
    <row r="128" spans="1:4" ht="20.25" x14ac:dyDescent="0.25">
      <c r="A128" s="103"/>
      <c r="B128" s="23"/>
      <c r="C128" s="34"/>
      <c r="D128" s="34"/>
    </row>
    <row r="129" spans="1:4" ht="20.25" x14ac:dyDescent="0.25">
      <c r="A129" s="103"/>
      <c r="B129" s="23"/>
      <c r="C129" s="34"/>
      <c r="D129" s="34"/>
    </row>
    <row r="130" spans="1:4" ht="20.25" x14ac:dyDescent="0.25">
      <c r="A130" s="103"/>
      <c r="B130" s="23"/>
      <c r="C130" s="34"/>
      <c r="D130" s="34"/>
    </row>
    <row r="131" spans="1:4" ht="20.25" x14ac:dyDescent="0.25">
      <c r="A131" s="103"/>
      <c r="B131" s="23"/>
      <c r="C131" s="34"/>
      <c r="D131" s="34"/>
    </row>
    <row r="132" spans="1:4" ht="20.25" x14ac:dyDescent="0.25">
      <c r="A132" s="103"/>
      <c r="B132" s="23"/>
      <c r="C132" s="34"/>
      <c r="D132" s="34"/>
    </row>
    <row r="133" spans="1:4" ht="20.25" x14ac:dyDescent="0.25">
      <c r="A133" s="103"/>
      <c r="B133" s="23"/>
      <c r="C133" s="34"/>
      <c r="D133" s="34"/>
    </row>
    <row r="134" spans="1:4" ht="20.25" x14ac:dyDescent="0.25">
      <c r="A134" s="103"/>
      <c r="B134" s="23"/>
      <c r="C134" s="34"/>
      <c r="D134" s="34"/>
    </row>
    <row r="135" spans="1:4" ht="20.25" x14ac:dyDescent="0.25">
      <c r="A135" s="103"/>
      <c r="B135" s="23"/>
      <c r="C135" s="34"/>
      <c r="D135" s="34"/>
    </row>
    <row r="136" spans="1:4" ht="20.25" x14ac:dyDescent="0.25">
      <c r="A136" s="103"/>
      <c r="B136" s="23"/>
      <c r="C136" s="34"/>
      <c r="D136" s="34"/>
    </row>
    <row r="137" spans="1:4" ht="20.25" x14ac:dyDescent="0.25">
      <c r="A137" s="103"/>
      <c r="B137" s="23"/>
      <c r="C137" s="34"/>
      <c r="D137" s="34"/>
    </row>
    <row r="138" spans="1:4" ht="20.25" x14ac:dyDescent="0.25">
      <c r="A138" s="103"/>
      <c r="B138" s="23"/>
      <c r="C138" s="34"/>
      <c r="D138" s="34"/>
    </row>
    <row r="139" spans="1:4" ht="20.25" x14ac:dyDescent="0.25">
      <c r="A139" s="103"/>
      <c r="B139" s="23"/>
      <c r="C139" s="34"/>
      <c r="D139" s="34"/>
    </row>
    <row r="140" spans="1:4" ht="20.25" x14ac:dyDescent="0.25">
      <c r="A140" s="103"/>
      <c r="B140" s="23"/>
      <c r="C140" s="34"/>
      <c r="D140" s="34"/>
    </row>
    <row r="141" spans="1:4" ht="20.25" x14ac:dyDescent="0.25">
      <c r="A141" s="103"/>
      <c r="B141" s="23"/>
      <c r="C141" s="34"/>
      <c r="D141" s="34"/>
    </row>
    <row r="142" spans="1:4" ht="20.25" x14ac:dyDescent="0.25">
      <c r="A142" s="103"/>
      <c r="B142" s="23"/>
      <c r="C142" s="34"/>
      <c r="D142" s="34"/>
    </row>
    <row r="143" spans="1:4" ht="20.25" x14ac:dyDescent="0.25">
      <c r="A143" s="103"/>
      <c r="B143" s="23"/>
      <c r="C143" s="34"/>
      <c r="D143" s="34"/>
    </row>
    <row r="144" spans="1:4" ht="20.25" x14ac:dyDescent="0.25">
      <c r="A144" s="103"/>
      <c r="B144" s="23"/>
      <c r="C144" s="34"/>
      <c r="D144" s="34"/>
    </row>
    <row r="145" spans="1:4" ht="20.25" x14ac:dyDescent="0.25">
      <c r="A145" s="103"/>
      <c r="B145" s="23"/>
      <c r="C145" s="34"/>
      <c r="D145" s="34"/>
    </row>
    <row r="146" spans="1:4" ht="20.25" x14ac:dyDescent="0.25">
      <c r="A146" s="103"/>
      <c r="B146" s="23"/>
      <c r="C146" s="34"/>
      <c r="D146" s="34"/>
    </row>
    <row r="147" spans="1:4" ht="20.25" x14ac:dyDescent="0.25">
      <c r="A147" s="103"/>
      <c r="B147" s="23"/>
      <c r="C147" s="34"/>
      <c r="D147" s="34"/>
    </row>
    <row r="148" spans="1:4" ht="20.25" x14ac:dyDescent="0.25">
      <c r="A148" s="103"/>
      <c r="B148" s="23"/>
      <c r="C148" s="34"/>
      <c r="D148" s="34"/>
    </row>
    <row r="149" spans="1:4" ht="20.25" x14ac:dyDescent="0.25">
      <c r="A149" s="103"/>
      <c r="B149" s="23"/>
      <c r="C149" s="34"/>
      <c r="D149" s="34"/>
    </row>
    <row r="150" spans="1:4" ht="20.25" x14ac:dyDescent="0.25">
      <c r="A150" s="103"/>
      <c r="B150" s="23"/>
      <c r="C150" s="34"/>
      <c r="D150" s="34"/>
    </row>
    <row r="151" spans="1:4" ht="20.25" x14ac:dyDescent="0.25">
      <c r="A151" s="103"/>
      <c r="B151" s="23"/>
      <c r="C151" s="34"/>
      <c r="D151" s="34"/>
    </row>
    <row r="152" spans="1:4" ht="20.25" x14ac:dyDescent="0.25">
      <c r="A152" s="103"/>
      <c r="B152" s="23"/>
      <c r="C152" s="34"/>
      <c r="D152" s="34"/>
    </row>
    <row r="153" spans="1:4" ht="20.25" x14ac:dyDescent="0.25">
      <c r="A153" s="103"/>
      <c r="B153" s="23"/>
      <c r="C153" s="34"/>
      <c r="D153" s="34"/>
    </row>
    <row r="154" spans="1:4" ht="20.25" x14ac:dyDescent="0.25">
      <c r="A154" s="103"/>
      <c r="B154" s="23"/>
      <c r="C154" s="34"/>
      <c r="D154" s="34"/>
    </row>
    <row r="155" spans="1:4" ht="20.25" x14ac:dyDescent="0.25">
      <c r="A155" s="103"/>
      <c r="B155" s="23"/>
      <c r="C155" s="34"/>
      <c r="D155" s="34"/>
    </row>
    <row r="156" spans="1:4" ht="20.25" x14ac:dyDescent="0.25">
      <c r="A156" s="103"/>
      <c r="B156" s="23"/>
      <c r="C156" s="34"/>
      <c r="D156" s="34"/>
    </row>
    <row r="157" spans="1:4" ht="20.25" x14ac:dyDescent="0.25">
      <c r="A157" s="103"/>
      <c r="B157" s="23"/>
      <c r="C157" s="34"/>
      <c r="D157" s="34"/>
    </row>
    <row r="158" spans="1:4" ht="20.25" x14ac:dyDescent="0.25">
      <c r="A158" s="103"/>
      <c r="B158" s="23"/>
      <c r="C158" s="34"/>
      <c r="D158" s="34"/>
    </row>
    <row r="159" spans="1:4" ht="20.25" x14ac:dyDescent="0.25">
      <c r="A159" s="103"/>
      <c r="B159" s="23"/>
      <c r="C159" s="34"/>
      <c r="D159" s="34"/>
    </row>
    <row r="160" spans="1:4" ht="20.25" x14ac:dyDescent="0.25">
      <c r="A160" s="103"/>
      <c r="B160" s="23"/>
      <c r="C160" s="34"/>
      <c r="D160" s="34"/>
    </row>
    <row r="161" spans="1:4" ht="20.25" x14ac:dyDescent="0.25">
      <c r="A161" s="103"/>
      <c r="B161" s="23"/>
      <c r="C161" s="34"/>
      <c r="D161" s="34"/>
    </row>
    <row r="162" spans="1:4" ht="20.25" x14ac:dyDescent="0.25">
      <c r="A162" s="103"/>
      <c r="B162" s="23"/>
      <c r="C162" s="34"/>
      <c r="D162" s="34"/>
    </row>
    <row r="163" spans="1:4" ht="20.25" x14ac:dyDescent="0.25">
      <c r="A163" s="103"/>
      <c r="B163" s="23"/>
      <c r="C163" s="34"/>
      <c r="D163" s="34"/>
    </row>
    <row r="164" spans="1:4" ht="20.25" x14ac:dyDescent="0.25">
      <c r="A164" s="103"/>
      <c r="B164" s="23"/>
      <c r="C164" s="34"/>
      <c r="D164" s="34"/>
    </row>
    <row r="165" spans="1:4" ht="20.25" x14ac:dyDescent="0.25">
      <c r="A165" s="103"/>
      <c r="B165" s="23"/>
      <c r="C165" s="34"/>
      <c r="D165" s="34"/>
    </row>
    <row r="166" spans="1:4" ht="20.25" x14ac:dyDescent="0.25">
      <c r="A166" s="103"/>
      <c r="B166" s="23"/>
      <c r="C166" s="34"/>
      <c r="D166" s="34"/>
    </row>
    <row r="167" spans="1:4" ht="20.25" x14ac:dyDescent="0.25">
      <c r="A167" s="103"/>
      <c r="B167" s="23"/>
      <c r="C167" s="34"/>
      <c r="D167" s="34"/>
    </row>
    <row r="168" spans="1:4" ht="20.25" x14ac:dyDescent="0.25">
      <c r="A168" s="103"/>
      <c r="B168" s="23"/>
      <c r="C168" s="34"/>
      <c r="D168" s="34"/>
    </row>
    <row r="169" spans="1:4" ht="20.25" x14ac:dyDescent="0.25">
      <c r="A169" s="103"/>
      <c r="B169" s="23"/>
      <c r="C169" s="34"/>
      <c r="D169" s="34"/>
    </row>
    <row r="170" spans="1:4" ht="20.25" x14ac:dyDescent="0.25">
      <c r="A170" s="103"/>
      <c r="B170" s="23"/>
      <c r="C170" s="34"/>
      <c r="D170" s="34"/>
    </row>
    <row r="171" spans="1:4" ht="20.25" x14ac:dyDescent="0.25">
      <c r="A171" s="103"/>
      <c r="B171" s="23"/>
      <c r="C171" s="34"/>
      <c r="D171" s="34"/>
    </row>
    <row r="172" spans="1:4" ht="20.25" x14ac:dyDescent="0.25">
      <c r="A172" s="103"/>
      <c r="B172" s="23"/>
      <c r="C172" s="34"/>
      <c r="D172" s="34"/>
    </row>
    <row r="173" spans="1:4" ht="20.25" x14ac:dyDescent="0.25">
      <c r="A173" s="103"/>
      <c r="B173" s="23"/>
      <c r="C173" s="34"/>
      <c r="D173" s="34"/>
    </row>
    <row r="174" spans="1:4" ht="20.25" x14ac:dyDescent="0.25">
      <c r="A174" s="103"/>
      <c r="B174" s="23"/>
      <c r="C174" s="34"/>
      <c r="D174" s="34"/>
    </row>
    <row r="175" spans="1:4" ht="20.25" x14ac:dyDescent="0.25">
      <c r="A175" s="103"/>
      <c r="B175" s="23"/>
      <c r="C175" s="34"/>
      <c r="D175" s="34"/>
    </row>
    <row r="176" spans="1:4" ht="20.25" x14ac:dyDescent="0.25">
      <c r="A176" s="103"/>
      <c r="B176" s="23"/>
      <c r="C176" s="34"/>
      <c r="D176" s="34"/>
    </row>
    <row r="177" spans="1:4" ht="20.25" x14ac:dyDescent="0.25">
      <c r="A177" s="103"/>
      <c r="B177" s="23"/>
      <c r="C177" s="34"/>
      <c r="D177" s="34"/>
    </row>
    <row r="178" spans="1:4" ht="20.25" x14ac:dyDescent="0.25">
      <c r="A178" s="103"/>
      <c r="B178" s="23"/>
      <c r="C178" s="34"/>
      <c r="D178" s="34"/>
    </row>
    <row r="179" spans="1:4" ht="20.25" x14ac:dyDescent="0.25">
      <c r="A179" s="103"/>
      <c r="B179" s="23"/>
      <c r="C179" s="34"/>
      <c r="D179" s="34"/>
    </row>
    <row r="180" spans="1:4" ht="20.25" x14ac:dyDescent="0.25">
      <c r="A180" s="103"/>
      <c r="B180" s="23"/>
      <c r="C180" s="34"/>
      <c r="D180" s="34"/>
    </row>
    <row r="181" spans="1:4" ht="20.25" x14ac:dyDescent="0.25">
      <c r="A181" s="103"/>
      <c r="B181" s="23"/>
      <c r="C181" s="34"/>
      <c r="D181" s="34"/>
    </row>
    <row r="182" spans="1:4" ht="20.25" x14ac:dyDescent="0.25">
      <c r="A182" s="103"/>
      <c r="B182" s="23"/>
      <c r="C182" s="34"/>
      <c r="D182" s="34"/>
    </row>
    <row r="183" spans="1:4" ht="20.25" x14ac:dyDescent="0.25">
      <c r="A183" s="103"/>
      <c r="B183" s="23"/>
      <c r="C183" s="34"/>
      <c r="D183" s="34"/>
    </row>
    <row r="184" spans="1:4" ht="20.25" x14ac:dyDescent="0.25">
      <c r="A184" s="103"/>
      <c r="B184" s="23"/>
      <c r="C184" s="34"/>
      <c r="D184" s="34"/>
    </row>
    <row r="185" spans="1:4" ht="20.25" x14ac:dyDescent="0.25">
      <c r="A185" s="103"/>
      <c r="B185" s="23"/>
      <c r="C185" s="34"/>
      <c r="D185" s="34"/>
    </row>
    <row r="186" spans="1:4" ht="20.25" x14ac:dyDescent="0.25">
      <c r="A186" s="103"/>
      <c r="B186" s="23"/>
      <c r="C186" s="34"/>
      <c r="D186" s="34"/>
    </row>
    <row r="187" spans="1:4" ht="20.25" x14ac:dyDescent="0.25">
      <c r="A187" s="103"/>
      <c r="B187" s="23"/>
      <c r="C187" s="34"/>
      <c r="D187" s="34"/>
    </row>
    <row r="188" spans="1:4" ht="20.25" x14ac:dyDescent="0.25">
      <c r="A188" s="103"/>
      <c r="B188" s="23"/>
      <c r="C188" s="34"/>
      <c r="D188" s="34"/>
    </row>
    <row r="189" spans="1:4" ht="20.25" x14ac:dyDescent="0.25">
      <c r="A189" s="103"/>
      <c r="B189" s="23"/>
      <c r="C189" s="34"/>
      <c r="D189" s="34"/>
    </row>
    <row r="190" spans="1:4" ht="20.25" x14ac:dyDescent="0.25">
      <c r="A190" s="103"/>
      <c r="B190" s="23"/>
      <c r="C190" s="34"/>
      <c r="D190" s="34"/>
    </row>
    <row r="191" spans="1:4" ht="20.25" x14ac:dyDescent="0.25">
      <c r="A191" s="103"/>
      <c r="B191" s="23"/>
      <c r="C191" s="34"/>
      <c r="D191" s="34"/>
    </row>
    <row r="192" spans="1:4" ht="20.25" x14ac:dyDescent="0.25">
      <c r="A192" s="103"/>
      <c r="B192" s="23"/>
      <c r="C192" s="34"/>
      <c r="D192" s="34"/>
    </row>
    <row r="193" spans="1:4" ht="20.25" x14ac:dyDescent="0.25">
      <c r="A193" s="103"/>
      <c r="B193" s="23"/>
      <c r="C193" s="34"/>
      <c r="D193" s="34"/>
    </row>
    <row r="194" spans="1:4" ht="20.25" x14ac:dyDescent="0.25">
      <c r="A194" s="103"/>
      <c r="B194" s="23"/>
      <c r="C194" s="34"/>
      <c r="D194" s="34"/>
    </row>
    <row r="195" spans="1:4" ht="20.25" x14ac:dyDescent="0.25">
      <c r="A195" s="103"/>
      <c r="B195" s="23"/>
      <c r="C195" s="34"/>
      <c r="D195" s="34"/>
    </row>
    <row r="196" spans="1:4" ht="20.25" x14ac:dyDescent="0.25">
      <c r="A196" s="103"/>
      <c r="B196" s="23"/>
      <c r="C196" s="34"/>
      <c r="D196" s="34"/>
    </row>
    <row r="197" spans="1:4" ht="20.25" x14ac:dyDescent="0.25">
      <c r="A197" s="103"/>
      <c r="B197" s="23"/>
      <c r="C197" s="34"/>
      <c r="D197" s="34"/>
    </row>
    <row r="198" spans="1:4" ht="20.25" x14ac:dyDescent="0.25">
      <c r="A198" s="103"/>
      <c r="B198" s="23"/>
      <c r="C198" s="34"/>
      <c r="D198" s="34"/>
    </row>
    <row r="199" spans="1:4" ht="20.25" x14ac:dyDescent="0.25">
      <c r="A199" s="103"/>
      <c r="B199" s="23"/>
      <c r="C199" s="34"/>
      <c r="D199" s="34"/>
    </row>
    <row r="200" spans="1:4" ht="20.25" x14ac:dyDescent="0.25">
      <c r="A200" s="103"/>
      <c r="B200" s="23"/>
      <c r="C200" s="34"/>
      <c r="D200" s="34"/>
    </row>
    <row r="201" spans="1:4" ht="20.25" x14ac:dyDescent="0.25">
      <c r="A201" s="103"/>
      <c r="B201" s="23"/>
      <c r="C201" s="34"/>
      <c r="D201" s="34"/>
    </row>
    <row r="202" spans="1:4" ht="20.25" x14ac:dyDescent="0.25">
      <c r="A202" s="103"/>
      <c r="B202" s="23"/>
      <c r="C202" s="34"/>
      <c r="D202" s="34"/>
    </row>
    <row r="203" spans="1:4" ht="20.25" x14ac:dyDescent="0.25">
      <c r="A203" s="103"/>
      <c r="B203" s="23"/>
      <c r="C203" s="34"/>
      <c r="D203" s="34"/>
    </row>
    <row r="204" spans="1:4" ht="20.25" x14ac:dyDescent="0.25">
      <c r="A204" s="103"/>
      <c r="B204" s="23"/>
      <c r="C204" s="34"/>
      <c r="D204" s="34"/>
    </row>
    <row r="205" spans="1:4" ht="20.25" x14ac:dyDescent="0.25">
      <c r="A205" s="103"/>
      <c r="B205" s="23"/>
      <c r="C205" s="34"/>
      <c r="D205" s="34"/>
    </row>
    <row r="206" spans="1:4" ht="20.25" x14ac:dyDescent="0.25">
      <c r="A206" s="103"/>
      <c r="B206" s="23"/>
      <c r="C206" s="34"/>
      <c r="D206" s="34"/>
    </row>
    <row r="207" spans="1:4" ht="20.25" x14ac:dyDescent="0.25">
      <c r="A207" s="103"/>
      <c r="B207" s="23"/>
      <c r="C207" s="34"/>
      <c r="D207" s="34"/>
    </row>
    <row r="208" spans="1:4" x14ac:dyDescent="0.25">
      <c r="A208" s="83"/>
      <c r="B208" s="23"/>
      <c r="C208" s="23"/>
      <c r="D208" s="23"/>
    </row>
    <row r="209" spans="1:8" ht="20.25" x14ac:dyDescent="0.25">
      <c r="A209" s="83"/>
      <c r="B209" s="30" t="s">
        <v>153</v>
      </c>
      <c r="C209" s="30" t="s">
        <v>154</v>
      </c>
      <c r="D209" s="33" t="s">
        <v>153</v>
      </c>
      <c r="E209" s="33" t="s">
        <v>154</v>
      </c>
    </row>
    <row r="210" spans="1:8" ht="21" x14ac:dyDescent="0.35">
      <c r="A210" s="83"/>
      <c r="B210" s="31" t="s">
        <v>155</v>
      </c>
      <c r="C210" s="31" t="s">
        <v>156</v>
      </c>
      <c r="D210" t="s">
        <v>155</v>
      </c>
      <c r="F210" t="str">
        <f>IF(NOT(ISBLANK(D210)),D210,IF(NOT(ISBLANK(E210)),"     "&amp;E210,FALSE))</f>
        <v>Afectación Económica o presupuestal</v>
      </c>
      <c r="G210" t="s">
        <v>155</v>
      </c>
      <c r="H210" t="str">
        <f>IF(NOT(ISERROR(MATCH(G210,_xlfn.ANCHORARRAY(B221),0))),F228&amp;"Por favor no seleccionar los criterios de impacto",G210)</f>
        <v>❌Por favor no seleccionar los criterios de impacto</v>
      </c>
    </row>
    <row r="211" spans="1:8" ht="21" x14ac:dyDescent="0.35">
      <c r="A211" s="83"/>
      <c r="B211" s="31" t="s">
        <v>155</v>
      </c>
      <c r="C211" s="31" t="s">
        <v>128</v>
      </c>
      <c r="E211" t="s">
        <v>156</v>
      </c>
      <c r="F211" t="str">
        <f t="shared" ref="F211:F221" si="0">IF(NOT(ISBLANK(D211)),D211,IF(NOT(ISBLANK(E211)),"     "&amp;E211,FALSE))</f>
        <v xml:space="preserve">     Afectación menor a 10 SMLMV .</v>
      </c>
    </row>
    <row r="212" spans="1:8" ht="21" x14ac:dyDescent="0.35">
      <c r="A212" s="83"/>
      <c r="B212" s="31" t="s">
        <v>155</v>
      </c>
      <c r="C212" s="31" t="s">
        <v>131</v>
      </c>
      <c r="E212" t="s">
        <v>128</v>
      </c>
      <c r="F212" t="str">
        <f t="shared" si="0"/>
        <v xml:space="preserve">     Entre 10 y 50 SMLMV </v>
      </c>
    </row>
    <row r="213" spans="1:8" ht="21" x14ac:dyDescent="0.35">
      <c r="A213" s="83"/>
      <c r="B213" s="31" t="s">
        <v>155</v>
      </c>
      <c r="C213" s="31" t="s">
        <v>135</v>
      </c>
      <c r="E213" t="s">
        <v>131</v>
      </c>
      <c r="F213" t="str">
        <f t="shared" si="0"/>
        <v xml:space="preserve">     Entre 50 y 100 SMLMV </v>
      </c>
    </row>
    <row r="214" spans="1:8" ht="21" x14ac:dyDescent="0.35">
      <c r="A214" s="83"/>
      <c r="B214" s="31" t="s">
        <v>155</v>
      </c>
      <c r="C214" s="31" t="s">
        <v>139</v>
      </c>
      <c r="E214" t="s">
        <v>135</v>
      </c>
      <c r="F214" t="str">
        <f t="shared" si="0"/>
        <v xml:space="preserve">     Entre 100 y 500 SMLMV </v>
      </c>
    </row>
    <row r="215" spans="1:8" ht="21" x14ac:dyDescent="0.35">
      <c r="A215" s="83"/>
      <c r="B215" s="31" t="s">
        <v>121</v>
      </c>
      <c r="C215" s="31" t="s">
        <v>125</v>
      </c>
      <c r="E215" t="s">
        <v>139</v>
      </c>
      <c r="F215" t="str">
        <f t="shared" si="0"/>
        <v xml:space="preserve">     Mayor a 500 SMLMV </v>
      </c>
    </row>
    <row r="216" spans="1:8" ht="21" x14ac:dyDescent="0.35">
      <c r="A216" s="83"/>
      <c r="B216" s="31" t="s">
        <v>121</v>
      </c>
      <c r="C216" s="31" t="s">
        <v>129</v>
      </c>
      <c r="D216" t="s">
        <v>121</v>
      </c>
      <c r="F216" t="str">
        <f t="shared" si="0"/>
        <v>Pérdida Reputacional</v>
      </c>
    </row>
    <row r="217" spans="1:8" ht="21" x14ac:dyDescent="0.35">
      <c r="A217" s="83"/>
      <c r="B217" s="31" t="s">
        <v>121</v>
      </c>
      <c r="C217" s="31" t="s">
        <v>132</v>
      </c>
      <c r="E217" t="s">
        <v>125</v>
      </c>
      <c r="F217" t="str">
        <f t="shared" si="0"/>
        <v xml:space="preserve">     El riesgo afecta la imagen de alguna área de la organización</v>
      </c>
    </row>
    <row r="218" spans="1:8" ht="21" x14ac:dyDescent="0.35">
      <c r="A218" s="83"/>
      <c r="B218" s="31" t="s">
        <v>121</v>
      </c>
      <c r="C218" s="31" t="s">
        <v>136</v>
      </c>
      <c r="E218" t="s">
        <v>129</v>
      </c>
      <c r="F218" t="str">
        <f t="shared" si="0"/>
        <v xml:space="preserve">     El riesgo afecta la imagen de la entidad internamente, de conocimiento general, nivel interno, de junta dircetiva y accionistas y/o de provedores</v>
      </c>
    </row>
    <row r="219" spans="1:8" ht="21" x14ac:dyDescent="0.35">
      <c r="A219" s="83"/>
      <c r="B219" s="31" t="s">
        <v>121</v>
      </c>
      <c r="C219" s="31" t="s">
        <v>140</v>
      </c>
      <c r="E219" t="s">
        <v>132</v>
      </c>
      <c r="F219" t="str">
        <f t="shared" si="0"/>
        <v xml:space="preserve">     El riesgo afecta la imagen de la entidad con algunos usuarios de relevancia frente al logro de los objetivos</v>
      </c>
    </row>
    <row r="220" spans="1:8" x14ac:dyDescent="0.25">
      <c r="A220" s="83"/>
      <c r="B220" s="32"/>
      <c r="C220" s="32"/>
      <c r="E220" t="s">
        <v>136</v>
      </c>
      <c r="F220" t="str">
        <f t="shared" si="0"/>
        <v xml:space="preserve">     El riesgo afecta la imagen de de la entidad con efecto publicitario sostenido a nivel de sector administrativo, nivel departamental o municipal</v>
      </c>
    </row>
    <row r="221" spans="1:8" x14ac:dyDescent="0.25">
      <c r="A221" s="83"/>
      <c r="B221" s="32" t="str" cm="1">
        <f t="array" ref="B221:B223">_xlfn.UNIQUE(Tabla1[[#All],[Criterios]])</f>
        <v>Criterios</v>
      </c>
      <c r="C221" s="32"/>
      <c r="E221" t="s">
        <v>140</v>
      </c>
      <c r="F221" t="str">
        <f t="shared" si="0"/>
        <v xml:space="preserve">     El riesgo afecta la imagen de la entidad a nivel nacional, con efecto publicitarios sostenible a nivel país</v>
      </c>
    </row>
    <row r="222" spans="1:8" x14ac:dyDescent="0.25">
      <c r="A222" s="83"/>
      <c r="B222" s="32" t="str">
        <v>Afectación Económica o presupuestal</v>
      </c>
      <c r="C222" s="32"/>
      <c r="F222" t="s">
        <v>284</v>
      </c>
    </row>
    <row r="223" spans="1:8" x14ac:dyDescent="0.25">
      <c r="B223" s="32" t="str">
        <v>Pérdida Reputacional</v>
      </c>
      <c r="C223" s="32"/>
      <c r="F223" t="s">
        <v>285</v>
      </c>
    </row>
    <row r="224" spans="1:8" x14ac:dyDescent="0.25">
      <c r="B224" s="22"/>
      <c r="C224" s="22"/>
      <c r="F224" t="s">
        <v>286</v>
      </c>
    </row>
    <row r="225" spans="2:6" x14ac:dyDescent="0.25">
      <c r="B225" s="22"/>
      <c r="C225" s="22"/>
      <c r="F225" t="s">
        <v>287</v>
      </c>
    </row>
    <row r="226" spans="2:6" x14ac:dyDescent="0.25">
      <c r="B226" s="22"/>
      <c r="C226" s="22"/>
      <c r="F226" t="s">
        <v>288</v>
      </c>
    </row>
    <row r="227" spans="2:6" x14ac:dyDescent="0.25">
      <c r="B227" s="22"/>
      <c r="C227" s="22"/>
      <c r="D227" s="22"/>
      <c r="F227" t="s">
        <v>290</v>
      </c>
    </row>
    <row r="228" spans="2:6" x14ac:dyDescent="0.25">
      <c r="B228" s="22"/>
      <c r="C228" s="22"/>
      <c r="D228" s="22"/>
      <c r="F228" s="35" t="s">
        <v>157</v>
      </c>
    </row>
    <row r="229" spans="2:6" x14ac:dyDescent="0.25">
      <c r="B229" s="22"/>
      <c r="C229" s="22"/>
      <c r="D229" s="22"/>
      <c r="F229" s="35" t="s">
        <v>158</v>
      </c>
    </row>
    <row r="230" spans="2:6" x14ac:dyDescent="0.25">
      <c r="B230" s="22"/>
      <c r="C230" s="22"/>
      <c r="D230" s="22"/>
    </row>
    <row r="231" spans="2:6" x14ac:dyDescent="0.25">
      <c r="B231" s="22"/>
      <c r="C231" s="22"/>
      <c r="D231" s="22"/>
    </row>
    <row r="232" spans="2:6" x14ac:dyDescent="0.25">
      <c r="B232" s="22"/>
      <c r="C232" s="22"/>
      <c r="D232" s="22"/>
    </row>
  </sheetData>
  <mergeCells count="1">
    <mergeCell ref="B1:D1"/>
  </mergeCells>
  <dataValidations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3F611-1DA3-4245-9FA1-19BCDBA48BFC}">
  <sheetPr>
    <tabColor theme="9" tint="-0.249977111117893"/>
  </sheetPr>
  <dimension ref="C2:J16"/>
  <sheetViews>
    <sheetView showGridLines="0" workbookViewId="0">
      <selection activeCell="G16" sqref="G16"/>
    </sheetView>
  </sheetViews>
  <sheetFormatPr baseColWidth="10" defaultRowHeight="15.75" x14ac:dyDescent="0.25"/>
  <cols>
    <col min="1" max="3" width="11.42578125" style="181"/>
    <col min="4" max="4" width="25.42578125" style="181" customWidth="1"/>
    <col min="5" max="5" width="22.5703125" style="181" customWidth="1"/>
    <col min="6" max="6" width="23.7109375" style="181" customWidth="1"/>
    <col min="7" max="7" width="45.85546875" style="181" customWidth="1"/>
    <col min="8" max="16384" width="11.42578125" style="181"/>
  </cols>
  <sheetData>
    <row r="2" spans="3:10" ht="16.5" thickBot="1" x14ac:dyDescent="0.3"/>
    <row r="3" spans="3:10" ht="32.25" thickBot="1" x14ac:dyDescent="0.3">
      <c r="C3" s="182" t="s">
        <v>291</v>
      </c>
      <c r="D3" s="183" t="s">
        <v>292</v>
      </c>
      <c r="E3" s="484" t="s">
        <v>293</v>
      </c>
      <c r="F3" s="485"/>
      <c r="G3" s="486"/>
      <c r="J3" s="194" t="s">
        <v>13</v>
      </c>
    </row>
    <row r="4" spans="3:10" x14ac:dyDescent="0.25">
      <c r="C4" s="480">
        <v>1</v>
      </c>
      <c r="D4" s="184" t="s">
        <v>9</v>
      </c>
      <c r="E4" s="185" t="s">
        <v>295</v>
      </c>
      <c r="F4" s="185" t="s">
        <v>297</v>
      </c>
      <c r="G4" s="196" t="s">
        <v>299</v>
      </c>
      <c r="H4" s="197"/>
      <c r="J4" s="195">
        <f>+H4*H6*H9*H11*H13*H15</f>
        <v>0</v>
      </c>
    </row>
    <row r="5" spans="3:10" ht="63.75" thickBot="1" x14ac:dyDescent="0.3">
      <c r="C5" s="481"/>
      <c r="D5" s="186" t="s">
        <v>294</v>
      </c>
      <c r="E5" s="187" t="s">
        <v>296</v>
      </c>
      <c r="F5" s="187" t="s">
        <v>298</v>
      </c>
      <c r="G5" s="189" t="s">
        <v>300</v>
      </c>
      <c r="H5" s="193"/>
    </row>
    <row r="6" spans="3:10" x14ac:dyDescent="0.25">
      <c r="C6" s="480">
        <v>2</v>
      </c>
      <c r="D6" s="184" t="s">
        <v>91</v>
      </c>
      <c r="E6" s="185" t="s">
        <v>303</v>
      </c>
      <c r="F6" s="185" t="s">
        <v>305</v>
      </c>
      <c r="G6" s="196" t="s">
        <v>307</v>
      </c>
      <c r="H6" s="197"/>
    </row>
    <row r="7" spans="3:10" ht="78.75" x14ac:dyDescent="0.25">
      <c r="C7" s="487"/>
      <c r="D7" s="184" t="s">
        <v>301</v>
      </c>
      <c r="E7" s="185" t="s">
        <v>304</v>
      </c>
      <c r="F7" s="185" t="s">
        <v>306</v>
      </c>
      <c r="G7" s="185" t="s">
        <v>308</v>
      </c>
    </row>
    <row r="8" spans="3:10" ht="16.5" thickBot="1" x14ac:dyDescent="0.3">
      <c r="C8" s="481"/>
      <c r="D8" s="186" t="s">
        <v>302</v>
      </c>
      <c r="E8" s="188"/>
      <c r="F8" s="188"/>
      <c r="G8" s="188"/>
    </row>
    <row r="9" spans="3:10" x14ac:dyDescent="0.25">
      <c r="C9" s="480">
        <v>3</v>
      </c>
      <c r="D9" s="184" t="s">
        <v>309</v>
      </c>
      <c r="E9" s="185" t="s">
        <v>311</v>
      </c>
      <c r="F9" s="185" t="s">
        <v>313</v>
      </c>
      <c r="G9" s="196" t="s">
        <v>315</v>
      </c>
      <c r="H9" s="197"/>
    </row>
    <row r="10" spans="3:10" ht="63.75" thickBot="1" x14ac:dyDescent="0.3">
      <c r="C10" s="481"/>
      <c r="D10" s="186" t="s">
        <v>310</v>
      </c>
      <c r="E10" s="187" t="s">
        <v>312</v>
      </c>
      <c r="F10" s="187" t="s">
        <v>314</v>
      </c>
      <c r="G10" s="187" t="s">
        <v>316</v>
      </c>
    </row>
    <row r="11" spans="3:10" x14ac:dyDescent="0.25">
      <c r="C11" s="480">
        <v>4</v>
      </c>
      <c r="D11" s="190" t="s">
        <v>317</v>
      </c>
      <c r="E11" s="191" t="s">
        <v>319</v>
      </c>
      <c r="F11" s="191" t="s">
        <v>320</v>
      </c>
      <c r="G11" s="198" t="s">
        <v>321</v>
      </c>
      <c r="H11" s="197"/>
    </row>
    <row r="12" spans="3:10" ht="111" thickBot="1" x14ac:dyDescent="0.3">
      <c r="C12" s="481"/>
      <c r="D12" s="186" t="s">
        <v>318</v>
      </c>
      <c r="E12" s="187" t="s">
        <v>335</v>
      </c>
      <c r="F12" s="187" t="s">
        <v>334</v>
      </c>
      <c r="G12" s="187" t="s">
        <v>322</v>
      </c>
    </row>
    <row r="13" spans="3:10" x14ac:dyDescent="0.25">
      <c r="C13" s="487">
        <v>5</v>
      </c>
      <c r="D13" s="184" t="s">
        <v>323</v>
      </c>
      <c r="E13" s="185" t="s">
        <v>303</v>
      </c>
      <c r="F13" s="185" t="s">
        <v>326</v>
      </c>
      <c r="G13" s="196" t="s">
        <v>307</v>
      </c>
      <c r="H13" s="197"/>
    </row>
    <row r="14" spans="3:10" ht="79.5" thickBot="1" x14ac:dyDescent="0.3">
      <c r="C14" s="481"/>
      <c r="D14" s="186" t="s">
        <v>324</v>
      </c>
      <c r="E14" s="187" t="s">
        <v>325</v>
      </c>
      <c r="F14" s="187" t="s">
        <v>327</v>
      </c>
      <c r="G14" s="187" t="s">
        <v>328</v>
      </c>
    </row>
    <row r="15" spans="3:10" x14ac:dyDescent="0.25">
      <c r="C15" s="480">
        <v>6</v>
      </c>
      <c r="D15" s="184" t="s">
        <v>329</v>
      </c>
      <c r="E15" s="185" t="s">
        <v>303</v>
      </c>
      <c r="F15" s="482" t="s">
        <v>332</v>
      </c>
      <c r="G15" s="196" t="s">
        <v>307</v>
      </c>
      <c r="H15" s="197"/>
    </row>
    <row r="16" spans="3:10" ht="79.5" thickBot="1" x14ac:dyDescent="0.3">
      <c r="C16" s="481"/>
      <c r="D16" s="186" t="s">
        <v>330</v>
      </c>
      <c r="E16" s="187" t="s">
        <v>331</v>
      </c>
      <c r="F16" s="483"/>
      <c r="G16" s="187" t="s">
        <v>333</v>
      </c>
    </row>
  </sheetData>
  <mergeCells count="8">
    <mergeCell ref="C15:C16"/>
    <mergeCell ref="F15:F16"/>
    <mergeCell ref="E3:G3"/>
    <mergeCell ref="C4:C5"/>
    <mergeCell ref="C6:C8"/>
    <mergeCell ref="C9:C10"/>
    <mergeCell ref="C11:C12"/>
    <mergeCell ref="C13:C1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4" ma:contentTypeDescription="Crear nuevo documento." ma:contentTypeScope="" ma:versionID="9adc6aef112ce374d4d3a5f2145baaab">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726275b6cf75e4812a1477c958f750fd"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Props1.xml><?xml version="1.0" encoding="utf-8"?>
<ds:datastoreItem xmlns:ds="http://schemas.openxmlformats.org/officeDocument/2006/customXml" ds:itemID="{A6C4C26C-C7A7-458F-857D-DFF733C906FF}"/>
</file>

<file path=customXml/itemProps2.xml><?xml version="1.0" encoding="utf-8"?>
<ds:datastoreItem xmlns:ds="http://schemas.openxmlformats.org/officeDocument/2006/customXml" ds:itemID="{C21D8248-B1FC-4597-891F-A75668D08FAD}"/>
</file>

<file path=customXml/itemProps3.xml><?xml version="1.0" encoding="utf-8"?>
<ds:datastoreItem xmlns:ds="http://schemas.openxmlformats.org/officeDocument/2006/customXml" ds:itemID="{9A2D7CED-557C-445E-9A86-EF8905F451F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Instructivo</vt:lpstr>
      <vt:lpstr>Contexto proceso</vt:lpstr>
      <vt:lpstr>Mapa final</vt:lpstr>
      <vt:lpstr>Impacto-clasificacion</vt:lpstr>
      <vt:lpstr>Matriz Calor Inherente</vt:lpstr>
      <vt:lpstr>Matriz Calor Residual</vt:lpstr>
      <vt:lpstr>Tabla probabilidad</vt:lpstr>
      <vt:lpstr>Tabla Impacto</vt:lpstr>
      <vt:lpstr>Criterios riesgos amb.</vt:lpstr>
      <vt:lpstr>Tabla Valoración controles</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SDG</cp:lastModifiedBy>
  <cp:revision/>
  <dcterms:created xsi:type="dcterms:W3CDTF">2020-03-24T23:12:47Z</dcterms:created>
  <dcterms:modified xsi:type="dcterms:W3CDTF">2022-04-27T19:22:29Z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