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luisa.ibagon\OneDrive - Secretaria Distrital de Gobierno\SDG\Planeación Institucional\Publicación de documentos\5. Publicación de documentos\2025\11. Noviembre\Caso HOLA 421\"/>
    </mc:Choice>
  </mc:AlternateContent>
  <xr:revisionPtr revIDLastSave="0" documentId="13_ncr:1_{34D7C3AE-7A95-406F-A0EA-3AF68585FD8D}" xr6:coauthVersionLast="47" xr6:coauthVersionMax="47" xr10:uidLastSave="{00000000-0000-0000-0000-000000000000}"/>
  <bookViews>
    <workbookView xWindow="-110" yWindow="-110" windowWidth="19420" windowHeight="10300" xr2:uid="{00000000-000D-0000-FFFF-FFFF00000000}"/>
  </bookViews>
  <sheets>
    <sheet name="GCO-GCI-F202" sheetId="1" r:id="rId1"/>
    <sheet name="Lista de chequeo" sheetId="6" r:id="rId2"/>
    <sheet name="VARIABLES" sheetId="3" r:id="rId3"/>
  </sheets>
  <definedNames>
    <definedName name="_xlnm._FilterDatabase" localSheetId="2" hidden="1">VARIABLES!$AE$3:$AH$503</definedName>
    <definedName name="_xlnm.Print_Area" localSheetId="0">'GCO-GCI-F202'!$B$2:$S$33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6" l="1"/>
  <c r="J7" i="6"/>
  <c r="C9" i="6"/>
  <c r="E7" i="6"/>
  <c r="C7" i="6"/>
  <c r="D36" i="6"/>
  <c r="AB1" i="3" l="1"/>
  <c r="AH480" i="3"/>
  <c r="AH490" i="3"/>
  <c r="AH489" i="3"/>
  <c r="AH488" i="3"/>
  <c r="AH487" i="3"/>
  <c r="AH486" i="3"/>
  <c r="AH485" i="3"/>
  <c r="AH484" i="3"/>
  <c r="AH483" i="3"/>
  <c r="AH482" i="3"/>
  <c r="AH481" i="3"/>
  <c r="AH479" i="3"/>
  <c r="AH478" i="3"/>
  <c r="AH477" i="3"/>
  <c r="AH476" i="3"/>
  <c r="AH475" i="3"/>
  <c r="AH474" i="3"/>
  <c r="AH473" i="3"/>
  <c r="AH472" i="3"/>
  <c r="AH471" i="3"/>
  <c r="AH470" i="3"/>
  <c r="AH469" i="3"/>
  <c r="AH468" i="3"/>
  <c r="AH467" i="3"/>
  <c r="AH466" i="3"/>
  <c r="AH465" i="3"/>
  <c r="AH464" i="3"/>
  <c r="AH463" i="3"/>
  <c r="AH462" i="3"/>
  <c r="AH461" i="3"/>
  <c r="AH460" i="3"/>
  <c r="AH459" i="3"/>
  <c r="AH458" i="3"/>
  <c r="AH457" i="3"/>
  <c r="AH456" i="3"/>
  <c r="AH455" i="3"/>
  <c r="AH454" i="3"/>
  <c r="AH453" i="3"/>
  <c r="AH452" i="3"/>
  <c r="AH451" i="3"/>
  <c r="AH450" i="3"/>
  <c r="AH449" i="3"/>
  <c r="AH448" i="3"/>
  <c r="AH447" i="3"/>
  <c r="AH446" i="3"/>
  <c r="AH445" i="3"/>
  <c r="AH444" i="3"/>
  <c r="AH443" i="3"/>
  <c r="AH442" i="3"/>
  <c r="AH441" i="3"/>
  <c r="AH440" i="3"/>
  <c r="AH439" i="3"/>
  <c r="AH438" i="3"/>
  <c r="AH437" i="3"/>
  <c r="AH436" i="3"/>
  <c r="AH435" i="3"/>
  <c r="AH434" i="3"/>
  <c r="AH433" i="3"/>
  <c r="AH432" i="3"/>
  <c r="AH431" i="3"/>
  <c r="AH430" i="3"/>
  <c r="AH429" i="3"/>
  <c r="AH428" i="3"/>
  <c r="AH427" i="3"/>
  <c r="AH426" i="3"/>
  <c r="AH425" i="3"/>
  <c r="AH424" i="3"/>
  <c r="AH423" i="3"/>
  <c r="AH422" i="3"/>
  <c r="AH421" i="3"/>
  <c r="AH420" i="3"/>
  <c r="AH419" i="3"/>
  <c r="AH418" i="3"/>
  <c r="AH417" i="3"/>
  <c r="AH416" i="3"/>
  <c r="AH415" i="3"/>
  <c r="AH414" i="3"/>
  <c r="AH413" i="3"/>
  <c r="AH412" i="3"/>
  <c r="AH411" i="3"/>
  <c r="AH410" i="3"/>
  <c r="AH409" i="3"/>
  <c r="AH408" i="3"/>
  <c r="AH407" i="3"/>
  <c r="AH406" i="3"/>
  <c r="AH405" i="3"/>
  <c r="AH404" i="3"/>
  <c r="AH403" i="3"/>
  <c r="AH402" i="3"/>
  <c r="AH401" i="3"/>
  <c r="AH400" i="3"/>
  <c r="AH399" i="3"/>
  <c r="AH398" i="3"/>
  <c r="AH397" i="3"/>
  <c r="AH396" i="3"/>
  <c r="AH395" i="3"/>
  <c r="AH394" i="3"/>
  <c r="AH393" i="3"/>
  <c r="AH392" i="3"/>
  <c r="AH391" i="3"/>
  <c r="AH390" i="3"/>
  <c r="AH389" i="3"/>
  <c r="AH388" i="3"/>
  <c r="AH387" i="3"/>
  <c r="AH386" i="3"/>
  <c r="AH385" i="3"/>
  <c r="AH384" i="3"/>
  <c r="AH383" i="3"/>
  <c r="AH382" i="3"/>
  <c r="AH381" i="3"/>
  <c r="AH380" i="3"/>
  <c r="AH379" i="3"/>
  <c r="AH378" i="3"/>
  <c r="AH377" i="3"/>
  <c r="AH376" i="3"/>
  <c r="AH375" i="3"/>
  <c r="AH374" i="3"/>
  <c r="AH373" i="3"/>
  <c r="AH372" i="3"/>
  <c r="AH371" i="3"/>
  <c r="AH370" i="3"/>
  <c r="AH369" i="3"/>
  <c r="AH368" i="3"/>
  <c r="AH367" i="3"/>
  <c r="AH366" i="3"/>
  <c r="AH365" i="3"/>
  <c r="AH364" i="3"/>
  <c r="AH363" i="3"/>
  <c r="AH362" i="3"/>
  <c r="AH361" i="3"/>
  <c r="AH360" i="3"/>
  <c r="AH359" i="3"/>
  <c r="AH358" i="3"/>
  <c r="AH357" i="3"/>
  <c r="AH356" i="3"/>
  <c r="AH355" i="3"/>
  <c r="AH354" i="3"/>
  <c r="AH353" i="3"/>
  <c r="AH352" i="3"/>
  <c r="AH351" i="3"/>
  <c r="AH350" i="3"/>
  <c r="AH349" i="3"/>
  <c r="AH348" i="3"/>
  <c r="AH347" i="3"/>
  <c r="AH346" i="3"/>
  <c r="AH345" i="3"/>
  <c r="AH344" i="3"/>
  <c r="AH343" i="3"/>
  <c r="AH342" i="3"/>
  <c r="AH341" i="3"/>
  <c r="AH340" i="3"/>
  <c r="AH339" i="3"/>
  <c r="AH338" i="3"/>
  <c r="AH337" i="3"/>
  <c r="AH336" i="3"/>
  <c r="AH335" i="3"/>
  <c r="AH334" i="3"/>
  <c r="AH333" i="3"/>
  <c r="AH332" i="3"/>
  <c r="AH331" i="3"/>
  <c r="AH330" i="3"/>
  <c r="AH329" i="3"/>
  <c r="AH328" i="3"/>
  <c r="AH327" i="3"/>
  <c r="AH326" i="3"/>
  <c r="AH325" i="3"/>
  <c r="AH324" i="3"/>
  <c r="AH323" i="3"/>
  <c r="AH322" i="3"/>
  <c r="AH321" i="3"/>
  <c r="AH320" i="3"/>
  <c r="AH319" i="3"/>
  <c r="AH318" i="3"/>
  <c r="AH317" i="3"/>
  <c r="AH316" i="3"/>
  <c r="AH315" i="3"/>
  <c r="AH314" i="3"/>
  <c r="AH313" i="3"/>
  <c r="AH312" i="3"/>
  <c r="AH311" i="3"/>
  <c r="AH310" i="3"/>
  <c r="AH309" i="3"/>
  <c r="AH308" i="3"/>
  <c r="AH307" i="3"/>
  <c r="AH306" i="3"/>
  <c r="AH305" i="3"/>
  <c r="AH304" i="3"/>
  <c r="AH303" i="3"/>
  <c r="AH302" i="3"/>
  <c r="AH301" i="3"/>
  <c r="AH300" i="3"/>
  <c r="AH299" i="3"/>
  <c r="AH298" i="3"/>
  <c r="AH297" i="3"/>
  <c r="AH296" i="3"/>
  <c r="AH295" i="3"/>
  <c r="AH294" i="3"/>
  <c r="AH293" i="3"/>
  <c r="AH292" i="3"/>
  <c r="AH291" i="3"/>
  <c r="AH290" i="3"/>
  <c r="AH289" i="3"/>
  <c r="AH288" i="3"/>
  <c r="AH287" i="3"/>
  <c r="AH286" i="3"/>
  <c r="AH285" i="3"/>
  <c r="AH284" i="3"/>
  <c r="AH283" i="3"/>
  <c r="AH282" i="3"/>
  <c r="AH281" i="3"/>
  <c r="AH280" i="3"/>
  <c r="AH279" i="3"/>
  <c r="AH278" i="3"/>
  <c r="AH277" i="3"/>
  <c r="AH276" i="3"/>
  <c r="AH275" i="3"/>
  <c r="AH274" i="3"/>
  <c r="AH273" i="3"/>
  <c r="AH272" i="3"/>
  <c r="AH271" i="3"/>
  <c r="AH270" i="3"/>
  <c r="AH269" i="3"/>
  <c r="AH268" i="3"/>
  <c r="AH267" i="3"/>
  <c r="AH266" i="3"/>
  <c r="AH265" i="3"/>
  <c r="AH264" i="3"/>
  <c r="AH263" i="3"/>
  <c r="AH262" i="3"/>
  <c r="AH261" i="3"/>
  <c r="AH260" i="3"/>
  <c r="AH259" i="3"/>
  <c r="AH258" i="3"/>
  <c r="AH257" i="3"/>
  <c r="AH256" i="3"/>
  <c r="AH255" i="3"/>
  <c r="AH254" i="3"/>
  <c r="AH253" i="3"/>
  <c r="AH252" i="3"/>
  <c r="AH251" i="3"/>
  <c r="AH250" i="3"/>
  <c r="AH249" i="3"/>
  <c r="AH248" i="3"/>
  <c r="AH247" i="3"/>
  <c r="AH246" i="3"/>
  <c r="AH245" i="3"/>
  <c r="AH244" i="3"/>
  <c r="AH243" i="3"/>
  <c r="AH242" i="3"/>
  <c r="AH241" i="3"/>
  <c r="AH240" i="3"/>
  <c r="AH239" i="3"/>
  <c r="AH238" i="3"/>
  <c r="AH237" i="3"/>
  <c r="AH236" i="3"/>
  <c r="AH235" i="3"/>
  <c r="AH234" i="3"/>
  <c r="AH233" i="3"/>
  <c r="AH232" i="3"/>
  <c r="AH231" i="3"/>
  <c r="AH230" i="3"/>
  <c r="AH229" i="3"/>
  <c r="AH228" i="3"/>
  <c r="AH227" i="3"/>
  <c r="AH226" i="3"/>
  <c r="AH225" i="3"/>
  <c r="AH224" i="3"/>
  <c r="AH223" i="3"/>
  <c r="AH222" i="3"/>
  <c r="AH221" i="3"/>
  <c r="AH220" i="3"/>
  <c r="AH219" i="3"/>
  <c r="AH218" i="3"/>
  <c r="AH217" i="3"/>
  <c r="AH216" i="3"/>
  <c r="AH215" i="3"/>
  <c r="AH214" i="3"/>
  <c r="AH213" i="3"/>
  <c r="AH212" i="3"/>
  <c r="AH211" i="3"/>
  <c r="AH210" i="3"/>
  <c r="AH209" i="3"/>
  <c r="AH208" i="3"/>
  <c r="AH207" i="3"/>
  <c r="AH206" i="3"/>
  <c r="AH205" i="3"/>
  <c r="AH204" i="3"/>
  <c r="AH203" i="3"/>
  <c r="AH202" i="3"/>
  <c r="AH201" i="3"/>
  <c r="AH200" i="3"/>
  <c r="AH199" i="3"/>
  <c r="AH198" i="3"/>
  <c r="AH197" i="3"/>
  <c r="AH196" i="3"/>
  <c r="AH195" i="3"/>
  <c r="AH194" i="3"/>
  <c r="AH193" i="3"/>
  <c r="AH192" i="3"/>
  <c r="AH191" i="3"/>
  <c r="AH190" i="3"/>
  <c r="AH189" i="3"/>
  <c r="AH188" i="3"/>
  <c r="AH187" i="3"/>
  <c r="AH186" i="3"/>
  <c r="AH185" i="3"/>
  <c r="AH184" i="3"/>
  <c r="AH183" i="3"/>
  <c r="AH182" i="3"/>
  <c r="AH181" i="3"/>
  <c r="AH180" i="3"/>
  <c r="AH179" i="3"/>
  <c r="AH178" i="3"/>
  <c r="AH177" i="3"/>
  <c r="AH176" i="3"/>
  <c r="AH175" i="3"/>
  <c r="AH174" i="3"/>
  <c r="AH173" i="3"/>
  <c r="AH172" i="3"/>
  <c r="AH171" i="3"/>
  <c r="AH170" i="3"/>
  <c r="AH169" i="3"/>
  <c r="AH168" i="3"/>
  <c r="AH167" i="3"/>
  <c r="AH166" i="3"/>
  <c r="AH165" i="3"/>
  <c r="AH164" i="3"/>
  <c r="AH163" i="3"/>
  <c r="AH162" i="3"/>
  <c r="AH161" i="3"/>
  <c r="AH160" i="3"/>
  <c r="AH159" i="3"/>
  <c r="AH158" i="3"/>
  <c r="AH157" i="3"/>
  <c r="AH156" i="3"/>
  <c r="AH155" i="3"/>
  <c r="AH154" i="3"/>
  <c r="AH153" i="3"/>
  <c r="AH152" i="3"/>
  <c r="AH151" i="3"/>
  <c r="AH150" i="3"/>
  <c r="AH149" i="3"/>
  <c r="AH148" i="3"/>
  <c r="AH147" i="3"/>
  <c r="AH146" i="3"/>
  <c r="AH145" i="3"/>
  <c r="AH144" i="3"/>
  <c r="AH143" i="3"/>
  <c r="AH142" i="3"/>
  <c r="AH141" i="3"/>
  <c r="AH140" i="3"/>
  <c r="AH139" i="3"/>
  <c r="AH138" i="3"/>
  <c r="AH137" i="3"/>
  <c r="AH136" i="3"/>
  <c r="AH135" i="3"/>
  <c r="AH134" i="3"/>
  <c r="AH133" i="3"/>
  <c r="AH132" i="3"/>
  <c r="AH131" i="3"/>
  <c r="AH130" i="3"/>
  <c r="AH129" i="3"/>
  <c r="AH128" i="3"/>
  <c r="AH127" i="3"/>
  <c r="AH126" i="3"/>
  <c r="AH125" i="3"/>
  <c r="AH124" i="3"/>
  <c r="AH123" i="3"/>
  <c r="AH122" i="3"/>
  <c r="AH121" i="3"/>
  <c r="AH120" i="3"/>
  <c r="AH119" i="3"/>
  <c r="AH118" i="3"/>
  <c r="AH117" i="3"/>
  <c r="AH116" i="3"/>
  <c r="AH115" i="3"/>
  <c r="AH114" i="3"/>
  <c r="AH113" i="3"/>
  <c r="AH112" i="3"/>
  <c r="AH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AH86" i="3"/>
  <c r="AH85" i="3"/>
  <c r="AH84" i="3"/>
  <c r="AH83" i="3"/>
  <c r="AH82" i="3"/>
  <c r="AH81" i="3"/>
  <c r="AH80" i="3"/>
  <c r="AH79" i="3"/>
  <c r="AH78" i="3"/>
  <c r="AH77" i="3"/>
  <c r="AH76" i="3"/>
  <c r="AH75" i="3"/>
  <c r="AH74" i="3"/>
  <c r="AH73" i="3"/>
  <c r="AH72" i="3"/>
  <c r="AH71" i="3"/>
  <c r="AH70" i="3"/>
  <c r="AH69" i="3"/>
  <c r="AH68" i="3"/>
  <c r="AH67" i="3"/>
  <c r="AH66" i="3"/>
  <c r="AH65" i="3"/>
  <c r="AH64" i="3"/>
  <c r="AH63" i="3"/>
  <c r="AH62" i="3"/>
  <c r="AH61" i="3"/>
  <c r="AH60" i="3"/>
  <c r="AH59" i="3"/>
  <c r="AH58" i="3"/>
  <c r="AH57" i="3"/>
  <c r="AH56" i="3"/>
  <c r="AH55" i="3"/>
  <c r="AH54" i="3"/>
  <c r="AH53" i="3"/>
  <c r="AH52" i="3"/>
  <c r="AH51" i="3"/>
  <c r="AH50" i="3"/>
  <c r="AH49" i="3"/>
  <c r="AH48" i="3"/>
  <c r="AH47" i="3"/>
  <c r="AH46" i="3"/>
  <c r="AH45" i="3"/>
  <c r="AH44" i="3"/>
  <c r="AH43" i="3"/>
  <c r="AH42" i="3"/>
  <c r="AH41" i="3"/>
  <c r="AH40" i="3"/>
  <c r="AH39" i="3"/>
  <c r="AH38" i="3"/>
  <c r="AH37"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I125" i="3"/>
  <c r="F92" i="3"/>
  <c r="J88" i="3"/>
  <c r="J87" i="3"/>
  <c r="J89" i="3" s="1"/>
  <c r="K12" i="1"/>
  <c r="F91" i="3" s="1"/>
  <c r="F93" i="3" s="1"/>
  <c r="I94" i="3"/>
  <c r="I37" i="3"/>
  <c r="J37" i="3"/>
  <c r="J38" i="3"/>
  <c r="E87" i="3"/>
  <c r="Z30" i="3"/>
  <c r="X16" i="3"/>
  <c r="Y19" i="3" s="1"/>
  <c r="Y1" i="3"/>
  <c r="I65" i="3"/>
  <c r="J65" i="3"/>
  <c r="I66" i="3"/>
  <c r="J66" i="3"/>
  <c r="H73" i="3"/>
  <c r="I73" i="3"/>
  <c r="I68" i="3"/>
  <c r="J68" i="3"/>
  <c r="I43" i="3"/>
  <c r="J43" i="3"/>
  <c r="I52" i="3" s="1"/>
  <c r="I56" i="3"/>
  <c r="J56" i="3"/>
  <c r="I75" i="3"/>
  <c r="J75" i="3"/>
  <c r="J78" i="3"/>
  <c r="H21" i="3"/>
  <c r="G22" i="3"/>
  <c r="H22" i="3"/>
  <c r="G23" i="3"/>
  <c r="H23" i="3"/>
  <c r="G24" i="3"/>
  <c r="H24" i="3"/>
  <c r="D103" i="3"/>
  <c r="X21" i="3"/>
  <c r="Y22" i="3"/>
  <c r="X23" i="3"/>
  <c r="Y24" i="3"/>
  <c r="X25" i="3"/>
  <c r="AL4" i="3"/>
  <c r="M8" i="1"/>
  <c r="AH4" i="3"/>
  <c r="J67" i="3"/>
  <c r="G27" i="3"/>
  <c r="Y14" i="3"/>
  <c r="Z14" i="3"/>
  <c r="Y13" i="3"/>
  <c r="Z13" i="3"/>
  <c r="Y12" i="3"/>
  <c r="Z12" i="3"/>
  <c r="Y11" i="3"/>
  <c r="Z11" i="3"/>
  <c r="Y10" i="3"/>
  <c r="Z10" i="3"/>
  <c r="Z9" i="3"/>
  <c r="Y9" i="3"/>
  <c r="G26" i="3"/>
  <c r="H26" i="3"/>
  <c r="G25" i="3"/>
  <c r="H25" i="3"/>
  <c r="J73" i="3" l="1"/>
  <c r="G111" i="3" s="1"/>
  <c r="X24" i="3"/>
  <c r="X22" i="3"/>
  <c r="Y23" i="3"/>
  <c r="Y21" i="3"/>
  <c r="F20" i="1"/>
  <c r="E15" i="1"/>
  <c r="Y20" i="3"/>
  <c r="X20" i="3"/>
  <c r="F94" i="3"/>
  <c r="C38" i="3"/>
  <c r="H49" i="3"/>
  <c r="H71" i="3"/>
  <c r="J71" i="3" s="1"/>
  <c r="G109" i="3" s="1"/>
  <c r="H50" i="3"/>
  <c r="H72" i="3"/>
  <c r="J72" i="3" s="1"/>
  <c r="G110" i="3" s="1"/>
  <c r="I99" i="3"/>
  <c r="E16" i="1" l="1"/>
  <c r="I22" i="1" s="1"/>
  <c r="G22" i="1" s="1"/>
  <c r="I24" i="1"/>
  <c r="G102" i="3"/>
  <c r="K35" i="3" s="1"/>
  <c r="G10" i="1"/>
  <c r="H11" i="1" s="1"/>
  <c r="I108" i="3"/>
  <c r="I25" i="1"/>
  <c r="I26" i="1"/>
  <c r="I50" i="3"/>
  <c r="C52" i="3" s="1"/>
  <c r="H38" i="3"/>
  <c r="K38" i="3" s="1"/>
  <c r="G104" i="3" s="1"/>
  <c r="H52" i="3"/>
  <c r="G25" i="1" l="1"/>
  <c r="G26" i="1"/>
  <c r="M11" i="1"/>
  <c r="Z28" i="3"/>
  <c r="Z31" i="3" s="1"/>
  <c r="W25" i="3" s="1"/>
  <c r="J52" i="3"/>
  <c r="G114" i="3" s="1"/>
  <c r="AL6" i="3"/>
  <c r="AL8" i="3" l="1"/>
  <c r="H24" i="1" s="1"/>
  <c r="G24" i="1" s="1"/>
  <c r="W23" i="3"/>
  <c r="W21" i="3"/>
  <c r="W22" i="3"/>
  <c r="W24" i="3"/>
  <c r="Z36" i="3"/>
  <c r="W20" i="3"/>
  <c r="W19" i="3"/>
  <c r="AA32" i="3" l="1"/>
  <c r="AA36" i="3" s="1"/>
  <c r="AB32" i="3"/>
  <c r="AB36" i="3" s="1"/>
  <c r="Z32" i="3"/>
  <c r="Z33" i="3" s="1"/>
  <c r="J10" i="1" l="1"/>
  <c r="J11" i="1" s="1"/>
  <c r="G103" i="3"/>
  <c r="K36" i="3" s="1"/>
  <c r="W36" i="3"/>
  <c r="I23" i="1" l="1"/>
  <c r="G23" i="1" s="1"/>
  <c r="I101" i="3"/>
  <c r="I106" i="3" s="1"/>
  <c r="H78" i="3" s="1"/>
  <c r="C61" i="3" l="1"/>
  <c r="H61" i="3" s="1"/>
  <c r="J61" i="3" s="1"/>
  <c r="G115" i="3" s="1"/>
  <c r="I113" i="3" s="1"/>
  <c r="I117" i="3" s="1"/>
  <c r="C78" i="3" s="1"/>
  <c r="H79" i="3" s="1"/>
  <c r="J79" i="3" s="1"/>
  <c r="K78" i="3" s="1"/>
  <c r="I119" i="3" s="1"/>
  <c r="I121" i="3" s="1"/>
  <c r="F29" i="3" l="1"/>
  <c r="I21" i="1"/>
  <c r="F30" i="3" l="1"/>
  <c r="C25" i="3"/>
  <c r="C22" i="3"/>
  <c r="C23" i="3"/>
  <c r="C24" i="3"/>
  <c r="I24" i="3" s="1"/>
  <c r="C27" i="3"/>
  <c r="I27" i="3" s="1"/>
  <c r="I31" i="3" s="1"/>
  <c r="C26" i="3"/>
  <c r="I26" i="3" s="1"/>
  <c r="C21" i="3"/>
  <c r="I25" i="3" l="1"/>
  <c r="I22" i="3"/>
  <c r="I23" i="3"/>
  <c r="I123" i="3" l="1"/>
  <c r="I127" i="3" s="1"/>
  <c r="G27" i="1" l="1"/>
  <c r="G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tc={055BC048-DEBC-4CE3-BAA2-0B7E77305B17}</author>
    <author>Sandra Ximena Perez Holguin</author>
  </authors>
  <commentList>
    <comment ref="E4" authorId="0" shapeId="0" xr:uid="{055BC048-DEBC-4CE3-BAA2-0B7E77305B17}">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Organizar las notas en el formato porque no permite entender claramente la orientación que queremos brindar al diligenciar el formato, se recomienda cambiar los campos en verde ya que si corresponde a campos por diligenciar no es comprensible que si o que no es sujeto de diligenciamiento.</t>
      </text>
    </comment>
    <comment ref="D10" authorId="1" shapeId="0" xr:uid="{D8B7C3D5-890A-481E-AA5D-FE28A8DFC2DB}">
      <text>
        <r>
          <rPr>
            <b/>
            <sz val="9"/>
            <color indexed="81"/>
            <rFont val="Tahoma"/>
            <family val="2"/>
          </rPr>
          <t xml:space="preserve">ECGP:
EJ: 001 2023- 099 2023
</t>
        </r>
      </text>
    </comment>
    <comment ref="E12" authorId="1" shapeId="0" xr:uid="{45182603-A6E5-4556-9E10-236E6B472EF9}">
      <text>
        <r>
          <rPr>
            <b/>
            <sz val="9"/>
            <color indexed="81"/>
            <rFont val="Tahoma"/>
            <family val="2"/>
          </rPr>
          <t xml:space="preserve">SXPH:
</t>
        </r>
        <r>
          <rPr>
            <sz val="9"/>
            <color indexed="81"/>
            <rFont val="Tahoma"/>
            <family val="2"/>
          </rPr>
          <t xml:space="preserve">DOS NOMBRES Y DOS APELLIDOS
</t>
        </r>
      </text>
    </comment>
    <comment ref="K15" authorId="1" shapeId="0" xr:uid="{E1255EF2-B33C-428F-A21C-743E6CAA2919}">
      <text>
        <r>
          <rPr>
            <b/>
            <sz val="9"/>
            <color indexed="81"/>
            <rFont val="Tahoma"/>
            <family val="2"/>
          </rPr>
          <t xml:space="preserve">ECGP:
</t>
        </r>
        <r>
          <rPr>
            <sz val="9"/>
            <color indexed="81"/>
            <rFont val="Tahoma"/>
            <family val="2"/>
          </rPr>
          <t xml:space="preserve">Actualizar la fecha de terminación, según última adición al contrato.
</t>
        </r>
      </text>
    </comment>
    <comment ref="M16" authorId="1" shapeId="0" xr:uid="{E8891742-9CB9-4238-A91C-7E24C16BC045}">
      <text>
        <r>
          <rPr>
            <b/>
            <sz val="9"/>
            <color indexed="81"/>
            <rFont val="Tahoma"/>
            <family val="2"/>
          </rPr>
          <t>ECGP:</t>
        </r>
        <r>
          <rPr>
            <sz val="9"/>
            <color indexed="81"/>
            <rFont val="Tahoma"/>
            <family val="2"/>
          </rPr>
          <t xml:space="preserve">
EJ: PAGO 10</t>
        </r>
      </text>
    </comment>
    <comment ref="N16" authorId="1" shapeId="0" xr:uid="{CC8C5FBE-E239-4296-A6C4-A2EF1133A0A2}">
      <text>
        <r>
          <rPr>
            <b/>
            <sz val="9"/>
            <color indexed="81"/>
            <rFont val="Tahoma"/>
            <family val="2"/>
          </rPr>
          <t xml:space="preserve">ECGP:
</t>
        </r>
        <r>
          <rPr>
            <sz val="9"/>
            <color indexed="81"/>
            <rFont val="Tahoma"/>
            <family val="2"/>
          </rPr>
          <t xml:space="preserve">EJ:
HONORARIOS NOVIEMBRE 1-30 DE 202X
HONORARIOS ENERO 15-31 DE 202X
</t>
        </r>
      </text>
    </comment>
    <comment ref="Q16" authorId="1" shapeId="0" xr:uid="{3F7F31B8-1879-4576-9C30-E8D8EFE872CC}">
      <text>
        <r>
          <rPr>
            <b/>
            <sz val="9"/>
            <color indexed="81"/>
            <rFont val="Tahoma"/>
            <family val="2"/>
          </rPr>
          <t>SXPH:</t>
        </r>
        <r>
          <rPr>
            <sz val="9"/>
            <color indexed="81"/>
            <rFont val="Tahoma"/>
            <family val="2"/>
          </rPr>
          <t xml:space="preserve">
Formato Fecha mm/yyyy</t>
        </r>
      </text>
    </comment>
    <comment ref="P24" authorId="1" shapeId="0" xr:uid="{74E11E1B-5532-413C-9BD4-8ABE7C387D03}">
      <text>
        <r>
          <rPr>
            <b/>
            <sz val="9"/>
            <color indexed="81"/>
            <rFont val="Tahoma"/>
            <family val="2"/>
          </rPr>
          <t xml:space="preserve">SXPH:
</t>
        </r>
        <r>
          <rPr>
            <sz val="9"/>
            <color indexed="81"/>
            <rFont val="Tahoma"/>
            <family val="2"/>
          </rPr>
          <t xml:space="preserve">Valor mensual medicina prepagada. 
Es válido el certificado mensual de la misma vigencia, el soporte aportado debe corresponder al mismo periodo objeto del pago. 
</t>
        </r>
      </text>
    </comment>
    <comment ref="H31" authorId="1" shapeId="0" xr:uid="{352AD888-79EB-4D5F-B9BF-60B03C9717F5}">
      <text>
        <r>
          <rPr>
            <b/>
            <sz val="9"/>
            <color indexed="81"/>
            <rFont val="Tahoma"/>
            <family val="2"/>
          </rPr>
          <t xml:space="preserve">SXPH:
</t>
        </r>
        <r>
          <rPr>
            <sz val="9"/>
            <color indexed="81"/>
            <rFont val="Tahoma"/>
            <family val="2"/>
          </rPr>
          <t xml:space="preserve">Si el redondeo es para sumar, ingresar valor positivo.
Si el redondeo es para disminuir, ingresar valor con signo negativo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Ximena Perez Holguin</author>
    <author>Ezzye Carolina Guerrero Palacios</author>
  </authors>
  <commentList>
    <comment ref="H11" authorId="0" shapeId="0" xr:uid="{70210394-6E10-4A2C-84AF-9DA8F240F434}">
      <text>
        <r>
          <rPr>
            <sz val="9"/>
            <color indexed="81"/>
            <rFont val="Tahoma"/>
            <family val="2"/>
          </rPr>
          <t>Actualizar lista de chequeo, según el numero de pago. En cada momento inicio-durante-última cuenta, los documentos varian.</t>
        </r>
      </text>
    </comment>
    <comment ref="J13" authorId="1" shapeId="0" xr:uid="{9454CDCF-490E-45A7-BD85-34248009F889}">
      <text>
        <r>
          <rPr>
            <b/>
            <sz val="9"/>
            <color indexed="81"/>
            <rFont val="Tahoma"/>
            <family val="2"/>
          </rPr>
          <t>Si se presenta retención acumulada, indicar sobre cual  periodo o contrato se aplica.</t>
        </r>
        <r>
          <rPr>
            <sz val="9"/>
            <color indexed="81"/>
            <rFont val="Tahoma"/>
            <family val="2"/>
          </rPr>
          <t xml:space="preserve">
</t>
        </r>
      </text>
    </comment>
    <comment ref="H35" authorId="0" shapeId="0" xr:uid="{6BB735BA-D4C7-43E7-8E1C-D868BB3EE56E}">
      <text>
        <r>
          <rPr>
            <b/>
            <sz val="9"/>
            <color indexed="81"/>
            <rFont val="Tahoma"/>
            <family val="2"/>
          </rPr>
          <t>ECGP:</t>
        </r>
        <r>
          <rPr>
            <sz val="9"/>
            <color indexed="81"/>
            <rFont val="Tahoma"/>
            <family val="2"/>
          </rPr>
          <t xml:space="preserve">
COLOCAR INCIALES 
</t>
        </r>
        <r>
          <rPr>
            <b/>
            <sz val="9"/>
            <color indexed="81"/>
            <rFont val="Tahoma"/>
            <family val="2"/>
          </rPr>
          <t>HW-VR-YS-EC-JR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tc={FDA8A6D0-C87E-4C7E-8314-228D8EFECE8A}</author>
    <author>tc={8F0CC941-CBA1-40EF-8729-7EB897C188D3}</author>
    <author>tc={75CEED17-95E1-4D72-8449-37A322D375F5}</author>
    <author>tc={9464F658-3E8B-44B5-A071-E7F0AD27A626}</author>
    <author>tc={A6836B67-6903-47DB-A416-DDB80BE91AEE}</author>
    <author>tc={74F1E727-76C7-4984-9F42-DE69A98EA7AF}</author>
    <author>tc={F58F1B78-D686-47CB-9ADC-8D5C23B42F79}</author>
  </authors>
  <commentList>
    <comment ref="C37" authorId="0" shapeId="0" xr:uid="{FDA8A6D0-C87E-4C7E-8314-228D8EFECE8A}">
      <text>
        <t>[Comentario encadenado]
Su versión de Excel le permite leer este comentario encadenado; sin embargo, las ediciones que se apliquen se quitarán si el archivo se abre en una versión más reciente de Excel. Más información: https://go.microsoft.com/fwlink/?linkid=870924
Comentario:
    Régimen de ahorro individual con solidaridad: es gestionado por fondos privados de pensión.</t>
      </text>
    </comment>
    <comment ref="H43" authorId="1" shapeId="0" xr:uid="{8F0CC941-CBA1-40EF-8729-7EB897C188D3}">
      <text>
        <t>[Comentario encadenado]
Su versión de Excel le permite leer este comentario encadenado; sin embargo, las ediciones que se apliquen se quitarán si el archivo se abre en una versión más reciente de Excel. Más información: https://go.microsoft.com/fwlink/?linkid=870924
Comentario:
    Del ingreso laboral</t>
      </text>
    </comment>
    <comment ref="I56" authorId="2" shapeId="0" xr:uid="{75CEED17-95E1-4D72-8449-37A322D375F5}">
      <text>
        <t>[Comentario encadenado]
Su versión de Excel le permite leer este comentario encadenado; sin embargo, las ediciones que se apliquen se quitarán si el archivo se abre en una versión más reciente de Excel. Más información: https://go.microsoft.com/fwlink/?linkid=870924
Comentario:
    Ley 2010 de 2019 = 2.880 UVT Anual
Ley 2277 de 2022 =    790 UVT Anual</t>
      </text>
    </comment>
    <comment ref="H68" authorId="3" shapeId="0" xr:uid="{9464F658-3E8B-44B5-A071-E7F0AD27A626}">
      <text>
        <t>[Comentario encadenado]
Su versión de Excel le permite leer este comentario encadenado; sin embargo, las ediciones que se apliquen se quitarán si el archivo se abre en una versión más reciente de Excel. Más información: https://go.microsoft.com/fwlink/?linkid=870924
Comentario:
    Del Valor Bruto menos el IVA</t>
      </text>
    </comment>
    <comment ref="H75" authorId="4" shapeId="0" xr:uid="{A6836B67-6903-47DB-A416-DDB80BE91AEE}">
      <text>
        <t>[Comentario encadenado]
Su versión de Excel le permite leer este comentario encadenado; sin embargo, las ediciones que se apliquen se quitarán si el archivo se abre en una versión más reciente de Excel. Más información: https://go.microsoft.com/fwlink/?linkid=870924
Comentario:
    Art. 336 ET. # 3. La sumatoria de las exenciones y deducciones especiales no pueden  exceder del 40% del ingreso neto.</t>
      </text>
    </comment>
    <comment ref="I75" authorId="5" shapeId="0" xr:uid="{74F1E727-76C7-4984-9F42-DE69A98EA7AF}">
      <text>
        <t>[Comentario encadenado]
Su versión de Excel le permite leer este comentario encadenado; sin embargo, las ediciones que se apliquen se quitarán si el archivo se abre en una versión más reciente de Excel. Más información: https://go.microsoft.com/fwlink/?linkid=870924
Comentario:
    Ley 2010 de 2019 = 5040 UVT Anual
Ley 2277 de 2022 = a 1.340 UVT Anual</t>
      </text>
    </comment>
    <comment ref="E117" authorId="6" shapeId="0" xr:uid="{F58F1B78-D686-47CB-9ADC-8D5C23B42F7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Máximo 40% de ingresos netos* Límite máximo 1.340 UVT anuales </t>
      </text>
    </comment>
  </commentList>
</comments>
</file>

<file path=xl/sharedStrings.xml><?xml version="1.0" encoding="utf-8"?>
<sst xmlns="http://schemas.openxmlformats.org/spreadsheetml/2006/main" count="777" uniqueCount="727">
  <si>
    <t>Elaboró: Contador SDG, Nivel Central. 01/Junio/2023. Versión 1.</t>
  </si>
  <si>
    <t>Actualizó Datos UVT y SMMLV: Contador SDG, Nivel Central. 10/Enero/2024. Versión 1.</t>
  </si>
  <si>
    <t>PARAMETROS</t>
  </si>
  <si>
    <t>ARL %</t>
  </si>
  <si>
    <t>DEPENDENCIA</t>
  </si>
  <si>
    <t>PENSIÓN FSP</t>
  </si>
  <si>
    <t>PENSIONADO</t>
  </si>
  <si>
    <t>Mes Vencido y/o Afiliación</t>
  </si>
  <si>
    <t>ACTIVIDAD ECONÓMICA</t>
  </si>
  <si>
    <t>ESTAMPILLA UNIVERSIDAD DISTRITAL</t>
  </si>
  <si>
    <t>UVT 2025</t>
  </si>
  <si>
    <t>DESPACHO DEL SECRETARIO DE GOBIERNO</t>
  </si>
  <si>
    <t>AÑO 2023</t>
  </si>
  <si>
    <t>SMMLV</t>
  </si>
  <si>
    <t>X</t>
  </si>
  <si>
    <t>OFICINA ASESORA DE PLANEACIÓN</t>
  </si>
  <si>
    <t>Fondo de Solidaridad Pensional</t>
  </si>
  <si>
    <t>CÓDIGO</t>
  </si>
  <si>
    <t>DESCRIPCIÓN</t>
  </si>
  <si>
    <t>Tarifa x 1000</t>
  </si>
  <si>
    <t>en %</t>
  </si>
  <si>
    <t>UVT</t>
  </si>
  <si>
    <t>PESOS</t>
  </si>
  <si>
    <t>OFICINA ASESORA DE COMUNICACIONES</t>
  </si>
  <si>
    <t>Fondo de solidaridad</t>
  </si>
  <si>
    <t>Fondo de subsistencia</t>
  </si>
  <si>
    <t>Actividades de apoyo a la agricultura</t>
  </si>
  <si>
    <t>Exclusión</t>
  </si>
  <si>
    <t>Art. 383. Tarifa.</t>
  </si>
  <si>
    <t>OFICINA DE CONTROL INTERNO</t>
  </si>
  <si>
    <t>Se liquida cuando el trabajador devenga más de 4 SMMLV</t>
  </si>
  <si>
    <t>Actividades de apoyo a la ganadería</t>
  </si>
  <si>
    <t>TABLA DE RETENCIÓN EN LA FUENTE PARA INGRESOS LABORALES GRAVADOS.</t>
  </si>
  <si>
    <t>OFICINA DE ASUNTOS DISCPLINARIOS</t>
  </si>
  <si>
    <t>*Aporte a cargo del trabajador.</t>
  </si>
  <si>
    <t>Tratamiento de semillas para propagación</t>
  </si>
  <si>
    <t>Base Retención Estampilla</t>
  </si>
  <si>
    <t>DIRECCIÓN DE RELACIONES POLÍTICAS</t>
  </si>
  <si>
    <t>Servicios de apoyo a la silvicultura</t>
  </si>
  <si>
    <t>Rangos en UVT</t>
  </si>
  <si>
    <t>Tarifa Marginal</t>
  </si>
  <si>
    <t>Impuesto</t>
  </si>
  <si>
    <t>DIRECCIÓN JURÍDICA</t>
  </si>
  <si>
    <t>Rango salarial</t>
  </si>
  <si>
    <t>Porcentaje</t>
  </si>
  <si>
    <t>Extracción de hulla (carbón de piedra)</t>
  </si>
  <si>
    <t>TARIFA A APLICAR</t>
  </si>
  <si>
    <t>De &gt;</t>
  </si>
  <si>
    <t>Hasta</t>
  </si>
  <si>
    <t>DIRECCIÓN PARA LA GESTIÓN ADMINISTRATIVA ESPECIAL DE POLICIA</t>
  </si>
  <si>
    <t xml:space="preserve">De 4 SMMLV a 16 SMMLV	</t>
  </si>
  <si>
    <t>Extracción de carbón lignito</t>
  </si>
  <si>
    <t>SUBSECRETARÍA DE GESTIÓN LOCAL</t>
  </si>
  <si>
    <t>De 16 SMMLV a 17 SMMLV</t>
  </si>
  <si>
    <t>Extracción de petróleo crudo</t>
  </si>
  <si>
    <t>(Ingreso laboral gravado expresado en UVT menos 95 UVT)*19%</t>
  </si>
  <si>
    <t>DIRECCIÓN PARA LA GESTIÓN DEL DESARROLLO LOCAL</t>
  </si>
  <si>
    <t>De 17 SMMLV a 18 SMMLV</t>
  </si>
  <si>
    <t>Extracción de gas natural</t>
  </si>
  <si>
    <t>(Ingreso laboral gravado expresado en UVT menos 150 UVT)*28% más 10 UVT</t>
  </si>
  <si>
    <t>DIRECCIÓN PARA LA GESTIÓN POLICIVA</t>
  </si>
  <si>
    <t>De 18 SMMLV a 19 SMMLV</t>
  </si>
  <si>
    <t>Extracción de minerales de hierro</t>
  </si>
  <si>
    <t>(Ingreso laboral gravado expresado en UVT menos 360 UVT)*33% más 69 UVT</t>
  </si>
  <si>
    <t>SUBSECRETARÍA PARA LA GOBERNABILIDAD Y GARANTÍA DE DERECHOS</t>
  </si>
  <si>
    <t>De 19 SMMLV a 20 SMMLV</t>
  </si>
  <si>
    <t>Extracción de minerales de uranio y de torio</t>
  </si>
  <si>
    <t>(Ingreso laboral gravado expresado en UVT menos 640 UVT)*35% más 162 UVT</t>
  </si>
  <si>
    <t>DIRECCIÓN DE DERECHOS HUMANOS</t>
  </si>
  <si>
    <t xml:space="preserve"> </t>
  </si>
  <si>
    <t>Más de 20 SMMLV</t>
  </si>
  <si>
    <t>Extracción de oro y otros metales preciosos</t>
  </si>
  <si>
    <t>(Ingreso laboral gravado expresado en UVT menos 945 UVT)*37% más 268 UVT</t>
  </si>
  <si>
    <t>SUBDIRECCIÓN DE ASUNTOS DE LIBERTAD RELIGIOSA Y DE CONCIENCIA</t>
  </si>
  <si>
    <t>Extracción de minerales de níquel</t>
  </si>
  <si>
    <t>(Ingreso laboral gravado expresado en UVT menos 2300 UVT)*39% más 770 UVT</t>
  </si>
  <si>
    <t>DIRECCIÓN DE ASUNTOS ÉTNICOS</t>
  </si>
  <si>
    <t>Extracción de otros minerales metalíferos no ferrosos n.c.p.</t>
  </si>
  <si>
    <t>SUBDIRECCIÓN DE ASUNTOS INDÍGENAS Y RROM</t>
  </si>
  <si>
    <t>Rangos en Salarios Mínimos Mensuales</t>
  </si>
  <si>
    <t>Extracción de piedra, arena,
arcillas comunes, yeso y
anhidrita</t>
  </si>
  <si>
    <t>SUBDIRECCIÓN DE ASUNTOS PARA COMUNIDADES NEGRAS, AFROCOLOMBIANAS, RAIZALES Y PALENQUERAS</t>
  </si>
  <si>
    <t xml:space="preserve">Rango que aplica </t>
  </si>
  <si>
    <t>Extracción de arcillas de uso industrial, caliza, caolín y bentonitas</t>
  </si>
  <si>
    <t>Rango que aplica</t>
  </si>
  <si>
    <t>Rangos en Pesos</t>
  </si>
  <si>
    <t>DIRECCIÓN DE CONVIVENCIA Y DIALOGO SOCIAL</t>
  </si>
  <si>
    <t>Extracción de esmeraldas, piedras preciosas y semipreciosas</t>
  </si>
  <si>
    <t>SUBSECRETARÍA DE GESTIÓN INSTITUCIONAL</t>
  </si>
  <si>
    <t>Extracción de minerales para la fabricación de abonos y productos químicos</t>
  </si>
  <si>
    <t>DIRECCIÓN DE GESTIÓN DE TALENTO HUMANO</t>
  </si>
  <si>
    <t>Extracción de halita (sal)</t>
  </si>
  <si>
    <t>DIRECCIÓN ADMINISTRATIVA</t>
  </si>
  <si>
    <t>Extracción de otros minerales no metálicos n.c.p.</t>
  </si>
  <si>
    <t>DIRECCIÓN FINANCIERA</t>
  </si>
  <si>
    <t>Actividades de apoyo para la extracción de petróleo y de gas natural</t>
  </si>
  <si>
    <t>DIRECCIÓN DE TECNOLOGÍAS E INFORMACIÓN</t>
  </si>
  <si>
    <t>Actividades de apoyo para otras actividades de explotación de minas y canteras</t>
  </si>
  <si>
    <t>DIRECCIÓN DE CONTRATACIÓN</t>
  </si>
  <si>
    <t>Procesamiento y conservación de carne y productos cárnicos</t>
  </si>
  <si>
    <t>OFICINA DE ATENCIÓN A LA CIUDADANÍA</t>
  </si>
  <si>
    <t>Procesamiento y conservación de pescados, crustáceos y moluscos</t>
  </si>
  <si>
    <t>Elaboración de aceites y grasas de origen vegetal y animal</t>
  </si>
  <si>
    <t>INGRESO BASE DE COTIZACIÓN TOTAL</t>
  </si>
  <si>
    <t>Elaboración de productos de molinería</t>
  </si>
  <si>
    <t>BASE DE RETENCION EN PESOS</t>
  </si>
  <si>
    <t>Elaboración de almidones y productos derivados del almidón</t>
  </si>
  <si>
    <t>BASE DE RETENCION EN UVT</t>
  </si>
  <si>
    <t>CANTIDAD DE MESES A PAGAR</t>
  </si>
  <si>
    <t>Trilla de café</t>
  </si>
  <si>
    <t>INGRESO BASE COTIZACION MENSUAL</t>
  </si>
  <si>
    <t>Descafeinado, tostión y molienda del café</t>
  </si>
  <si>
    <t>TARIFA DE FONDO SOLIDARIDAD PENSIONAL</t>
  </si>
  <si>
    <t>Elaboración de otros derivados del café</t>
  </si>
  <si>
    <t>TARIFA FINAL DE APORTE PENSIÓN</t>
  </si>
  <si>
    <t>Elaboración y refinación de azúcar</t>
  </si>
  <si>
    <t>Ingresos no constitutivos de renta de las Rentas de trabajo</t>
  </si>
  <si>
    <t>1er Límite %</t>
  </si>
  <si>
    <t>2do Límites en UVT</t>
  </si>
  <si>
    <t>2do Límites en $</t>
  </si>
  <si>
    <t>Valor a Descontar de la base de retención</t>
  </si>
  <si>
    <t>Elaboración de panela</t>
  </si>
  <si>
    <t>Aportes obligatorios al sistema general de salud</t>
  </si>
  <si>
    <t>Sin límites</t>
  </si>
  <si>
    <t>TOTAL APORTE PENSIÓN</t>
  </si>
  <si>
    <t>Pensión 16%</t>
  </si>
  <si>
    <t>Elaboración de productos de panadería</t>
  </si>
  <si>
    <t xml:space="preserve">Aportes obligatorios al sistema general de pensiones -Incluye fondo de solidaridad pensional </t>
  </si>
  <si>
    <t>Elaboración de cacao, chocolate y productos de confitería</t>
  </si>
  <si>
    <r>
      <t xml:space="preserve">Aportes voluntarios en el RAIS </t>
    </r>
    <r>
      <rPr>
        <sz val="8"/>
        <color theme="1"/>
        <rFont val="Arial"/>
        <family val="2"/>
      </rPr>
      <t>-a Fondo de Pensión Obligatorio -Privado--</t>
    </r>
  </si>
  <si>
    <t>25% del Ingreso Laboral</t>
  </si>
  <si>
    <t>Elaboración de macarrones, fideos, alcuzcuz y productos farináceos similares</t>
  </si>
  <si>
    <t>Elaboración de comidas y platos preparados</t>
  </si>
  <si>
    <t>Elaboración de otros productos alimenticios n.c.p.</t>
  </si>
  <si>
    <t>Elaboración de alimentos preparados para animales</t>
  </si>
  <si>
    <t>Rentas Exentas de Rentas de Trabajo</t>
  </si>
  <si>
    <t>Destilación, rectificación y mezcla de bebidas alcohólicas</t>
  </si>
  <si>
    <t>*Aportes a Fondo de Pensiones Voluntario</t>
  </si>
  <si>
    <t>Límites Conjuntos, la suma de, no exceder los límites</t>
  </si>
  <si>
    <t>Elaboración de bebidas fermentadas no destiladas</t>
  </si>
  <si>
    <t>Aportes voluntarios AFC, FVP y/o AVC</t>
  </si>
  <si>
    <t>Producción de malta, elaboración de cervezas y otras bebidas malteadas</t>
  </si>
  <si>
    <t>Aportes voluntarios a los seguros privados de pensiones – FVP</t>
  </si>
  <si>
    <t>Elaboración de bebidas no alcohólicas, producción de aguas minerales y de otras aguas embotelladas</t>
  </si>
  <si>
    <t>Aportes a las Cuentas de Ahorro Voluntario Contractual – AVC</t>
  </si>
  <si>
    <t>Elaboración de productos de tabaco</t>
  </si>
  <si>
    <t>Depósitos efectuados a Cuentas de Ahorro para el Fomento de la Construcción – AFC</t>
  </si>
  <si>
    <t>Preparación e hilatura de fibras textiles</t>
  </si>
  <si>
    <t>Tejeduría de productos textiles</t>
  </si>
  <si>
    <t>Valor X Meses Acumulados</t>
  </si>
  <si>
    <t>Valor Conjunto</t>
  </si>
  <si>
    <t>Acabado de productos textiles</t>
  </si>
  <si>
    <t>Aportes voluntarios AFC, FVP y/o AVC; Aportes voluntarios a los seguros privados de pensiones – FVP; Aportes a las Cuentas de Ahorro Voluntario Contractual – AVC</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</si>
  <si>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</si>
  <si>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</si>
  <si>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</si>
  <si>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</si>
  <si>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</si>
  <si>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</si>
  <si>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Otras rentas exentas</t>
  </si>
  <si>
    <t>Curtido y recurtido de cueros; recurtido y teñido de pieles.</t>
  </si>
  <si>
    <t>El (25%) del  Vr Total de los pagos laborales.</t>
  </si>
  <si>
    <t>Fabricación de artículos de viaje, bolsos de mano y artículos similares elaborados en cuero, y fabricación de artículos de talabartería y guarnicionería.</t>
  </si>
  <si>
    <t>También procede en relación con las rentas de trabajo que no provengan de una relación laboral o legal y reglamentaria.</t>
  </si>
  <si>
    <t>Fabricación de artículos de viaje, bolsos de mano y artículos similares; artículos de talabartería y guarnicionería elaborados en otros materiales</t>
  </si>
  <si>
    <t>Art. 206 ET. # 10. El cálculo de esta renta exenta se efectuará una vez se detraiga del valor total de los pagos laborales recibidos por el trabajador, los ingresos no constitutivos de renta, las deducciones y las demás rentas exentas diferentes a la establecida en el presente numeral.</t>
  </si>
  <si>
    <t>Fabricación de calzado de cuero y piel, con cualquier tipo de suela</t>
  </si>
  <si>
    <t>Fabricación de otros tipos de calzado, excepto calzado de cuero y piel</t>
  </si>
  <si>
    <t>Base para calcular el 25% de Otras rentas exentas</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</si>
  <si>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</si>
  <si>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</si>
  <si>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</si>
  <si>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 y para edificios</t>
  </si>
  <si>
    <t>Deducciones Imputables a las Rentas de Trabajo</t>
  </si>
  <si>
    <t>Fabricación de recipientes de madera</t>
  </si>
  <si>
    <t>Intereses de Créditos para Vivienda</t>
  </si>
  <si>
    <t>Fabricación de otros productos de madera; fabricación de artículos de corcho, cestería y espartería</t>
  </si>
  <si>
    <t>Pagos por Salud - Medicina Prepagada, que impliquen protección al trabajador, su cónyuge, sus hijos y dependientes.</t>
  </si>
  <si>
    <t>Fabricación de pulpas (pastas) celulósicas; papel y cartón</t>
  </si>
  <si>
    <t>Los pagos por seguros de salud, expedidos por compañías de seguros vigiladas por la SuperFinanciera</t>
  </si>
  <si>
    <t>Fabricación de papel y cartón ondulado (corrugado); fabricación de envases, empaques y de embalajes de papel y cartón.</t>
  </si>
  <si>
    <t>Deducción por Dependientes Económicos</t>
  </si>
  <si>
    <t>Fabricación de otros artículos de papel y cartón</t>
  </si>
  <si>
    <t>Actividades de impresión</t>
  </si>
  <si>
    <t>Actividades de servicios relacionados con la impresión</t>
  </si>
  <si>
    <t>Producción de copias a partir de grabaciones originales</t>
  </si>
  <si>
    <t>Pagos por Salud - Medicina Prepagada; y/o ; seguros de salud, expedidos por compañías de seguros</t>
  </si>
  <si>
    <t>Fabricación de productos de hornos de coque</t>
  </si>
  <si>
    <t xml:space="preserve">Fabricación de productos de la refinación del petróleo </t>
  </si>
  <si>
    <t>Actividad de mezcla de combustibles</t>
  </si>
  <si>
    <t>Límite General</t>
  </si>
  <si>
    <t>RENTAS EXENTAS Y DEDUCCIONES IMPUTABLES DE LAS RENTA DE TRABAJO (LIMITADAS)</t>
  </si>
  <si>
    <t>Fabricación de sustancias y productos químicos básicos</t>
  </si>
  <si>
    <t xml:space="preserve">Siempre que no excedan el cuarenta (40%) del Ingreso Neto, que en todo caso no puede exceder de mil trescientas cuarenta (1.340) UVT anuales. </t>
  </si>
  <si>
    <t>Fabricación de abonos y compuestos inorgánicos nitrogenados</t>
  </si>
  <si>
    <t>Total Deducciones y Rentas Exentas</t>
  </si>
  <si>
    <t>40% Del Ingreso Neto</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</si>
  <si>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</si>
  <si>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</si>
  <si>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</si>
  <si>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</si>
  <si>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Cálculo de la retención en la fuente</t>
  </si>
  <si>
    <t>Fabricación de jabones y detergentes, preparados para limpiar y pulir; perfumes y preparados de tocador</t>
  </si>
  <si>
    <t>Fabricación de otros productos químicos n.c.p.</t>
  </si>
  <si>
    <r>
      <t xml:space="preserve">La ley 2277 de 2022 no contempló ningún cambio en cuanto a la clasificación de las rentas cedulares con respecto a la Ley 2010 de 2019, pero en cuanto a los </t>
    </r>
    <r>
      <rPr>
        <b/>
        <i/>
        <u/>
        <sz val="10"/>
        <color theme="1"/>
        <rFont val="Arial"/>
        <family val="2"/>
      </rPr>
      <t>límites</t>
    </r>
    <r>
      <rPr>
        <b/>
        <i/>
        <sz val="10"/>
        <color theme="1"/>
        <rFont val="Arial"/>
        <family val="2"/>
      </rPr>
      <t xml:space="preserve"> de la sumatoria </t>
    </r>
    <r>
      <rPr>
        <b/>
        <i/>
        <u/>
        <sz val="10"/>
        <color theme="1"/>
        <rFont val="Arial"/>
        <family val="2"/>
      </rPr>
      <t>de las rentas exentas y deducciones especiales</t>
    </r>
    <r>
      <rPr>
        <b/>
        <i/>
        <sz val="10"/>
        <color theme="1"/>
        <rFont val="Arial"/>
        <family val="2"/>
      </rPr>
      <t xml:space="preserve"> si hizo modificaciones.</t>
    </r>
  </si>
  <si>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</si>
  <si>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</si>
  <si>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</si>
  <si>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</si>
  <si>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Meses a pagar en trámite</t>
  </si>
  <si>
    <t>Fabricación de formas básicas de caucho y otros productos de caucho n.c.p.</t>
  </si>
  <si>
    <t>Meses a adicionar en base de retención</t>
  </si>
  <si>
    <t>Fabricación de formas básicas de plástico</t>
  </si>
  <si>
    <t>Total Meses a Acumular en Base de Retención</t>
  </si>
  <si>
    <t>Fabricación de artículos de plástico n.c.p.</t>
  </si>
  <si>
    <t>Fabricación de vidrio y productos de vidrio</t>
  </si>
  <si>
    <t>Ingresos Brutos a pagar en trámite</t>
  </si>
  <si>
    <t>Fabricación de productos refractarios</t>
  </si>
  <si>
    <t>Ingresos Brutos a Adicionar, por más de un pago en el mismo mes.</t>
  </si>
  <si>
    <t>Fabricación de materiales de arcilla para la construcción</t>
  </si>
  <si>
    <t>Total Ingresos Brutos a Acumular en Base de Retención</t>
  </si>
  <si>
    <t>Fabricación de otros productos de cerámica y porcelana</t>
  </si>
  <si>
    <t>Ingreso Base de Cotización para Seg Social</t>
  </si>
  <si>
    <t>Responsable de IVA</t>
  </si>
  <si>
    <t>Fabricación de cemento, cal  y yeso</t>
  </si>
  <si>
    <t>Fabricación de artículos de hormigón, cemento y yeso</t>
  </si>
  <si>
    <t>Corte, tallado y acabado de la piedra</t>
  </si>
  <si>
    <t>Depuración de la Base de Retención en la fuente</t>
  </si>
  <si>
    <t>Fabricación de otros productos minerales no metálicos n.c.p.</t>
  </si>
  <si>
    <t>Industrias básicas de hierro y de acero</t>
  </si>
  <si>
    <t xml:space="preserve"> +  Ingresos Obtenidos</t>
  </si>
  <si>
    <t>Industrias básicas de metales preciosos</t>
  </si>
  <si>
    <t>Industrias básicas de otros metales no ferrosos</t>
  </si>
  <si>
    <t xml:space="preserve"> - Ingresos No Constitutivos de Renta</t>
  </si>
  <si>
    <t>Fundición de hierro y de acero</t>
  </si>
  <si>
    <t>Fundición de metales no ferrosos</t>
  </si>
  <si>
    <t>Fabricación de productos metálicos para uso estructural</t>
  </si>
  <si>
    <t>Aportes voluntarios en el RAIS -a Fondo de Pensión Obligatorio -Privado--</t>
  </si>
  <si>
    <t>Fabricación de tanques, depósitos y recipientes de metal, excepto los utilizados para el envase o transporte de mercancías</t>
  </si>
  <si>
    <t>Fabricación de generadores de vapor, excepto calderas de agua caliente para calefacción central</t>
  </si>
  <si>
    <t xml:space="preserve"> = Ingresos Netos</t>
  </si>
  <si>
    <t>Fabricación de armas y municiones</t>
  </si>
  <si>
    <t>Forja, prensado, estampado y laminado de metal; pulvimetalurgia</t>
  </si>
  <si>
    <t xml:space="preserve"> - Total Deducciones</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</si>
  <si>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</si>
  <si>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</si>
  <si>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</si>
  <si>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</si>
  <si>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</si>
  <si>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 xml:space="preserve"> - Total Renta Exenta</t>
  </si>
  <si>
    <t>Fabricación de equipos de comunicación</t>
  </si>
  <si>
    <t>Aportes Voluntarios FVP, AVC, AFC.</t>
  </si>
  <si>
    <t>Fabricación de aparatos electrónicos de consumo</t>
  </si>
  <si>
    <t>Otras Rentas Exentas 25%</t>
  </si>
  <si>
    <t xml:space="preserve">Fabricación de equipo de medición, prueba, navegación y control </t>
  </si>
  <si>
    <t>Fabricación de relojes</t>
  </si>
  <si>
    <t xml:space="preserve"> = Total Deducciones y Rentas Exentas</t>
  </si>
  <si>
    <t>Fabricación de equipo de irradiación y equipo electrónico de uso médico y terapéutico</t>
  </si>
  <si>
    <t xml:space="preserve">Fabricación de instrumentos ópticos y equipo fotográfico </t>
  </si>
  <si>
    <t xml:space="preserve"> - Rentas Exentas y Deducciones Imputables (limitadas)</t>
  </si>
  <si>
    <t>Fabricación de soportes magnéticos y ópticos</t>
  </si>
  <si>
    <t>Fabricación de motores, generadores y transformadores eléctricos.</t>
  </si>
  <si>
    <t xml:space="preserve"> = Base de Retención en la Fuente Depurada</t>
  </si>
  <si>
    <t>Fabricación de aparatos de distribución y control de la energía eléctrica</t>
  </si>
  <si>
    <t>Fabricación de pilas, baterías y acumuladores eléctricos</t>
  </si>
  <si>
    <t>Valor Retención en la fuente</t>
  </si>
  <si>
    <t>Fabricación de hilos y cables eléctricos y de fibra óptica</t>
  </si>
  <si>
    <t>Fabricación de dispositivos de cableado</t>
  </si>
  <si>
    <t>Menos Valor Retención en la Fuente Descontada en Pago 1</t>
  </si>
  <si>
    <t>Fabricación de equipos eléctricos de iluminación</t>
  </si>
  <si>
    <t>Fabricación de aparatos de uso doméstico</t>
  </si>
  <si>
    <t>Retención en la Fuente a Descontar en este pago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</si>
  <si>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</si>
  <si>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</si>
  <si>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</si>
  <si>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</si>
  <si>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</si>
  <si>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</si>
  <si>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</si>
  <si>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</si>
  <si>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</si>
  <si>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</si>
  <si>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</si>
  <si>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</si>
  <si>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</si>
  <si>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</si>
  <si>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</si>
  <si>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</si>
  <si>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</si>
  <si>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</si>
  <si>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</si>
  <si>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</si>
  <si>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</si>
  <si>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</si>
  <si>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 xml:space="preserve">Fabricación de locomotoras y de material rodante para ferrocarriles </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</si>
  <si>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</si>
  <si>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</si>
  <si>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</si>
  <si>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</si>
  <si>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</si>
  <si>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</si>
  <si>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</si>
  <si>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</si>
  <si>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</si>
  <si>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 (excepto prendas
de vestir y calzado)</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</si>
  <si>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</si>
  <si>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</si>
  <si>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</si>
  <si>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</si>
  <si>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</si>
  <si>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</si>
  <si>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</si>
  <si>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</si>
  <si>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</si>
  <si>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</si>
  <si>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</si>
  <si>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</si>
  <si>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</si>
  <si>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</si>
  <si>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Suministro de vapor y aire acondicionado</t>
  </si>
  <si>
    <t xml:space="preserve">Evacuación y tratamiento de aguas residuales </t>
  </si>
  <si>
    <t>Recolección de desechos no peligrosos</t>
  </si>
  <si>
    <t>Recolección de desechos peligrosos</t>
  </si>
  <si>
    <t>Tratamiento y disposición de desechos no peligrosos</t>
  </si>
  <si>
    <t>Tratamiento y disposición de desechos peligrosos</t>
  </si>
  <si>
    <t>Recuperación de materiales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</si>
  <si>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</si>
  <si>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</si>
  <si>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</si>
  <si>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</si>
  <si>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</si>
  <si>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</si>
  <si>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</si>
  <si>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 de la construcción</t>
  </si>
  <si>
    <t>Instalaciones de fontanería, calefacción y aire acondicionado de la construcción</t>
  </si>
  <si>
    <t>Otras instalaciones especializadas de la construcción</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</si>
  <si>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</si>
  <si>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</si>
  <si>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</si>
  <si>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</si>
  <si>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</si>
  <si>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</si>
  <si>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Mantenimiento y reparación de motocicletas y de sus partes y piezas</t>
  </si>
  <si>
    <t>Comercio al por mayor a cambio de una retribución o por contrata</t>
  </si>
  <si>
    <t>Comercio al por mayor de productos alimenticios</t>
  </si>
  <si>
    <t xml:space="preserve">Comercio al por mayor de productos textiles y productos confeccionados para uso doméstico </t>
  </si>
  <si>
    <t>Comercio al por mayor de prendas de vestir</t>
  </si>
  <si>
    <t>Comercio al por mayor de calzado</t>
  </si>
  <si>
    <t>Comercio al por mayor de aparatos y equipo de uso doméstico</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</si>
  <si>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</si>
  <si>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</si>
  <si>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</si>
  <si>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</si>
  <si>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metales y productos metalíferos</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</si>
  <si>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</si>
  <si>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</si>
  <si>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</si>
  <si>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</si>
  <si>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</si>
  <si>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</si>
  <si>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</si>
  <si>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</si>
  <si>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</si>
  <si>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</si>
  <si>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</si>
  <si>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</si>
  <si>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</si>
  <si>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tapices, alfombras y recubrimientos para paredes y pisos en establecimientos especializados</t>
  </si>
  <si>
    <t>Comercio al por menor de electrodomésticos y gasodomésticos de uso doméstico, muebles y equipos de iluminación en establecimientos especializados</t>
  </si>
  <si>
    <t>Comercio al por menor de artículos y utensilios de uso doméstico en establecimientos especializados</t>
  </si>
  <si>
    <t>Comercio al por menor de otros artículos domésticos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</si>
  <si>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</si>
  <si>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</si>
  <si>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</si>
  <si>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</si>
  <si>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otros productos nuevos en establecimientos especializados</t>
  </si>
  <si>
    <t>Comercio al por menor de artículos de segunda mano</t>
  </si>
  <si>
    <t>Comercio al por menor de productos textiles, prendas de vestir y calzado, en puestos de venta móviles</t>
  </si>
  <si>
    <t>Comercio al por menor de otros productos en puestos de venta móviles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</si>
  <si>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</si>
  <si>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</si>
  <si>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</si>
  <si>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</si>
  <si>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</si>
  <si>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</si>
  <si>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</si>
  <si>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</si>
  <si>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</si>
  <si>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</si>
  <si>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</si>
  <si>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</si>
  <si>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</si>
  <si>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</si>
  <si>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</si>
  <si>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</si>
  <si>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</si>
  <si>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</si>
  <si>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</si>
  <si>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</si>
  <si>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</si>
  <si>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</si>
  <si>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</si>
  <si>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</si>
  <si>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</si>
  <si>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</si>
  <si>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</si>
  <si>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</si>
  <si>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  de alojamiento</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</si>
  <si>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</si>
  <si>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</si>
  <si>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</si>
  <si>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</si>
  <si>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</si>
  <si>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</si>
  <si>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</si>
  <si>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</si>
  <si>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</si>
  <si>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</si>
  <si>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</si>
  <si>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</si>
  <si>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 (excepto programación de televisión)</t>
  </si>
  <si>
    <t>Actividades de postproducción de películas cinematográficas, videos, programas, anuncios y comerciales de televisión (excepto programación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</si>
  <si>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</si>
  <si>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</si>
  <si>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</si>
  <si>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</si>
  <si>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</si>
  <si>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</si>
  <si>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</si>
  <si>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</si>
  <si>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</si>
  <si>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</si>
  <si>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</si>
  <si>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</si>
  <si>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</si>
  <si>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</si>
  <si>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</si>
  <si>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Banca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</si>
  <si>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</si>
  <si>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</si>
  <si>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</si>
  <si>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</si>
  <si>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</si>
  <si>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</si>
  <si>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</si>
  <si>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</si>
  <si>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</si>
  <si>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</si>
  <si>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</si>
  <si>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Capitalización</t>
  </si>
  <si>
    <t>Seguros generales</t>
  </si>
  <si>
    <t>Seguros de vida</t>
  </si>
  <si>
    <t>Reaseguros</t>
  </si>
  <si>
    <t>Seguros de salud</t>
  </si>
  <si>
    <t>Servicios de seguros sociales de salud</t>
  </si>
  <si>
    <t>Servicios de seguros sociales en riesgos laborales</t>
  </si>
  <si>
    <t>Servicios de seguros sociales en riesgos familia</t>
  </si>
  <si>
    <t>Régimen de ahorro con solidaridad (RAIS)</t>
  </si>
  <si>
    <t>Corretaje de valores y de contratos de productos básicos</t>
  </si>
  <si>
    <t>Otras actividades relacionadas con el mercado de valores</t>
  </si>
  <si>
    <t>Actividades de las sociedades de intermediación cambiaria y de servicios financieros especiales</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</si>
  <si>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</si>
  <si>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</si>
  <si>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</si>
  <si>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</si>
  <si>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</si>
  <si>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</si>
  <si>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</si>
  <si>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Publicidad</t>
  </si>
  <si>
    <t>Actividades de fotografía</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</si>
  <si>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</si>
  <si>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</si>
  <si>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</si>
  <si>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</si>
  <si>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</si>
  <si>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</si>
  <si>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</si>
  <si>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gestión y colocación de empleo</t>
  </si>
  <si>
    <t>Actividades de empresas de servicios temporales</t>
  </si>
  <si>
    <t>Otras actividades de provisión de talento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</si>
  <si>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</si>
  <si>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</si>
  <si>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</si>
  <si>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</si>
  <si>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</si>
  <si>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</si>
  <si>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</si>
  <si>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</si>
  <si>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</si>
  <si>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</si>
  <si>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</si>
  <si>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</si>
  <si>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</si>
  <si>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</si>
  <si>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</si>
  <si>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</si>
  <si>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</si>
  <si>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Educación de la primera infancia</t>
  </si>
  <si>
    <t>Educación preescolar</t>
  </si>
  <si>
    <t>Educación básica primaria</t>
  </si>
  <si>
    <t>Educación básica secundaria</t>
  </si>
  <si>
    <t>Educación media académica</t>
  </si>
  <si>
    <t>Establecimientos que combinan diferentes niveles de educación inicial, preescolar, básica primaria, básica secundaria y media</t>
  </si>
  <si>
    <t>Educación técnica profesional</t>
  </si>
  <si>
    <t>Educación tecnológica</t>
  </si>
  <si>
    <t>Educación de instituciones universitarias o de escuelas tecnológicas</t>
  </si>
  <si>
    <t>Educación de universidades</t>
  </si>
  <si>
    <t>Formación para el trabajo</t>
  </si>
  <si>
    <t>Enseñanza deportiva y recreativa</t>
  </si>
  <si>
    <t>Enseñanza cultural</t>
  </si>
  <si>
    <t>Otros tipos de educación n.c.p.</t>
  </si>
  <si>
    <t>Educación académica no formal (excepto programas de educación básica primaria, básica secundaria y media no gradual con fines de validación)</t>
  </si>
  <si>
    <t>Educación académica no formal impartida mediante programas de educación básica primaria, básica secundaria y media no gradual con fines de validación</t>
  </si>
  <si>
    <t>Actividades de apoyo a la educación</t>
  </si>
  <si>
    <t>Actividades de hospitales y clínicas, con internación</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</si>
  <si>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</si>
  <si>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</si>
  <si>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</si>
  <si>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</si>
  <si>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Actividades de guarderías para niños y niñas</t>
  </si>
  <si>
    <t>Otras actividades de asistencia social n.c.p</t>
  </si>
  <si>
    <t>Actividades de parques de atracciones y parques temáticos</t>
  </si>
  <si>
    <t>Actividades de asociaciones empresariales y de empleadores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</si>
  <si>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</si>
  <si>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</si>
  <si>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</si>
  <si>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</si>
  <si>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domésticos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</si>
  <si>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</si>
  <si>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</si>
  <si>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</si>
  <si>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</si>
  <si>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</si>
  <si>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</si>
  <si>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</si>
  <si>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Procesamiento y conservación de frutas, legumbres, hortalizas y tubérculos (excepto elaboración de jugos de frutas)</t>
  </si>
  <si>
    <t>Elaboración de jugos de frutas</t>
  </si>
  <si>
    <t>Elaboración de productos lácteos (excepto bebidas)</t>
  </si>
  <si>
    <t>Elaboración de bebidas lácteas</t>
  </si>
  <si>
    <t>Fabricación de prendas de vestir de piel</t>
  </si>
  <si>
    <t>Fabricación de artículos de piel (excepto prendas de vestir)</t>
  </si>
  <si>
    <t>Fabricación de prendas de vestir de punto y ganchillo</t>
  </si>
  <si>
    <t>Fabricación de artículos de punto y ganchillo (excepto prendas de vestir)</t>
  </si>
  <si>
    <t>Producción de gas</t>
  </si>
  <si>
    <t>Distribución de combustibles gaseosos por tuberías</t>
  </si>
  <si>
    <t>Captación y tratamiento de agua</t>
  </si>
  <si>
    <t xml:space="preserve">Distribución de agua </t>
  </si>
  <si>
    <t>Actividades de saneamiento ambiental y otros servicios de gestión de desechos (excepto los servicios prestados por contratistas de construcción, constructores y urbanizadores)</t>
  </si>
  <si>
    <t>Actividades de saneamiento ambiental y otros  de gestión de desechos prestados por contratistas de construcción, constructores y urbanizadores</t>
  </si>
  <si>
    <t>Comercio de motocicletas</t>
  </si>
  <si>
    <t>Comercio de partes, piezas y accesorios de motocicletas</t>
  </si>
  <si>
    <t>Comercio al por mayor de materias primas agrícolas en bruto (alimentos)</t>
  </si>
  <si>
    <t>Comercio al por mayor de materias primas pecuarias y animales vivos</t>
  </si>
  <si>
    <t>Comercio al por mayor de bebidas y tabaco (diferentes a licores y cigarrillos)</t>
  </si>
  <si>
    <t>Comercio al por mayor de licores y cigarrillos</t>
  </si>
  <si>
    <t>Comercio al por mayor de productos farmacéuticos y medicinales</t>
  </si>
  <si>
    <t>Comercio al por mayor de productos cosméticos y de tocador (excepto productos farmacéuticos y medicinales)</t>
  </si>
  <si>
    <t>Comercio al por mayor de otros utensilios domésticos n.c.p. (excepto joyas)</t>
  </si>
  <si>
    <t>Venta de joyas</t>
  </si>
  <si>
    <t>Comercio al por mayor de combustibles sólidos, líquidos, gaseosos y productos conexos (excepto combustibles derivados del petróleo)</t>
  </si>
  <si>
    <t>Comercio al por mayor de combustibles derivados del petróleo</t>
  </si>
  <si>
    <t>Comercio al por mayor de materiales de construcción</t>
  </si>
  <si>
    <t>Comercio al por mayor de artículos de ferretería, pinturas, productos de vidrio, equipo y materiales de fontanería y calefacción</t>
  </si>
  <si>
    <t>Comercio al por menor en establecimientos no especializados con surtido compuesto principalmente por alimentos, bebidas no alcohólicas o tabaco (excepto cigarrillos)</t>
  </si>
  <si>
    <t>Comercio al por menor en establecimientos no especializados con surtido compuesto principalmente por licores y cigarrillos</t>
  </si>
  <si>
    <t xml:space="preserve">Comercio al por menor en establecimientos no especializados, con surtido compuesto principalmente por productos de bebidas alcohólicas y cigarrillos </t>
  </si>
  <si>
    <t>Comercio al por menor en establecimientos no especializados, con surtido compuesto principalmente por drogas, medicamentos, textos escolares, libros y cuadernos.</t>
  </si>
  <si>
    <t>Comercio al por menor de bebidas y productos del tabaco, en establecimientos especializados (excepto licores y cigarrillos)</t>
  </si>
  <si>
    <t>Comercio al por menor de licores y cigarrillos</t>
  </si>
  <si>
    <t>Comercio al por menor de materiales de construcción</t>
  </si>
  <si>
    <t>Comercio al por menor de artículos de ferretería, pinturas y productos de vidrio en establecimientos especializados (excepto materiales de construcción)</t>
  </si>
  <si>
    <t xml:space="preserve">Comercio al por menor y al por mayor de libros, textos escolares y cuadernos </t>
  </si>
  <si>
    <t>Comercio al por menor de periódicos, materiales y artículos de papelería y escritorio, en establecimientos especializados (excepto libros, textos escolares y cuadernos)</t>
  </si>
  <si>
    <t>Comercio al por menor de productos farmacéuticos y medicinales en establecimientos especializados</t>
  </si>
  <si>
    <t>Comercio al por menor de productos cosméticos y artículos de tocador en establecimientos especializados (excepto productos farmacéuticos y medicinales)</t>
  </si>
  <si>
    <t>Comercio al por menor de alimentos en puestos de venta móviles</t>
  </si>
  <si>
    <t>Comercio al por menor de bebidas y tabaco en puestos de venta móviles (excepto licores y cigarrillos)</t>
  </si>
  <si>
    <t>Comercio al por menor de cigarrillos y licores en puestos de venta móviles</t>
  </si>
  <si>
    <t>Comercio al por menor de alimentos y productos agrícolas en bruto; venta de textos escolares y libros (incluye cuadernos escolares); venta de drogas y medicamentos realizado a través de internet</t>
  </si>
  <si>
    <t>Comercio al por menor y al por mayor de madera y materiales para construcción; venta de automotores (incluidas motocicletas) realizado a través de internet</t>
  </si>
  <si>
    <t>Comercio al por menor de cigarrillos y licores; venta de combustibles derivados del petróleo y venta de joyas realizado a través de internet</t>
  </si>
  <si>
    <t>Comercio al por menor de demás productos n.c.p. realizado a través de internet</t>
  </si>
  <si>
    <t>Comercio al por menor de alimentos y productos agrícolas en bruto; venta de textos escolares y libros (incluye cuadernos escolares); venta de drogas y medicamentos realizado a través de casas de venta o por correo</t>
  </si>
  <si>
    <t>Comercio al por menor y al por mayor de madera y materiales para construcción; venta de automotores (incluidas motocicletas) realizado a través de casas de venta o por correo</t>
  </si>
  <si>
    <t>Comercio al por menor de cigarrillos y licores; venta de combustibles derivados del petróleo y venta de joyas realizado a través de casas de venta o por correo</t>
  </si>
  <si>
    <t>Comercio al por menor de demás productos n.c.p. realizado a través de casas de venta o por correo</t>
  </si>
  <si>
    <t>Otros tipos de comercio al por menor no realizado en establecimientos, puestos de venta o mercados de textos escolares y libros (incluye cuadernos escolares); venta de drogas y medicamentos</t>
  </si>
  <si>
    <t>Otros tipos de comercio al por menor no realizado en establecimientos, puestos de venta o mercados de materiales para construcción; venta de automotores (incluidas motocicletas)</t>
  </si>
  <si>
    <t>Otros tipos de comercio al por menor no realizado en establecimientos, puestos de venta o mercados de cigarrillos y licores; venta de combustibles derivados del petróleo y venta de joyas</t>
  </si>
  <si>
    <t>Otros tipos de comercio al por menor no realizado en establecimientos, puestos de venta o mercados de demás productos n.c.p.</t>
  </si>
  <si>
    <t>Servicio de edición de libros</t>
  </si>
  <si>
    <t>Edición y publicación de libros</t>
  </si>
  <si>
    <t>Edición y publicación de libros (Tarifa especial para los contribuyentes que cumplen condiciones del Acuerdo 98 de 2003)</t>
  </si>
  <si>
    <t>Actividades de programación de televisión</t>
  </si>
  <si>
    <t>Actividades de transmisión de televisión</t>
  </si>
  <si>
    <t>Otras actividades de servicio financiero, excepto las de seguros y pensiones n.c.p.</t>
  </si>
  <si>
    <t>Actividades comerciales de las casas de empeño o compraventa</t>
  </si>
  <si>
    <t>Servicios de las casas de empeño o compraventas</t>
  </si>
  <si>
    <t>Administración de mercados financieros (excepto actividades de las bolsas de valores)</t>
  </si>
  <si>
    <t>Actividades de las bolsas de valores</t>
  </si>
  <si>
    <t>Actividades jurídicas como consultoría profesional</t>
  </si>
  <si>
    <t>Actividades jurídicas en el ejercicio de una profesión liberal</t>
  </si>
  <si>
    <t>Actividades de contabilidad, teneduría de libros, auditoría financiera y asesoría tributaria como consultoría profesional</t>
  </si>
  <si>
    <t>Actividades de contabilidad, teneduría de libros, auditoría financiera y asesoría tributaria en el ejercicio de una profesión liberal</t>
  </si>
  <si>
    <t>Actividades de administración empresarial como consultoría profesional</t>
  </si>
  <si>
    <t>Actividades de administración empresarial en el ejercicio de una profesión liberal</t>
  </si>
  <si>
    <t>Actividades de consultoría de gestión</t>
  </si>
  <si>
    <t>Actividades de gestión en el ejercicio de una profesión liberal</t>
  </si>
  <si>
    <t>Actividades de arquitectura</t>
  </si>
  <si>
    <t>Actividades de arquitectura en ejercicio de una profesión liberal</t>
  </si>
  <si>
    <t>Actividades de ingeniería y otras actividades conexas de consultoría técnica</t>
  </si>
  <si>
    <t>Actividades de ingeniería y otras actividades conexas de consultoría técnica en ejercicio de una profesión liberal</t>
  </si>
  <si>
    <t>Ensayos y análisis técnicos como consultoría profesional</t>
  </si>
  <si>
    <t>Ensayos y análisis técnicos como consultoría profesional en el ejercicio de una profesión liberal</t>
  </si>
  <si>
    <t>Investigaciones y desarrollo experimental en el campo de las ciencias naturales y la ingeniería como consultoría profesional</t>
  </si>
  <si>
    <t>Investigaciones y desarrollo experimental en el campo de las ciencias naturales y la ingeniería en el ejercicio de una profesión liberal</t>
  </si>
  <si>
    <t>Investigaciones y desarrollo experimental en el campo de las ciencias sociales y las humanidades como consultoría profesional</t>
  </si>
  <si>
    <t>Investigaciones y desarrollo experimental en el campo de las ciencias sociales y las humanidades en el ejercicio de una profesión liberal</t>
  </si>
  <si>
    <t>Estudios de mercado y realización de encuestas de opinión pública como consultoría profesional</t>
  </si>
  <si>
    <t>Estudios de mercado y realización de encuestas de opinión pública en el ejercicio de una profesión liberal</t>
  </si>
  <si>
    <t>Actividades especializadas de diseño como consultoría profesional</t>
  </si>
  <si>
    <t>Actividades especializadas de diseño en el ejercicio de una profesión liberal</t>
  </si>
  <si>
    <t>Otras actividades profesionales, científicas y técnicas n.c.p. como consultoría profesional (incluye actividades de periodistas)</t>
  </si>
  <si>
    <t>Otras actividades profesionales, científicas y técnicas n.c.p. en el ejercicio de una profesión liberal</t>
  </si>
  <si>
    <t>Educación media técnica</t>
  </si>
  <si>
    <t>Educación de formación laboral</t>
  </si>
  <si>
    <t>Actividades de la práctica médica, sin internación (excepto actividades de promoción y prevención que realicen las entidades e instituciones promotoras y prestadoras de servicios de salud de naturaleza pública o privada, con recursos que provengan del Sistema General de Seguridad Social en Salud.)</t>
  </si>
  <si>
    <t>Actividades de la práctica odontológica, sin internación (excepto actividades de promoción y prevención que realicen las entidades e instituciones promotoras y prestadoras de servicios de salud de naturaleza pública o privada, con recursos que provengan del Sistema General de Seguridad Social en Salud.)</t>
  </si>
  <si>
    <t>Actividades de apoyo diagnóstico (excepto actividades de promoción y prevención que realicen las entidades e instituciones promotoras y prestadoras de servicios de salud de naturaleza pública o privada, con recursos que provengan del Sistema General de Seguridad Social en Salud.)</t>
  </si>
  <si>
    <t>Actividades de apoyo terapéutico (excepto actividades de promoción y prevención que realicen las entidades e instituciones promotoras y prestadoras de servicios de salud de naturaleza pública o privada, con recursos que provengan del Sistema General de Seguridad Social en Salud.)</t>
  </si>
  <si>
    <t>Otras actividades de atención de la salud humana (excepto actividades de promoción y prevención que realicen las entidades e instituciones promotoras y prestadoras de servicios de salud de naturaleza pública o privada, con recursos que provengan del Sistema General de Seguridad Social en Salud.)</t>
  </si>
  <si>
    <t>Actividades de atención residencial medicalizada de tipo general (excepto actividades de promoción y prevención que realicen las entidades e instituciones promotoras y prestadoras de servicios de salud de naturaleza pública o privada, con recursos que provengan del Sistema General de Seguridad Social en Salud.)</t>
  </si>
  <si>
    <t>Actividades de juegos de destreza, habilidad, conocimiento y fuerza</t>
  </si>
  <si>
    <t>Otras actividades recreativas y de esparcimiento n.c.p. (excepto juegos de suerte y azar, discotecas y similares )</t>
  </si>
  <si>
    <t>Servicio de pedido, compra, distribución y entrega de productos a través de plataformas o aplicaciones de contacto y que utilizan una red de domiciliarios</t>
  </si>
  <si>
    <t>Pensionado*</t>
  </si>
  <si>
    <t>Actividad Económica</t>
  </si>
  <si>
    <t>No. CONTRATO Y VIGENCIA</t>
  </si>
  <si>
    <t>PROYECTO DE INVERSIÓN / RUBRO</t>
  </si>
  <si>
    <t xml:space="preserve">IBC </t>
  </si>
  <si>
    <t>SALUD</t>
  </si>
  <si>
    <t>PENSIÓN</t>
  </si>
  <si>
    <t>DÍAS PAGO</t>
  </si>
  <si>
    <t>% ARL</t>
  </si>
  <si>
    <t>Tarifa Pensión</t>
  </si>
  <si>
    <t>CC</t>
  </si>
  <si>
    <t>CONTRATISTA</t>
  </si>
  <si>
    <t>Ingreso Bruto</t>
  </si>
  <si>
    <t>VR. MENSUALIDAD</t>
  </si>
  <si>
    <t>Fecha Inicio:</t>
  </si>
  <si>
    <t>VR. ANTES DE IVA</t>
  </si>
  <si>
    <t>Fecha Terminación:</t>
  </si>
  <si>
    <t>VR. IVA</t>
  </si>
  <si>
    <t>Pago No. #  - Período</t>
  </si>
  <si>
    <t>Dependencia</t>
  </si>
  <si>
    <t>NOMBRE CUENTA</t>
  </si>
  <si>
    <t>CODIGO CUENTA</t>
  </si>
  <si>
    <t>DEBITO</t>
  </si>
  <si>
    <t>CREDITO</t>
  </si>
  <si>
    <t>% RETENCION</t>
  </si>
  <si>
    <t>BASE</t>
  </si>
  <si>
    <t>RENTAS EXENTAS Y DEDUCCIONES IMPUTABLES</t>
  </si>
  <si>
    <t>Valor Mensual</t>
  </si>
  <si>
    <t>Honorarios Nivel Central</t>
  </si>
  <si>
    <t>Aporte Voluntario a Pensión en el RAIS</t>
  </si>
  <si>
    <t>Retefuente Rentas de Trabajo por Honorarios</t>
  </si>
  <si>
    <t>Aportes voluntarios FVP, AVC.</t>
  </si>
  <si>
    <t>Retención IVA</t>
  </si>
  <si>
    <t>Retención ICA</t>
  </si>
  <si>
    <t>Retención Estampilla Universidad Distrital</t>
  </si>
  <si>
    <t>Pagos por Salud - Medicina Prepagada</t>
  </si>
  <si>
    <t>Retención Estampilla ProCultura</t>
  </si>
  <si>
    <t>Retención Estampilla ProAdulto Mayor</t>
  </si>
  <si>
    <t>Días a Adicionar por más de un pago en el mismo mes</t>
  </si>
  <si>
    <t>* menos de 30, 30, ó más, días.</t>
  </si>
  <si>
    <t>Total Descuentos</t>
  </si>
  <si>
    <t>*Incluya el Ingreso Bruto = Vr. Antes de IVA más IVA</t>
  </si>
  <si>
    <t>Neto a Pagar - Honorarios</t>
  </si>
  <si>
    <t>Valor Retención en la Fuente Descontada en Pago 1</t>
  </si>
  <si>
    <t>*Regimen Simple de Tributacion, No aplica Retencion Renta-Ica</t>
  </si>
  <si>
    <t>PROFESIONAL DE CONTABILIDAD QUE ELABORÓ:</t>
  </si>
  <si>
    <t>* Aplica para pensionado o no obligado a cotizar pensión</t>
  </si>
  <si>
    <t>AJUSTE AL PESO</t>
  </si>
  <si>
    <t>PROCESO GESTIÓN Y ADQUISICIÓN DE RECURSOS 
Formato Lista de Chequeo de Soportes para Pago</t>
  </si>
  <si>
    <t>Contrato Nº:</t>
  </si>
  <si>
    <t>Beneficiario:</t>
  </si>
  <si>
    <t>Periodo de Pago:</t>
  </si>
  <si>
    <t>Dependencia:</t>
  </si>
  <si>
    <t>Periodo en Seguridad Social:</t>
  </si>
  <si>
    <t>Documentos Básicos</t>
  </si>
  <si>
    <t>Descripción</t>
  </si>
  <si>
    <t>Adjunta</t>
  </si>
  <si>
    <t>Observación</t>
  </si>
  <si>
    <t>Si</t>
  </si>
  <si>
    <t>No</t>
  </si>
  <si>
    <t>Formato de Causación</t>
  </si>
  <si>
    <t>Certificación de cumplimiento o acta de recibo a satisfacción</t>
  </si>
  <si>
    <t>Acta de inicio (si es primer pago)</t>
  </si>
  <si>
    <t>Informe de actividades y soportes</t>
  </si>
  <si>
    <t>Pago de aportes de seguridad social o Certificado de parafiscales persona jurídica</t>
  </si>
  <si>
    <t>Resolución de pensión o recibo de pago de pensión y/o carta donde manifieste que nunca ha cotizado pensión (para mayores de 55 años)</t>
  </si>
  <si>
    <t>Factura o Cuenta de cobro (si aplica)</t>
  </si>
  <si>
    <t>Certificación bancaria (si es primer pago)</t>
  </si>
  <si>
    <t>Certificación Calidad Tributaria del Contratista (Certificación Cedular)</t>
  </si>
  <si>
    <t>Certificación de intereses de vivienda pagados a 31 de diciembre del año anterior</t>
  </si>
  <si>
    <t>Certificación de pagos a medicina prepagada a 31 de diciembre del año anterior</t>
  </si>
  <si>
    <t>Formato de dependientes y Soportes</t>
  </si>
  <si>
    <t>Copia de la minuta de adición, cesión, suspensión o terminación anticipada</t>
  </si>
  <si>
    <t>Acta de liquidación y/o informe final del interventor</t>
  </si>
  <si>
    <t>Control de retiro (si es último pago)</t>
  </si>
  <si>
    <t>Revisión Contabilidad</t>
  </si>
  <si>
    <t>Revisión Giros</t>
  </si>
  <si>
    <t>Firma</t>
  </si>
  <si>
    <t xml:space="preserve">Firma </t>
  </si>
  <si>
    <t>Nombre:</t>
  </si>
  <si>
    <t xml:space="preserve">Nombre:  </t>
  </si>
  <si>
    <t>Nº de Documentos Básicos:</t>
  </si>
  <si>
    <t xml:space="preserve">Fecha de diligenciamiento: </t>
  </si>
  <si>
    <t xml:space="preserve">Fecha de recibido Giros: </t>
  </si>
  <si>
    <t>A partir del segundo pago, se deberá presentar un pantallazo de Secop II generado desde el usuario del proveedor, donde se evidencien las cuentas en el plan de pagos y los certificados de pago de las cuentas que han sido pagadas</t>
  </si>
  <si>
    <t xml:space="preserve">Certificación de cuenta AFC </t>
  </si>
  <si>
    <t>Certificación de cuenta aportes voluntarios pensión</t>
  </si>
  <si>
    <t>Relación de contratos CPS vigentes con otras entidades estatales</t>
  </si>
  <si>
    <t>Soporte de cursos (si aplica según obligaciones Generales del contrato).</t>
  </si>
  <si>
    <t>FORMATO DE DEVENGO PRESTACIÓN DE SERVICIOS
REGIMEN SIMPLE</t>
  </si>
  <si>
    <t>Período en Seguridad Social:</t>
  </si>
  <si>
    <t>Código: GCO-GCI-F202
Versión: 01
Vigencia: 04 de noviembre de 2025
Caso HOLA: 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</si>
</sst>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4" formatCode="_-&quot;$&quot;\ * #,##0.00_-;\-&quot;$&quot;\ * #,##0.00_-;_-&quot;$&quot;\ * &quot;-&quot;??_-;_-@_-"/>
    <numFmt numFmtId="43" formatCode="_-* #,##0.00_-;\-* #,##0.00_-;_-* &quot;-&quot;??_-;_-@_-"/>
    <numFmt numFmtId="164" formatCode="0.0%"/>
    <numFmt numFmtId="165" formatCode="_ * #,##0_ ;_ * \-#,##0_ ;_ * \-??_ ;_ @_ "/>
    <numFmt numFmtId="166" formatCode="0.000%"/>
    <numFmt numFmtId="167" formatCode="&quot;$&quot;\ #,##0"/>
    <numFmt numFmtId="168" formatCode="_(&quot;$&quot;\ * #,##0_);_(&quot;$&quot;\ * \(#,##0\);_(&quot;$&quot;\ * &quot;-&quot;??_);_(@_)"/>
    <numFmt numFmtId="169" formatCode="[$$-240A]\ #,##0"/>
    <numFmt numFmtId="170" formatCode="#,##0_ ;\-#,##0\ "/>
    <numFmt numFmtId="171" formatCode="0.0000"/>
    <numFmt numFmtId="172" formatCode="0.0000%"/>
  </numFmts>
  <fonts count="31" x14ac:knownFonts="1">
    <font>
      <sz val="11"/>
      <color theme="1"/>
      <name val="Calibri"/>
      <family val="2"/>
      <scheme val="minor"/>
    </font>
    <font>
      <b/>
      <sz val="8"/>
      <color theme="1"/>
      <name val="Arial"/>
      <family val="2"/>
    </font>
    <font>
      <sz val="8"/>
      <color theme="1"/>
      <name val="Arial"/>
      <family val="2"/>
    </font>
    <font>
      <sz val="10"/>
      <name val="Arial"/>
      <family val="2"/>
    </font>
    <font>
      <sz val="11"/>
      <color theme="1"/>
      <name val="Calibri"/>
      <family val="2"/>
      <scheme val="minor"/>
    </font>
    <font>
      <sz val="9"/>
      <color theme="1"/>
      <name val="Arial"/>
      <family val="2"/>
    </font>
    <font>
      <sz val="10"/>
      <color theme="1"/>
      <name val="Arial"/>
      <family val="2"/>
    </font>
    <font>
      <b/>
      <sz val="10"/>
      <color theme="1"/>
      <name val="Arial"/>
      <family val="2"/>
    </font>
    <font>
      <sz val="10"/>
      <color rgb="FFFF0000"/>
      <name val="Arial"/>
      <family val="2"/>
    </font>
    <font>
      <b/>
      <i/>
      <sz val="10"/>
      <color theme="1"/>
      <name val="Arial"/>
      <family val="2"/>
    </font>
    <font>
      <b/>
      <sz val="9"/>
      <color theme="1"/>
      <name val="Arial"/>
      <family val="2"/>
    </font>
    <font>
      <b/>
      <i/>
      <u/>
      <sz val="10"/>
      <color theme="1"/>
      <name val="Arial"/>
      <family val="2"/>
    </font>
    <font>
      <sz val="10"/>
      <color indexed="8"/>
      <name val="Arial"/>
      <family val="2"/>
    </font>
    <font>
      <b/>
      <u/>
      <sz val="10"/>
      <color theme="1"/>
      <name val="Arial"/>
      <family val="2"/>
    </font>
    <font>
      <b/>
      <sz val="9"/>
      <color indexed="81"/>
      <name val="Tahoma"/>
      <family val="2"/>
    </font>
    <font>
      <sz val="9"/>
      <color indexed="81"/>
      <name val="Tahoma"/>
      <family val="2"/>
    </font>
    <font>
      <b/>
      <sz val="10"/>
      <color indexed="8"/>
      <name val="Arial"/>
      <family val="2"/>
    </font>
    <font>
      <sz val="10"/>
      <color indexed="9"/>
      <name val="Arial"/>
      <family val="2"/>
    </font>
    <font>
      <sz val="10"/>
      <color rgb="FF00B0F0"/>
      <name val="Arial"/>
      <family val="2"/>
    </font>
    <font>
      <sz val="12"/>
      <color indexed="8"/>
      <name val="Garamond"/>
      <family val="1"/>
    </font>
    <font>
      <b/>
      <sz val="12"/>
      <color indexed="8"/>
      <name val="Garamond"/>
      <family val="1"/>
    </font>
    <font>
      <b/>
      <sz val="12"/>
      <name val="Garamond"/>
      <family val="1"/>
    </font>
    <font>
      <sz val="12"/>
      <name val="Garamond"/>
      <family val="1"/>
    </font>
    <font>
      <b/>
      <sz val="12"/>
      <color rgb="FF00B0F0"/>
      <name val="Garamond"/>
      <family val="1"/>
    </font>
    <font>
      <sz val="12"/>
      <color theme="1"/>
      <name val="Garamond"/>
      <family val="1"/>
    </font>
    <font>
      <sz val="12"/>
      <color rgb="FFFF0000"/>
      <name val="Garamond"/>
      <family val="1"/>
    </font>
    <font>
      <b/>
      <u/>
      <sz val="12"/>
      <color indexed="8"/>
      <name val="Garamond"/>
      <family val="1"/>
    </font>
    <font>
      <b/>
      <u/>
      <sz val="12"/>
      <name val="Garamond"/>
      <family val="1"/>
    </font>
    <font>
      <b/>
      <sz val="12"/>
      <color theme="1"/>
      <name val="Garamond"/>
      <family val="1"/>
    </font>
    <font>
      <u/>
      <sz val="12"/>
      <color indexed="8"/>
      <name val="Garamond"/>
      <family val="1"/>
    </font>
    <font>
      <sz val="12"/>
      <color indexed="10"/>
      <name val="Garamond"/>
      <family val="1"/>
    </font>
  </fonts>
  <fills count="14">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48118533890809E-2"/>
      </left>
      <right/>
      <top/>
      <bottom/>
      <diagonal/>
    </border>
    <border>
      <left/>
      <right/>
      <top style="thin">
        <color theme="2" tint="-9.9917600024414813E-2"/>
      </top>
      <bottom/>
      <diagonal/>
    </border>
    <border>
      <left/>
      <right style="thin">
        <color theme="2" tint="-9.9917600024414813E-2"/>
      </right>
      <top/>
      <bottom/>
      <diagonal/>
    </border>
    <border>
      <left/>
      <right/>
      <top/>
      <bottom style="thin">
        <color theme="2" tint="-9.9917600024414813E-2"/>
      </bottom>
      <diagonal/>
    </border>
    <border>
      <left/>
      <right style="thin">
        <color theme="2" tint="-9.9917600024414813E-2"/>
      </right>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top style="thin">
        <color theme="2" tint="-9.9948118533890809E-2"/>
      </top>
      <bottom/>
      <diagonal/>
    </border>
    <border>
      <left style="thin">
        <color theme="2" tint="-9.9917600024414813E-2"/>
      </left>
      <right/>
      <top style="thin">
        <color theme="2" tint="-9.9917600024414813E-2"/>
      </top>
      <bottom/>
      <diagonal/>
    </border>
    <border>
      <left/>
      <right style="thin">
        <color theme="2" tint="-9.9917600024414813E-2"/>
      </right>
      <top style="thin">
        <color theme="2" tint="-9.9917600024414813E-2"/>
      </top>
      <bottom/>
      <diagonal/>
    </border>
    <border>
      <left style="thin">
        <color theme="2" tint="-9.9917600024414813E-2"/>
      </left>
      <right/>
      <top/>
      <bottom/>
      <diagonal/>
    </border>
    <border>
      <left style="thin">
        <color auto="1"/>
      </left>
      <right style="thin">
        <color auto="1"/>
      </right>
      <top style="thin">
        <color auto="1"/>
      </top>
      <bottom style="thin">
        <color auto="1"/>
      </bottom>
      <diagonal/>
    </border>
    <border>
      <left/>
      <right/>
      <top/>
      <bottom style="thin">
        <color theme="2" tint="-9.9978637043366805E-2"/>
      </bottom>
      <diagonal/>
    </border>
    <border>
      <left/>
      <right/>
      <top/>
      <bottom style="thin">
        <color auto="1"/>
      </bottom>
      <diagonal/>
    </border>
    <border>
      <left style="thin">
        <color theme="2" tint="-9.9978637043366805E-2"/>
      </left>
      <right style="thin">
        <color theme="2" tint="-9.9978637043366805E-2"/>
      </right>
      <top/>
      <bottom style="thin">
        <color theme="2" tint="-9.9917600024414813E-2"/>
      </bottom>
      <diagonal/>
    </border>
    <border>
      <left style="thin">
        <color theme="2" tint="-9.9917600024414813E-2"/>
      </left>
      <right/>
      <top/>
      <bottom style="thin">
        <color theme="2" tint="-9.9917600024414813E-2"/>
      </bottom>
      <diagonal/>
    </border>
    <border>
      <left/>
      <right style="thin">
        <color theme="2" tint="-9.9917600024414813E-2"/>
      </right>
      <top style="thin">
        <color theme="2" tint="-9.9917600024414813E-2"/>
      </top>
      <bottom style="thin">
        <color theme="2" tint="-9.9917600024414813E-2"/>
      </bottom>
      <diagonal/>
    </border>
    <border>
      <left style="thin">
        <color theme="2" tint="-9.9887081514938816E-2"/>
      </left>
      <right/>
      <top style="thin">
        <color theme="2" tint="-9.9887081514938816E-2"/>
      </top>
      <bottom style="thin">
        <color theme="2" tint="-9.9887081514938816E-2"/>
      </bottom>
      <diagonal/>
    </border>
    <border>
      <left/>
      <right/>
      <top style="thin">
        <color theme="2" tint="-9.9887081514938816E-2"/>
      </top>
      <bottom style="thin">
        <color theme="2" tint="-9.9887081514938816E-2"/>
      </bottom>
      <diagonal/>
    </border>
    <border>
      <left/>
      <right/>
      <top style="thin">
        <color auto="1"/>
      </top>
      <bottom style="thin">
        <color auto="1"/>
      </bottom>
      <diagonal/>
    </border>
    <border>
      <left/>
      <right/>
      <top style="thin">
        <color theme="2" tint="-9.9948118533890809E-2"/>
      </top>
      <bottom/>
      <diagonal/>
    </border>
    <border>
      <left style="thin">
        <color theme="2" tint="-9.9917600024414813E-2"/>
      </left>
      <right style="thin">
        <color theme="2" tint="-9.9948118533890809E-2"/>
      </right>
      <top style="thin">
        <color theme="2" tint="-9.9917600024414813E-2"/>
      </top>
      <bottom/>
      <diagonal/>
    </border>
    <border>
      <left style="thin">
        <color theme="2" tint="-9.9948118533890809E-2"/>
      </left>
      <right style="thin">
        <color theme="2" tint="-9.9948118533890809E-2"/>
      </right>
      <top style="thin">
        <color theme="2" tint="-9.9917600024414813E-2"/>
      </top>
      <bottom/>
      <diagonal/>
    </border>
    <border>
      <left style="thin">
        <color theme="2" tint="-9.9948118533890809E-2"/>
      </left>
      <right style="thin">
        <color theme="2" tint="-9.9917600024414813E-2"/>
      </right>
      <top style="thin">
        <color theme="2" tint="-9.9917600024414813E-2"/>
      </top>
      <bottom/>
      <diagonal/>
    </border>
    <border>
      <left/>
      <right style="thin">
        <color theme="2" tint="-9.9887081514938816E-2"/>
      </right>
      <top style="thin">
        <color theme="2" tint="-9.9887081514938816E-2"/>
      </top>
      <bottom style="thin">
        <color theme="2" tint="-9.9887081514938816E-2"/>
      </bottom>
      <diagonal/>
    </border>
    <border>
      <left style="thin">
        <color theme="2" tint="-9.9887081514938816E-2"/>
      </left>
      <right/>
      <top style="thin">
        <color theme="2" tint="-9.9887081514938816E-2"/>
      </top>
      <bottom/>
      <diagonal/>
    </border>
    <border>
      <left/>
      <right/>
      <top style="thin">
        <color theme="2" tint="-9.9887081514938816E-2"/>
      </top>
      <bottom/>
      <diagonal/>
    </border>
    <border>
      <left/>
      <right style="thin">
        <color theme="2" tint="-9.9887081514938816E-2"/>
      </right>
      <top style="thin">
        <color theme="2" tint="-9.9887081514938816E-2"/>
      </top>
      <bottom/>
      <diagonal/>
    </border>
    <border>
      <left style="thin">
        <color theme="2" tint="-9.9887081514938816E-2"/>
      </left>
      <right/>
      <top/>
      <bottom/>
      <diagonal/>
    </border>
    <border>
      <left/>
      <right style="thin">
        <color theme="2" tint="-9.9887081514938816E-2"/>
      </right>
      <top/>
      <bottom/>
      <diagonal/>
    </border>
    <border>
      <left style="thin">
        <color theme="2" tint="-9.9887081514938816E-2"/>
      </left>
      <right/>
      <top/>
      <bottom style="thin">
        <color theme="2" tint="-9.9887081514938816E-2"/>
      </bottom>
      <diagonal/>
    </border>
    <border>
      <left/>
      <right/>
      <top/>
      <bottom style="thin">
        <color theme="2" tint="-9.9887081514938816E-2"/>
      </bottom>
      <diagonal/>
    </border>
    <border>
      <left/>
      <right style="thin">
        <color theme="2" tint="-9.9887081514938816E-2"/>
      </right>
      <top/>
      <bottom style="thin">
        <color theme="2" tint="-9.9887081514938816E-2"/>
      </bottom>
      <diagonal/>
    </border>
    <border>
      <left/>
      <right style="thin">
        <color theme="2" tint="-9.9917600024414813E-2"/>
      </right>
      <top style="thin">
        <color theme="2" tint="-9.9978637043366805E-2"/>
      </top>
      <bottom style="thin">
        <color theme="2" tint="-9.9978637043366805E-2"/>
      </bottom>
      <diagonal/>
    </border>
    <border>
      <left style="thin">
        <color theme="2" tint="-9.9978637043366805E-2"/>
      </left>
      <right/>
      <top style="thin">
        <color theme="2" tint="-9.9887081514938816E-2"/>
      </top>
      <bottom style="thin">
        <color theme="2" tint="-9.9978637043366805E-2"/>
      </bottom>
      <diagonal/>
    </border>
    <border>
      <left/>
      <right/>
      <top style="thin">
        <color theme="2" tint="-9.9887081514938816E-2"/>
      </top>
      <bottom style="thin">
        <color theme="2" tint="-9.9978637043366805E-2"/>
      </bottom>
      <diagonal/>
    </border>
    <border>
      <left style="thin">
        <color theme="2" tint="-9.9978637043366805E-2"/>
      </left>
      <right/>
      <top style="thin">
        <color theme="2" tint="-9.9978637043366805E-2"/>
      </top>
      <bottom/>
      <diagonal/>
    </border>
    <border>
      <left/>
      <right/>
      <top style="thin">
        <color theme="2" tint="-9.9978637043366805E-2"/>
      </top>
      <bottom/>
      <diagonal/>
    </border>
    <border>
      <left/>
      <right style="thin">
        <color theme="2" tint="-9.9978637043366805E-2"/>
      </right>
      <top style="thin">
        <color theme="2" tint="-9.9978637043366805E-2"/>
      </top>
      <bottom/>
      <diagonal/>
    </border>
  </borders>
  <cellStyleXfs count="10">
    <xf numFmtId="0" fontId="0" fillId="0" borderId="0"/>
    <xf numFmtId="0" fontId="3"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353">
    <xf numFmtId="0" fontId="0" fillId="0" borderId="0" xfId="0"/>
    <xf numFmtId="0" fontId="2" fillId="0" borderId="0" xfId="0" applyFont="1"/>
    <xf numFmtId="0" fontId="7" fillId="0" borderId="0" xfId="0" applyFont="1"/>
    <xf numFmtId="0" fontId="6" fillId="0" borderId="0" xfId="0" applyFont="1"/>
    <xf numFmtId="0" fontId="2" fillId="7" borderId="0" xfId="0" applyFont="1" applyFill="1"/>
    <xf numFmtId="0" fontId="6" fillId="7" borderId="29" xfId="0" applyFont="1" applyFill="1" applyBorder="1"/>
    <xf numFmtId="3" fontId="7" fillId="0" borderId="0" xfId="0" applyNumberFormat="1" applyFont="1"/>
    <xf numFmtId="0" fontId="3" fillId="0" borderId="0" xfId="0" applyFont="1"/>
    <xf numFmtId="0" fontId="8" fillId="0" borderId="0" xfId="0" applyFont="1"/>
    <xf numFmtId="0" fontId="6" fillId="5" borderId="0" xfId="0" applyFont="1" applyFill="1"/>
    <xf numFmtId="0" fontId="7" fillId="5" borderId="0" xfId="0" applyFont="1" applyFill="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wrapText="1"/>
    </xf>
    <xf numFmtId="172" fontId="6" fillId="0" borderId="0" xfId="4" applyNumberFormat="1" applyFont="1" applyFill="1" applyAlignment="1" applyProtection="1">
      <alignment horizontal="center" vertical="center"/>
    </xf>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horizontal="right"/>
    </xf>
    <xf numFmtId="0" fontId="5" fillId="0" borderId="0" xfId="0" applyFont="1"/>
    <xf numFmtId="3" fontId="6" fillId="0" borderId="0" xfId="0" applyNumberFormat="1" applyFont="1" applyAlignment="1">
      <alignment horizontal="right"/>
    </xf>
    <xf numFmtId="0" fontId="7" fillId="0" borderId="29" xfId="0" applyFont="1" applyBorder="1" applyAlignment="1">
      <alignment horizontal="center" vertical="center" wrapText="1"/>
    </xf>
    <xf numFmtId="10" fontId="7" fillId="0" borderId="0" xfId="4" applyNumberFormat="1" applyFont="1" applyAlignment="1" applyProtection="1">
      <alignment horizontal="right" vertical="center"/>
    </xf>
    <xf numFmtId="0" fontId="6" fillId="0" borderId="29" xfId="0" applyFont="1" applyBorder="1"/>
    <xf numFmtId="10" fontId="6" fillId="0" borderId="29" xfId="0" applyNumberFormat="1" applyFont="1" applyBorder="1"/>
    <xf numFmtId="10" fontId="6" fillId="0" borderId="29" xfId="0" applyNumberFormat="1" applyFont="1" applyBorder="1" applyAlignment="1">
      <alignment horizontal="center" vertical="center"/>
    </xf>
    <xf numFmtId="9" fontId="6" fillId="0" borderId="0" xfId="0" applyNumberFormat="1" applyFont="1"/>
    <xf numFmtId="3" fontId="7" fillId="3" borderId="0" xfId="0" applyNumberFormat="1" applyFont="1" applyFill="1"/>
    <xf numFmtId="0" fontId="7" fillId="0" borderId="29" xfId="0" applyFont="1" applyBorder="1" applyAlignment="1">
      <alignment horizontal="center" vertical="center"/>
    </xf>
    <xf numFmtId="0" fontId="7" fillId="0" borderId="29" xfId="0" applyFont="1" applyBorder="1" applyAlignment="1">
      <alignment horizontal="center"/>
    </xf>
    <xf numFmtId="0" fontId="6" fillId="4" borderId="29" xfId="0" applyFont="1" applyFill="1" applyBorder="1" applyAlignment="1">
      <alignment horizontal="left" vertical="center" wrapText="1"/>
    </xf>
    <xf numFmtId="0" fontId="6" fillId="4" borderId="29" xfId="0" applyFont="1" applyFill="1" applyBorder="1" applyAlignment="1">
      <alignment horizontal="center" vertical="center"/>
    </xf>
    <xf numFmtId="3" fontId="6" fillId="4" borderId="29" xfId="0" applyNumberFormat="1" applyFont="1" applyFill="1" applyBorder="1" applyAlignment="1">
      <alignment horizontal="center" vertical="center"/>
    </xf>
    <xf numFmtId="10" fontId="6" fillId="4" borderId="29" xfId="0" applyNumberFormat="1" applyFont="1" applyFill="1" applyBorder="1"/>
    <xf numFmtId="0" fontId="6" fillId="0" borderId="29" xfId="0" applyFont="1" applyBorder="1" applyAlignment="1">
      <alignment horizontal="left"/>
    </xf>
    <xf numFmtId="3" fontId="6" fillId="0" borderId="29" xfId="0" applyNumberFormat="1" applyFont="1" applyBorder="1" applyAlignment="1">
      <alignment horizontal="center" vertical="center"/>
    </xf>
    <xf numFmtId="9" fontId="6" fillId="0" borderId="29" xfId="0" applyNumberFormat="1" applyFont="1" applyBorder="1"/>
    <xf numFmtId="3" fontId="6" fillId="0" borderId="29" xfId="0" applyNumberFormat="1" applyFont="1" applyBorder="1"/>
    <xf numFmtId="1" fontId="6" fillId="0" borderId="0" xfId="0" applyNumberFormat="1" applyFont="1"/>
    <xf numFmtId="0" fontId="6" fillId="0" borderId="0" xfId="0" applyFont="1" applyAlignment="1">
      <alignment horizontal="left"/>
    </xf>
    <xf numFmtId="0" fontId="6" fillId="0" borderId="29" xfId="0" applyFont="1" applyBorder="1" applyAlignment="1">
      <alignment horizontal="right" vertical="center"/>
    </xf>
    <xf numFmtId="10" fontId="6" fillId="0" borderId="0" xfId="4" applyNumberFormat="1" applyFont="1" applyProtection="1"/>
    <xf numFmtId="3" fontId="6" fillId="0" borderId="29" xfId="0" applyNumberFormat="1" applyFont="1" applyBorder="1" applyAlignment="1">
      <alignment horizontal="right" vertical="center"/>
    </xf>
    <xf numFmtId="10" fontId="7" fillId="0" borderId="29" xfId="0" applyNumberFormat="1" applyFont="1" applyBorder="1"/>
    <xf numFmtId="0" fontId="10" fillId="4" borderId="29" xfId="0"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9" xfId="0" applyFont="1" applyFill="1" applyBorder="1" applyAlignment="1">
      <alignment horizontal="justify" vertical="center" wrapText="1"/>
    </xf>
    <xf numFmtId="0" fontId="10" fillId="0" borderId="0" xfId="0" applyFont="1" applyAlignment="1">
      <alignment horizontal="center" vertical="center" wrapText="1"/>
    </xf>
    <xf numFmtId="3" fontId="7" fillId="0" borderId="29" xfId="0" applyNumberFormat="1" applyFont="1" applyBorder="1" applyAlignment="1">
      <alignment horizontal="center" vertical="center"/>
    </xf>
    <xf numFmtId="0" fontId="2" fillId="5" borderId="29" xfId="0" applyFont="1" applyFill="1" applyBorder="1" applyAlignment="1">
      <alignment horizontal="left" vertical="center" wrapText="1"/>
    </xf>
    <xf numFmtId="171" fontId="6" fillId="5" borderId="29" xfId="0" applyNumberFormat="1" applyFont="1" applyFill="1" applyBorder="1" applyAlignment="1">
      <alignment vertical="center"/>
    </xf>
    <xf numFmtId="3" fontId="7" fillId="5" borderId="8" xfId="0" applyNumberFormat="1" applyFont="1" applyFill="1" applyBorder="1" applyAlignment="1">
      <alignment vertical="center"/>
    </xf>
    <xf numFmtId="3" fontId="7" fillId="5" borderId="29" xfId="0" applyNumberFormat="1" applyFont="1" applyFill="1" applyBorder="1" applyAlignment="1">
      <alignment vertical="center"/>
    </xf>
    <xf numFmtId="0" fontId="6" fillId="0" borderId="29" xfId="0" applyFont="1" applyBorder="1" applyAlignment="1">
      <alignment vertical="center"/>
    </xf>
    <xf numFmtId="3" fontId="6" fillId="0" borderId="8" xfId="0" applyNumberFormat="1" applyFont="1" applyBorder="1" applyAlignment="1">
      <alignment vertical="center"/>
    </xf>
    <xf numFmtId="3" fontId="6" fillId="0" borderId="29" xfId="0" applyNumberFormat="1" applyFont="1" applyBorder="1" applyAlignment="1">
      <alignment vertical="center"/>
    </xf>
    <xf numFmtId="3" fontId="7" fillId="0" borderId="0" xfId="0" applyNumberFormat="1" applyFont="1" applyAlignment="1">
      <alignment vertical="center"/>
    </xf>
    <xf numFmtId="3" fontId="6" fillId="0" borderId="0" xfId="0" applyNumberFormat="1" applyFont="1"/>
    <xf numFmtId="3" fontId="6" fillId="0" borderId="0" xfId="0" applyNumberFormat="1" applyFont="1" applyAlignment="1">
      <alignment vertical="center"/>
    </xf>
    <xf numFmtId="0" fontId="10" fillId="0" borderId="0" xfId="0" applyFont="1" applyAlignment="1">
      <alignment horizontal="center" vertical="center"/>
    </xf>
    <xf numFmtId="0" fontId="5" fillId="0" borderId="29" xfId="0" applyFont="1" applyBorder="1"/>
    <xf numFmtId="3" fontId="7" fillId="0" borderId="0" xfId="0" applyNumberFormat="1" applyFont="1" applyAlignment="1">
      <alignment horizontal="center" vertical="center"/>
    </xf>
    <xf numFmtId="0" fontId="10" fillId="0" borderId="9" xfId="0" applyFont="1" applyBorder="1" applyAlignment="1">
      <alignment horizontal="center" vertical="center" wrapText="1"/>
    </xf>
    <xf numFmtId="3" fontId="7" fillId="0" borderId="29" xfId="0" applyNumberFormat="1" applyFont="1" applyBorder="1"/>
    <xf numFmtId="9" fontId="6" fillId="0" borderId="0" xfId="0" applyNumberFormat="1" applyFont="1" applyAlignment="1">
      <alignment horizontal="center" vertical="center"/>
    </xf>
    <xf numFmtId="3" fontId="7" fillId="0" borderId="29" xfId="0" applyNumberFormat="1" applyFont="1" applyBorder="1" applyAlignment="1">
      <alignment vertical="center"/>
    </xf>
    <xf numFmtId="0" fontId="6" fillId="0" borderId="0" xfId="0" applyFont="1" applyAlignment="1">
      <alignment vertical="top"/>
    </xf>
    <xf numFmtId="2" fontId="6" fillId="0" borderId="0" xfId="0" applyNumberFormat="1" applyFont="1"/>
    <xf numFmtId="9" fontId="7" fillId="0" borderId="0" xfId="0" applyNumberFormat="1" applyFont="1" applyAlignment="1">
      <alignment horizontal="center" vertical="center"/>
    </xf>
    <xf numFmtId="0" fontId="10" fillId="0" borderId="29" xfId="0" applyFont="1" applyBorder="1" applyAlignment="1">
      <alignment horizontal="center" vertical="center" wrapText="1"/>
    </xf>
    <xf numFmtId="0" fontId="6" fillId="0" borderId="29" xfId="0" applyFont="1" applyBorder="1" applyAlignment="1">
      <alignment horizontal="right"/>
    </xf>
    <xf numFmtId="0" fontId="9" fillId="3" borderId="0" xfId="0" applyFont="1" applyFill="1" applyAlignment="1">
      <alignment horizontal="right"/>
    </xf>
    <xf numFmtId="0" fontId="5" fillId="3" borderId="0" xfId="0" applyFont="1" applyFill="1"/>
    <xf numFmtId="0" fontId="6" fillId="3" borderId="0" xfId="0" applyFont="1" applyFill="1"/>
    <xf numFmtId="9" fontId="6" fillId="3" borderId="0" xfId="0" applyNumberFormat="1" applyFont="1" applyFill="1"/>
    <xf numFmtId="2" fontId="6" fillId="3" borderId="0" xfId="0" applyNumberFormat="1" applyFont="1" applyFill="1"/>
    <xf numFmtId="9" fontId="7" fillId="0" borderId="0" xfId="0" applyNumberFormat="1" applyFont="1" applyAlignment="1">
      <alignment horizontal="left" vertical="center" wrapText="1"/>
    </xf>
    <xf numFmtId="9" fontId="7" fillId="0" borderId="29" xfId="0" applyNumberFormat="1" applyFont="1" applyBorder="1" applyAlignment="1">
      <alignment horizontal="center" vertical="center" wrapText="1"/>
    </xf>
    <xf numFmtId="3" fontId="7" fillId="0" borderId="29" xfId="0" applyNumberFormat="1" applyFont="1" applyBorder="1" applyAlignment="1">
      <alignment horizontal="right" vertical="center"/>
    </xf>
    <xf numFmtId="0" fontId="9" fillId="0" borderId="0" xfId="0" applyFont="1" applyAlignment="1">
      <alignment horizontal="justify" wrapText="1"/>
    </xf>
    <xf numFmtId="0" fontId="6" fillId="0" borderId="29"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vertical="center"/>
    </xf>
    <xf numFmtId="3" fontId="7" fillId="6" borderId="29" xfId="0" applyNumberFormat="1" applyFont="1" applyFill="1" applyBorder="1" applyAlignment="1">
      <alignment vertical="center"/>
    </xf>
    <xf numFmtId="0" fontId="7" fillId="0" borderId="0" xfId="0" applyFont="1" applyAlignment="1">
      <alignment horizontal="right" vertical="center"/>
    </xf>
    <xf numFmtId="0" fontId="7" fillId="8" borderId="0" xfId="0" applyFont="1" applyFill="1" applyAlignment="1">
      <alignment vertical="center"/>
    </xf>
    <xf numFmtId="0" fontId="6" fillId="8" borderId="0" xfId="0" applyFont="1" applyFill="1"/>
    <xf numFmtId="3" fontId="7" fillId="8" borderId="0" xfId="0" applyNumberFormat="1" applyFont="1" applyFill="1" applyAlignment="1">
      <alignment vertical="center"/>
    </xf>
    <xf numFmtId="0" fontId="6" fillId="8" borderId="0" xfId="0" applyFont="1" applyFill="1" applyAlignment="1">
      <alignment vertical="center"/>
    </xf>
    <xf numFmtId="3" fontId="13" fillId="8" borderId="0" xfId="0" applyNumberFormat="1" applyFont="1" applyFill="1" applyAlignment="1">
      <alignment vertical="center"/>
    </xf>
    <xf numFmtId="172" fontId="6" fillId="0" borderId="0" xfId="4" applyNumberFormat="1" applyFont="1" applyAlignment="1" applyProtection="1">
      <alignment horizontal="center" vertical="center"/>
    </xf>
    <xf numFmtId="3" fontId="7" fillId="5" borderId="29" xfId="0" applyNumberFormat="1" applyFont="1" applyFill="1" applyBorder="1" applyAlignment="1">
      <alignment horizontal="right" vertical="center"/>
    </xf>
    <xf numFmtId="0" fontId="1" fillId="0" borderId="0" xfId="0" applyFont="1"/>
    <xf numFmtId="0" fontId="6" fillId="4" borderId="0" xfId="0" applyFont="1" applyFill="1" applyAlignment="1">
      <alignment vertical="center"/>
    </xf>
    <xf numFmtId="0" fontId="6" fillId="4" borderId="0" xfId="0" applyFont="1" applyFill="1"/>
    <xf numFmtId="3" fontId="7" fillId="4" borderId="0" xfId="0" applyNumberFormat="1" applyFont="1" applyFill="1"/>
    <xf numFmtId="3" fontId="7" fillId="4" borderId="0" xfId="0" applyNumberFormat="1" applyFont="1" applyFill="1" applyAlignment="1">
      <alignment vertical="center"/>
    </xf>
    <xf numFmtId="0" fontId="7" fillId="4" borderId="0" xfId="0" applyFont="1" applyFill="1" applyAlignment="1">
      <alignment vertical="center"/>
    </xf>
    <xf numFmtId="0" fontId="1" fillId="0" borderId="0" xfId="0" applyFont="1" applyAlignment="1">
      <alignment horizontal="right"/>
    </xf>
    <xf numFmtId="0" fontId="6" fillId="0" borderId="26" xfId="0" applyFont="1" applyBorder="1"/>
    <xf numFmtId="0" fontId="6" fillId="0" borderId="16" xfId="0" applyFont="1" applyBorder="1"/>
    <xf numFmtId="164" fontId="17" fillId="0" borderId="16" xfId="0" applyNumberFormat="1" applyFont="1" applyBorder="1"/>
    <xf numFmtId="10" fontId="17" fillId="0" borderId="16" xfId="0" applyNumberFormat="1" applyFont="1" applyBorder="1"/>
    <xf numFmtId="10" fontId="17" fillId="0" borderId="27" xfId="0" applyNumberFormat="1" applyFont="1" applyBorder="1"/>
    <xf numFmtId="0" fontId="6" fillId="0" borderId="28" xfId="0" applyFont="1" applyBorder="1"/>
    <xf numFmtId="0" fontId="3" fillId="0" borderId="44" xfId="1" applyBorder="1" applyAlignment="1">
      <alignment horizontal="left" vertical="center" wrapText="1"/>
    </xf>
    <xf numFmtId="0" fontId="18" fillId="0" borderId="45" xfId="1" applyFont="1" applyBorder="1" applyAlignment="1">
      <alignment vertical="center" wrapText="1"/>
    </xf>
    <xf numFmtId="0" fontId="18" fillId="0" borderId="17" xfId="1" applyFont="1" applyBorder="1" applyAlignment="1">
      <alignment vertical="center" wrapText="1"/>
    </xf>
    <xf numFmtId="0" fontId="3" fillId="0" borderId="0" xfId="1" applyAlignment="1">
      <alignment horizontal="left" vertical="center" wrapText="1"/>
    </xf>
    <xf numFmtId="0" fontId="18" fillId="0" borderId="47" xfId="1" applyFont="1" applyBorder="1" applyAlignment="1">
      <alignment vertical="center" wrapText="1"/>
    </xf>
    <xf numFmtId="0" fontId="3" fillId="0" borderId="49" xfId="1" applyBorder="1" applyAlignment="1">
      <alignment horizontal="left" vertical="center" wrapText="1"/>
    </xf>
    <xf numFmtId="0" fontId="18" fillId="0" borderId="50" xfId="1" applyFont="1" applyBorder="1" applyAlignment="1">
      <alignment vertical="center" wrapText="1"/>
    </xf>
    <xf numFmtId="0" fontId="6" fillId="0" borderId="17" xfId="0" applyFont="1" applyBorder="1"/>
    <xf numFmtId="0" fontId="6" fillId="0" borderId="28" xfId="0" applyFont="1" applyBorder="1" applyAlignment="1">
      <alignment vertical="center"/>
    </xf>
    <xf numFmtId="0" fontId="6" fillId="0" borderId="17" xfId="0" applyFont="1" applyBorder="1" applyAlignment="1">
      <alignment vertical="center"/>
    </xf>
    <xf numFmtId="14" fontId="3" fillId="0" borderId="17" xfId="0" applyNumberFormat="1" applyFont="1" applyBorder="1" applyAlignment="1">
      <alignment horizontal="left" vertical="center"/>
    </xf>
    <xf numFmtId="1" fontId="6" fillId="0" borderId="17" xfId="0" applyNumberFormat="1" applyFont="1" applyBorder="1" applyAlignment="1">
      <alignment horizontal="left"/>
    </xf>
    <xf numFmtId="1" fontId="12" fillId="0" borderId="17" xfId="0" applyNumberFormat="1" applyFont="1" applyBorder="1" applyAlignment="1">
      <alignment vertical="center" wrapText="1"/>
    </xf>
    <xf numFmtId="169" fontId="16" fillId="0" borderId="17" xfId="2" applyNumberFormat="1" applyFont="1" applyFill="1" applyBorder="1" applyAlignment="1" applyProtection="1">
      <alignment vertical="center" wrapText="1"/>
    </xf>
    <xf numFmtId="169" fontId="16" fillId="0" borderId="17" xfId="2" applyNumberFormat="1" applyFont="1" applyFill="1" applyBorder="1" applyAlignment="1" applyProtection="1">
      <alignment horizontal="center" vertical="center"/>
    </xf>
    <xf numFmtId="37" fontId="12" fillId="0" borderId="17" xfId="3" applyNumberFormat="1" applyFont="1" applyFill="1" applyBorder="1" applyAlignment="1" applyProtection="1"/>
    <xf numFmtId="3" fontId="6" fillId="0" borderId="17" xfId="0" applyNumberFormat="1" applyFont="1" applyBorder="1" applyAlignment="1">
      <alignment horizontal="right"/>
    </xf>
    <xf numFmtId="165" fontId="6" fillId="0" borderId="17" xfId="0" applyNumberFormat="1" applyFont="1" applyBorder="1" applyAlignment="1">
      <alignment vertical="center"/>
    </xf>
    <xf numFmtId="0" fontId="6" fillId="0" borderId="33" xfId="0" applyFont="1" applyBorder="1"/>
    <xf numFmtId="3" fontId="6" fillId="0" borderId="19" xfId="0" applyNumberFormat="1" applyFont="1" applyBorder="1" applyAlignment="1">
      <alignment horizontal="right"/>
    </xf>
    <xf numFmtId="0" fontId="7" fillId="0" borderId="29" xfId="0" applyFont="1" applyBorder="1"/>
    <xf numFmtId="0" fontId="3" fillId="0" borderId="29" xfId="0" applyFont="1" applyBorder="1"/>
    <xf numFmtId="1" fontId="6" fillId="0" borderId="29" xfId="0" applyNumberFormat="1" applyFont="1" applyBorder="1"/>
    <xf numFmtId="166" fontId="6" fillId="0" borderId="29" xfId="0" applyNumberFormat="1" applyFont="1" applyBorder="1"/>
    <xf numFmtId="0" fontId="20" fillId="13" borderId="13" xfId="0" applyFont="1" applyFill="1" applyBorder="1" applyAlignment="1">
      <alignment vertical="center" wrapText="1"/>
    </xf>
    <xf numFmtId="14" fontId="21" fillId="9" borderId="12" xfId="0" applyNumberFormat="1" applyFont="1" applyFill="1" applyBorder="1" applyAlignment="1" applyProtection="1">
      <alignment horizontal="left" vertical="center" shrinkToFit="1"/>
      <protection locked="0"/>
    </xf>
    <xf numFmtId="17" fontId="22" fillId="9" borderId="10" xfId="0" applyNumberFormat="1" applyFont="1" applyFill="1" applyBorder="1" applyAlignment="1" applyProtection="1">
      <alignment horizontal="left" vertical="center"/>
      <protection locked="0"/>
    </xf>
    <xf numFmtId="0" fontId="21" fillId="13" borderId="10" xfId="0" applyFont="1" applyFill="1" applyBorder="1" applyAlignment="1">
      <alignment horizontal="left" vertical="center"/>
    </xf>
    <xf numFmtId="0" fontId="21" fillId="9" borderId="10" xfId="0" applyFont="1" applyFill="1" applyBorder="1" applyAlignment="1" applyProtection="1">
      <alignment horizontal="center" vertical="center"/>
      <protection locked="0"/>
    </xf>
    <xf numFmtId="0" fontId="21" fillId="13" borderId="10" xfId="0" applyFont="1" applyFill="1" applyBorder="1" applyAlignment="1">
      <alignment horizontal="left" vertical="center" wrapText="1"/>
    </xf>
    <xf numFmtId="0" fontId="21" fillId="11" borderId="10" xfId="1" applyFont="1" applyFill="1" applyBorder="1" applyAlignment="1" applyProtection="1">
      <alignment horizontal="center" vertical="center" wrapText="1"/>
      <protection locked="0"/>
    </xf>
    <xf numFmtId="0" fontId="20" fillId="13" borderId="10" xfId="0" applyFont="1" applyFill="1" applyBorder="1" applyAlignment="1">
      <alignment horizontal="left" vertical="center" wrapText="1"/>
    </xf>
    <xf numFmtId="0" fontId="20" fillId="13" borderId="10" xfId="0" applyFont="1" applyFill="1" applyBorder="1" applyAlignment="1">
      <alignment horizontal="center" vertical="center" wrapText="1"/>
    </xf>
    <xf numFmtId="0" fontId="23" fillId="0" borderId="0" xfId="1" applyFont="1" applyAlignment="1">
      <alignment vertical="center" wrapText="1"/>
    </xf>
    <xf numFmtId="0" fontId="24" fillId="10" borderId="10" xfId="0" applyFont="1" applyFill="1" applyBorder="1"/>
    <xf numFmtId="170" fontId="19" fillId="0" borderId="10" xfId="2" applyNumberFormat="1" applyFont="1" applyFill="1" applyBorder="1" applyAlignment="1" applyProtection="1">
      <alignment horizontal="right"/>
    </xf>
    <xf numFmtId="164" fontId="19" fillId="0" borderId="10" xfId="0" applyNumberFormat="1" applyFont="1" applyBorder="1" applyAlignment="1">
      <alignment horizontal="center"/>
    </xf>
    <xf numFmtId="0" fontId="24" fillId="0" borderId="10" xfId="0" applyFont="1" applyBorder="1"/>
    <xf numFmtId="166" fontId="22" fillId="12" borderId="10" xfId="0" applyNumberFormat="1" applyFont="1" applyFill="1" applyBorder="1" applyAlignment="1" applyProtection="1">
      <alignment horizontal="center" shrinkToFit="1"/>
      <protection locked="0"/>
    </xf>
    <xf numFmtId="0" fontId="21" fillId="0" borderId="0" xfId="3" applyNumberFormat="1" applyFont="1" applyFill="1" applyBorder="1" applyAlignment="1" applyProtection="1">
      <alignment horizontal="left"/>
    </xf>
    <xf numFmtId="0" fontId="19" fillId="13" borderId="10" xfId="0" applyFont="1" applyFill="1" applyBorder="1" applyAlignment="1">
      <alignment horizontal="left"/>
    </xf>
    <xf numFmtId="0" fontId="19" fillId="0" borderId="11" xfId="0" applyFont="1" applyBorder="1" applyAlignment="1">
      <alignment horizontal="center"/>
    </xf>
    <xf numFmtId="170" fontId="22" fillId="0" borderId="11" xfId="2" applyNumberFormat="1" applyFont="1" applyFill="1" applyBorder="1" applyAlignment="1" applyProtection="1">
      <alignment horizontal="right"/>
    </xf>
    <xf numFmtId="170" fontId="21" fillId="2" borderId="10" xfId="2" applyNumberFormat="1" applyFont="1" applyFill="1" applyBorder="1" applyAlignment="1" applyProtection="1">
      <alignment horizontal="center" vertical="center" shrinkToFit="1"/>
    </xf>
    <xf numFmtId="0" fontId="24" fillId="0" borderId="0" xfId="0" applyFont="1"/>
    <xf numFmtId="167" fontId="21" fillId="0" borderId="0" xfId="3" applyNumberFormat="1" applyFont="1" applyFill="1" applyBorder="1" applyAlignment="1" applyProtection="1">
      <alignment horizontal="left"/>
    </xf>
    <xf numFmtId="49" fontId="19" fillId="13" borderId="10" xfId="0" applyNumberFormat="1" applyFont="1" applyFill="1" applyBorder="1" applyAlignment="1">
      <alignment horizontal="left" vertical="center"/>
    </xf>
    <xf numFmtId="3" fontId="19" fillId="9" borderId="24" xfId="0" applyNumberFormat="1" applyFont="1" applyFill="1" applyBorder="1" applyAlignment="1">
      <alignment horizontal="right" vertical="center" shrinkToFit="1"/>
    </xf>
    <xf numFmtId="165" fontId="21" fillId="0" borderId="0" xfId="2" applyNumberFormat="1" applyFont="1" applyFill="1" applyBorder="1" applyAlignment="1" applyProtection="1">
      <alignment vertical="center"/>
    </xf>
    <xf numFmtId="0" fontId="24" fillId="0" borderId="0" xfId="0" applyFont="1" applyAlignment="1">
      <alignment vertical="center"/>
    </xf>
    <xf numFmtId="167" fontId="21" fillId="0" borderId="0" xfId="3" applyNumberFormat="1" applyFont="1" applyFill="1" applyBorder="1" applyAlignment="1" applyProtection="1">
      <alignment horizontal="left" vertical="center"/>
    </xf>
    <xf numFmtId="0" fontId="20" fillId="0" borderId="0" xfId="0" applyFont="1" applyAlignment="1">
      <alignment horizontal="left"/>
    </xf>
    <xf numFmtId="0" fontId="20" fillId="0" borderId="0" xfId="0" applyFont="1" applyAlignment="1">
      <alignment horizontal="center"/>
    </xf>
    <xf numFmtId="165" fontId="21" fillId="0" borderId="0" xfId="2" applyNumberFormat="1" applyFont="1" applyFill="1" applyBorder="1" applyAlignment="1" applyProtection="1"/>
    <xf numFmtId="165" fontId="21" fillId="0" borderId="0" xfId="2" applyNumberFormat="1" applyFont="1" applyFill="1" applyBorder="1" applyAlignment="1" applyProtection="1">
      <alignment horizontal="center"/>
    </xf>
    <xf numFmtId="3" fontId="19" fillId="0" borderId="0" xfId="0" applyNumberFormat="1" applyFont="1"/>
    <xf numFmtId="167" fontId="21" fillId="0" borderId="0" xfId="3" applyNumberFormat="1" applyFont="1" applyBorder="1" applyAlignment="1" applyProtection="1">
      <alignment horizontal="left"/>
    </xf>
    <xf numFmtId="0" fontId="19" fillId="13" borderId="24" xfId="0" applyFont="1" applyFill="1" applyBorder="1" applyAlignment="1">
      <alignment horizontal="left"/>
    </xf>
    <xf numFmtId="0" fontId="19" fillId="9" borderId="11" xfId="0" applyFont="1" applyFill="1" applyBorder="1" applyAlignment="1">
      <alignment horizontal="center"/>
    </xf>
    <xf numFmtId="0" fontId="19" fillId="0" borderId="0" xfId="0" applyFont="1"/>
    <xf numFmtId="3" fontId="19" fillId="9" borderId="23" xfId="0" applyNumberFormat="1" applyFont="1" applyFill="1" applyBorder="1" applyAlignment="1">
      <alignment horizontal="left" shrinkToFit="1"/>
    </xf>
    <xf numFmtId="0" fontId="22" fillId="0" borderId="0" xfId="0" applyFont="1"/>
    <xf numFmtId="1" fontId="24" fillId="0" borderId="0" xfId="0" applyNumberFormat="1" applyFont="1" applyAlignment="1">
      <alignment horizontal="left"/>
    </xf>
    <xf numFmtId="0" fontId="19" fillId="13" borderId="24" xfId="0" applyFont="1" applyFill="1" applyBorder="1" applyAlignment="1">
      <alignment horizontal="left" vertical="center"/>
    </xf>
    <xf numFmtId="3" fontId="19" fillId="9" borderId="23" xfId="0" applyNumberFormat="1" applyFont="1" applyFill="1" applyBorder="1" applyAlignment="1">
      <alignment horizontal="left" vertical="center" shrinkToFit="1"/>
    </xf>
    <xf numFmtId="0" fontId="19" fillId="0" borderId="0" xfId="0" applyFont="1" applyAlignment="1">
      <alignment vertical="center"/>
    </xf>
    <xf numFmtId="3" fontId="19" fillId="0" borderId="0" xfId="0" applyNumberFormat="1" applyFont="1" applyAlignment="1">
      <alignment vertical="center"/>
    </xf>
    <xf numFmtId="0" fontId="25" fillId="0" borderId="0" xfId="0" applyFont="1"/>
    <xf numFmtId="0" fontId="20" fillId="0" borderId="0" xfId="0" applyFont="1"/>
    <xf numFmtId="0" fontId="20" fillId="13" borderId="24" xfId="0" applyFont="1" applyFill="1" applyBorder="1" applyAlignment="1">
      <alignment horizontal="left" vertical="center" wrapText="1"/>
    </xf>
    <xf numFmtId="165" fontId="19" fillId="0" borderId="0" xfId="0" applyNumberFormat="1" applyFont="1"/>
    <xf numFmtId="3" fontId="26" fillId="0" borderId="10" xfId="0" applyNumberFormat="1" applyFont="1" applyBorder="1" applyAlignment="1">
      <alignment horizontal="left" vertical="center"/>
    </xf>
    <xf numFmtId="0" fontId="19" fillId="2" borderId="10" xfId="0" applyFont="1" applyFill="1" applyBorder="1" applyAlignment="1">
      <alignment horizontal="left" vertical="center"/>
    </xf>
    <xf numFmtId="3" fontId="27" fillId="0" borderId="10" xfId="2" applyNumberFormat="1" applyFont="1" applyFill="1" applyBorder="1" applyAlignment="1" applyProtection="1">
      <alignment horizontal="right" vertical="center"/>
    </xf>
    <xf numFmtId="3" fontId="19" fillId="0" borderId="10" xfId="0" applyNumberFormat="1" applyFont="1" applyBorder="1" applyAlignment="1">
      <alignment horizontal="right" vertical="center"/>
    </xf>
    <xf numFmtId="0" fontId="28" fillId="9" borderId="22" xfId="0" applyFont="1" applyFill="1" applyBorder="1" applyAlignment="1" applyProtection="1">
      <alignment horizontal="center" vertical="center"/>
      <protection locked="0"/>
    </xf>
    <xf numFmtId="3" fontId="19" fillId="0" borderId="24" xfId="3" applyNumberFormat="1" applyFont="1" applyFill="1" applyBorder="1" applyAlignment="1" applyProtection="1">
      <alignment horizontal="right" vertical="center"/>
      <protection locked="0"/>
    </xf>
    <xf numFmtId="3" fontId="19" fillId="0" borderId="10" xfId="0" applyNumberFormat="1" applyFont="1" applyBorder="1" applyAlignment="1">
      <alignment horizontal="left" vertical="center" wrapText="1"/>
    </xf>
    <xf numFmtId="3" fontId="19" fillId="12" borderId="10" xfId="2" applyNumberFormat="1" applyFont="1" applyFill="1" applyBorder="1" applyAlignment="1" applyProtection="1">
      <alignment horizontal="right" vertical="center"/>
    </xf>
    <xf numFmtId="10" fontId="19" fillId="0" borderId="10" xfId="2" applyNumberFormat="1" applyFont="1" applyFill="1" applyBorder="1" applyAlignment="1" applyProtection="1">
      <alignment horizontal="right" vertical="center"/>
    </xf>
    <xf numFmtId="168" fontId="19" fillId="0" borderId="0" xfId="3" applyNumberFormat="1" applyFont="1" applyBorder="1" applyProtection="1"/>
    <xf numFmtId="3" fontId="19" fillId="0" borderId="10" xfId="0" applyNumberFormat="1" applyFont="1" applyBorder="1" applyAlignment="1">
      <alignment horizontal="left" vertical="center"/>
    </xf>
    <xf numFmtId="3" fontId="19" fillId="0" borderId="10" xfId="2" applyNumberFormat="1" applyFont="1" applyFill="1" applyBorder="1" applyAlignment="1" applyProtection="1">
      <alignment horizontal="right" vertical="center"/>
    </xf>
    <xf numFmtId="9" fontId="19" fillId="0" borderId="10" xfId="0" applyNumberFormat="1" applyFont="1" applyBorder="1" applyAlignment="1">
      <alignment horizontal="right" vertical="center"/>
    </xf>
    <xf numFmtId="166" fontId="19" fillId="12" borderId="10" xfId="0" applyNumberFormat="1" applyFont="1" applyFill="1" applyBorder="1" applyAlignment="1">
      <alignment horizontal="right" vertical="center"/>
    </xf>
    <xf numFmtId="37" fontId="19" fillId="0" borderId="0" xfId="3" applyNumberFormat="1" applyFont="1" applyBorder="1" applyAlignment="1" applyProtection="1"/>
    <xf numFmtId="164" fontId="19" fillId="0" borderId="10" xfId="0" applyNumberFormat="1" applyFont="1" applyBorder="1" applyAlignment="1">
      <alignment horizontal="right" vertical="center"/>
    </xf>
    <xf numFmtId="3" fontId="19" fillId="0" borderId="24" xfId="0" applyNumberFormat="1" applyFont="1" applyBorder="1" applyAlignment="1" applyProtection="1">
      <alignment horizontal="right" vertical="center"/>
      <protection locked="0"/>
    </xf>
    <xf numFmtId="0" fontId="28" fillId="9" borderId="38" xfId="0" applyFont="1" applyFill="1" applyBorder="1" applyAlignment="1" applyProtection="1">
      <alignment horizontal="center" vertical="center"/>
      <protection locked="0"/>
    </xf>
    <xf numFmtId="3" fontId="19" fillId="0" borderId="34" xfId="0" applyNumberFormat="1" applyFont="1" applyBorder="1" applyAlignment="1" applyProtection="1">
      <alignment horizontal="right" vertical="center"/>
      <protection locked="0"/>
    </xf>
    <xf numFmtId="165" fontId="19" fillId="0" borderId="0" xfId="0" applyNumberFormat="1" applyFont="1" applyAlignment="1">
      <alignment horizontal="left" vertical="center"/>
    </xf>
    <xf numFmtId="3" fontId="20" fillId="0" borderId="10" xfId="0" applyNumberFormat="1" applyFont="1" applyBorder="1" applyAlignment="1">
      <alignment horizontal="left" vertical="center"/>
    </xf>
    <xf numFmtId="3" fontId="20" fillId="0" borderId="10" xfId="2" applyNumberFormat="1" applyFont="1" applyFill="1" applyBorder="1" applyAlignment="1" applyProtection="1">
      <alignment horizontal="right" vertical="center"/>
    </xf>
    <xf numFmtId="165" fontId="19" fillId="0" borderId="0" xfId="0" applyNumberFormat="1" applyFont="1" applyAlignment="1">
      <alignment horizontal="left" vertical="center" wrapText="1"/>
    </xf>
    <xf numFmtId="3" fontId="29" fillId="0" borderId="10" xfId="0" applyNumberFormat="1" applyFont="1" applyBorder="1" applyAlignment="1">
      <alignment horizontal="right" vertical="center"/>
    </xf>
    <xf numFmtId="0" fontId="19" fillId="0" borderId="10" xfId="0" applyFont="1" applyBorder="1" applyAlignment="1">
      <alignment horizontal="right" vertical="center"/>
    </xf>
    <xf numFmtId="165" fontId="20" fillId="0" borderId="0" xfId="0" applyNumberFormat="1" applyFont="1"/>
    <xf numFmtId="0" fontId="19" fillId="0" borderId="0" xfId="0" applyFont="1" applyAlignment="1">
      <alignment horizontal="left"/>
    </xf>
    <xf numFmtId="0" fontId="30" fillId="0" borderId="0" xfId="0" applyFont="1"/>
    <xf numFmtId="0" fontId="25" fillId="0" borderId="0" xfId="0" applyFont="1" applyAlignment="1">
      <alignment horizontal="left" vertical="center"/>
    </xf>
    <xf numFmtId="0" fontId="24" fillId="0" borderId="0" xfId="0" applyFont="1" applyAlignment="1">
      <alignment horizontal="left" vertical="center" wrapText="1"/>
    </xf>
    <xf numFmtId="0" fontId="19" fillId="0" borderId="0" xfId="0" applyFont="1" applyAlignment="1">
      <alignment horizontal="right" vertical="center"/>
    </xf>
    <xf numFmtId="165" fontId="24" fillId="0" borderId="0" xfId="0" applyNumberFormat="1" applyFont="1" applyAlignment="1">
      <alignment vertical="center"/>
    </xf>
    <xf numFmtId="0" fontId="19" fillId="0" borderId="0" xfId="0" applyFont="1" applyAlignment="1">
      <alignment horizontal="right"/>
    </xf>
    <xf numFmtId="0" fontId="19" fillId="0" borderId="10" xfId="0" applyFont="1" applyBorder="1" applyAlignment="1" applyProtection="1">
      <alignment horizontal="right" vertical="center"/>
      <protection locked="0"/>
    </xf>
    <xf numFmtId="3" fontId="24" fillId="0" borderId="0" xfId="0" applyNumberFormat="1" applyFont="1" applyAlignment="1">
      <alignment horizontal="right"/>
    </xf>
    <xf numFmtId="0" fontId="24" fillId="0" borderId="18" xfId="0" applyFont="1" applyBorder="1"/>
    <xf numFmtId="0" fontId="30" fillId="0" borderId="18" xfId="0" applyFont="1" applyBorder="1"/>
    <xf numFmtId="3" fontId="24" fillId="0" borderId="18" xfId="0" applyNumberFormat="1" applyFont="1" applyBorder="1" applyAlignment="1">
      <alignment horizontal="right"/>
    </xf>
    <xf numFmtId="1" fontId="24" fillId="0" borderId="31" xfId="0" applyNumberFormat="1" applyFont="1" applyBorder="1" applyAlignment="1">
      <alignment horizontal="justify" vertical="center" wrapText="1"/>
    </xf>
    <xf numFmtId="0" fontId="24" fillId="0" borderId="0" xfId="0" applyFont="1" applyAlignment="1">
      <alignment horizontal="right" vertical="center" wrapText="1"/>
    </xf>
    <xf numFmtId="0" fontId="24" fillId="0" borderId="0" xfId="0" applyFont="1" applyAlignment="1">
      <alignment horizontal="right"/>
    </xf>
    <xf numFmtId="0" fontId="24" fillId="0" borderId="0" xfId="0" applyFont="1" applyAlignment="1">
      <alignment horizontal="left"/>
    </xf>
    <xf numFmtId="0" fontId="28" fillId="0" borderId="29" xfId="0" applyFont="1" applyBorder="1" applyAlignment="1">
      <alignment horizontal="center" vertical="center"/>
    </xf>
    <xf numFmtId="0" fontId="24" fillId="0" borderId="29" xfId="0" applyFont="1" applyBorder="1" applyAlignment="1">
      <alignment horizontal="center" vertical="center"/>
    </xf>
    <xf numFmtId="0" fontId="24" fillId="0" borderId="29" xfId="0" applyFont="1" applyBorder="1" applyAlignment="1" applyProtection="1">
      <alignment vertical="center"/>
      <protection locked="0"/>
    </xf>
    <xf numFmtId="0" fontId="24" fillId="0" borderId="1" xfId="0" applyFont="1" applyBorder="1"/>
    <xf numFmtId="0" fontId="24" fillId="0" borderId="2" xfId="0" applyFont="1" applyBorder="1"/>
    <xf numFmtId="0" fontId="24" fillId="0" borderId="4" xfId="0" applyFont="1" applyBorder="1"/>
    <xf numFmtId="0" fontId="24" fillId="0" borderId="6" xfId="0" applyFont="1" applyBorder="1"/>
    <xf numFmtId="0" fontId="24" fillId="0" borderId="31" xfId="0" applyFont="1" applyBorder="1"/>
    <xf numFmtId="164" fontId="19" fillId="13" borderId="11" xfId="0" applyNumberFormat="1" applyFont="1" applyFill="1" applyBorder="1" applyAlignment="1">
      <alignment horizontal="center" vertical="center"/>
    </xf>
    <xf numFmtId="164" fontId="19" fillId="13" borderId="32" xfId="0" applyNumberFormat="1" applyFont="1" applyFill="1" applyBorder="1" applyAlignment="1">
      <alignment horizontal="center" vertical="center"/>
    </xf>
    <xf numFmtId="0" fontId="19" fillId="10" borderId="54" xfId="0" applyFont="1" applyFill="1" applyBorder="1" applyAlignment="1">
      <alignment horizontal="center"/>
    </xf>
    <xf numFmtId="0" fontId="19" fillId="10" borderId="55" xfId="0" applyFont="1" applyFill="1" applyBorder="1" applyAlignment="1">
      <alignment horizontal="center"/>
    </xf>
    <xf numFmtId="0" fontId="19" fillId="10" borderId="56" xfId="0" applyFont="1" applyFill="1" applyBorder="1" applyAlignment="1">
      <alignment horizontal="center"/>
    </xf>
    <xf numFmtId="0" fontId="3" fillId="0" borderId="43" xfId="1" applyBorder="1" applyAlignment="1">
      <alignment horizontal="left" vertical="center" wrapText="1"/>
    </xf>
    <xf numFmtId="0" fontId="3" fillId="0" borderId="44" xfId="1" applyBorder="1" applyAlignment="1">
      <alignment horizontal="left" vertical="center" wrapText="1"/>
    </xf>
    <xf numFmtId="0" fontId="3" fillId="0" borderId="46" xfId="1" applyBorder="1" applyAlignment="1">
      <alignment horizontal="left" vertical="center" wrapText="1"/>
    </xf>
    <xf numFmtId="0" fontId="3" fillId="0" borderId="0" xfId="1" applyAlignment="1">
      <alignment horizontal="left" vertical="center" wrapText="1"/>
    </xf>
    <xf numFmtId="0" fontId="3" fillId="0" borderId="48" xfId="1" applyBorder="1" applyAlignment="1">
      <alignment horizontal="left" vertical="center" wrapText="1"/>
    </xf>
    <xf numFmtId="0" fontId="3" fillId="0" borderId="49" xfId="1" applyBorder="1" applyAlignment="1">
      <alignment horizontal="left" vertical="center" wrapText="1"/>
    </xf>
    <xf numFmtId="0" fontId="6" fillId="0" borderId="25" xfId="0" applyFont="1" applyBorder="1" applyAlignment="1">
      <alignment horizontal="center"/>
    </xf>
    <xf numFmtId="0" fontId="6" fillId="0" borderId="15" xfId="0" applyFont="1" applyBorder="1" applyAlignment="1">
      <alignment horizontal="center"/>
    </xf>
    <xf numFmtId="0" fontId="16" fillId="0" borderId="26" xfId="0" applyFont="1" applyBorder="1" applyAlignment="1">
      <alignment horizontal="center" vertical="center" wrapText="1"/>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20" fillId="13" borderId="10" xfId="0" applyFont="1" applyFill="1" applyBorder="1" applyAlignment="1">
      <alignment horizontal="left" vertical="center" wrapText="1"/>
    </xf>
    <xf numFmtId="0" fontId="20" fillId="13" borderId="10" xfId="0" applyFont="1" applyFill="1" applyBorder="1" applyAlignment="1">
      <alignment horizontal="center" vertical="center" wrapText="1"/>
    </xf>
    <xf numFmtId="0" fontId="21" fillId="11" borderId="10" xfId="0" applyFont="1" applyFill="1" applyBorder="1" applyAlignment="1" applyProtection="1">
      <alignment horizontal="center" vertical="center"/>
      <protection locked="0"/>
    </xf>
    <xf numFmtId="0" fontId="19" fillId="13" borderId="10" xfId="0" applyFont="1" applyFill="1" applyBorder="1"/>
    <xf numFmtId="0" fontId="22" fillId="13" borderId="10" xfId="0" applyFont="1" applyFill="1" applyBorder="1"/>
    <xf numFmtId="0" fontId="19" fillId="13" borderId="12" xfId="0" applyFont="1" applyFill="1" applyBorder="1" applyAlignment="1">
      <alignment horizontal="left" vertical="center"/>
    </xf>
    <xf numFmtId="0" fontId="19" fillId="13" borderId="14" xfId="0" applyFont="1" applyFill="1" applyBorder="1" applyAlignment="1">
      <alignment horizontal="left" vertical="center"/>
    </xf>
    <xf numFmtId="0" fontId="19" fillId="10" borderId="12" xfId="0" applyFont="1" applyFill="1" applyBorder="1" applyAlignment="1">
      <alignment horizontal="center"/>
    </xf>
    <xf numFmtId="0" fontId="19" fillId="10" borderId="14" xfId="0" applyFont="1" applyFill="1" applyBorder="1" applyAlignment="1">
      <alignment horizontal="center"/>
    </xf>
    <xf numFmtId="10" fontId="24" fillId="0" borderId="12" xfId="0" applyNumberFormat="1" applyFont="1" applyBorder="1" applyAlignment="1">
      <alignment horizontal="center" vertical="center"/>
    </xf>
    <xf numFmtId="0" fontId="24" fillId="0" borderId="14" xfId="0" applyFont="1" applyBorder="1" applyAlignment="1">
      <alignment horizontal="center" vertical="center"/>
    </xf>
    <xf numFmtId="170" fontId="22" fillId="0" borderId="11" xfId="2" applyNumberFormat="1" applyFont="1" applyFill="1" applyBorder="1" applyAlignment="1" applyProtection="1">
      <alignment horizontal="center"/>
    </xf>
    <xf numFmtId="0" fontId="24" fillId="0" borderId="35" xfId="0" applyFont="1" applyBorder="1" applyAlignment="1">
      <alignment horizontal="left" vertical="center"/>
    </xf>
    <xf numFmtId="0" fontId="24" fillId="0" borderId="36" xfId="0" applyFont="1" applyBorder="1" applyAlignment="1">
      <alignment horizontal="left" vertical="center"/>
    </xf>
    <xf numFmtId="0" fontId="24" fillId="0" borderId="42" xfId="0" applyFont="1" applyBorder="1" applyAlignment="1">
      <alignment horizontal="left" vertical="center"/>
    </xf>
    <xf numFmtId="0" fontId="21" fillId="10" borderId="12"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51" xfId="0" applyFont="1" applyFill="1" applyBorder="1" applyAlignment="1" applyProtection="1">
      <alignment horizontal="center" vertical="center"/>
      <protection locked="0"/>
    </xf>
    <xf numFmtId="0" fontId="21" fillId="9" borderId="12" xfId="0" applyFont="1" applyFill="1" applyBorder="1" applyAlignment="1" applyProtection="1">
      <alignment horizontal="center" vertical="center"/>
      <protection locked="0"/>
    </xf>
    <xf numFmtId="0" fontId="21" fillId="9" borderId="30" xfId="0" applyFont="1" applyFill="1" applyBorder="1" applyAlignment="1" applyProtection="1">
      <alignment horizontal="center" vertical="center"/>
      <protection locked="0"/>
    </xf>
    <xf numFmtId="0" fontId="21" fillId="9" borderId="13" xfId="0" applyFont="1" applyFill="1" applyBorder="1" applyAlignment="1" applyProtection="1">
      <alignment horizontal="center" vertical="center"/>
      <protection locked="0"/>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24" fillId="0" borderId="39" xfId="0" applyFont="1" applyBorder="1" applyAlignment="1">
      <alignment horizontal="left"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14" fontId="21" fillId="11" borderId="12" xfId="0" applyNumberFormat="1" applyFont="1" applyFill="1" applyBorder="1" applyAlignment="1" applyProtection="1">
      <alignment horizontal="center" vertical="center" shrinkToFit="1"/>
      <protection locked="0"/>
    </xf>
    <xf numFmtId="14" fontId="21" fillId="11" borderId="13" xfId="0" applyNumberFormat="1" applyFont="1" applyFill="1" applyBorder="1" applyAlignment="1" applyProtection="1">
      <alignment horizontal="center" vertical="center" shrinkToFit="1"/>
      <protection locked="0"/>
    </xf>
    <xf numFmtId="0" fontId="21" fillId="11" borderId="52" xfId="0" applyFont="1" applyFill="1" applyBorder="1" applyAlignment="1" applyProtection="1">
      <alignment horizontal="left" vertical="center"/>
      <protection locked="0"/>
    </xf>
    <xf numFmtId="0" fontId="21" fillId="11" borderId="53" xfId="0" applyFont="1" applyFill="1" applyBorder="1" applyAlignment="1" applyProtection="1">
      <alignment horizontal="left" vertical="center"/>
      <protection locked="0"/>
    </xf>
    <xf numFmtId="0" fontId="19" fillId="0" borderId="20" xfId="0" applyFont="1" applyBorder="1" applyAlignment="1">
      <alignment horizontal="left" vertical="center" wrapText="1"/>
    </xf>
    <xf numFmtId="0" fontId="24" fillId="0" borderId="20" xfId="0" applyFont="1" applyBorder="1" applyAlignment="1">
      <alignment horizontal="justify" vertical="center" wrapText="1"/>
    </xf>
    <xf numFmtId="0" fontId="20" fillId="13" borderId="20" xfId="0" applyFont="1" applyFill="1" applyBorder="1" applyAlignment="1">
      <alignment horizontal="left" vertical="center" wrapText="1"/>
    </xf>
    <xf numFmtId="0" fontId="20" fillId="13" borderId="22" xfId="0" applyFont="1" applyFill="1" applyBorder="1" applyAlignment="1">
      <alignment horizontal="left" vertical="center" wrapText="1"/>
    </xf>
    <xf numFmtId="0" fontId="24" fillId="0" borderId="31" xfId="0" applyFont="1" applyBorder="1" applyProtection="1">
      <protection locked="0"/>
    </xf>
    <xf numFmtId="0" fontId="24" fillId="0" borderId="7" xfId="0" applyFont="1" applyBorder="1" applyProtection="1">
      <protection locked="0"/>
    </xf>
    <xf numFmtId="0" fontId="24" fillId="0" borderId="0" xfId="0" applyFont="1" applyProtection="1">
      <protection locked="0"/>
    </xf>
    <xf numFmtId="0" fontId="24" fillId="0" borderId="31" xfId="0" applyFont="1" applyBorder="1"/>
    <xf numFmtId="0" fontId="24" fillId="0" borderId="7" xfId="0" applyFont="1" applyBorder="1"/>
    <xf numFmtId="0" fontId="24" fillId="0" borderId="0" xfId="0" applyFont="1" applyAlignment="1" applyProtection="1">
      <alignment shrinkToFit="1"/>
      <protection locked="0"/>
    </xf>
    <xf numFmtId="0" fontId="24" fillId="0" borderId="5" xfId="0" applyFont="1" applyBorder="1" applyProtection="1">
      <protection locked="0"/>
    </xf>
    <xf numFmtId="0" fontId="24" fillId="0" borderId="0" xfId="0" applyFont="1" applyAlignment="1">
      <alignment shrinkToFit="1"/>
    </xf>
    <xf numFmtId="0" fontId="28" fillId="9" borderId="0" xfId="0" applyFont="1" applyFill="1" applyProtection="1">
      <protection locked="0"/>
    </xf>
    <xf numFmtId="0" fontId="28" fillId="9" borderId="5" xfId="0" applyFont="1" applyFill="1" applyBorder="1" applyProtection="1">
      <protection locked="0"/>
    </xf>
    <xf numFmtId="0" fontId="24" fillId="0" borderId="0" xfId="0" applyFont="1"/>
    <xf numFmtId="0" fontId="24" fillId="0" borderId="29" xfId="0" applyFont="1" applyBorder="1" applyAlignment="1">
      <alignment horizontal="justify" vertical="top"/>
    </xf>
    <xf numFmtId="0" fontId="24" fillId="0" borderId="29" xfId="0" applyFont="1" applyBorder="1" applyAlignment="1" applyProtection="1">
      <alignment vertical="center"/>
      <protection locked="0"/>
    </xf>
    <xf numFmtId="0" fontId="24" fillId="0" borderId="8" xfId="0" applyFont="1" applyBorder="1" applyAlignment="1">
      <alignment horizontal="left" vertical="top" wrapText="1"/>
    </xf>
    <xf numFmtId="0" fontId="24" fillId="0" borderId="37" xfId="0" applyFont="1" applyBorder="1" applyAlignment="1">
      <alignment horizontal="left" vertical="top" wrapText="1"/>
    </xf>
    <xf numFmtId="0" fontId="24" fillId="0" borderId="9" xfId="0" applyFont="1" applyBorder="1" applyAlignment="1">
      <alignment horizontal="left" vertical="top" wrapText="1"/>
    </xf>
    <xf numFmtId="0" fontId="24" fillId="0" borderId="29" xfId="0" applyFont="1" applyBorder="1" applyAlignment="1">
      <alignment horizontal="justify" vertical="top" wrapText="1"/>
    </xf>
    <xf numFmtId="0" fontId="24" fillId="0" borderId="8" xfId="0" applyFont="1" applyBorder="1" applyAlignment="1" applyProtection="1">
      <alignment vertical="center"/>
      <protection locked="0"/>
    </xf>
    <xf numFmtId="0" fontId="24" fillId="0" borderId="37" xfId="0" applyFont="1" applyBorder="1" applyAlignment="1" applyProtection="1">
      <alignment vertical="center"/>
      <protection locked="0"/>
    </xf>
    <xf numFmtId="0" fontId="24" fillId="0" borderId="9" xfId="0" applyFont="1" applyBorder="1" applyAlignment="1" applyProtection="1">
      <alignment vertical="center"/>
      <protection locked="0"/>
    </xf>
    <xf numFmtId="0" fontId="24" fillId="0" borderId="2" xfId="0" applyFont="1" applyBorder="1"/>
    <xf numFmtId="0" fontId="24" fillId="0" borderId="3" xfId="0" applyFont="1" applyBorder="1"/>
    <xf numFmtId="0" fontId="28" fillId="0" borderId="29" xfId="0" applyFont="1" applyBorder="1" applyAlignment="1">
      <alignment horizontal="center" vertical="center" wrapText="1"/>
    </xf>
    <xf numFmtId="0" fontId="28" fillId="0" borderId="29" xfId="0" applyFont="1" applyBorder="1" applyAlignment="1">
      <alignment horizontal="center" vertical="center"/>
    </xf>
    <xf numFmtId="0" fontId="24" fillId="0" borderId="31" xfId="0" applyFont="1" applyBorder="1" applyAlignment="1">
      <alignment horizontal="justify" vertical="center" shrinkToFit="1"/>
    </xf>
    <xf numFmtId="0" fontId="24" fillId="0" borderId="1" xfId="0" applyFont="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0" xfId="0" applyFont="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24" fillId="0" borderId="31" xfId="0" applyFont="1" applyBorder="1" applyAlignment="1">
      <alignment horizontal="center"/>
    </xf>
    <xf numFmtId="0" fontId="24" fillId="0" borderId="7" xfId="0" applyFont="1" applyBorder="1" applyAlignment="1">
      <alignment horizontal="center"/>
    </xf>
    <xf numFmtId="0" fontId="20" fillId="0" borderId="29" xfId="0" applyFont="1" applyBorder="1" applyAlignment="1">
      <alignment horizontal="center" vertical="center" wrapText="1"/>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0" xfId="1" applyFont="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31" xfId="1" applyFont="1" applyBorder="1" applyAlignment="1">
      <alignment horizontal="left" vertical="center" wrapText="1"/>
    </xf>
    <xf numFmtId="0" fontId="22" fillId="0" borderId="7" xfId="1" applyFont="1" applyBorder="1" applyAlignment="1">
      <alignment horizontal="left" vertical="center" wrapText="1"/>
    </xf>
    <xf numFmtId="1" fontId="24" fillId="0" borderId="31" xfId="0" applyNumberFormat="1" applyFont="1" applyBorder="1" applyAlignment="1">
      <alignment horizontal="left" vertical="center" wrapText="1"/>
    </xf>
    <xf numFmtId="0" fontId="24" fillId="0" borderId="31" xfId="0" applyFont="1" applyBorder="1" applyAlignment="1">
      <alignment horizontal="left" vertical="center" wrapText="1"/>
    </xf>
    <xf numFmtId="0" fontId="7" fillId="0" borderId="8" xfId="0" applyFont="1" applyBorder="1" applyAlignment="1">
      <alignment vertical="center"/>
    </xf>
    <xf numFmtId="0" fontId="7" fillId="0" borderId="37" xfId="0" applyFont="1" applyBorder="1" applyAlignment="1">
      <alignment vertical="center"/>
    </xf>
    <xf numFmtId="0" fontId="7" fillId="0" borderId="9" xfId="0" applyFont="1" applyBorder="1" applyAlignment="1">
      <alignment vertical="center"/>
    </xf>
    <xf numFmtId="0" fontId="7" fillId="0" borderId="29" xfId="0" applyFont="1" applyBorder="1" applyAlignment="1">
      <alignment horizontal="left" vertical="center"/>
    </xf>
    <xf numFmtId="0" fontId="6" fillId="0" borderId="29" xfId="0" applyFont="1" applyBorder="1" applyAlignment="1">
      <alignment horizontal="left" vertical="center"/>
    </xf>
    <xf numFmtId="0" fontId="6" fillId="5" borderId="29" xfId="0" applyFont="1" applyFill="1" applyBorder="1" applyAlignment="1">
      <alignment vertical="center"/>
    </xf>
    <xf numFmtId="3" fontId="7" fillId="0" borderId="8" xfId="0" applyNumberFormat="1" applyFont="1" applyBorder="1" applyAlignment="1">
      <alignment horizontal="left" vertical="center"/>
    </xf>
    <xf numFmtId="0" fontId="7" fillId="0" borderId="37" xfId="0" applyFont="1" applyBorder="1" applyAlignment="1">
      <alignment horizontal="left" vertical="center"/>
    </xf>
    <xf numFmtId="0" fontId="7" fillId="0" borderId="9" xfId="0" applyFont="1" applyBorder="1" applyAlignment="1">
      <alignment horizontal="left" vertical="center"/>
    </xf>
    <xf numFmtId="0" fontId="6" fillId="0" borderId="29" xfId="0" applyFont="1" applyBorder="1" applyAlignment="1">
      <alignment horizontal="left" vertical="center" wrapText="1"/>
    </xf>
    <xf numFmtId="0" fontId="7" fillId="0" borderId="29" xfId="0" applyFont="1" applyBorder="1" applyAlignment="1">
      <alignment horizontal="center" vertical="center"/>
    </xf>
    <xf numFmtId="0" fontId="7" fillId="0" borderId="29" xfId="0" applyFont="1" applyBorder="1" applyAlignment="1">
      <alignment horizontal="center"/>
    </xf>
    <xf numFmtId="0" fontId="7" fillId="6" borderId="0" xfId="0" applyFont="1" applyFill="1" applyAlignment="1">
      <alignment vertical="center"/>
    </xf>
    <xf numFmtId="0" fontId="7" fillId="6" borderId="5" xfId="0" applyFont="1" applyFill="1" applyBorder="1" applyAlignment="1">
      <alignment vertical="center"/>
    </xf>
    <xf numFmtId="0" fontId="6" fillId="0" borderId="0" xfId="0" applyFont="1" applyAlignment="1">
      <alignment vertical="center" wrapText="1"/>
    </xf>
    <xf numFmtId="0" fontId="6" fillId="0" borderId="5" xfId="0" applyFont="1" applyBorder="1" applyAlignment="1">
      <alignment vertical="center" wrapText="1"/>
    </xf>
    <xf numFmtId="0" fontId="9" fillId="0" borderId="0" xfId="0" applyFont="1" applyAlignment="1">
      <alignment horizontal="justify" wrapText="1"/>
    </xf>
    <xf numFmtId="9" fontId="6" fillId="0" borderId="29" xfId="0" applyNumberFormat="1" applyFont="1" applyBorder="1" applyAlignment="1">
      <alignment horizontal="center" vertical="center"/>
    </xf>
    <xf numFmtId="2" fontId="6" fillId="0" borderId="29" xfId="0" applyNumberFormat="1" applyFont="1" applyBorder="1" applyAlignment="1">
      <alignment horizontal="center" vertical="center"/>
    </xf>
    <xf numFmtId="3" fontId="7" fillId="0" borderId="29" xfId="0" applyNumberFormat="1" applyFont="1" applyBorder="1" applyAlignment="1">
      <alignment horizontal="center" vertical="center"/>
    </xf>
    <xf numFmtId="0" fontId="2" fillId="0" borderId="29" xfId="0" applyFont="1" applyBorder="1" applyAlignment="1">
      <alignment horizontal="left" vertical="center"/>
    </xf>
    <xf numFmtId="0" fontId="6" fillId="0" borderId="0" xfId="0" applyFont="1" applyAlignment="1">
      <alignment horizontal="left" vertical="center" wrapText="1"/>
    </xf>
    <xf numFmtId="0" fontId="7" fillId="6" borderId="0" xfId="0" applyFont="1" applyFill="1" applyAlignment="1">
      <alignment vertical="center" wrapText="1"/>
    </xf>
    <xf numFmtId="0" fontId="7" fillId="6" borderId="5" xfId="0" applyFont="1" applyFill="1" applyBorder="1" applyAlignment="1">
      <alignment vertical="center" wrapText="1"/>
    </xf>
    <xf numFmtId="0" fontId="2" fillId="0" borderId="29" xfId="0" applyFont="1" applyBorder="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vertical="center"/>
    </xf>
    <xf numFmtId="0" fontId="6" fillId="0" borderId="5" xfId="0" applyFont="1" applyBorder="1" applyAlignment="1">
      <alignment vertical="center"/>
    </xf>
  </cellXfs>
  <cellStyles count="10">
    <cellStyle name="Millares" xfId="2" builtinId="3"/>
    <cellStyle name="Moneda" xfId="3" builtinId="4"/>
    <cellStyle name="Moneda [0] 2 10 2 2 2" xfId="6" xr:uid="{E72F1520-078E-4063-9015-C5E9EFC67142}"/>
    <cellStyle name="Moneda 10 2" xfId="7" xr:uid="{B86C45CD-A1FA-4BAE-BFC1-EDE617EE9992}"/>
    <cellStyle name="Moneda 14" xfId="8" xr:uid="{972AD0B8-DD73-4A76-8DD3-3F0B13A0AF4F}"/>
    <cellStyle name="Moneda 15 3" xfId="9" xr:uid="{035F115E-3292-43B5-8CB1-07C1166D372A}"/>
    <cellStyle name="Normal" xfId="0" builtinId="0"/>
    <cellStyle name="Normal 2 3" xfId="5" xr:uid="{9ADE8D2E-F282-47CA-AC88-55288491A294}"/>
    <cellStyle name="Normal 5" xfId="1" xr:uid="{600E2B81-BB6F-44E9-9820-7BC13D8F1D25}"/>
    <cellStyle name="Porcentaje" xfId="4" builtinId="5"/>
  </cellStyles>
  <dxfs count="3">
    <dxf>
      <fill>
        <patternFill>
          <bgColor rgb="FF66FF33"/>
        </patternFill>
      </fill>
    </dxf>
    <dxf>
      <fill>
        <patternFill>
          <bgColor rgb="FFFF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373381</xdr:colOff>
      <xdr:row>3</xdr:row>
      <xdr:rowOff>15240</xdr:rowOff>
    </xdr:from>
    <xdr:to>
      <xdr:col>3</xdr:col>
      <xdr:colOff>1474305</xdr:colOff>
      <xdr:row>6</xdr:row>
      <xdr:rowOff>62114</xdr:rowOff>
    </xdr:to>
    <xdr:pic>
      <xdr:nvPicPr>
        <xdr:cNvPr id="2" name="Imagen 1">
          <a:extLst>
            <a:ext uri="{FF2B5EF4-FFF2-40B4-BE49-F238E27FC236}">
              <a16:creationId xmlns:a16="http://schemas.microsoft.com/office/drawing/2014/main" id="{A2D4CC4E-48CB-400D-8431-AC40DF93E80F}"/>
            </a:ext>
          </a:extLst>
        </xdr:cNvPr>
        <xdr:cNvPicPr>
          <a:picLocks noChangeAspect="1"/>
        </xdr:cNvPicPr>
      </xdr:nvPicPr>
      <xdr:blipFill>
        <a:blip xmlns:r="http://schemas.openxmlformats.org/officeDocument/2006/relationships" r:embed="rId1"/>
        <a:stretch>
          <a:fillRect/>
        </a:stretch>
      </xdr:blipFill>
      <xdr:spPr>
        <a:xfrm>
          <a:off x="739141" y="320040"/>
          <a:ext cx="1100924" cy="557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243840</xdr:colOff>
      <xdr:row>1</xdr:row>
      <xdr:rowOff>28575</xdr:rowOff>
    </xdr:from>
    <xdr:ext cx="1433239" cy="693421"/>
    <xdr:pic>
      <xdr:nvPicPr>
        <xdr:cNvPr id="2" name="Imagen 1">
          <a:extLst>
            <a:ext uri="{FF2B5EF4-FFF2-40B4-BE49-F238E27FC236}">
              <a16:creationId xmlns:a16="http://schemas.microsoft.com/office/drawing/2014/main" id="{FF4525C7-2D91-491E-ADE7-94803DC0A8E4}"/>
            </a:ext>
          </a:extLst>
        </xdr:cNvPr>
        <xdr:cNvPicPr>
          <a:picLocks noChangeAspect="1"/>
        </xdr:cNvPicPr>
      </xdr:nvPicPr>
      <xdr:blipFill>
        <a:blip xmlns:r="http://schemas.openxmlformats.org/officeDocument/2006/relationships" r:embed="rId1"/>
        <a:stretch>
          <a:fillRect/>
        </a:stretch>
      </xdr:blipFill>
      <xdr:spPr>
        <a:xfrm>
          <a:off x="605790" y="133350"/>
          <a:ext cx="1433239" cy="69342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Sandra Ximena Perez Holguin" id="{57A99349-84ED-44AD-AD3E-58F69CC66E27}" userId="S::sandra.perez@gobiernobogota.gov.co::e48b008c-8d36-43e7-b5e3-16a0cdba8a13" providerId="AD"/>
  <person displayName="Angela Patricia Cabeza Morales" id="{D4800286-290A-4CAB-B506-A38CFE825B5B}" userId="S::angela.cabeza@gobiernobogota.gov.co::04e06cd5-0d09-4f42-be96-c6f5adfa5da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5-10-31T21:26:08.87" personId="{D4800286-290A-4CAB-B506-A38CFE825B5B}" id="{055BC048-DEBC-4CE3-BAA2-0B7E77305B17}">
    <text>Organizar las notas en el formato porque no permite entender claramente la orientación que queremos brindar al diligenciar el formato, se recomienda cambiar los campos en verde ya que si corresponde a campos por diligenciar no es comprensible que si o que no es sujeto de diligenciamiento.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C37" dT="2023-05-31T15:30:12.45" personId="{57A99349-84ED-44AD-AD3E-58F69CC66E27}" id="{FDA8A6D0-C87E-4C7E-8314-228D8EFECE8A}">
    <text>Régimen de ahorro individual con solidaridad: es gestionado por fondos privados de pensión.</text>
  </threadedComment>
  <threadedComment ref="H43" dT="2023-06-01T15:38:09.42" personId="{57A99349-84ED-44AD-AD3E-58F69CC66E27}" id="{8F0CC941-CBA1-40EF-8729-7EB897C188D3}">
    <text>Del ingreso laboral</text>
  </threadedComment>
  <threadedComment ref="I56" dT="2023-05-31T15:42:06.91" personId="{57A99349-84ED-44AD-AD3E-58F69CC66E27}" id="{75CEED17-95E1-4D72-8449-37A322D375F5}">
    <text>Ley 2010 de 2019 = 2.880 UVT Anual
Ley 2277 de 2022 =    790 UVT Anual</text>
  </threadedComment>
  <threadedComment ref="H68" dT="2023-05-29T23:21:36.62" personId="{57A99349-84ED-44AD-AD3E-58F69CC66E27}" id="{9464F658-3E8B-44B5-A071-E7F0AD27A626}">
    <text>Del Valor Bruto menos el IVA</text>
  </threadedComment>
  <threadedComment ref="H75" dT="2023-05-31T15:54:23.07" personId="{57A99349-84ED-44AD-AD3E-58F69CC66E27}" id="{A6836B67-6903-47DB-A416-DDB80BE91AEE}">
    <text>Art. 336 ET. # 3. La sumatoria de las exenciones y deducciones especiales no pueden  exceder del 40% del ingreso neto.</text>
  </threadedComment>
  <threadedComment ref="I75" dT="2023-05-31T15:09:35.98" personId="{57A99349-84ED-44AD-AD3E-58F69CC66E27}" id="{74F1E727-76C7-4984-9F42-DE69A98EA7AF}">
    <text>Ley 2010 de 2019 = 5040 UVT Anual
Ley 2277 de 2022 = a 1.340 UVT Anual</text>
  </threadedComment>
  <threadedComment ref="E117" dT="2023-05-31T15:14:53.73" personId="{57A99349-84ED-44AD-AD3E-58F69CC66E27}" id="{F58F1B78-D686-47CB-9ADC-8D5C23B42F79}">
    <text xml:space="preserve">Máximo 40% de ingresos netos* Límite máximo 1.340 UVT anuales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C2:R33"/>
  <sheetViews>
    <sheetView showGridLines="0" tabSelected="1" zoomScale="80" zoomScaleNormal="80" workbookViewId="0">
      <selection activeCell="E4" sqref="E4:L7"/>
    </sheetView>
  </sheetViews>
  <sheetFormatPr baseColWidth="10" defaultColWidth="11.453125" defaultRowHeight="12.5" x14ac:dyDescent="0.25"/>
  <cols>
    <col min="1" max="3" width="1.7265625" style="3" customWidth="1"/>
    <col min="4" max="4" width="28.26953125" style="3" customWidth="1"/>
    <col min="5" max="5" width="11.54296875" style="3" customWidth="1"/>
    <col min="6" max="6" width="28" style="3" customWidth="1"/>
    <col min="7" max="7" width="13" style="3" customWidth="1"/>
    <col min="8" max="8" width="18.26953125" style="3" customWidth="1"/>
    <col min="9" max="9" width="13.453125" style="3" customWidth="1"/>
    <col min="10" max="10" width="1.7265625" style="3" customWidth="1"/>
    <col min="11" max="11" width="12.54296875" style="3" customWidth="1"/>
    <col min="12" max="12" width="11.26953125" style="3" customWidth="1"/>
    <col min="13" max="13" width="14.26953125" style="3" customWidth="1"/>
    <col min="14" max="14" width="13" style="3" customWidth="1"/>
    <col min="15" max="15" width="7.26953125" style="3" customWidth="1"/>
    <col min="16" max="16" width="14.1796875" style="3" customWidth="1"/>
    <col min="17" max="17" width="33.26953125" style="3" customWidth="1"/>
    <col min="18" max="20" width="1.7265625" style="3" customWidth="1"/>
    <col min="21" max="16384" width="11.453125" style="3"/>
  </cols>
  <sheetData>
    <row r="2" spans="3:18" ht="7.15" customHeight="1" x14ac:dyDescent="0.25"/>
    <row r="3" spans="3:18" ht="5.5" customHeight="1" x14ac:dyDescent="0.25">
      <c r="C3" s="101"/>
      <c r="D3" s="102"/>
      <c r="E3" s="102"/>
      <c r="F3" s="102"/>
      <c r="G3" s="102"/>
      <c r="H3" s="102"/>
      <c r="I3" s="102"/>
      <c r="J3" s="102"/>
      <c r="K3" s="102"/>
      <c r="L3" s="102"/>
      <c r="M3" s="102"/>
      <c r="N3" s="103">
        <v>5.0000000000000001E-3</v>
      </c>
      <c r="O3" s="103"/>
      <c r="P3" s="103"/>
      <c r="Q3" s="104">
        <v>6.9599999999999995E-2</v>
      </c>
      <c r="R3" s="105"/>
    </row>
    <row r="4" spans="3:18" x14ac:dyDescent="0.25">
      <c r="C4" s="106"/>
      <c r="D4" s="239"/>
      <c r="E4" s="241" t="s">
        <v>724</v>
      </c>
      <c r="F4" s="242"/>
      <c r="G4" s="242"/>
      <c r="H4" s="242"/>
      <c r="I4" s="242"/>
      <c r="J4" s="242"/>
      <c r="K4" s="242"/>
      <c r="L4" s="242"/>
      <c r="M4" s="233" t="s">
        <v>726</v>
      </c>
      <c r="N4" s="234"/>
      <c r="O4" s="234"/>
      <c r="P4" s="107"/>
      <c r="Q4" s="108"/>
      <c r="R4" s="109"/>
    </row>
    <row r="5" spans="3:18" x14ac:dyDescent="0.25">
      <c r="C5" s="106"/>
      <c r="D5" s="240"/>
      <c r="E5" s="243"/>
      <c r="F5" s="244"/>
      <c r="G5" s="244"/>
      <c r="H5" s="244"/>
      <c r="I5" s="244"/>
      <c r="J5" s="244"/>
      <c r="K5" s="244"/>
      <c r="L5" s="244"/>
      <c r="M5" s="235"/>
      <c r="N5" s="236"/>
      <c r="O5" s="236"/>
      <c r="P5" s="110"/>
      <c r="Q5" s="111"/>
      <c r="R5" s="109"/>
    </row>
    <row r="6" spans="3:18" x14ac:dyDescent="0.25">
      <c r="C6" s="106"/>
      <c r="D6" s="240"/>
      <c r="E6" s="243"/>
      <c r="F6" s="244"/>
      <c r="G6" s="244"/>
      <c r="H6" s="244"/>
      <c r="I6" s="244"/>
      <c r="J6" s="244"/>
      <c r="K6" s="244"/>
      <c r="L6" s="244"/>
      <c r="M6" s="235"/>
      <c r="N6" s="236"/>
      <c r="O6" s="236"/>
      <c r="P6" s="110"/>
      <c r="Q6" s="111"/>
      <c r="R6" s="109"/>
    </row>
    <row r="7" spans="3:18" x14ac:dyDescent="0.25">
      <c r="C7" s="106"/>
      <c r="D7" s="240"/>
      <c r="E7" s="243"/>
      <c r="F7" s="244"/>
      <c r="G7" s="244"/>
      <c r="H7" s="244"/>
      <c r="I7" s="244"/>
      <c r="J7" s="244"/>
      <c r="K7" s="244"/>
      <c r="L7" s="244"/>
      <c r="M7" s="237"/>
      <c r="N7" s="238"/>
      <c r="O7" s="238"/>
      <c r="P7" s="112"/>
      <c r="Q7" s="113"/>
      <c r="R7" s="109"/>
    </row>
    <row r="8" spans="3:18" ht="36.75" customHeight="1" x14ac:dyDescent="0.25">
      <c r="C8" s="106"/>
      <c r="D8" s="134" t="s">
        <v>223</v>
      </c>
      <c r="E8" s="135"/>
      <c r="F8" s="134" t="s">
        <v>635</v>
      </c>
      <c r="G8" s="135"/>
      <c r="H8" s="136" t="s">
        <v>7</v>
      </c>
      <c r="I8" s="247"/>
      <c r="J8" s="247"/>
      <c r="K8" s="136" t="s">
        <v>636</v>
      </c>
      <c r="L8" s="137"/>
      <c r="M8" s="273" t="e">
        <f>VLOOKUP(L8,VARIABLES!$AE$3:$AF$503,2,0)</f>
        <v>#N/A</v>
      </c>
      <c r="N8" s="274"/>
      <c r="O8" s="274"/>
      <c r="P8" s="274"/>
      <c r="Q8" s="274"/>
      <c r="R8" s="114"/>
    </row>
    <row r="9" spans="3:18" ht="33" customHeight="1" x14ac:dyDescent="0.25">
      <c r="C9" s="106"/>
      <c r="D9" s="245" t="s">
        <v>637</v>
      </c>
      <c r="E9" s="245"/>
      <c r="F9" s="138" t="s">
        <v>638</v>
      </c>
      <c r="G9" s="139" t="s">
        <v>639</v>
      </c>
      <c r="H9" s="139" t="s">
        <v>640</v>
      </c>
      <c r="I9" s="246" t="s">
        <v>641</v>
      </c>
      <c r="J9" s="246"/>
      <c r="K9" s="246"/>
      <c r="L9" s="139" t="s">
        <v>642</v>
      </c>
      <c r="M9" s="139" t="s">
        <v>643</v>
      </c>
      <c r="N9" s="140"/>
      <c r="O9" s="140"/>
      <c r="P9" s="140"/>
      <c r="Q9" s="140"/>
      <c r="R9" s="114"/>
    </row>
    <row r="10" spans="3:18" ht="15.5" x14ac:dyDescent="0.35">
      <c r="C10" s="106"/>
      <c r="D10" s="252"/>
      <c r="E10" s="253"/>
      <c r="F10" s="141"/>
      <c r="G10" s="142">
        <f>ROUND(IF((ISBLANK(E8)),K12*40%,(K12-E16)*40%),0)</f>
        <v>0</v>
      </c>
      <c r="H10" s="143">
        <v>0.125</v>
      </c>
      <c r="I10" s="228" t="s">
        <v>644</v>
      </c>
      <c r="J10" s="254" t="e">
        <f>VARIABLES!Z33</f>
        <v>#N/A</v>
      </c>
      <c r="K10" s="255"/>
      <c r="L10" s="144"/>
      <c r="M10" s="145">
        <v>5.2199999999999998E-3</v>
      </c>
      <c r="N10" s="146"/>
      <c r="O10" s="146"/>
      <c r="P10" s="146"/>
      <c r="Q10" s="146"/>
      <c r="R10" s="114"/>
    </row>
    <row r="11" spans="3:18" ht="15.5" x14ac:dyDescent="0.35">
      <c r="C11" s="106"/>
      <c r="D11" s="147" t="s">
        <v>645</v>
      </c>
      <c r="E11" s="252"/>
      <c r="F11" s="253"/>
      <c r="G11" s="148"/>
      <c r="H11" s="149">
        <f>ROUND(G10*H10,-2)</f>
        <v>0</v>
      </c>
      <c r="I11" s="229"/>
      <c r="J11" s="256" t="e">
        <f>ROUND(G10*J10,-2)</f>
        <v>#N/A</v>
      </c>
      <c r="K11" s="256"/>
      <c r="L11" s="144"/>
      <c r="M11" s="150">
        <f>ROUND(G10*M10,-2)</f>
        <v>0</v>
      </c>
      <c r="N11" s="151"/>
      <c r="O11" s="152"/>
      <c r="P11" s="152"/>
      <c r="Q11" s="152"/>
      <c r="R11" s="114"/>
    </row>
    <row r="12" spans="3:18" s="81" customFormat="1" ht="19.5" customHeight="1" x14ac:dyDescent="0.35">
      <c r="C12" s="115"/>
      <c r="D12" s="153" t="s">
        <v>646</v>
      </c>
      <c r="E12" s="260"/>
      <c r="F12" s="261"/>
      <c r="G12" s="261"/>
      <c r="H12" s="262"/>
      <c r="I12" s="134" t="s">
        <v>647</v>
      </c>
      <c r="J12" s="134"/>
      <c r="K12" s="154">
        <f>((E14/30)*L10)</f>
        <v>0</v>
      </c>
      <c r="L12" s="155"/>
      <c r="M12" s="156"/>
      <c r="N12" s="157"/>
      <c r="O12" s="157"/>
      <c r="P12" s="157"/>
      <c r="Q12" s="156"/>
      <c r="R12" s="116"/>
    </row>
    <row r="13" spans="3:18" ht="15.5" x14ac:dyDescent="0.35">
      <c r="C13" s="106"/>
      <c r="D13" s="158"/>
      <c r="E13" s="159"/>
      <c r="F13" s="159"/>
      <c r="G13" s="160"/>
      <c r="H13" s="160"/>
      <c r="I13" s="161"/>
      <c r="J13" s="161"/>
      <c r="K13" s="162"/>
      <c r="L13" s="160"/>
      <c r="M13" s="151"/>
      <c r="N13" s="163"/>
      <c r="O13" s="163"/>
      <c r="P13" s="163"/>
      <c r="Q13" s="151"/>
      <c r="R13" s="114"/>
    </row>
    <row r="14" spans="3:18" ht="15.5" x14ac:dyDescent="0.35">
      <c r="C14" s="106"/>
      <c r="D14" s="164" t="s">
        <v>648</v>
      </c>
      <c r="E14" s="165"/>
      <c r="F14" s="166"/>
      <c r="G14" s="166"/>
      <c r="H14" s="166"/>
      <c r="I14" s="166"/>
      <c r="J14" s="166"/>
      <c r="K14" s="248" t="s">
        <v>649</v>
      </c>
      <c r="L14" s="248"/>
      <c r="M14" s="165"/>
      <c r="N14" s="163"/>
      <c r="O14" s="163"/>
      <c r="P14" s="163"/>
      <c r="Q14" s="151"/>
      <c r="R14" s="114"/>
    </row>
    <row r="15" spans="3:18" ht="15.5" x14ac:dyDescent="0.35">
      <c r="C15" s="106"/>
      <c r="D15" s="164" t="s">
        <v>650</v>
      </c>
      <c r="E15" s="167">
        <f>ROUND(IF((ISBLANK(E8)),K12,K12/1.19),0)+H31</f>
        <v>0</v>
      </c>
      <c r="F15" s="166"/>
      <c r="G15" s="166"/>
      <c r="H15" s="166"/>
      <c r="I15" s="166"/>
      <c r="J15" s="168"/>
      <c r="K15" s="249" t="s">
        <v>651</v>
      </c>
      <c r="L15" s="249"/>
      <c r="M15" s="165"/>
      <c r="N15" s="169"/>
      <c r="O15" s="169"/>
      <c r="P15" s="169"/>
      <c r="Q15" s="151"/>
      <c r="R15" s="114"/>
    </row>
    <row r="16" spans="3:18" ht="60.75" customHeight="1" x14ac:dyDescent="0.35">
      <c r="C16" s="106"/>
      <c r="D16" s="170" t="s">
        <v>652</v>
      </c>
      <c r="E16" s="171">
        <f>ROUND(IF((ISBLANK(E8)),0,E15*19%),0)</f>
        <v>0</v>
      </c>
      <c r="F16" s="166"/>
      <c r="G16" s="166"/>
      <c r="H16" s="166"/>
      <c r="I16" s="166"/>
      <c r="J16" s="166"/>
      <c r="K16" s="250" t="s">
        <v>653</v>
      </c>
      <c r="L16" s="251"/>
      <c r="M16" s="132"/>
      <c r="N16" s="271"/>
      <c r="O16" s="272"/>
      <c r="P16" s="131" t="s">
        <v>725</v>
      </c>
      <c r="Q16" s="133"/>
      <c r="R16" s="117"/>
    </row>
    <row r="17" spans="3:18" s="81" customFormat="1" ht="23.25" customHeight="1" x14ac:dyDescent="0.35">
      <c r="C17" s="115"/>
      <c r="D17" s="156"/>
      <c r="E17" s="172"/>
      <c r="F17" s="173"/>
      <c r="G17" s="172"/>
      <c r="H17" s="172"/>
      <c r="I17" s="172"/>
      <c r="J17" s="172"/>
      <c r="K17" s="250" t="s">
        <v>654</v>
      </c>
      <c r="L17" s="251"/>
      <c r="M17" s="263"/>
      <c r="N17" s="264"/>
      <c r="O17" s="264"/>
      <c r="P17" s="265"/>
      <c r="Q17" s="265"/>
      <c r="R17" s="117"/>
    </row>
    <row r="18" spans="3:18" ht="15.5" x14ac:dyDescent="0.35">
      <c r="C18" s="106"/>
      <c r="D18" s="174"/>
      <c r="E18" s="175"/>
      <c r="F18" s="162"/>
      <c r="G18" s="166"/>
      <c r="H18" s="166"/>
      <c r="I18" s="166"/>
      <c r="J18" s="166"/>
      <c r="K18" s="166"/>
      <c r="L18" s="166"/>
      <c r="M18" s="166"/>
      <c r="N18" s="169"/>
      <c r="O18" s="169"/>
      <c r="P18" s="169"/>
      <c r="Q18" s="169"/>
      <c r="R18" s="118"/>
    </row>
    <row r="19" spans="3:18" ht="30" customHeight="1" x14ac:dyDescent="0.35">
      <c r="C19" s="106"/>
      <c r="D19" s="139" t="s">
        <v>655</v>
      </c>
      <c r="E19" s="139" t="s">
        <v>656</v>
      </c>
      <c r="F19" s="139" t="s">
        <v>657</v>
      </c>
      <c r="G19" s="139" t="s">
        <v>658</v>
      </c>
      <c r="H19" s="138" t="s">
        <v>659</v>
      </c>
      <c r="I19" s="139" t="s">
        <v>660</v>
      </c>
      <c r="J19" s="162"/>
      <c r="K19" s="277" t="s">
        <v>661</v>
      </c>
      <c r="L19" s="277"/>
      <c r="M19" s="277"/>
      <c r="N19" s="277"/>
      <c r="O19" s="278"/>
      <c r="P19" s="176" t="s">
        <v>662</v>
      </c>
      <c r="Q19" s="177"/>
      <c r="R19" s="119"/>
    </row>
    <row r="20" spans="3:18" ht="23.15" customHeight="1" x14ac:dyDescent="0.35">
      <c r="C20" s="106"/>
      <c r="D20" s="178" t="s">
        <v>663</v>
      </c>
      <c r="E20" s="179">
        <v>51117902</v>
      </c>
      <c r="F20" s="180">
        <f>K12+H31</f>
        <v>0</v>
      </c>
      <c r="G20" s="181"/>
      <c r="H20" s="181"/>
      <c r="I20" s="181"/>
      <c r="J20" s="162"/>
      <c r="K20" s="275" t="s">
        <v>664</v>
      </c>
      <c r="L20" s="275"/>
      <c r="M20" s="275"/>
      <c r="N20" s="275"/>
      <c r="O20" s="182"/>
      <c r="P20" s="183">
        <v>0</v>
      </c>
      <c r="Q20" s="177"/>
      <c r="R20" s="119"/>
    </row>
    <row r="21" spans="3:18" ht="35.25" customHeight="1" x14ac:dyDescent="0.35">
      <c r="C21" s="106"/>
      <c r="D21" s="184" t="s">
        <v>665</v>
      </c>
      <c r="E21" s="179">
        <v>24361502</v>
      </c>
      <c r="F21" s="181"/>
      <c r="G21" s="185">
        <v>0</v>
      </c>
      <c r="H21" s="186"/>
      <c r="I21" s="181" t="e">
        <f>VARIABLES!I121</f>
        <v>#N/A</v>
      </c>
      <c r="J21" s="162"/>
      <c r="K21" s="276" t="s">
        <v>666</v>
      </c>
      <c r="L21" s="276"/>
      <c r="M21" s="276"/>
      <c r="N21" s="276"/>
      <c r="O21" s="182"/>
      <c r="P21" s="183">
        <v>0</v>
      </c>
      <c r="Q21" s="187"/>
      <c r="R21" s="120"/>
    </row>
    <row r="22" spans="3:18" ht="24.75" customHeight="1" x14ac:dyDescent="0.35">
      <c r="C22" s="106"/>
      <c r="D22" s="188" t="s">
        <v>667</v>
      </c>
      <c r="E22" s="179">
        <v>243625</v>
      </c>
      <c r="F22" s="181"/>
      <c r="G22" s="189">
        <f>ROUND(I22*H22,0)</f>
        <v>0</v>
      </c>
      <c r="H22" s="190">
        <v>0.15</v>
      </c>
      <c r="I22" s="181">
        <f>IF(E16&gt;0,E16,0)</f>
        <v>0</v>
      </c>
      <c r="J22" s="162"/>
      <c r="K22" s="275" t="s">
        <v>146</v>
      </c>
      <c r="L22" s="275"/>
      <c r="M22" s="275"/>
      <c r="N22" s="275"/>
      <c r="O22" s="182"/>
      <c r="P22" s="183">
        <v>0</v>
      </c>
      <c r="Q22" s="187"/>
      <c r="R22" s="121"/>
    </row>
    <row r="23" spans="3:18" ht="23.25" customHeight="1" x14ac:dyDescent="0.35">
      <c r="C23" s="106"/>
      <c r="D23" s="188" t="s">
        <v>668</v>
      </c>
      <c r="E23" s="179">
        <v>243627</v>
      </c>
      <c r="F23" s="181"/>
      <c r="G23" s="189" t="e">
        <f>ROUND(I23*H23,0)</f>
        <v>#N/A</v>
      </c>
      <c r="H23" s="191">
        <v>0</v>
      </c>
      <c r="I23" s="181" t="e">
        <f>IF(ISBLANK(I8),E15-H11-J11,E15)</f>
        <v>#N/A</v>
      </c>
      <c r="J23" s="162"/>
      <c r="K23" s="266" t="s">
        <v>175</v>
      </c>
      <c r="L23" s="266"/>
      <c r="M23" s="266"/>
      <c r="N23" s="266"/>
      <c r="O23" s="182"/>
      <c r="P23" s="183">
        <v>0</v>
      </c>
      <c r="Q23" s="192"/>
      <c r="R23" s="122"/>
    </row>
    <row r="24" spans="3:18" ht="27" customHeight="1" x14ac:dyDescent="0.35">
      <c r="C24" s="106"/>
      <c r="D24" s="184" t="s">
        <v>669</v>
      </c>
      <c r="E24" s="179">
        <v>24369001</v>
      </c>
      <c r="F24" s="181"/>
      <c r="G24" s="189">
        <f>ROUND(I24*H24,0)</f>
        <v>0</v>
      </c>
      <c r="H24" s="193">
        <f>VARIABLES!AL8</f>
        <v>0</v>
      </c>
      <c r="I24" s="181">
        <f>E15+P27</f>
        <v>0</v>
      </c>
      <c r="J24" s="162"/>
      <c r="K24" s="267" t="s">
        <v>670</v>
      </c>
      <c r="L24" s="267"/>
      <c r="M24" s="267"/>
      <c r="N24" s="267"/>
      <c r="O24" s="182"/>
      <c r="P24" s="194"/>
      <c r="Q24" s="192"/>
      <c r="R24" s="120"/>
    </row>
    <row r="25" spans="3:18" ht="25.5" customHeight="1" x14ac:dyDescent="0.35">
      <c r="C25" s="106"/>
      <c r="D25" s="188" t="s">
        <v>671</v>
      </c>
      <c r="E25" s="179">
        <v>24369002</v>
      </c>
      <c r="F25" s="181"/>
      <c r="G25" s="189">
        <f>ROUND(I25*H25,0)</f>
        <v>0</v>
      </c>
      <c r="H25" s="193">
        <v>5.0000000000000001E-3</v>
      </c>
      <c r="I25" s="181">
        <f>E15</f>
        <v>0</v>
      </c>
      <c r="J25" s="166"/>
      <c r="K25" s="268" t="s">
        <v>181</v>
      </c>
      <c r="L25" s="269"/>
      <c r="M25" s="269"/>
      <c r="N25" s="270"/>
      <c r="O25" s="195"/>
      <c r="P25" s="151"/>
      <c r="Q25" s="177"/>
      <c r="R25" s="121"/>
    </row>
    <row r="26" spans="3:18" ht="25.5" customHeight="1" x14ac:dyDescent="0.35">
      <c r="C26" s="106"/>
      <c r="D26" s="184" t="s">
        <v>672</v>
      </c>
      <c r="E26" s="179">
        <v>24369003</v>
      </c>
      <c r="F26" s="181"/>
      <c r="G26" s="189">
        <f>ROUND(I26*H26,0)</f>
        <v>0</v>
      </c>
      <c r="H26" s="190">
        <v>0.02</v>
      </c>
      <c r="I26" s="181">
        <f>E15</f>
        <v>0</v>
      </c>
      <c r="J26" s="166"/>
      <c r="K26" s="257" t="s">
        <v>673</v>
      </c>
      <c r="L26" s="258"/>
      <c r="M26" s="258"/>
      <c r="N26" s="258"/>
      <c r="O26" s="259"/>
      <c r="P26" s="196">
        <v>0</v>
      </c>
      <c r="Q26" s="197" t="s">
        <v>674</v>
      </c>
      <c r="R26" s="123"/>
    </row>
    <row r="27" spans="3:18" ht="30" customHeight="1" x14ac:dyDescent="0.35">
      <c r="C27" s="106"/>
      <c r="D27" s="198" t="s">
        <v>675</v>
      </c>
      <c r="E27" s="179"/>
      <c r="F27" s="181"/>
      <c r="G27" s="199" t="e">
        <f>SUM(G21:G26)</f>
        <v>#N/A</v>
      </c>
      <c r="H27" s="190"/>
      <c r="I27" s="181"/>
      <c r="J27" s="166"/>
      <c r="K27" s="257" t="s">
        <v>218</v>
      </c>
      <c r="L27" s="258"/>
      <c r="M27" s="258"/>
      <c r="N27" s="258"/>
      <c r="O27" s="259"/>
      <c r="P27" s="196">
        <v>0</v>
      </c>
      <c r="Q27" s="200" t="s">
        <v>676</v>
      </c>
      <c r="R27" s="123"/>
    </row>
    <row r="28" spans="3:18" ht="29.25" customHeight="1" x14ac:dyDescent="0.35">
      <c r="C28" s="106"/>
      <c r="D28" s="178" t="s">
        <v>677</v>
      </c>
      <c r="E28" s="179">
        <v>249054</v>
      </c>
      <c r="F28" s="201"/>
      <c r="G28" s="180" t="e">
        <f>F20-G27</f>
        <v>#N/A</v>
      </c>
      <c r="H28" s="202"/>
      <c r="I28" s="181"/>
      <c r="J28" s="166"/>
      <c r="K28" s="257" t="s">
        <v>678</v>
      </c>
      <c r="L28" s="258"/>
      <c r="M28" s="258"/>
      <c r="N28" s="258"/>
      <c r="O28" s="259"/>
      <c r="P28" s="196">
        <v>0</v>
      </c>
      <c r="Q28" s="203"/>
      <c r="R28" s="123"/>
    </row>
    <row r="29" spans="3:18" ht="9" customHeight="1" x14ac:dyDescent="0.35">
      <c r="C29" s="106"/>
      <c r="D29" s="151"/>
      <c r="E29" s="204"/>
      <c r="F29" s="205"/>
      <c r="G29" s="166"/>
      <c r="H29" s="166"/>
      <c r="I29" s="166"/>
      <c r="J29" s="166"/>
      <c r="K29" s="166"/>
      <c r="L29" s="151"/>
      <c r="M29" s="151"/>
      <c r="N29" s="151"/>
      <c r="O29" s="151"/>
      <c r="P29" s="151"/>
      <c r="Q29" s="151"/>
      <c r="R29" s="114"/>
    </row>
    <row r="30" spans="3:18" s="81" customFormat="1" ht="18" customHeight="1" x14ac:dyDescent="0.35">
      <c r="C30" s="115"/>
      <c r="D30" s="206" t="s">
        <v>679</v>
      </c>
      <c r="E30" s="207"/>
      <c r="F30" s="207"/>
      <c r="G30" s="207"/>
      <c r="H30" s="207"/>
      <c r="I30" s="207"/>
      <c r="J30" s="207"/>
      <c r="K30" s="207"/>
      <c r="L30" s="172"/>
      <c r="M30" s="208" t="s">
        <v>680</v>
      </c>
      <c r="N30" s="230"/>
      <c r="O30" s="231"/>
      <c r="P30" s="232"/>
      <c r="Q30" s="209"/>
      <c r="R30" s="124"/>
    </row>
    <row r="31" spans="3:18" ht="14.5" customHeight="1" x14ac:dyDescent="0.35">
      <c r="C31" s="106"/>
      <c r="D31" s="151" t="s">
        <v>681</v>
      </c>
      <c r="E31" s="151"/>
      <c r="F31" s="151"/>
      <c r="G31" s="210" t="s">
        <v>682</v>
      </c>
      <c r="H31" s="211"/>
      <c r="I31" s="205"/>
      <c r="J31" s="205"/>
      <c r="K31" s="205"/>
      <c r="L31" s="205"/>
      <c r="M31" s="205"/>
      <c r="N31" s="205"/>
      <c r="O31" s="205"/>
      <c r="P31" s="205"/>
      <c r="Q31" s="212"/>
      <c r="R31" s="123"/>
    </row>
    <row r="32" spans="3:18" ht="15.5" x14ac:dyDescent="0.35">
      <c r="C32" s="125"/>
      <c r="D32" s="213"/>
      <c r="E32" s="213"/>
      <c r="F32" s="213"/>
      <c r="G32" s="213"/>
      <c r="H32" s="213"/>
      <c r="I32" s="214"/>
      <c r="J32" s="214"/>
      <c r="K32" s="214"/>
      <c r="L32" s="214"/>
      <c r="M32" s="214"/>
      <c r="N32" s="214"/>
      <c r="O32" s="214"/>
      <c r="P32" s="214"/>
      <c r="Q32" s="215"/>
      <c r="R32" s="126"/>
    </row>
    <row r="33" ht="8.5" customHeight="1" x14ac:dyDescent="0.25"/>
  </sheetData>
  <mergeCells count="30">
    <mergeCell ref="M8:Q8"/>
    <mergeCell ref="K20:N20"/>
    <mergeCell ref="K21:N21"/>
    <mergeCell ref="K22:N22"/>
    <mergeCell ref="K19:O19"/>
    <mergeCell ref="E12:H12"/>
    <mergeCell ref="K17:L17"/>
    <mergeCell ref="M17:Q17"/>
    <mergeCell ref="K26:O26"/>
    <mergeCell ref="K27:O27"/>
    <mergeCell ref="K23:N23"/>
    <mergeCell ref="K24:N24"/>
    <mergeCell ref="K25:N25"/>
    <mergeCell ref="N16:O16"/>
    <mergeCell ref="I10:I11"/>
    <mergeCell ref="N30:P30"/>
    <mergeCell ref="M4:O7"/>
    <mergeCell ref="D4:D7"/>
    <mergeCell ref="E4:L7"/>
    <mergeCell ref="D9:E9"/>
    <mergeCell ref="I9:K9"/>
    <mergeCell ref="I8:J8"/>
    <mergeCell ref="K14:L14"/>
    <mergeCell ref="K15:L15"/>
    <mergeCell ref="K16:L16"/>
    <mergeCell ref="E11:F11"/>
    <mergeCell ref="D10:E10"/>
    <mergeCell ref="J10:K10"/>
    <mergeCell ref="J11:K11"/>
    <mergeCell ref="K28:O28"/>
  </mergeCells>
  <conditionalFormatting sqref="D20">
    <cfRule type="expression" dxfId="2" priority="5">
      <formula>ISBLANK($D$20)</formula>
    </cfRule>
  </conditionalFormatting>
  <conditionalFormatting sqref="I10">
    <cfRule type="expression" dxfId="1" priority="16">
      <formula>$I$11&gt;0</formula>
    </cfRule>
  </conditionalFormatting>
  <conditionalFormatting sqref="M10">
    <cfRule type="expression" dxfId="0" priority="8">
      <formula>ISBLANK($M$10)</formula>
    </cfRule>
  </conditionalFormatting>
  <printOptions horizontalCentered="1"/>
  <pageMargins left="0.70866141732283472" right="0.70866141732283472" top="0.74803149606299213" bottom="0.74803149606299213" header="0.31496062992125984" footer="0.31496062992125984"/>
  <pageSetup scale="58"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40B11EE-F88D-435E-AF0F-4EA2B8159821}">
          <x14:formula1>
            <xm:f>VARIABLES!$N$2:$N$3</xm:f>
          </x14:formula1>
          <xm:sqref>E8 O20:O25 I8:J8 G8</xm:sqref>
        </x14:dataValidation>
        <x14:dataValidation type="list" allowBlank="1" showInputMessage="1" showErrorMessage="1" xr:uid="{08DEC87F-4C69-41A3-BB45-8897620F62A4}">
          <x14:formula1>
            <xm:f>VARIABLES!$P$2:$P$7</xm:f>
          </x14:formula1>
          <xm:sqref>M10</xm:sqref>
        </x14:dataValidation>
        <x14:dataValidation type="list" allowBlank="1" showInputMessage="1" showErrorMessage="1" xr:uid="{039B2825-8878-45AA-9661-452874649FA8}">
          <x14:formula1>
            <xm:f>VARIABLES!$U$2:$U$26</xm:f>
          </x14:formula1>
          <xm:sqref>M17</xm:sqref>
        </x14:dataValidation>
        <x14:dataValidation type="list" allowBlank="1" showInputMessage="1" showErrorMessage="1" xr:uid="{3A708791-7DE9-4902-85DE-7C20EDD9968D}">
          <x14:formula1>
            <xm:f>VARIABLES!$AE$4:$AE$490</xm:f>
          </x14:formula1>
          <xm:sqref>L8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93C3-CF35-4A26-98AA-867AAD527CBE}">
  <sheetPr>
    <pageSetUpPr fitToPage="1"/>
  </sheetPr>
  <dimension ref="B1:O38"/>
  <sheetViews>
    <sheetView showGridLines="0" workbookViewId="0">
      <selection activeCell="M2" sqref="M2:O5"/>
    </sheetView>
  </sheetViews>
  <sheetFormatPr baseColWidth="10" defaultColWidth="11.54296875" defaultRowHeight="15.5" x14ac:dyDescent="0.35"/>
  <cols>
    <col min="1" max="1" width="5.453125" style="151" customWidth="1"/>
    <col min="2" max="2" width="14.1796875" style="151" customWidth="1"/>
    <col min="3" max="3" width="15" style="151" customWidth="1"/>
    <col min="4" max="4" width="15.54296875" style="151" customWidth="1"/>
    <col min="5" max="5" width="6.54296875" style="151" customWidth="1"/>
    <col min="6" max="6" width="2.453125" style="151" customWidth="1"/>
    <col min="7" max="7" width="26.7265625" style="151" customWidth="1"/>
    <col min="8" max="8" width="10.7265625" style="151" customWidth="1"/>
    <col min="9" max="9" width="11.81640625" style="151" customWidth="1"/>
    <col min="10" max="10" width="4.81640625" style="151" customWidth="1"/>
    <col min="11" max="11" width="4.1796875" style="151" customWidth="1"/>
    <col min="12" max="12" width="7.81640625" style="151" customWidth="1"/>
    <col min="13" max="14" width="1.7265625" style="151" customWidth="1"/>
    <col min="15" max="15" width="20.54296875" style="151" customWidth="1"/>
    <col min="16" max="16384" width="11.54296875" style="151"/>
  </cols>
  <sheetData>
    <row r="1" spans="2:15" ht="8.5" customHeight="1" x14ac:dyDescent="0.35"/>
    <row r="2" spans="2:15" ht="10.15" customHeight="1" x14ac:dyDescent="0.35">
      <c r="B2" s="304"/>
      <c r="C2" s="305"/>
      <c r="D2" s="306"/>
      <c r="E2" s="313" t="s">
        <v>683</v>
      </c>
      <c r="F2" s="313"/>
      <c r="G2" s="313"/>
      <c r="H2" s="313"/>
      <c r="I2" s="313"/>
      <c r="J2" s="313"/>
      <c r="K2" s="313"/>
      <c r="L2" s="313"/>
      <c r="M2" s="314" t="s">
        <v>726</v>
      </c>
      <c r="N2" s="315"/>
      <c r="O2" s="316"/>
    </row>
    <row r="3" spans="2:15" ht="14.5" customHeight="1" x14ac:dyDescent="0.35">
      <c r="B3" s="307"/>
      <c r="C3" s="308"/>
      <c r="D3" s="309"/>
      <c r="E3" s="313"/>
      <c r="F3" s="313"/>
      <c r="G3" s="313"/>
      <c r="H3" s="313"/>
      <c r="I3" s="313"/>
      <c r="J3" s="313"/>
      <c r="K3" s="313"/>
      <c r="L3" s="313"/>
      <c r="M3" s="317"/>
      <c r="N3" s="318"/>
      <c r="O3" s="319"/>
    </row>
    <row r="4" spans="2:15" ht="26.5" customHeight="1" x14ac:dyDescent="0.35">
      <c r="B4" s="307"/>
      <c r="C4" s="308"/>
      <c r="D4" s="309"/>
      <c r="E4" s="313"/>
      <c r="F4" s="313"/>
      <c r="G4" s="313"/>
      <c r="H4" s="313"/>
      <c r="I4" s="313"/>
      <c r="J4" s="313"/>
      <c r="K4" s="313"/>
      <c r="L4" s="313"/>
      <c r="M4" s="317"/>
      <c r="N4" s="318"/>
      <c r="O4" s="319"/>
    </row>
    <row r="5" spans="2:15" ht="32.25" customHeight="1" x14ac:dyDescent="0.35">
      <c r="B5" s="310"/>
      <c r="C5" s="311"/>
      <c r="D5" s="312"/>
      <c r="E5" s="313"/>
      <c r="F5" s="313"/>
      <c r="G5" s="313"/>
      <c r="H5" s="313"/>
      <c r="I5" s="313"/>
      <c r="J5" s="313"/>
      <c r="K5" s="313"/>
      <c r="L5" s="313"/>
      <c r="M5" s="320"/>
      <c r="N5" s="321"/>
      <c r="O5" s="322"/>
    </row>
    <row r="6" spans="2:15" ht="7.9" customHeight="1" x14ac:dyDescent="0.35"/>
    <row r="7" spans="2:15" ht="28.15" customHeight="1" x14ac:dyDescent="0.35">
      <c r="B7" s="151" t="s">
        <v>684</v>
      </c>
      <c r="C7" s="216">
        <f>'GCO-GCI-F202'!E12</f>
        <v>0</v>
      </c>
      <c r="D7" s="217" t="s">
        <v>685</v>
      </c>
      <c r="E7" s="323">
        <f>'GCO-GCI-F202'!E12</f>
        <v>0</v>
      </c>
      <c r="F7" s="324"/>
      <c r="G7" s="324"/>
      <c r="I7" s="218" t="s">
        <v>686</v>
      </c>
      <c r="J7" s="324">
        <f>'GCO-GCI-F202'!M16</f>
        <v>0</v>
      </c>
      <c r="K7" s="324"/>
      <c r="L7" s="324"/>
      <c r="M7" s="324"/>
      <c r="N7" s="324"/>
      <c r="O7" s="324"/>
    </row>
    <row r="9" spans="2:15" ht="17.5" customHeight="1" x14ac:dyDescent="0.35">
      <c r="B9" s="151" t="s">
        <v>687</v>
      </c>
      <c r="C9" s="303">
        <f>'GCO-GCI-F202'!M17</f>
        <v>0</v>
      </c>
      <c r="D9" s="303"/>
      <c r="E9" s="303"/>
      <c r="F9" s="303"/>
      <c r="G9" s="303"/>
      <c r="I9" s="219" t="s">
        <v>688</v>
      </c>
      <c r="L9" s="303" t="str">
        <f>'GCO-GCI-F202'!P16</f>
        <v>Período en Seguridad Social:</v>
      </c>
      <c r="M9" s="303"/>
      <c r="N9" s="303"/>
      <c r="O9" s="303"/>
    </row>
    <row r="10" spans="2:15" ht="7.15" customHeight="1" x14ac:dyDescent="0.35">
      <c r="O10" s="151" t="s">
        <v>69</v>
      </c>
    </row>
    <row r="11" spans="2:15" ht="12.65" customHeight="1" x14ac:dyDescent="0.35">
      <c r="B11" s="301" t="s">
        <v>689</v>
      </c>
      <c r="C11" s="302" t="s">
        <v>690</v>
      </c>
      <c r="D11" s="302"/>
      <c r="E11" s="302"/>
      <c r="F11" s="302"/>
      <c r="G11" s="302"/>
      <c r="H11" s="302" t="s">
        <v>691</v>
      </c>
      <c r="I11" s="302"/>
      <c r="J11" s="302" t="s">
        <v>692</v>
      </c>
      <c r="K11" s="302"/>
      <c r="L11" s="302"/>
      <c r="M11" s="302"/>
      <c r="N11" s="302"/>
      <c r="O11" s="302"/>
    </row>
    <row r="12" spans="2:15" ht="13.9" customHeight="1" x14ac:dyDescent="0.35">
      <c r="B12" s="301"/>
      <c r="C12" s="302"/>
      <c r="D12" s="302"/>
      <c r="E12" s="302"/>
      <c r="F12" s="302"/>
      <c r="G12" s="302"/>
      <c r="H12" s="220" t="s">
        <v>693</v>
      </c>
      <c r="I12" s="220" t="s">
        <v>694</v>
      </c>
      <c r="J12" s="302"/>
      <c r="K12" s="302"/>
      <c r="L12" s="302"/>
      <c r="M12" s="302"/>
      <c r="N12" s="302"/>
      <c r="O12" s="302"/>
    </row>
    <row r="13" spans="2:15" s="156" customFormat="1" ht="16.149999999999999" customHeight="1" x14ac:dyDescent="0.35">
      <c r="B13" s="221">
        <v>1</v>
      </c>
      <c r="C13" s="295" t="s">
        <v>695</v>
      </c>
      <c r="D13" s="295"/>
      <c r="E13" s="295"/>
      <c r="F13" s="295"/>
      <c r="G13" s="295"/>
      <c r="H13" s="222"/>
      <c r="I13" s="222"/>
      <c r="J13" s="291"/>
      <c r="K13" s="291"/>
      <c r="L13" s="291"/>
      <c r="M13" s="291"/>
      <c r="N13" s="291"/>
      <c r="O13" s="291"/>
    </row>
    <row r="14" spans="2:15" s="156" customFormat="1" ht="15.65" customHeight="1" x14ac:dyDescent="0.35">
      <c r="B14" s="221">
        <v>2</v>
      </c>
      <c r="C14" s="295" t="s">
        <v>696</v>
      </c>
      <c r="D14" s="295"/>
      <c r="E14" s="295"/>
      <c r="F14" s="295"/>
      <c r="G14" s="295"/>
      <c r="H14" s="222"/>
      <c r="I14" s="222"/>
      <c r="J14" s="291"/>
      <c r="K14" s="291"/>
      <c r="L14" s="291"/>
      <c r="M14" s="291"/>
      <c r="N14" s="291"/>
      <c r="O14" s="291"/>
    </row>
    <row r="15" spans="2:15" s="156" customFormat="1" ht="13.9" customHeight="1" x14ac:dyDescent="0.35">
      <c r="B15" s="221">
        <v>3</v>
      </c>
      <c r="C15" s="295" t="s">
        <v>697</v>
      </c>
      <c r="D15" s="295"/>
      <c r="E15" s="295"/>
      <c r="F15" s="295"/>
      <c r="G15" s="295"/>
      <c r="H15" s="222"/>
      <c r="I15" s="222"/>
      <c r="J15" s="291"/>
      <c r="K15" s="291"/>
      <c r="L15" s="291"/>
      <c r="M15" s="291"/>
      <c r="N15" s="291"/>
      <c r="O15" s="291"/>
    </row>
    <row r="16" spans="2:15" s="156" customFormat="1" ht="16.149999999999999" customHeight="1" x14ac:dyDescent="0.35">
      <c r="B16" s="221">
        <v>4</v>
      </c>
      <c r="C16" s="295" t="s">
        <v>698</v>
      </c>
      <c r="D16" s="295"/>
      <c r="E16" s="295"/>
      <c r="F16" s="295"/>
      <c r="G16" s="295"/>
      <c r="H16" s="222"/>
      <c r="I16" s="222"/>
      <c r="J16" s="291"/>
      <c r="K16" s="291"/>
      <c r="L16" s="291"/>
      <c r="M16" s="291"/>
      <c r="N16" s="291"/>
      <c r="O16" s="291"/>
    </row>
    <row r="17" spans="2:15" s="156" customFormat="1" ht="28.9" customHeight="1" x14ac:dyDescent="0.35">
      <c r="B17" s="221">
        <v>5</v>
      </c>
      <c r="C17" s="295" t="s">
        <v>699</v>
      </c>
      <c r="D17" s="295"/>
      <c r="E17" s="295"/>
      <c r="F17" s="295"/>
      <c r="G17" s="295"/>
      <c r="H17" s="222"/>
      <c r="I17" s="222"/>
      <c r="J17" s="291"/>
      <c r="K17" s="291"/>
      <c r="L17" s="291"/>
      <c r="M17" s="291"/>
      <c r="N17" s="291"/>
      <c r="O17" s="291"/>
    </row>
    <row r="18" spans="2:15" s="156" customFormat="1" ht="31.15" customHeight="1" x14ac:dyDescent="0.35">
      <c r="B18" s="221">
        <v>6</v>
      </c>
      <c r="C18" s="295" t="s">
        <v>700</v>
      </c>
      <c r="D18" s="295"/>
      <c r="E18" s="295"/>
      <c r="F18" s="295"/>
      <c r="G18" s="295"/>
      <c r="H18" s="222"/>
      <c r="I18" s="222"/>
      <c r="J18" s="291"/>
      <c r="K18" s="291"/>
      <c r="L18" s="291"/>
      <c r="M18" s="291"/>
      <c r="N18" s="291"/>
      <c r="O18" s="291"/>
    </row>
    <row r="19" spans="2:15" s="156" customFormat="1" ht="15.65" customHeight="1" x14ac:dyDescent="0.35">
      <c r="B19" s="221">
        <v>7</v>
      </c>
      <c r="C19" s="295" t="s">
        <v>701</v>
      </c>
      <c r="D19" s="295"/>
      <c r="E19" s="295"/>
      <c r="F19" s="295"/>
      <c r="G19" s="295"/>
      <c r="H19" s="222"/>
      <c r="I19" s="222"/>
      <c r="J19" s="291"/>
      <c r="K19" s="291"/>
      <c r="L19" s="291"/>
      <c r="M19" s="291"/>
      <c r="N19" s="291"/>
      <c r="O19" s="291"/>
    </row>
    <row r="20" spans="2:15" s="156" customFormat="1" ht="15.65" customHeight="1" x14ac:dyDescent="0.35">
      <c r="B20" s="221">
        <v>8</v>
      </c>
      <c r="C20" s="295" t="s">
        <v>702</v>
      </c>
      <c r="D20" s="295"/>
      <c r="E20" s="295"/>
      <c r="F20" s="295"/>
      <c r="G20" s="295"/>
      <c r="H20" s="222"/>
      <c r="I20" s="222"/>
      <c r="J20" s="291"/>
      <c r="K20" s="291"/>
      <c r="L20" s="291"/>
      <c r="M20" s="291"/>
      <c r="N20" s="291"/>
      <c r="O20" s="291"/>
    </row>
    <row r="21" spans="2:15" s="156" customFormat="1" ht="15" customHeight="1" x14ac:dyDescent="0.35">
      <c r="B21" s="221">
        <v>9</v>
      </c>
      <c r="C21" s="295" t="s">
        <v>703</v>
      </c>
      <c r="D21" s="295"/>
      <c r="E21" s="295"/>
      <c r="F21" s="295"/>
      <c r="G21" s="295"/>
      <c r="H21" s="222"/>
      <c r="I21" s="222"/>
      <c r="J21" s="291"/>
      <c r="K21" s="291"/>
      <c r="L21" s="291"/>
      <c r="M21" s="291"/>
      <c r="N21" s="291"/>
      <c r="O21" s="291"/>
    </row>
    <row r="22" spans="2:15" s="156" customFormat="1" ht="16.149999999999999" customHeight="1" x14ac:dyDescent="0.35">
      <c r="B22" s="221">
        <v>10</v>
      </c>
      <c r="C22" s="295" t="s">
        <v>720</v>
      </c>
      <c r="D22" s="295"/>
      <c r="E22" s="295"/>
      <c r="F22" s="295"/>
      <c r="G22" s="295"/>
      <c r="H22" s="222"/>
      <c r="I22" s="222"/>
      <c r="J22" s="291"/>
      <c r="K22" s="291"/>
      <c r="L22" s="291"/>
      <c r="M22" s="291"/>
      <c r="N22" s="291"/>
      <c r="O22" s="291"/>
    </row>
    <row r="23" spans="2:15" s="156" customFormat="1" ht="30.65" customHeight="1" x14ac:dyDescent="0.35">
      <c r="B23" s="221">
        <v>11</v>
      </c>
      <c r="C23" s="295" t="s">
        <v>721</v>
      </c>
      <c r="D23" s="295"/>
      <c r="E23" s="295"/>
      <c r="F23" s="295"/>
      <c r="G23" s="295"/>
      <c r="H23" s="222"/>
      <c r="I23" s="222"/>
      <c r="J23" s="291"/>
      <c r="K23" s="291"/>
      <c r="L23" s="291"/>
      <c r="M23" s="291"/>
      <c r="N23" s="291"/>
      <c r="O23" s="291"/>
    </row>
    <row r="24" spans="2:15" s="156" customFormat="1" ht="29.5" customHeight="1" x14ac:dyDescent="0.35">
      <c r="B24" s="221">
        <v>12</v>
      </c>
      <c r="C24" s="295" t="s">
        <v>704</v>
      </c>
      <c r="D24" s="295"/>
      <c r="E24" s="295"/>
      <c r="F24" s="295"/>
      <c r="G24" s="295"/>
      <c r="H24" s="222"/>
      <c r="I24" s="222"/>
      <c r="J24" s="291"/>
      <c r="K24" s="291"/>
      <c r="L24" s="291"/>
      <c r="M24" s="291"/>
      <c r="N24" s="291"/>
      <c r="O24" s="291"/>
    </row>
    <row r="25" spans="2:15" s="156" customFormat="1" ht="20.5" customHeight="1" x14ac:dyDescent="0.35">
      <c r="B25" s="221">
        <v>13</v>
      </c>
      <c r="C25" s="295" t="s">
        <v>705</v>
      </c>
      <c r="D25" s="295"/>
      <c r="E25" s="295"/>
      <c r="F25" s="295"/>
      <c r="G25" s="295"/>
      <c r="H25" s="222"/>
      <c r="I25" s="222"/>
      <c r="J25" s="291"/>
      <c r="K25" s="291"/>
      <c r="L25" s="291"/>
      <c r="M25" s="291"/>
      <c r="N25" s="291"/>
      <c r="O25" s="291"/>
    </row>
    <row r="26" spans="2:15" s="156" customFormat="1" ht="16.149999999999999" customHeight="1" x14ac:dyDescent="0.35">
      <c r="B26" s="221">
        <v>14</v>
      </c>
      <c r="C26" s="295" t="s">
        <v>706</v>
      </c>
      <c r="D26" s="295"/>
      <c r="E26" s="295"/>
      <c r="F26" s="295"/>
      <c r="G26" s="295"/>
      <c r="H26" s="222"/>
      <c r="I26" s="222"/>
      <c r="J26" s="291"/>
      <c r="K26" s="291"/>
      <c r="L26" s="291"/>
      <c r="M26" s="291"/>
      <c r="N26" s="291"/>
      <c r="O26" s="291"/>
    </row>
    <row r="27" spans="2:15" s="156" customFormat="1" ht="21" customHeight="1" x14ac:dyDescent="0.35">
      <c r="B27" s="221">
        <v>15</v>
      </c>
      <c r="C27" s="295" t="s">
        <v>707</v>
      </c>
      <c r="D27" s="295"/>
      <c r="E27" s="295"/>
      <c r="F27" s="295"/>
      <c r="G27" s="295"/>
      <c r="H27" s="222"/>
      <c r="I27" s="222"/>
      <c r="J27" s="291"/>
      <c r="K27" s="291"/>
      <c r="L27" s="291"/>
      <c r="M27" s="291"/>
      <c r="N27" s="291"/>
      <c r="O27" s="291"/>
    </row>
    <row r="28" spans="2:15" s="156" customFormat="1" ht="17.5" customHeight="1" x14ac:dyDescent="0.35">
      <c r="B28" s="221">
        <v>16</v>
      </c>
      <c r="C28" s="295" t="s">
        <v>708</v>
      </c>
      <c r="D28" s="295"/>
      <c r="E28" s="295"/>
      <c r="F28" s="295"/>
      <c r="G28" s="295"/>
      <c r="H28" s="222"/>
      <c r="I28" s="222"/>
      <c r="J28" s="291"/>
      <c r="K28" s="291"/>
      <c r="L28" s="291"/>
      <c r="M28" s="291"/>
      <c r="N28" s="291"/>
      <c r="O28" s="291"/>
    </row>
    <row r="29" spans="2:15" s="156" customFormat="1" ht="42.75" customHeight="1" x14ac:dyDescent="0.35">
      <c r="B29" s="221">
        <v>17</v>
      </c>
      <c r="C29" s="290" t="s">
        <v>719</v>
      </c>
      <c r="D29" s="290"/>
      <c r="E29" s="290"/>
      <c r="F29" s="290"/>
      <c r="G29" s="290"/>
      <c r="H29" s="222"/>
      <c r="I29" s="222"/>
      <c r="J29" s="291"/>
      <c r="K29" s="291"/>
      <c r="L29" s="291"/>
      <c r="M29" s="291"/>
      <c r="N29" s="291"/>
      <c r="O29" s="291"/>
    </row>
    <row r="30" spans="2:15" s="156" customFormat="1" ht="17.5" customHeight="1" x14ac:dyDescent="0.35">
      <c r="B30" s="221">
        <v>18</v>
      </c>
      <c r="C30" s="292" t="s">
        <v>722</v>
      </c>
      <c r="D30" s="293"/>
      <c r="E30" s="293"/>
      <c r="F30" s="293"/>
      <c r="G30" s="294"/>
      <c r="H30" s="222"/>
      <c r="I30" s="222"/>
      <c r="J30" s="291"/>
      <c r="K30" s="291"/>
      <c r="L30" s="291"/>
      <c r="M30" s="291"/>
      <c r="N30" s="291"/>
      <c r="O30" s="291"/>
    </row>
    <row r="31" spans="2:15" s="156" customFormat="1" ht="18.75" customHeight="1" x14ac:dyDescent="0.35">
      <c r="B31" s="221">
        <v>19</v>
      </c>
      <c r="C31" s="292" t="s">
        <v>723</v>
      </c>
      <c r="D31" s="293"/>
      <c r="E31" s="293"/>
      <c r="F31" s="293"/>
      <c r="G31" s="294"/>
      <c r="H31" s="222"/>
      <c r="I31" s="222"/>
      <c r="J31" s="291"/>
      <c r="K31" s="291"/>
      <c r="L31" s="291"/>
      <c r="M31" s="291"/>
      <c r="N31" s="291"/>
      <c r="O31" s="291"/>
    </row>
    <row r="32" spans="2:15" s="156" customFormat="1" ht="18.75" customHeight="1" x14ac:dyDescent="0.35">
      <c r="B32" s="221">
        <v>20</v>
      </c>
      <c r="C32" s="295" t="s">
        <v>709</v>
      </c>
      <c r="D32" s="295"/>
      <c r="E32" s="295"/>
      <c r="F32" s="295"/>
      <c r="G32" s="295"/>
      <c r="H32" s="222"/>
      <c r="I32" s="222"/>
      <c r="J32" s="296"/>
      <c r="K32" s="297"/>
      <c r="L32" s="297"/>
      <c r="M32" s="297"/>
      <c r="N32" s="297"/>
      <c r="O32" s="298"/>
    </row>
    <row r="33" spans="2:15" ht="7.9" customHeight="1" x14ac:dyDescent="0.35"/>
    <row r="34" spans="2:15" ht="17.5" customHeight="1" x14ac:dyDescent="0.35">
      <c r="B34" s="223" t="s">
        <v>710</v>
      </c>
      <c r="C34" s="224"/>
      <c r="D34" s="299"/>
      <c r="E34" s="300"/>
      <c r="G34" s="223" t="s">
        <v>711</v>
      </c>
      <c r="H34" s="299"/>
      <c r="I34" s="300"/>
      <c r="N34" s="286"/>
      <c r="O34" s="286"/>
    </row>
    <row r="35" spans="2:15" ht="15.65" customHeight="1" x14ac:dyDescent="0.35">
      <c r="B35" s="225" t="s">
        <v>712</v>
      </c>
      <c r="D35" s="281"/>
      <c r="E35" s="285"/>
      <c r="G35" s="225" t="s">
        <v>713</v>
      </c>
      <c r="H35" s="287"/>
      <c r="I35" s="288"/>
      <c r="K35" s="289"/>
      <c r="L35" s="289"/>
      <c r="N35" s="284"/>
      <c r="O35" s="284"/>
    </row>
    <row r="36" spans="2:15" ht="21.65" customHeight="1" x14ac:dyDescent="0.35">
      <c r="B36" s="225" t="s">
        <v>714</v>
      </c>
      <c r="D36" s="282">
        <f>'GCO-GCI-F202'!N30</f>
        <v>0</v>
      </c>
      <c r="E36" s="283"/>
      <c r="G36" s="225" t="s">
        <v>715</v>
      </c>
      <c r="H36" s="279"/>
      <c r="I36" s="280"/>
      <c r="K36" s="281"/>
      <c r="L36" s="281"/>
      <c r="N36" s="284"/>
      <c r="O36" s="284"/>
    </row>
    <row r="37" spans="2:15" x14ac:dyDescent="0.35">
      <c r="B37" s="225" t="s">
        <v>716</v>
      </c>
      <c r="D37" s="281"/>
      <c r="E37" s="285"/>
      <c r="G37" s="225" t="s">
        <v>716</v>
      </c>
      <c r="H37" s="281"/>
      <c r="I37" s="285"/>
      <c r="N37" s="286"/>
      <c r="O37" s="286"/>
    </row>
    <row r="38" spans="2:15" x14ac:dyDescent="0.35">
      <c r="B38" s="226" t="s">
        <v>717</v>
      </c>
      <c r="C38" s="227"/>
      <c r="D38" s="279"/>
      <c r="E38" s="280"/>
      <c r="G38" s="226" t="s">
        <v>718</v>
      </c>
      <c r="H38" s="279"/>
      <c r="I38" s="280"/>
      <c r="N38" s="281"/>
      <c r="O38" s="281"/>
    </row>
  </sheetData>
  <mergeCells count="68">
    <mergeCell ref="C9:G9"/>
    <mergeCell ref="L9:O9"/>
    <mergeCell ref="B2:D5"/>
    <mergeCell ref="E2:L5"/>
    <mergeCell ref="M2:O5"/>
    <mergeCell ref="E7:G7"/>
    <mergeCell ref="J7:O7"/>
    <mergeCell ref="B11:B12"/>
    <mergeCell ref="C11:G12"/>
    <mergeCell ref="H11:I11"/>
    <mergeCell ref="J11:O12"/>
    <mergeCell ref="C13:G13"/>
    <mergeCell ref="J13:O13"/>
    <mergeCell ref="C14:G14"/>
    <mergeCell ref="J14:O14"/>
    <mergeCell ref="C15:G15"/>
    <mergeCell ref="J15:O15"/>
    <mergeCell ref="C16:G16"/>
    <mergeCell ref="J16:O16"/>
    <mergeCell ref="C17:G17"/>
    <mergeCell ref="J17:O17"/>
    <mergeCell ref="C18:G18"/>
    <mergeCell ref="J18:O18"/>
    <mergeCell ref="C19:G19"/>
    <mergeCell ref="J19:O19"/>
    <mergeCell ref="C20:G20"/>
    <mergeCell ref="J20:O20"/>
    <mergeCell ref="C21:G21"/>
    <mergeCell ref="J21:O21"/>
    <mergeCell ref="C22:G22"/>
    <mergeCell ref="J22:O22"/>
    <mergeCell ref="C23:G23"/>
    <mergeCell ref="J23:O23"/>
    <mergeCell ref="C24:G24"/>
    <mergeCell ref="J24:O24"/>
    <mergeCell ref="C25:G25"/>
    <mergeCell ref="J25:O25"/>
    <mergeCell ref="C26:G26"/>
    <mergeCell ref="J26:O26"/>
    <mergeCell ref="C27:G27"/>
    <mergeCell ref="J27:O27"/>
    <mergeCell ref="C28:G28"/>
    <mergeCell ref="J28:O28"/>
    <mergeCell ref="D35:E35"/>
    <mergeCell ref="H35:I35"/>
    <mergeCell ref="K35:L35"/>
    <mergeCell ref="N35:O35"/>
    <mergeCell ref="C29:G29"/>
    <mergeCell ref="J29:O29"/>
    <mergeCell ref="C30:G30"/>
    <mergeCell ref="J30:O30"/>
    <mergeCell ref="C31:G31"/>
    <mergeCell ref="J31:O31"/>
    <mergeCell ref="C32:G32"/>
    <mergeCell ref="J32:O32"/>
    <mergeCell ref="D34:E34"/>
    <mergeCell ref="H34:I34"/>
    <mergeCell ref="N34:O34"/>
    <mergeCell ref="D38:E38"/>
    <mergeCell ref="H38:I38"/>
    <mergeCell ref="N38:O38"/>
    <mergeCell ref="D36:E36"/>
    <mergeCell ref="H36:I36"/>
    <mergeCell ref="K36:L36"/>
    <mergeCell ref="N36:O36"/>
    <mergeCell ref="D37:E37"/>
    <mergeCell ref="H37:I37"/>
    <mergeCell ref="N37:O37"/>
  </mergeCells>
  <pageMargins left="0.7" right="0.7" top="0.75" bottom="0.75" header="0.3" footer="0.3"/>
  <pageSetup scale="9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297C-14F2-4138-AA6A-8489DFBAB314}">
  <sheetPr codeName="Hoja1"/>
  <dimension ref="B1:AL503"/>
  <sheetViews>
    <sheetView showGridLines="0" zoomScale="90" zoomScaleNormal="90" workbookViewId="0">
      <selection activeCell="H21" sqref="H21"/>
    </sheetView>
  </sheetViews>
  <sheetFormatPr baseColWidth="10" defaultColWidth="11.54296875" defaultRowHeight="12.5" x14ac:dyDescent="0.25"/>
  <cols>
    <col min="1" max="2" width="11.54296875" style="3"/>
    <col min="3" max="3" width="17.7265625" style="3" customWidth="1"/>
    <col min="4" max="4" width="16" style="3" customWidth="1"/>
    <col min="5" max="5" width="13.1796875" style="3" bestFit="1" customWidth="1"/>
    <col min="6" max="6" width="18.81640625" style="3" customWidth="1"/>
    <col min="7" max="7" width="16.26953125" style="3" customWidth="1"/>
    <col min="8" max="8" width="17" style="3" customWidth="1"/>
    <col min="9" max="9" width="17.453125" style="3" customWidth="1"/>
    <col min="10" max="10" width="16.7265625" style="3" customWidth="1"/>
    <col min="11" max="11" width="17.453125" style="3" customWidth="1"/>
    <col min="12" max="13" width="14.26953125" style="3" customWidth="1"/>
    <col min="14" max="14" width="13.54296875" style="3" customWidth="1"/>
    <col min="15" max="15" width="3.54296875" style="3" customWidth="1"/>
    <col min="16" max="16" width="11.54296875" style="3"/>
    <col min="17" max="17" width="5" style="3" customWidth="1"/>
    <col min="18" max="19" width="11.54296875" style="3"/>
    <col min="20" max="20" width="3.26953125" style="3" customWidth="1"/>
    <col min="21" max="21" width="100.7265625" style="3" bestFit="1" customWidth="1"/>
    <col min="22" max="22" width="11.54296875" style="3"/>
    <col min="23" max="23" width="25.7265625" style="3" customWidth="1"/>
    <col min="24" max="24" width="15.7265625" style="3" customWidth="1"/>
    <col min="25" max="25" width="11.54296875" style="3"/>
    <col min="26" max="26" width="12.81640625" style="3" customWidth="1"/>
    <col min="27" max="27" width="13.81640625" style="3" customWidth="1"/>
    <col min="28" max="28" width="15.7265625" style="3" customWidth="1"/>
    <col min="29" max="31" width="11.54296875" style="3"/>
    <col min="32" max="32" width="30.7265625" style="3" customWidth="1"/>
    <col min="33" max="33" width="12.7265625" style="3" customWidth="1"/>
    <col min="34" max="35" width="11.54296875" style="3"/>
    <col min="36" max="36" width="17.453125" style="3" customWidth="1"/>
    <col min="37" max="37" width="7.1796875" style="3" customWidth="1"/>
    <col min="38" max="38" width="12.7265625" style="3" customWidth="1"/>
    <col min="39" max="16384" width="11.54296875" style="3"/>
  </cols>
  <sheetData>
    <row r="1" spans="3:38" ht="17.149999999999999" customHeight="1" x14ac:dyDescent="0.3">
      <c r="C1" s="2" t="s">
        <v>0</v>
      </c>
      <c r="G1" s="1" t="s">
        <v>1</v>
      </c>
      <c r="N1" s="3" t="s">
        <v>2</v>
      </c>
      <c r="P1" s="3" t="s">
        <v>3</v>
      </c>
      <c r="U1" s="127" t="s">
        <v>4</v>
      </c>
      <c r="W1" s="2" t="s">
        <v>5</v>
      </c>
      <c r="X1" s="4" t="s">
        <v>6</v>
      </c>
      <c r="Y1" s="5">
        <f>'GCO-GCI-F202'!G8</f>
        <v>0</v>
      </c>
      <c r="AA1" s="100" t="s">
        <v>7</v>
      </c>
      <c r="AB1" s="28">
        <f>'GCO-GCI-F202'!I8</f>
        <v>0</v>
      </c>
      <c r="AE1" s="2" t="s">
        <v>8</v>
      </c>
      <c r="AJ1" s="2" t="s">
        <v>9</v>
      </c>
    </row>
    <row r="2" spans="3:38" ht="17.149999999999999" customHeight="1" x14ac:dyDescent="0.3">
      <c r="C2" s="2" t="s">
        <v>10</v>
      </c>
      <c r="D2" s="6">
        <v>49799</v>
      </c>
      <c r="N2" s="128"/>
      <c r="O2" s="7"/>
      <c r="P2" s="129">
        <v>0</v>
      </c>
      <c r="U2" s="129" t="s">
        <v>11</v>
      </c>
      <c r="W2" s="8"/>
      <c r="AG2" s="3" t="s">
        <v>12</v>
      </c>
    </row>
    <row r="3" spans="3:38" ht="17.149999999999999" customHeight="1" x14ac:dyDescent="0.3">
      <c r="C3" s="2" t="s">
        <v>13</v>
      </c>
      <c r="D3" s="6">
        <v>1423500</v>
      </c>
      <c r="N3" s="128" t="s">
        <v>14</v>
      </c>
      <c r="O3" s="7"/>
      <c r="P3" s="130">
        <v>5.2199999999999998E-3</v>
      </c>
      <c r="U3" s="129" t="s">
        <v>15</v>
      </c>
      <c r="W3" s="2" t="s">
        <v>16</v>
      </c>
      <c r="AE3" s="9" t="s">
        <v>17</v>
      </c>
      <c r="AF3" s="9" t="s">
        <v>18</v>
      </c>
      <c r="AG3" s="9" t="s">
        <v>19</v>
      </c>
      <c r="AH3" s="10" t="s">
        <v>20</v>
      </c>
      <c r="AK3" s="11" t="s">
        <v>21</v>
      </c>
      <c r="AL3" s="12" t="s">
        <v>22</v>
      </c>
    </row>
    <row r="4" spans="3:38" ht="24.75" customHeight="1" x14ac:dyDescent="0.25">
      <c r="P4" s="130">
        <v>1.044E-2</v>
      </c>
      <c r="U4" s="129" t="s">
        <v>23</v>
      </c>
      <c r="W4" s="13" t="s">
        <v>24</v>
      </c>
      <c r="X4" s="14" t="s">
        <v>25</v>
      </c>
      <c r="AE4" s="3">
        <v>161</v>
      </c>
      <c r="AF4" s="3" t="s">
        <v>26</v>
      </c>
      <c r="AG4" s="3">
        <v>9.66</v>
      </c>
      <c r="AH4" s="15">
        <f>AG4/1000</f>
        <v>9.6600000000000002E-3</v>
      </c>
      <c r="AJ4" s="16" t="s">
        <v>27</v>
      </c>
      <c r="AK4" s="12">
        <v>315</v>
      </c>
      <c r="AL4" s="17">
        <f>AK4*D2</f>
        <v>15686685</v>
      </c>
    </row>
    <row r="5" spans="3:38" ht="17.149999999999999" customHeight="1" x14ac:dyDescent="0.3">
      <c r="C5" s="2" t="s">
        <v>28</v>
      </c>
      <c r="P5" s="130">
        <v>2.436E-2</v>
      </c>
      <c r="U5" s="129" t="s">
        <v>29</v>
      </c>
      <c r="W5" s="3" t="s">
        <v>30</v>
      </c>
      <c r="AE5" s="3">
        <v>162</v>
      </c>
      <c r="AF5" s="3" t="s">
        <v>31</v>
      </c>
      <c r="AG5" s="3">
        <v>9.66</v>
      </c>
      <c r="AH5" s="15">
        <f t="shared" ref="AH5:AH68" si="0">AG5/1000</f>
        <v>9.6600000000000002E-3</v>
      </c>
      <c r="AL5" s="18"/>
    </row>
    <row r="6" spans="3:38" ht="17.149999999999999" customHeight="1" x14ac:dyDescent="0.3">
      <c r="C6" s="2" t="s">
        <v>32</v>
      </c>
      <c r="P6" s="24">
        <v>4.3499999999999997E-2</v>
      </c>
      <c r="U6" s="129" t="s">
        <v>33</v>
      </c>
      <c r="W6" s="19" t="s">
        <v>34</v>
      </c>
      <c r="AE6" s="3">
        <v>164</v>
      </c>
      <c r="AF6" s="3" t="s">
        <v>35</v>
      </c>
      <c r="AG6" s="3">
        <v>9.66</v>
      </c>
      <c r="AH6" s="15">
        <f t="shared" si="0"/>
        <v>9.6600000000000002E-3</v>
      </c>
      <c r="AJ6" s="3" t="s">
        <v>36</v>
      </c>
      <c r="AL6" s="20">
        <f>'GCO-GCI-F202'!I24</f>
        <v>0</v>
      </c>
    </row>
    <row r="7" spans="3:38" ht="17.149999999999999" customHeight="1" x14ac:dyDescent="0.25">
      <c r="P7" s="24">
        <v>6.9599999999999995E-2</v>
      </c>
      <c r="U7" s="129" t="s">
        <v>37</v>
      </c>
      <c r="AE7" s="3">
        <v>240</v>
      </c>
      <c r="AF7" s="3" t="s">
        <v>38</v>
      </c>
      <c r="AG7" s="3">
        <v>9.66</v>
      </c>
      <c r="AH7" s="15">
        <f t="shared" si="0"/>
        <v>9.6600000000000002E-3</v>
      </c>
      <c r="AL7" s="18"/>
    </row>
    <row r="8" spans="3:38" ht="26.25" customHeight="1" x14ac:dyDescent="0.25">
      <c r="C8" s="3" t="s">
        <v>39</v>
      </c>
      <c r="E8" s="3" t="s">
        <v>40</v>
      </c>
      <c r="F8" s="3" t="s">
        <v>41</v>
      </c>
      <c r="U8" s="129" t="s">
        <v>42</v>
      </c>
      <c r="W8" s="21" t="s">
        <v>43</v>
      </c>
      <c r="X8" s="21" t="s">
        <v>44</v>
      </c>
      <c r="Y8" s="21" t="s">
        <v>24</v>
      </c>
      <c r="Z8" s="21" t="s">
        <v>25</v>
      </c>
      <c r="AE8" s="3">
        <v>510</v>
      </c>
      <c r="AF8" s="3" t="s">
        <v>45</v>
      </c>
      <c r="AG8" s="3">
        <v>11.04</v>
      </c>
      <c r="AH8" s="15">
        <f t="shared" si="0"/>
        <v>1.1039999999999999E-2</v>
      </c>
      <c r="AJ8" s="12" t="s">
        <v>46</v>
      </c>
      <c r="AK8" s="12"/>
      <c r="AL8" s="22">
        <f>IF(AL6&gt;AL4,1.1%,0%)</f>
        <v>0</v>
      </c>
    </row>
    <row r="9" spans="3:38" ht="17.149999999999999" customHeight="1" x14ac:dyDescent="0.25">
      <c r="C9" s="3" t="s">
        <v>47</v>
      </c>
      <c r="D9" s="3" t="s">
        <v>48</v>
      </c>
      <c r="U9" s="129" t="s">
        <v>49</v>
      </c>
      <c r="W9" s="23" t="s">
        <v>50</v>
      </c>
      <c r="X9" s="24">
        <v>0.01</v>
      </c>
      <c r="Y9" s="25">
        <f>0.5%</f>
        <v>5.0000000000000001E-3</v>
      </c>
      <c r="Z9" s="25">
        <f>0.5%</f>
        <v>5.0000000000000001E-3</v>
      </c>
      <c r="AE9" s="3">
        <v>520</v>
      </c>
      <c r="AF9" s="3" t="s">
        <v>51</v>
      </c>
      <c r="AG9" s="3">
        <v>11.04</v>
      </c>
      <c r="AH9" s="15">
        <f t="shared" si="0"/>
        <v>1.1039999999999999E-2</v>
      </c>
      <c r="AL9" s="18"/>
    </row>
    <row r="10" spans="3:38" ht="17.149999999999999" customHeight="1" x14ac:dyDescent="0.25">
      <c r="C10" s="3">
        <v>0</v>
      </c>
      <c r="D10" s="3">
        <v>95</v>
      </c>
      <c r="E10" s="26">
        <v>0</v>
      </c>
      <c r="F10" s="3">
        <v>0</v>
      </c>
      <c r="U10" s="129" t="s">
        <v>52</v>
      </c>
      <c r="W10" s="23" t="s">
        <v>53</v>
      </c>
      <c r="X10" s="24">
        <v>1.2E-2</v>
      </c>
      <c r="Y10" s="25">
        <f t="shared" ref="Y10:Y14" si="1">0.5%</f>
        <v>5.0000000000000001E-3</v>
      </c>
      <c r="Z10" s="25">
        <f>X10-Y10</f>
        <v>7.0000000000000001E-3</v>
      </c>
      <c r="AE10" s="3">
        <v>610</v>
      </c>
      <c r="AF10" s="3" t="s">
        <v>54</v>
      </c>
      <c r="AG10" s="3">
        <v>11.04</v>
      </c>
      <c r="AH10" s="15">
        <f t="shared" si="0"/>
        <v>1.1039999999999999E-2</v>
      </c>
    </row>
    <row r="11" spans="3:38" ht="17.149999999999999" customHeight="1" x14ac:dyDescent="0.25">
      <c r="C11" s="3">
        <v>95</v>
      </c>
      <c r="D11" s="3">
        <v>150</v>
      </c>
      <c r="E11" s="26">
        <v>0.19</v>
      </c>
      <c r="F11" s="3" t="s">
        <v>55</v>
      </c>
      <c r="U11" s="129" t="s">
        <v>56</v>
      </c>
      <c r="W11" s="23" t="s">
        <v>57</v>
      </c>
      <c r="X11" s="24">
        <v>1.4E-2</v>
      </c>
      <c r="Y11" s="25">
        <f t="shared" si="1"/>
        <v>5.0000000000000001E-3</v>
      </c>
      <c r="Z11" s="25">
        <f t="shared" ref="Z11:Z14" si="2">X11-Y11</f>
        <v>9.0000000000000011E-3</v>
      </c>
      <c r="AE11" s="3">
        <v>620</v>
      </c>
      <c r="AF11" s="3" t="s">
        <v>58</v>
      </c>
      <c r="AG11" s="3">
        <v>11.04</v>
      </c>
      <c r="AH11" s="15">
        <f t="shared" si="0"/>
        <v>1.1039999999999999E-2</v>
      </c>
    </row>
    <row r="12" spans="3:38" ht="17.149999999999999" customHeight="1" x14ac:dyDescent="0.25">
      <c r="C12" s="3">
        <v>150</v>
      </c>
      <c r="D12" s="3">
        <v>360</v>
      </c>
      <c r="E12" s="26">
        <v>0.28000000000000003</v>
      </c>
      <c r="F12" s="3" t="s">
        <v>59</v>
      </c>
      <c r="U12" s="129" t="s">
        <v>60</v>
      </c>
      <c r="W12" s="23" t="s">
        <v>61</v>
      </c>
      <c r="X12" s="24">
        <v>1.6E-2</v>
      </c>
      <c r="Y12" s="25">
        <f t="shared" si="1"/>
        <v>5.0000000000000001E-3</v>
      </c>
      <c r="Z12" s="25">
        <f t="shared" si="2"/>
        <v>1.0999999999999999E-2</v>
      </c>
      <c r="AE12" s="3">
        <v>710</v>
      </c>
      <c r="AF12" s="3" t="s">
        <v>62</v>
      </c>
      <c r="AG12" s="3">
        <v>11.04</v>
      </c>
      <c r="AH12" s="15">
        <f t="shared" si="0"/>
        <v>1.1039999999999999E-2</v>
      </c>
    </row>
    <row r="13" spans="3:38" ht="17.149999999999999" customHeight="1" x14ac:dyDescent="0.25">
      <c r="C13" s="3">
        <v>360</v>
      </c>
      <c r="D13" s="3">
        <v>640</v>
      </c>
      <c r="E13" s="26">
        <v>0.33</v>
      </c>
      <c r="F13" s="3" t="s">
        <v>63</v>
      </c>
      <c r="U13" s="129" t="s">
        <v>64</v>
      </c>
      <c r="W13" s="23" t="s">
        <v>65</v>
      </c>
      <c r="X13" s="24">
        <v>1.7999999999999999E-2</v>
      </c>
      <c r="Y13" s="25">
        <f t="shared" si="1"/>
        <v>5.0000000000000001E-3</v>
      </c>
      <c r="Z13" s="25">
        <f t="shared" si="2"/>
        <v>1.2999999999999998E-2</v>
      </c>
      <c r="AE13" s="3">
        <v>721</v>
      </c>
      <c r="AF13" s="3" t="s">
        <v>66</v>
      </c>
      <c r="AG13" s="3">
        <v>11.04</v>
      </c>
      <c r="AH13" s="15">
        <f t="shared" si="0"/>
        <v>1.1039999999999999E-2</v>
      </c>
    </row>
    <row r="14" spans="3:38" ht="17.149999999999999" customHeight="1" x14ac:dyDescent="0.25">
      <c r="C14" s="3">
        <v>640</v>
      </c>
      <c r="D14" s="3">
        <v>945</v>
      </c>
      <c r="E14" s="26">
        <v>0.35</v>
      </c>
      <c r="F14" s="3" t="s">
        <v>67</v>
      </c>
      <c r="U14" s="129" t="s">
        <v>68</v>
      </c>
      <c r="V14" s="3" t="s">
        <v>69</v>
      </c>
      <c r="W14" s="23" t="s">
        <v>70</v>
      </c>
      <c r="X14" s="24">
        <v>0.02</v>
      </c>
      <c r="Y14" s="25">
        <f t="shared" si="1"/>
        <v>5.0000000000000001E-3</v>
      </c>
      <c r="Z14" s="25">
        <f t="shared" si="2"/>
        <v>1.4999999999999999E-2</v>
      </c>
      <c r="AE14" s="3">
        <v>722</v>
      </c>
      <c r="AF14" s="3" t="s">
        <v>71</v>
      </c>
      <c r="AG14" s="3">
        <v>11.04</v>
      </c>
      <c r="AH14" s="15">
        <f t="shared" si="0"/>
        <v>1.1039999999999999E-2</v>
      </c>
    </row>
    <row r="15" spans="3:38" ht="17.149999999999999" customHeight="1" x14ac:dyDescent="0.25">
      <c r="C15" s="3">
        <v>945</v>
      </c>
      <c r="D15" s="3">
        <v>2300</v>
      </c>
      <c r="E15" s="26">
        <v>0.37</v>
      </c>
      <c r="F15" s="3" t="s">
        <v>72</v>
      </c>
      <c r="U15" s="129" t="s">
        <v>73</v>
      </c>
      <c r="AE15" s="3">
        <v>723</v>
      </c>
      <c r="AF15" s="3" t="s">
        <v>74</v>
      </c>
      <c r="AG15" s="3">
        <v>11.04</v>
      </c>
      <c r="AH15" s="15">
        <f t="shared" si="0"/>
        <v>1.1039999999999999E-2</v>
      </c>
    </row>
    <row r="16" spans="3:38" ht="17.149999999999999" customHeight="1" x14ac:dyDescent="0.3">
      <c r="C16" s="3">
        <v>2300</v>
      </c>
      <c r="E16" s="26">
        <v>0.39</v>
      </c>
      <c r="F16" s="3" t="s">
        <v>75</v>
      </c>
      <c r="U16" s="129" t="s">
        <v>76</v>
      </c>
      <c r="W16" s="2" t="s">
        <v>13</v>
      </c>
      <c r="X16" s="27">
        <f>$D$3</f>
        <v>1423500</v>
      </c>
      <c r="AE16" s="3">
        <v>729</v>
      </c>
      <c r="AF16" s="3" t="s">
        <v>77</v>
      </c>
      <c r="AG16" s="3">
        <v>11.04</v>
      </c>
      <c r="AH16" s="15">
        <f t="shared" si="0"/>
        <v>1.1039999999999999E-2</v>
      </c>
    </row>
    <row r="17" spans="3:34" ht="17.149999999999999" customHeight="1" x14ac:dyDescent="0.3">
      <c r="U17" s="129" t="s">
        <v>78</v>
      </c>
      <c r="W17" s="2" t="s">
        <v>79</v>
      </c>
      <c r="AE17" s="3">
        <v>811</v>
      </c>
      <c r="AF17" s="3" t="s">
        <v>80</v>
      </c>
      <c r="AG17" s="3">
        <v>11.04</v>
      </c>
      <c r="AH17" s="15">
        <f t="shared" si="0"/>
        <v>1.1039999999999999E-2</v>
      </c>
    </row>
    <row r="18" spans="3:34" ht="24" customHeight="1" x14ac:dyDescent="0.25">
      <c r="U18" s="129" t="s">
        <v>81</v>
      </c>
      <c r="W18" s="21" t="s">
        <v>82</v>
      </c>
      <c r="X18" s="28" t="s">
        <v>47</v>
      </c>
      <c r="Y18" s="28" t="s">
        <v>48</v>
      </c>
      <c r="Z18" s="21" t="s">
        <v>44</v>
      </c>
      <c r="AA18" s="21" t="s">
        <v>24</v>
      </c>
      <c r="AB18" s="21" t="s">
        <v>25</v>
      </c>
      <c r="AE18" s="3">
        <v>812</v>
      </c>
      <c r="AF18" s="3" t="s">
        <v>83</v>
      </c>
      <c r="AG18" s="3">
        <v>11.04</v>
      </c>
      <c r="AH18" s="15">
        <f t="shared" si="0"/>
        <v>1.1039999999999999E-2</v>
      </c>
    </row>
    <row r="19" spans="3:34" ht="17.149999999999999" customHeight="1" x14ac:dyDescent="0.3">
      <c r="C19" s="335" t="s">
        <v>84</v>
      </c>
      <c r="D19" s="335" t="s">
        <v>39</v>
      </c>
      <c r="E19" s="335"/>
      <c r="F19" s="335" t="s">
        <v>40</v>
      </c>
      <c r="G19" s="336" t="s">
        <v>85</v>
      </c>
      <c r="H19" s="336"/>
      <c r="I19" s="335" t="s">
        <v>41</v>
      </c>
      <c r="U19" s="129" t="s">
        <v>86</v>
      </c>
      <c r="W19" s="30" t="e">
        <f>AND(Z31&gt;=X19,Z31&lt;=Y19)</f>
        <v>#DIV/0!</v>
      </c>
      <c r="X19" s="31">
        <v>0</v>
      </c>
      <c r="Y19" s="32">
        <f>ROUND(X16*4,0)</f>
        <v>5694000</v>
      </c>
      <c r="Z19" s="33">
        <v>0</v>
      </c>
      <c r="AA19" s="33">
        <v>0</v>
      </c>
      <c r="AB19" s="33">
        <v>0</v>
      </c>
      <c r="AE19" s="3">
        <v>820</v>
      </c>
      <c r="AF19" s="3" t="s">
        <v>87</v>
      </c>
      <c r="AG19" s="3">
        <v>11.04</v>
      </c>
      <c r="AH19" s="15">
        <f t="shared" si="0"/>
        <v>1.1039999999999999E-2</v>
      </c>
    </row>
    <row r="20" spans="3:34" ht="17.149999999999999" customHeight="1" x14ac:dyDescent="0.3">
      <c r="C20" s="335"/>
      <c r="D20" s="28" t="s">
        <v>47</v>
      </c>
      <c r="E20" s="28" t="s">
        <v>48</v>
      </c>
      <c r="F20" s="335"/>
      <c r="G20" s="28" t="s">
        <v>47</v>
      </c>
      <c r="H20" s="29" t="s">
        <v>48</v>
      </c>
      <c r="I20" s="335"/>
      <c r="U20" s="129" t="s">
        <v>88</v>
      </c>
      <c r="W20" s="34" t="e">
        <f>AND(Z31&gt;=X20,Z31&lt;=Y20)</f>
        <v>#DIV/0!</v>
      </c>
      <c r="X20" s="35">
        <f>ROUND(X16*4,0)</f>
        <v>5694000</v>
      </c>
      <c r="Y20" s="35">
        <f>ROUND(X16*16,0)</f>
        <v>22776000</v>
      </c>
      <c r="Z20" s="24">
        <v>0.01</v>
      </c>
      <c r="AA20" s="24">
        <v>5.0000000000000001E-3</v>
      </c>
      <c r="AB20" s="24">
        <v>5.0000000000000001E-3</v>
      </c>
      <c r="AE20" s="3">
        <v>891</v>
      </c>
      <c r="AF20" s="3" t="s">
        <v>89</v>
      </c>
      <c r="AG20" s="3">
        <v>11.04</v>
      </c>
      <c r="AH20" s="15">
        <f t="shared" si="0"/>
        <v>1.1039999999999999E-2</v>
      </c>
    </row>
    <row r="21" spans="3:34" ht="17.149999999999999" customHeight="1" x14ac:dyDescent="0.25">
      <c r="C21" s="34" t="e">
        <f>AND(F29&gt;=G21,F29&lt;=H21)</f>
        <v>#N/A</v>
      </c>
      <c r="D21" s="23">
        <v>0</v>
      </c>
      <c r="E21" s="23">
        <v>95</v>
      </c>
      <c r="F21" s="36">
        <v>0</v>
      </c>
      <c r="G21" s="37">
        <v>0</v>
      </c>
      <c r="H21" s="37">
        <f>E21*$D$2</f>
        <v>4730905</v>
      </c>
      <c r="I21" s="37">
        <v>0</v>
      </c>
      <c r="U21" s="129" t="s">
        <v>90</v>
      </c>
      <c r="W21" s="34" t="e">
        <f>AND(Z31&gt;=X21,Z31&lt;=Y21)</f>
        <v>#DIV/0!</v>
      </c>
      <c r="X21" s="35">
        <f>ROUND(X16*16,0)</f>
        <v>22776000</v>
      </c>
      <c r="Y21" s="35">
        <f>ROUND(X16*17,0)</f>
        <v>24199500</v>
      </c>
      <c r="Z21" s="24">
        <v>1.2E-2</v>
      </c>
      <c r="AA21" s="24">
        <v>5.0000000000000001E-3</v>
      </c>
      <c r="AB21" s="24">
        <v>7.0000000000000001E-3</v>
      </c>
      <c r="AE21" s="3">
        <v>892</v>
      </c>
      <c r="AF21" s="3" t="s">
        <v>91</v>
      </c>
      <c r="AG21" s="3">
        <v>11.04</v>
      </c>
      <c r="AH21" s="15">
        <f t="shared" si="0"/>
        <v>1.1039999999999999E-2</v>
      </c>
    </row>
    <row r="22" spans="3:34" ht="17.149999999999999" customHeight="1" x14ac:dyDescent="0.25">
      <c r="C22" s="34" t="e">
        <f>AND(F29&gt;G22,F29&lt;=H22)</f>
        <v>#N/A</v>
      </c>
      <c r="D22" s="23">
        <v>95</v>
      </c>
      <c r="E22" s="23">
        <v>150</v>
      </c>
      <c r="F22" s="36">
        <v>0.19</v>
      </c>
      <c r="G22" s="37">
        <f t="shared" ref="G22:G27" si="3">D22*$D$2</f>
        <v>4730905</v>
      </c>
      <c r="H22" s="37">
        <f t="shared" ref="H22:H26" si="4">E22*$D$2</f>
        <v>7469850</v>
      </c>
      <c r="I22" s="37" t="e">
        <f>ROUND(IF(C22=TRUE,((F30-95)*19%*$D$2),0),0)</f>
        <v>#N/A</v>
      </c>
      <c r="U22" s="129" t="s">
        <v>92</v>
      </c>
      <c r="W22" s="34" t="e">
        <f>AND(Z31&gt;=X22,Z31&lt;=Y22)</f>
        <v>#DIV/0!</v>
      </c>
      <c r="X22" s="35">
        <f>ROUND(X16*17,0)</f>
        <v>24199500</v>
      </c>
      <c r="Y22" s="35">
        <f>ROUND(X16*18,0)</f>
        <v>25623000</v>
      </c>
      <c r="Z22" s="24">
        <v>1.4E-2</v>
      </c>
      <c r="AA22" s="24">
        <v>5.0000000000000001E-3</v>
      </c>
      <c r="AB22" s="24">
        <v>9.0000000000000011E-3</v>
      </c>
      <c r="AE22" s="3">
        <v>899</v>
      </c>
      <c r="AF22" s="3" t="s">
        <v>93</v>
      </c>
      <c r="AG22" s="3">
        <v>11.04</v>
      </c>
      <c r="AH22" s="15">
        <f t="shared" si="0"/>
        <v>1.1039999999999999E-2</v>
      </c>
    </row>
    <row r="23" spans="3:34" ht="17.149999999999999" customHeight="1" x14ac:dyDescent="0.25">
      <c r="C23" s="34" t="e">
        <f>AND(F29&gt;G23,F29&lt;=H23)</f>
        <v>#N/A</v>
      </c>
      <c r="D23" s="23">
        <v>150</v>
      </c>
      <c r="E23" s="23">
        <v>360</v>
      </c>
      <c r="F23" s="36">
        <v>0.28000000000000003</v>
      </c>
      <c r="G23" s="37">
        <f t="shared" si="3"/>
        <v>7469850</v>
      </c>
      <c r="H23" s="37">
        <f t="shared" si="4"/>
        <v>17927640</v>
      </c>
      <c r="I23" s="37" t="e">
        <f>ROUND(IF(C23=TRUE,((((F30-150)*28%)+10)*$D$2),0),0)</f>
        <v>#N/A</v>
      </c>
      <c r="U23" s="129" t="s">
        <v>94</v>
      </c>
      <c r="W23" s="34" t="e">
        <f>AND(Z31&gt;=X23,Z31&lt;=Y23)</f>
        <v>#DIV/0!</v>
      </c>
      <c r="X23" s="35">
        <f>ROUND(X16*18,0)</f>
        <v>25623000</v>
      </c>
      <c r="Y23" s="35">
        <f>ROUND(X16*19,0)</f>
        <v>27046500</v>
      </c>
      <c r="Z23" s="24">
        <v>1.6E-2</v>
      </c>
      <c r="AA23" s="24">
        <v>5.0000000000000001E-3</v>
      </c>
      <c r="AB23" s="24">
        <v>1.0999999999999999E-2</v>
      </c>
      <c r="AE23" s="3">
        <v>910</v>
      </c>
      <c r="AF23" s="3" t="s">
        <v>95</v>
      </c>
      <c r="AG23" s="3">
        <v>9.66</v>
      </c>
      <c r="AH23" s="15">
        <f t="shared" si="0"/>
        <v>9.6600000000000002E-3</v>
      </c>
    </row>
    <row r="24" spans="3:34" ht="17.149999999999999" customHeight="1" x14ac:dyDescent="0.25">
      <c r="C24" s="34" t="e">
        <f>AND(F29&gt;G24,F29&lt;=H24)</f>
        <v>#N/A</v>
      </c>
      <c r="D24" s="23">
        <v>360</v>
      </c>
      <c r="E24" s="23">
        <v>640</v>
      </c>
      <c r="F24" s="36">
        <v>0.33</v>
      </c>
      <c r="G24" s="37">
        <f t="shared" si="3"/>
        <v>17927640</v>
      </c>
      <c r="H24" s="37">
        <f t="shared" si="4"/>
        <v>31871360</v>
      </c>
      <c r="I24" s="37" t="e">
        <f>ROUND(IF(C24=TRUE,((((F30-360)*33%)+69)*$D$2),0),0)</f>
        <v>#N/A</v>
      </c>
      <c r="U24" s="129" t="s">
        <v>96</v>
      </c>
      <c r="W24" s="34" t="e">
        <f>AND(Z31&gt;=X24,Z31&lt;=Y24)</f>
        <v>#DIV/0!</v>
      </c>
      <c r="X24" s="35">
        <f>ROUND(X16*19,0)</f>
        <v>27046500</v>
      </c>
      <c r="Y24" s="35">
        <f>ROUND(X16*20,0)</f>
        <v>28470000</v>
      </c>
      <c r="Z24" s="24">
        <v>1.7999999999999999E-2</v>
      </c>
      <c r="AA24" s="24">
        <v>5.0000000000000001E-3</v>
      </c>
      <c r="AB24" s="24">
        <v>1.2999999999999998E-2</v>
      </c>
      <c r="AE24" s="3">
        <v>990</v>
      </c>
      <c r="AF24" s="3" t="s">
        <v>97</v>
      </c>
      <c r="AG24" s="3">
        <v>9.66</v>
      </c>
      <c r="AH24" s="15">
        <f t="shared" si="0"/>
        <v>9.6600000000000002E-3</v>
      </c>
    </row>
    <row r="25" spans="3:34" ht="17.149999999999999" customHeight="1" x14ac:dyDescent="0.25">
      <c r="C25" s="34" t="e">
        <f>AND(F29&gt;G25,F29&lt;=H25)</f>
        <v>#N/A</v>
      </c>
      <c r="D25" s="23">
        <v>640</v>
      </c>
      <c r="E25" s="23">
        <v>945</v>
      </c>
      <c r="F25" s="36">
        <v>0.35</v>
      </c>
      <c r="G25" s="37">
        <f t="shared" si="3"/>
        <v>31871360</v>
      </c>
      <c r="H25" s="37">
        <f t="shared" si="4"/>
        <v>47060055</v>
      </c>
      <c r="I25" s="37" t="e">
        <f>ROUND(IF(C25=TRUE,((((F30-640)*35%)+162)*$D$2),0),0)</f>
        <v>#N/A</v>
      </c>
      <c r="U25" s="129" t="s">
        <v>98</v>
      </c>
      <c r="W25" s="34" t="e">
        <f>IF(Z31&gt;X25,TRUE,FALSE)</f>
        <v>#DIV/0!</v>
      </c>
      <c r="X25" s="35">
        <f>ROUND(X16*20,0)</f>
        <v>28470000</v>
      </c>
      <c r="Y25" s="35"/>
      <c r="Z25" s="24">
        <v>0.02</v>
      </c>
      <c r="AA25" s="24">
        <v>5.0000000000000001E-3</v>
      </c>
      <c r="AB25" s="24">
        <v>1.4999999999999999E-2</v>
      </c>
      <c r="AE25" s="3">
        <v>1011</v>
      </c>
      <c r="AF25" s="3" t="s">
        <v>99</v>
      </c>
      <c r="AG25" s="3">
        <v>4.1399999999999997</v>
      </c>
      <c r="AH25" s="15">
        <f t="shared" si="0"/>
        <v>4.1399999999999996E-3</v>
      </c>
    </row>
    <row r="26" spans="3:34" ht="17.149999999999999" customHeight="1" x14ac:dyDescent="0.25">
      <c r="C26" s="34" t="e">
        <f>AND(F29&gt;G26,F29&lt;=H26)</f>
        <v>#N/A</v>
      </c>
      <c r="D26" s="23">
        <v>945</v>
      </c>
      <c r="E26" s="23">
        <v>2300</v>
      </c>
      <c r="F26" s="36">
        <v>0.37</v>
      </c>
      <c r="G26" s="37">
        <f t="shared" si="3"/>
        <v>47060055</v>
      </c>
      <c r="H26" s="37">
        <f t="shared" si="4"/>
        <v>114537700</v>
      </c>
      <c r="I26" s="37" t="e">
        <f>ROUND(IF(C26=TRUE,((((F30-945)*37%)+268)*$D$2),0),0)</f>
        <v>#N/A</v>
      </c>
      <c r="U26" s="129" t="s">
        <v>100</v>
      </c>
      <c r="AE26" s="3">
        <v>1012</v>
      </c>
      <c r="AF26" s="3" t="s">
        <v>101</v>
      </c>
      <c r="AG26" s="3">
        <v>4.1399999999999997</v>
      </c>
      <c r="AH26" s="15">
        <f t="shared" si="0"/>
        <v>4.1399999999999996E-3</v>
      </c>
    </row>
    <row r="27" spans="3:34" ht="17.149999999999999" customHeight="1" x14ac:dyDescent="0.25">
      <c r="C27" s="34" t="e">
        <f>IF(F29&gt;G27,TRUE,FALSE)</f>
        <v>#N/A</v>
      </c>
      <c r="D27" s="23">
        <v>2300</v>
      </c>
      <c r="E27" s="23"/>
      <c r="F27" s="36">
        <v>0.39</v>
      </c>
      <c r="G27" s="37">
        <f t="shared" si="3"/>
        <v>114537700</v>
      </c>
      <c r="H27" s="37"/>
      <c r="I27" s="37" t="e">
        <f>ROUND(IF(C27=TRUE,((((F30-2300)*39%)+770)*$D$2),0),0)</f>
        <v>#N/A</v>
      </c>
      <c r="U27" s="38"/>
      <c r="AE27" s="3">
        <v>1030</v>
      </c>
      <c r="AF27" s="3" t="s">
        <v>102</v>
      </c>
      <c r="AG27" s="3">
        <v>4.1399999999999997</v>
      </c>
      <c r="AH27" s="15">
        <f t="shared" si="0"/>
        <v>4.1399999999999996E-3</v>
      </c>
    </row>
    <row r="28" spans="3:34" ht="17.149999999999999" customHeight="1" x14ac:dyDescent="0.25">
      <c r="W28" s="3" t="s">
        <v>103</v>
      </c>
      <c r="Z28" s="37">
        <f>'GCO-GCI-F202'!G10</f>
        <v>0</v>
      </c>
      <c r="AE28" s="3">
        <v>1051</v>
      </c>
      <c r="AF28" s="3" t="s">
        <v>104</v>
      </c>
      <c r="AG28" s="3">
        <v>4.1399999999999997</v>
      </c>
      <c r="AH28" s="15">
        <f t="shared" si="0"/>
        <v>4.1399999999999996E-3</v>
      </c>
    </row>
    <row r="29" spans="3:34" ht="17.149999999999999" customHeight="1" x14ac:dyDescent="0.25">
      <c r="C29" s="39" t="s">
        <v>105</v>
      </c>
      <c r="D29" s="1"/>
      <c r="F29" s="37" t="e">
        <f>I121</f>
        <v>#N/A</v>
      </c>
      <c r="U29" s="38"/>
      <c r="AE29" s="3">
        <v>1052</v>
      </c>
      <c r="AF29" s="3" t="s">
        <v>106</v>
      </c>
      <c r="AG29" s="3">
        <v>4.1399999999999997</v>
      </c>
      <c r="AH29" s="15">
        <f t="shared" si="0"/>
        <v>4.1399999999999996E-3</v>
      </c>
    </row>
    <row r="30" spans="3:34" ht="17.149999999999999" customHeight="1" x14ac:dyDescent="0.25">
      <c r="C30" s="39" t="s">
        <v>107</v>
      </c>
      <c r="D30" s="1"/>
      <c r="F30" s="38" t="e">
        <f>F29/D2</f>
        <v>#N/A</v>
      </c>
      <c r="U30" s="38"/>
      <c r="W30" s="3" t="s">
        <v>108</v>
      </c>
      <c r="Z30" s="40">
        <f>'GCO-GCI-F202'!L10/30</f>
        <v>0</v>
      </c>
      <c r="AE30" s="3">
        <v>1061</v>
      </c>
      <c r="AF30" s="3" t="s">
        <v>109</v>
      </c>
      <c r="AG30" s="3">
        <v>9.66</v>
      </c>
      <c r="AH30" s="15">
        <f t="shared" si="0"/>
        <v>9.6600000000000002E-3</v>
      </c>
    </row>
    <row r="31" spans="3:34" ht="17.149999999999999" customHeight="1" x14ac:dyDescent="0.25">
      <c r="I31" s="41" t="e">
        <f>+I27/F29</f>
        <v>#N/A</v>
      </c>
      <c r="U31" s="38"/>
      <c r="W31" s="3" t="s">
        <v>110</v>
      </c>
      <c r="Z31" s="42" t="e">
        <f>ROUND(Z28/Z30,0)</f>
        <v>#DIV/0!</v>
      </c>
      <c r="AE31" s="3">
        <v>1062</v>
      </c>
      <c r="AF31" s="3" t="s">
        <v>111</v>
      </c>
      <c r="AG31" s="3">
        <v>4.1399999999999997</v>
      </c>
      <c r="AH31" s="15">
        <f t="shared" si="0"/>
        <v>4.1399999999999996E-3</v>
      </c>
    </row>
    <row r="32" spans="3:34" ht="17.149999999999999" customHeight="1" x14ac:dyDescent="0.25">
      <c r="U32" s="38"/>
      <c r="W32" s="3" t="s">
        <v>112</v>
      </c>
      <c r="Z32" s="24" t="e">
        <f>VLOOKUP(TRUE,$W$18:$AB$25,4,0)</f>
        <v>#N/A</v>
      </c>
      <c r="AA32" s="24" t="e">
        <f>VLOOKUP(TRUE,$W$18:$AB$25,5,0)</f>
        <v>#N/A</v>
      </c>
      <c r="AB32" s="24" t="e">
        <f>VLOOKUP(TRUE,$W$18:$AB$25,6,0)</f>
        <v>#N/A</v>
      </c>
      <c r="AE32" s="3">
        <v>1063</v>
      </c>
      <c r="AF32" s="3" t="s">
        <v>113</v>
      </c>
      <c r="AG32" s="3">
        <v>4.1399999999999997</v>
      </c>
      <c r="AH32" s="15">
        <f t="shared" si="0"/>
        <v>4.1399999999999996E-3</v>
      </c>
    </row>
    <row r="33" spans="3:34" ht="17.149999999999999" customHeight="1" x14ac:dyDescent="0.3">
      <c r="U33" s="38"/>
      <c r="W33" s="2" t="s">
        <v>114</v>
      </c>
      <c r="X33" s="2"/>
      <c r="Y33" s="2"/>
      <c r="Z33" s="43" t="e">
        <f>IF(Y1="X",0,(16%+Z32))</f>
        <v>#N/A</v>
      </c>
      <c r="AE33" s="3">
        <v>1071</v>
      </c>
      <c r="AF33" s="3" t="s">
        <v>115</v>
      </c>
      <c r="AG33" s="3">
        <v>4.1399999999999997</v>
      </c>
      <c r="AH33" s="15">
        <f t="shared" si="0"/>
        <v>4.1399999999999996E-3</v>
      </c>
    </row>
    <row r="34" spans="3:34" ht="40.5" customHeight="1" x14ac:dyDescent="0.25">
      <c r="C34" s="325" t="s">
        <v>116</v>
      </c>
      <c r="D34" s="326"/>
      <c r="E34" s="326"/>
      <c r="F34" s="326"/>
      <c r="G34" s="327"/>
      <c r="H34" s="44" t="s">
        <v>117</v>
      </c>
      <c r="I34" s="45" t="s">
        <v>118</v>
      </c>
      <c r="J34" s="45" t="s">
        <v>119</v>
      </c>
      <c r="K34" s="46" t="s">
        <v>120</v>
      </c>
      <c r="L34" s="47"/>
      <c r="M34" s="47"/>
      <c r="AE34" s="3">
        <v>1072</v>
      </c>
      <c r="AF34" s="3" t="s">
        <v>121</v>
      </c>
      <c r="AG34" s="3">
        <v>4.1399999999999997</v>
      </c>
      <c r="AH34" s="15">
        <f t="shared" si="0"/>
        <v>4.1399999999999996E-3</v>
      </c>
    </row>
    <row r="35" spans="3:34" ht="27.75" customHeight="1" x14ac:dyDescent="0.25">
      <c r="C35" s="334" t="s">
        <v>122</v>
      </c>
      <c r="D35" s="334"/>
      <c r="E35" s="334"/>
      <c r="F35" s="334"/>
      <c r="G35" s="334"/>
      <c r="H35" s="23" t="s">
        <v>123</v>
      </c>
      <c r="I35" s="23"/>
      <c r="J35" s="23"/>
      <c r="K35" s="37">
        <f>G102</f>
        <v>0</v>
      </c>
      <c r="W35" s="21" t="s">
        <v>124</v>
      </c>
      <c r="Z35" s="21" t="s">
        <v>125</v>
      </c>
      <c r="AA35" s="21" t="s">
        <v>24</v>
      </c>
      <c r="AB35" s="21" t="s">
        <v>25</v>
      </c>
      <c r="AE35" s="3">
        <v>1081</v>
      </c>
      <c r="AF35" s="3" t="s">
        <v>126</v>
      </c>
      <c r="AG35" s="3">
        <v>4.1399999999999997</v>
      </c>
      <c r="AH35" s="15">
        <f t="shared" si="0"/>
        <v>4.1399999999999996E-3</v>
      </c>
    </row>
    <row r="36" spans="3:34" ht="32.25" customHeight="1" x14ac:dyDescent="0.25">
      <c r="C36" s="334" t="s">
        <v>127</v>
      </c>
      <c r="D36" s="334"/>
      <c r="E36" s="334"/>
      <c r="F36" s="334"/>
      <c r="G36" s="334"/>
      <c r="H36" s="23" t="s">
        <v>123</v>
      </c>
      <c r="I36" s="23"/>
      <c r="J36" s="23"/>
      <c r="K36" s="37" t="e">
        <f>G103</f>
        <v>#N/A</v>
      </c>
      <c r="W36" s="48" t="e">
        <f>SUM(Z36:AB36)</f>
        <v>#N/A</v>
      </c>
      <c r="Z36" s="48">
        <f>IF(Y1="X",0,IF(AB1="X",0,ROUND(Z28*16%,-2)))</f>
        <v>0</v>
      </c>
      <c r="AA36" s="48" t="e">
        <f>IF(Y1="X",0,IF(AB1="X",0,ROUND(Z28*AA32,-2)))</f>
        <v>#N/A</v>
      </c>
      <c r="AB36" s="48" t="b">
        <f>IF(Y1="X",0,IF(AB1="X",ROUND(Z28*AB32,-2)))</f>
        <v>0</v>
      </c>
      <c r="AE36" s="3">
        <v>1082</v>
      </c>
      <c r="AF36" s="3" t="s">
        <v>128</v>
      </c>
      <c r="AG36" s="3">
        <v>4.1399999999999997</v>
      </c>
      <c r="AH36" s="15">
        <f t="shared" si="0"/>
        <v>4.1399999999999996E-3</v>
      </c>
    </row>
    <row r="37" spans="3:34" ht="24.75" customHeight="1" x14ac:dyDescent="0.25">
      <c r="C37" s="330" t="s">
        <v>129</v>
      </c>
      <c r="D37" s="330"/>
      <c r="E37" s="330"/>
      <c r="F37" s="330"/>
      <c r="G37" s="330"/>
      <c r="H37" s="49" t="s">
        <v>130</v>
      </c>
      <c r="I37" s="50">
        <f>2500/12</f>
        <v>208.33333333333334</v>
      </c>
      <c r="J37" s="51">
        <f>ROUND(I37*$D$2,0)</f>
        <v>10374792</v>
      </c>
      <c r="K37" s="52"/>
      <c r="AE37" s="3">
        <v>1083</v>
      </c>
      <c r="AF37" s="3" t="s">
        <v>131</v>
      </c>
      <c r="AG37" s="3">
        <v>4.1399999999999997</v>
      </c>
      <c r="AH37" s="15">
        <f t="shared" si="0"/>
        <v>4.1399999999999996E-3</v>
      </c>
    </row>
    <row r="38" spans="3:34" ht="28.5" customHeight="1" x14ac:dyDescent="0.25">
      <c r="C38" s="331">
        <f>ROUND('GCO-GCI-F202'!P20*J89,0)</f>
        <v>0</v>
      </c>
      <c r="D38" s="332"/>
      <c r="E38" s="332"/>
      <c r="F38" s="332"/>
      <c r="G38" s="333"/>
      <c r="H38" s="35">
        <f>ROUND(I99*25%,0)</f>
        <v>0</v>
      </c>
      <c r="I38" s="53"/>
      <c r="J38" s="54">
        <f>J37</f>
        <v>10374792</v>
      </c>
      <c r="K38" s="55">
        <f>IF((AND(C38&lt;=H38,C38&lt;=J38))=TRUE,C38,IF((C38&lt;=J38),C38,J38))</f>
        <v>0</v>
      </c>
      <c r="L38" s="56"/>
      <c r="M38" s="56"/>
      <c r="N38" s="57"/>
      <c r="AE38" s="3">
        <v>1084</v>
      </c>
      <c r="AF38" s="3" t="s">
        <v>132</v>
      </c>
      <c r="AG38" s="3">
        <v>4.1399999999999997</v>
      </c>
      <c r="AH38" s="15">
        <f t="shared" si="0"/>
        <v>4.1399999999999996E-3</v>
      </c>
    </row>
    <row r="39" spans="3:34" ht="17.149999999999999" customHeight="1" x14ac:dyDescent="0.25">
      <c r="L39" s="58"/>
      <c r="M39" s="58"/>
      <c r="AE39" s="3">
        <v>1089</v>
      </c>
      <c r="AF39" s="3" t="s">
        <v>133</v>
      </c>
      <c r="AG39" s="3">
        <v>4.1399999999999997</v>
      </c>
      <c r="AH39" s="15">
        <f t="shared" si="0"/>
        <v>4.1399999999999996E-3</v>
      </c>
    </row>
    <row r="40" spans="3:34" ht="17.149999999999999" customHeight="1" x14ac:dyDescent="0.25">
      <c r="AE40" s="3">
        <v>1090</v>
      </c>
      <c r="AF40" s="3" t="s">
        <v>134</v>
      </c>
      <c r="AG40" s="3">
        <v>4.1399999999999997</v>
      </c>
      <c r="AH40" s="15">
        <f t="shared" si="0"/>
        <v>4.1399999999999996E-3</v>
      </c>
    </row>
    <row r="41" spans="3:34" ht="42.75" customHeight="1" x14ac:dyDescent="0.25">
      <c r="C41" s="328" t="s">
        <v>135</v>
      </c>
      <c r="D41" s="328"/>
      <c r="E41" s="328"/>
      <c r="F41" s="328"/>
      <c r="G41" s="328"/>
      <c r="H41" s="45" t="s">
        <v>117</v>
      </c>
      <c r="I41" s="45" t="s">
        <v>118</v>
      </c>
      <c r="J41" s="45" t="s">
        <v>119</v>
      </c>
      <c r="L41" s="59"/>
      <c r="M41" s="59"/>
      <c r="AE41" s="3">
        <v>1101</v>
      </c>
      <c r="AF41" s="3" t="s">
        <v>136</v>
      </c>
      <c r="AG41" s="3">
        <v>11.04</v>
      </c>
      <c r="AH41" s="15">
        <f t="shared" si="0"/>
        <v>1.1039999999999999E-2</v>
      </c>
    </row>
    <row r="42" spans="3:34" ht="18" customHeight="1" x14ac:dyDescent="0.25">
      <c r="C42" s="328" t="s">
        <v>137</v>
      </c>
      <c r="D42" s="328"/>
      <c r="E42" s="328"/>
      <c r="F42" s="328"/>
      <c r="G42" s="328"/>
      <c r="H42" s="60" t="s">
        <v>138</v>
      </c>
      <c r="I42" s="23"/>
      <c r="J42" s="23"/>
      <c r="AE42" s="3">
        <v>1102</v>
      </c>
      <c r="AF42" s="3" t="s">
        <v>139</v>
      </c>
      <c r="AG42" s="3">
        <v>11.04</v>
      </c>
      <c r="AH42" s="15">
        <f t="shared" si="0"/>
        <v>1.1039999999999999E-2</v>
      </c>
    </row>
    <row r="43" spans="3:34" ht="17.149999999999999" customHeight="1" x14ac:dyDescent="0.25">
      <c r="C43" s="329" t="s">
        <v>140</v>
      </c>
      <c r="D43" s="329"/>
      <c r="E43" s="329"/>
      <c r="F43" s="329"/>
      <c r="G43" s="329"/>
      <c r="H43" s="342">
        <v>0.3</v>
      </c>
      <c r="I43" s="343">
        <f t="shared" ref="I43" si="5">3800/12</f>
        <v>316.66666666666669</v>
      </c>
      <c r="J43" s="344">
        <f>ROUND(I43*$D$2,0)</f>
        <v>15769683</v>
      </c>
      <c r="K43" s="61"/>
      <c r="L43" s="61"/>
      <c r="M43" s="61"/>
      <c r="AE43" s="3">
        <v>1103</v>
      </c>
      <c r="AF43" s="3" t="s">
        <v>141</v>
      </c>
      <c r="AG43" s="3">
        <v>11.04</v>
      </c>
      <c r="AH43" s="15">
        <f t="shared" si="0"/>
        <v>1.1039999999999999E-2</v>
      </c>
    </row>
    <row r="44" spans="3:34" ht="17.149999999999999" customHeight="1" x14ac:dyDescent="0.25">
      <c r="C44" s="329" t="s">
        <v>142</v>
      </c>
      <c r="D44" s="329"/>
      <c r="E44" s="329"/>
      <c r="F44" s="329"/>
      <c r="G44" s="329"/>
      <c r="H44" s="342"/>
      <c r="I44" s="343"/>
      <c r="J44" s="344"/>
      <c r="K44" s="61"/>
      <c r="L44" s="61"/>
      <c r="M44" s="61"/>
      <c r="AE44" s="3">
        <v>1104</v>
      </c>
      <c r="AF44" s="3" t="s">
        <v>143</v>
      </c>
      <c r="AG44" s="3">
        <v>11.04</v>
      </c>
      <c r="AH44" s="15">
        <f t="shared" si="0"/>
        <v>1.1039999999999999E-2</v>
      </c>
    </row>
    <row r="45" spans="3:34" ht="17.149999999999999" customHeight="1" x14ac:dyDescent="0.25">
      <c r="C45" s="329" t="s">
        <v>144</v>
      </c>
      <c r="D45" s="329"/>
      <c r="E45" s="329"/>
      <c r="F45" s="329"/>
      <c r="G45" s="329"/>
      <c r="H45" s="342"/>
      <c r="I45" s="343"/>
      <c r="J45" s="344"/>
      <c r="K45" s="61"/>
      <c r="L45" s="61"/>
      <c r="M45" s="61"/>
      <c r="AE45" s="3">
        <v>1200</v>
      </c>
      <c r="AF45" s="3" t="s">
        <v>145</v>
      </c>
      <c r="AG45" s="3">
        <v>11.04</v>
      </c>
      <c r="AH45" s="15">
        <f t="shared" si="0"/>
        <v>1.1039999999999999E-2</v>
      </c>
    </row>
    <row r="46" spans="3:34" ht="17.149999999999999" customHeight="1" x14ac:dyDescent="0.25">
      <c r="C46" s="345" t="s">
        <v>146</v>
      </c>
      <c r="D46" s="345"/>
      <c r="E46" s="345"/>
      <c r="F46" s="345"/>
      <c r="G46" s="345"/>
      <c r="H46" s="342"/>
      <c r="I46" s="343"/>
      <c r="J46" s="344"/>
      <c r="K46" s="61"/>
      <c r="L46" s="61"/>
      <c r="M46" s="61"/>
      <c r="AE46" s="3">
        <v>1311</v>
      </c>
      <c r="AF46" s="3" t="s">
        <v>147</v>
      </c>
      <c r="AG46" s="3">
        <v>11.04</v>
      </c>
      <c r="AH46" s="15">
        <f t="shared" si="0"/>
        <v>1.1039999999999999E-2</v>
      </c>
    </row>
    <row r="47" spans="3:34" ht="17.149999999999999" customHeight="1" x14ac:dyDescent="0.25">
      <c r="AE47" s="3">
        <v>1312</v>
      </c>
      <c r="AF47" s="3" t="s">
        <v>148</v>
      </c>
      <c r="AG47" s="3">
        <v>11.04</v>
      </c>
      <c r="AH47" s="15">
        <f t="shared" si="0"/>
        <v>1.1039999999999999E-2</v>
      </c>
    </row>
    <row r="48" spans="3:34" ht="43.5" customHeight="1" x14ac:dyDescent="0.25">
      <c r="C48" s="328" t="s">
        <v>135</v>
      </c>
      <c r="D48" s="328"/>
      <c r="E48" s="328"/>
      <c r="F48" s="328"/>
      <c r="G48" s="328"/>
      <c r="H48" s="62" t="s">
        <v>149</v>
      </c>
      <c r="I48" s="28" t="s">
        <v>150</v>
      </c>
      <c r="J48" s="46" t="s">
        <v>120</v>
      </c>
      <c r="AE48" s="3">
        <v>1313</v>
      </c>
      <c r="AF48" s="3" t="s">
        <v>151</v>
      </c>
      <c r="AG48" s="3">
        <v>11.04</v>
      </c>
      <c r="AH48" s="15">
        <f t="shared" si="0"/>
        <v>1.1039999999999999E-2</v>
      </c>
    </row>
    <row r="49" spans="3:34" ht="25.5" customHeight="1" x14ac:dyDescent="0.25">
      <c r="C49" s="349" t="s">
        <v>152</v>
      </c>
      <c r="D49" s="349"/>
      <c r="E49" s="349"/>
      <c r="F49" s="349"/>
      <c r="G49" s="349"/>
      <c r="H49" s="37">
        <f>'GCO-GCI-F202'!P21*J89</f>
        <v>0</v>
      </c>
      <c r="I49" s="23"/>
      <c r="J49" s="23"/>
      <c r="AE49" s="3">
        <v>1391</v>
      </c>
      <c r="AF49" s="3" t="s">
        <v>153</v>
      </c>
      <c r="AG49" s="3">
        <v>11.04</v>
      </c>
      <c r="AH49" s="15">
        <f t="shared" si="0"/>
        <v>1.1039999999999999E-2</v>
      </c>
    </row>
    <row r="50" spans="3:34" ht="17.149999999999999" customHeight="1" x14ac:dyDescent="0.3">
      <c r="C50" s="345" t="s">
        <v>146</v>
      </c>
      <c r="D50" s="345"/>
      <c r="E50" s="345"/>
      <c r="F50" s="345"/>
      <c r="G50" s="345"/>
      <c r="H50" s="37">
        <f>'GCO-GCI-F202'!P22*J89</f>
        <v>0</v>
      </c>
      <c r="I50" s="63">
        <f>H49+H50</f>
        <v>0</v>
      </c>
      <c r="J50" s="23"/>
      <c r="AE50" s="3">
        <v>1392</v>
      </c>
      <c r="AF50" s="3" t="s">
        <v>154</v>
      </c>
      <c r="AG50" s="3">
        <v>11.04</v>
      </c>
      <c r="AH50" s="15">
        <f t="shared" si="0"/>
        <v>1.1039999999999999E-2</v>
      </c>
    </row>
    <row r="51" spans="3:34" ht="17.149999999999999" customHeight="1" x14ac:dyDescent="0.25">
      <c r="AE51" s="3">
        <v>1393</v>
      </c>
      <c r="AF51" s="3" t="s">
        <v>155</v>
      </c>
      <c r="AG51" s="3">
        <v>11.04</v>
      </c>
      <c r="AH51" s="15">
        <f t="shared" si="0"/>
        <v>1.1039999999999999E-2</v>
      </c>
    </row>
    <row r="52" spans="3:34" ht="17.149999999999999" customHeight="1" x14ac:dyDescent="0.25">
      <c r="C52" s="48">
        <f>I50</f>
        <v>0</v>
      </c>
      <c r="D52" s="64"/>
      <c r="H52" s="35">
        <f>ROUND(I99*30%,0)</f>
        <v>0</v>
      </c>
      <c r="I52" s="37">
        <f>J43</f>
        <v>15769683</v>
      </c>
      <c r="J52" s="65">
        <f>IF((AND(C52&lt;=H52,C52&lt;=I52))=TRUE,C52,IF((C52&lt;=I52),C52,I52))</f>
        <v>0</v>
      </c>
      <c r="AE52" s="3">
        <v>1394</v>
      </c>
      <c r="AF52" s="3" t="s">
        <v>156</v>
      </c>
      <c r="AG52" s="3">
        <v>11.04</v>
      </c>
      <c r="AH52" s="15">
        <f t="shared" si="0"/>
        <v>1.1039999999999999E-2</v>
      </c>
    </row>
    <row r="53" spans="3:34" ht="17.149999999999999" customHeight="1" x14ac:dyDescent="0.25">
      <c r="AE53" s="3">
        <v>1399</v>
      </c>
      <c r="AF53" s="3" t="s">
        <v>157</v>
      </c>
      <c r="AG53" s="3">
        <v>11.04</v>
      </c>
      <c r="AH53" s="15">
        <f t="shared" si="0"/>
        <v>1.1039999999999999E-2</v>
      </c>
    </row>
    <row r="54" spans="3:34" ht="18" customHeight="1" x14ac:dyDescent="0.25">
      <c r="AE54" s="3">
        <v>1410</v>
      </c>
      <c r="AF54" s="3" t="s">
        <v>158</v>
      </c>
      <c r="AG54" s="3">
        <v>4.1399999999999997</v>
      </c>
      <c r="AH54" s="15">
        <f t="shared" si="0"/>
        <v>4.1399999999999996E-3</v>
      </c>
    </row>
    <row r="55" spans="3:34" ht="22.5" customHeight="1" x14ac:dyDescent="0.3">
      <c r="C55" s="2" t="s">
        <v>159</v>
      </c>
      <c r="AE55" s="3">
        <v>1511</v>
      </c>
      <c r="AF55" s="3" t="s">
        <v>160</v>
      </c>
      <c r="AG55" s="3">
        <v>11.04</v>
      </c>
      <c r="AH55" s="15">
        <f t="shared" si="0"/>
        <v>1.1039999999999999E-2</v>
      </c>
    </row>
    <row r="56" spans="3:34" ht="17.25" customHeight="1" x14ac:dyDescent="0.3">
      <c r="C56" s="66" t="s">
        <v>161</v>
      </c>
      <c r="H56" s="64">
        <v>0.25</v>
      </c>
      <c r="I56" s="67">
        <f>790/12</f>
        <v>65.833333333333329</v>
      </c>
      <c r="J56" s="6">
        <f>ROUND(I56*$D$2,0)</f>
        <v>3278434</v>
      </c>
      <c r="AE56" s="3">
        <v>1512</v>
      </c>
      <c r="AF56" s="3" t="s">
        <v>162</v>
      </c>
      <c r="AG56" s="3">
        <v>11.04</v>
      </c>
      <c r="AH56" s="15">
        <f t="shared" si="0"/>
        <v>1.1039999999999999E-2</v>
      </c>
    </row>
    <row r="57" spans="3:34" ht="21" customHeight="1" x14ac:dyDescent="0.25">
      <c r="C57" s="1" t="s">
        <v>163</v>
      </c>
      <c r="AE57" s="3">
        <v>1513</v>
      </c>
      <c r="AF57" s="3" t="s">
        <v>164</v>
      </c>
      <c r="AG57" s="3">
        <v>11.04</v>
      </c>
      <c r="AH57" s="15">
        <f t="shared" si="0"/>
        <v>1.1039999999999999E-2</v>
      </c>
    </row>
    <row r="58" spans="3:34" ht="24" customHeight="1" x14ac:dyDescent="0.25">
      <c r="C58" s="350" t="s">
        <v>165</v>
      </c>
      <c r="D58" s="350"/>
      <c r="E58" s="350"/>
      <c r="F58" s="350"/>
      <c r="G58" s="350"/>
      <c r="H58" s="350"/>
      <c r="I58" s="350"/>
      <c r="J58" s="350"/>
      <c r="AE58" s="3">
        <v>1521</v>
      </c>
      <c r="AF58" s="3" t="s">
        <v>166</v>
      </c>
      <c r="AG58" s="3">
        <v>4.1399999999999997</v>
      </c>
      <c r="AH58" s="15">
        <f t="shared" si="0"/>
        <v>4.1399999999999996E-3</v>
      </c>
    </row>
    <row r="59" spans="3:34" ht="17.149999999999999" customHeight="1" x14ac:dyDescent="0.3">
      <c r="C59" s="350"/>
      <c r="D59" s="350"/>
      <c r="E59" s="350"/>
      <c r="F59" s="350"/>
      <c r="G59" s="350"/>
      <c r="H59" s="350"/>
      <c r="I59" s="350"/>
      <c r="J59" s="350"/>
      <c r="K59" s="6"/>
      <c r="L59" s="6"/>
      <c r="M59" s="6"/>
      <c r="AE59" s="3">
        <v>1522</v>
      </c>
      <c r="AF59" s="3" t="s">
        <v>167</v>
      </c>
      <c r="AG59" s="3">
        <v>4.1399999999999997</v>
      </c>
      <c r="AH59" s="15">
        <f t="shared" si="0"/>
        <v>4.1399999999999996E-3</v>
      </c>
    </row>
    <row r="60" spans="3:34" ht="39.75" customHeight="1" x14ac:dyDescent="0.3">
      <c r="C60" s="2" t="s">
        <v>168</v>
      </c>
      <c r="G60" s="6"/>
      <c r="H60" s="68">
        <v>0.25</v>
      </c>
      <c r="J60" s="46" t="s">
        <v>120</v>
      </c>
      <c r="AE60" s="3">
        <v>1523</v>
      </c>
      <c r="AF60" s="3" t="s">
        <v>169</v>
      </c>
      <c r="AG60" s="3">
        <v>11.04</v>
      </c>
      <c r="AH60" s="15">
        <f t="shared" si="0"/>
        <v>1.1039999999999999E-2</v>
      </c>
    </row>
    <row r="61" spans="3:34" ht="17.149999999999999" customHeight="1" x14ac:dyDescent="0.25">
      <c r="C61" s="48" t="e">
        <f>I99-I101-I108-G114</f>
        <v>#N/A</v>
      </c>
      <c r="D61" s="64"/>
      <c r="H61" s="48" t="e">
        <f>ROUND(C61*25%,0)</f>
        <v>#N/A</v>
      </c>
      <c r="I61" s="37"/>
      <c r="J61" s="65" t="e">
        <f>IF(H61&lt;=J56,H61,J56)</f>
        <v>#N/A</v>
      </c>
      <c r="AE61" s="3">
        <v>1610</v>
      </c>
      <c r="AF61" s="3" t="s">
        <v>170</v>
      </c>
      <c r="AG61" s="3">
        <v>11.04</v>
      </c>
      <c r="AH61" s="15">
        <f t="shared" si="0"/>
        <v>1.1039999999999999E-2</v>
      </c>
    </row>
    <row r="62" spans="3:34" x14ac:dyDescent="0.25">
      <c r="AE62" s="3">
        <v>1620</v>
      </c>
      <c r="AF62" s="3" t="s">
        <v>171</v>
      </c>
      <c r="AG62" s="3">
        <v>11.04</v>
      </c>
      <c r="AH62" s="15">
        <f t="shared" si="0"/>
        <v>1.1039999999999999E-2</v>
      </c>
    </row>
    <row r="63" spans="3:34" x14ac:dyDescent="0.25">
      <c r="AE63" s="3">
        <v>1630</v>
      </c>
      <c r="AF63" s="3" t="s">
        <v>172</v>
      </c>
      <c r="AG63" s="3">
        <v>11.04</v>
      </c>
      <c r="AH63" s="15">
        <f t="shared" si="0"/>
        <v>1.1039999999999999E-2</v>
      </c>
    </row>
    <row r="64" spans="3:34" ht="33.75" customHeight="1" x14ac:dyDescent="0.25">
      <c r="C64" s="328" t="s">
        <v>173</v>
      </c>
      <c r="D64" s="328"/>
      <c r="E64" s="328"/>
      <c r="F64" s="328"/>
      <c r="G64" s="328"/>
      <c r="H64" s="45" t="s">
        <v>117</v>
      </c>
      <c r="I64" s="45" t="s">
        <v>118</v>
      </c>
      <c r="J64" s="45" t="s">
        <v>119</v>
      </c>
      <c r="L64" s="59"/>
      <c r="M64" s="59"/>
      <c r="AE64" s="3">
        <v>1640</v>
      </c>
      <c r="AF64" s="3" t="s">
        <v>174</v>
      </c>
      <c r="AG64" s="3">
        <v>11.04</v>
      </c>
      <c r="AH64" s="15">
        <f t="shared" si="0"/>
        <v>1.1039999999999999E-2</v>
      </c>
    </row>
    <row r="65" spans="2:34" ht="17.149999999999999" customHeight="1" x14ac:dyDescent="0.3">
      <c r="C65" s="329" t="s">
        <v>175</v>
      </c>
      <c r="D65" s="329"/>
      <c r="E65" s="329"/>
      <c r="F65" s="329"/>
      <c r="G65" s="329"/>
      <c r="H65" s="23"/>
      <c r="I65" s="23">
        <f>1200/12</f>
        <v>100</v>
      </c>
      <c r="J65" s="63">
        <f>ROUND(I65*D2,0)</f>
        <v>4979900</v>
      </c>
      <c r="L65" s="6"/>
      <c r="M65" s="6"/>
      <c r="AE65" s="3">
        <v>1690</v>
      </c>
      <c r="AF65" s="3" t="s">
        <v>176</v>
      </c>
      <c r="AG65" s="3">
        <v>11.04</v>
      </c>
      <c r="AH65" s="15">
        <f t="shared" si="0"/>
        <v>1.1039999999999999E-2</v>
      </c>
    </row>
    <row r="66" spans="2:34" ht="28.5" customHeight="1" x14ac:dyDescent="0.3">
      <c r="C66" s="334" t="s">
        <v>177</v>
      </c>
      <c r="D66" s="334"/>
      <c r="E66" s="334"/>
      <c r="F66" s="334"/>
      <c r="G66" s="334"/>
      <c r="H66" s="23"/>
      <c r="I66" s="23">
        <f>192/12</f>
        <v>16</v>
      </c>
      <c r="J66" s="63">
        <f>ROUND(I66*D2,0)</f>
        <v>796784</v>
      </c>
      <c r="L66" s="6"/>
      <c r="M66" s="6"/>
      <c r="AE66" s="3">
        <v>1701</v>
      </c>
      <c r="AF66" s="3" t="s">
        <v>178</v>
      </c>
      <c r="AG66" s="3">
        <v>11.04</v>
      </c>
      <c r="AH66" s="15">
        <f t="shared" si="0"/>
        <v>1.1039999999999999E-2</v>
      </c>
    </row>
    <row r="67" spans="2:34" ht="27.75" customHeight="1" x14ac:dyDescent="0.3">
      <c r="C67" s="334" t="s">
        <v>179</v>
      </c>
      <c r="D67" s="334"/>
      <c r="E67" s="334"/>
      <c r="F67" s="334"/>
      <c r="G67" s="334"/>
      <c r="H67" s="23"/>
      <c r="I67" s="23">
        <v>16</v>
      </c>
      <c r="J67" s="63">
        <f>ROUND(I67*D2,0)</f>
        <v>796784</v>
      </c>
      <c r="L67" s="6"/>
      <c r="M67" s="6"/>
      <c r="AE67" s="3">
        <v>1702</v>
      </c>
      <c r="AF67" s="3" t="s">
        <v>180</v>
      </c>
      <c r="AG67" s="3">
        <v>11.04</v>
      </c>
      <c r="AH67" s="15">
        <f t="shared" si="0"/>
        <v>1.1039999999999999E-2</v>
      </c>
    </row>
    <row r="68" spans="2:34" ht="19.5" customHeight="1" x14ac:dyDescent="0.3">
      <c r="C68" s="329" t="s">
        <v>181</v>
      </c>
      <c r="D68" s="329"/>
      <c r="E68" s="329"/>
      <c r="F68" s="329"/>
      <c r="G68" s="329"/>
      <c r="H68" s="36">
        <v>0.1</v>
      </c>
      <c r="I68" s="23">
        <f>384/12</f>
        <v>32</v>
      </c>
      <c r="J68" s="63">
        <f>ROUND(I68*D2,0)</f>
        <v>1593568</v>
      </c>
      <c r="L68" s="6"/>
      <c r="M68" s="6"/>
      <c r="AE68" s="3">
        <v>1709</v>
      </c>
      <c r="AF68" s="3" t="s">
        <v>182</v>
      </c>
      <c r="AG68" s="3">
        <v>11.04</v>
      </c>
      <c r="AH68" s="15">
        <f t="shared" si="0"/>
        <v>1.1039999999999999E-2</v>
      </c>
    </row>
    <row r="69" spans="2:34" ht="17.149999999999999" customHeight="1" x14ac:dyDescent="0.25">
      <c r="AE69" s="3">
        <v>1811</v>
      </c>
      <c r="AF69" s="3" t="s">
        <v>183</v>
      </c>
      <c r="AG69" s="3">
        <v>9.66</v>
      </c>
      <c r="AH69" s="15">
        <f t="shared" ref="AH69:AH132" si="6">AG69/1000</f>
        <v>9.6600000000000002E-3</v>
      </c>
    </row>
    <row r="70" spans="2:34" ht="44.25" customHeight="1" x14ac:dyDescent="0.25">
      <c r="C70" s="328" t="s">
        <v>173</v>
      </c>
      <c r="D70" s="328"/>
      <c r="E70" s="328"/>
      <c r="F70" s="328"/>
      <c r="G70" s="328"/>
      <c r="H70" s="69" t="s">
        <v>149</v>
      </c>
      <c r="I70" s="23"/>
      <c r="J70" s="46" t="s">
        <v>120</v>
      </c>
      <c r="AE70" s="3">
        <v>1812</v>
      </c>
      <c r="AF70" s="3" t="s">
        <v>184</v>
      </c>
      <c r="AG70" s="3">
        <v>9.66</v>
      </c>
      <c r="AH70" s="15">
        <f t="shared" si="6"/>
        <v>9.6600000000000002E-3</v>
      </c>
    </row>
    <row r="71" spans="2:34" ht="20.149999999999999" customHeight="1" x14ac:dyDescent="0.25">
      <c r="C71" s="329" t="s">
        <v>175</v>
      </c>
      <c r="D71" s="329"/>
      <c r="E71" s="329"/>
      <c r="F71" s="329"/>
      <c r="G71" s="329"/>
      <c r="H71" s="42">
        <f>'GCO-GCI-F202'!P23*J89</f>
        <v>0</v>
      </c>
      <c r="I71" s="70"/>
      <c r="J71" s="42">
        <f>IF(H71&lt;=J65,H71,J65)</f>
        <v>0</v>
      </c>
      <c r="AE71" s="3">
        <v>1820</v>
      </c>
      <c r="AF71" s="3" t="s">
        <v>185</v>
      </c>
      <c r="AG71" s="3">
        <v>9.66</v>
      </c>
      <c r="AH71" s="15">
        <f t="shared" si="6"/>
        <v>9.6600000000000002E-3</v>
      </c>
    </row>
    <row r="72" spans="2:34" ht="24.75" customHeight="1" x14ac:dyDescent="0.25">
      <c r="C72" s="334" t="s">
        <v>186</v>
      </c>
      <c r="D72" s="334"/>
      <c r="E72" s="334"/>
      <c r="F72" s="334"/>
      <c r="G72" s="334"/>
      <c r="H72" s="42">
        <f>'GCO-GCI-F202'!P24*J89</f>
        <v>0</v>
      </c>
      <c r="I72" s="70"/>
      <c r="J72" s="42">
        <f>IF(H72&lt;=J66,H72,J66)</f>
        <v>0</v>
      </c>
      <c r="AE72" s="3">
        <v>1910</v>
      </c>
      <c r="AF72" s="3" t="s">
        <v>187</v>
      </c>
      <c r="AG72" s="3">
        <v>11.04</v>
      </c>
      <c r="AH72" s="15">
        <f t="shared" si="6"/>
        <v>1.1039999999999999E-2</v>
      </c>
    </row>
    <row r="73" spans="2:34" ht="20.149999999999999" customHeight="1" x14ac:dyDescent="0.25">
      <c r="C73" s="329" t="s">
        <v>181</v>
      </c>
      <c r="D73" s="329"/>
      <c r="E73" s="329"/>
      <c r="F73" s="329"/>
      <c r="G73" s="329"/>
      <c r="H73" s="48">
        <f>'GCO-GCI-F202'!O25</f>
        <v>0</v>
      </c>
      <c r="I73" s="35">
        <f>IF(H73="X",ROUND(I99*10%,0),0)</f>
        <v>0</v>
      </c>
      <c r="J73" s="42">
        <f>IF(I73&lt;=J68,I73,J68)</f>
        <v>0</v>
      </c>
      <c r="AE73" s="3">
        <v>1921</v>
      </c>
      <c r="AF73" s="3" t="s">
        <v>188</v>
      </c>
      <c r="AG73" s="3">
        <v>11.04</v>
      </c>
      <c r="AH73" s="15">
        <f t="shared" si="6"/>
        <v>1.1039999999999999E-2</v>
      </c>
    </row>
    <row r="74" spans="2:34" ht="20.149999999999999" customHeight="1" x14ac:dyDescent="0.25">
      <c r="AE74" s="3">
        <v>1922</v>
      </c>
      <c r="AF74" s="3" t="s">
        <v>189</v>
      </c>
      <c r="AG74" s="3">
        <v>11.04</v>
      </c>
      <c r="AH74" s="15">
        <f t="shared" si="6"/>
        <v>1.1039999999999999E-2</v>
      </c>
    </row>
    <row r="75" spans="2:34" ht="20.149999999999999" customHeight="1" x14ac:dyDescent="0.3">
      <c r="B75" s="71" t="s">
        <v>190</v>
      </c>
      <c r="C75" s="72" t="s">
        <v>191</v>
      </c>
      <c r="D75" s="73"/>
      <c r="E75" s="73"/>
      <c r="F75" s="73"/>
      <c r="G75" s="73"/>
      <c r="H75" s="74">
        <v>0.4</v>
      </c>
      <c r="I75" s="75">
        <f>1340/12</f>
        <v>111.66666666666667</v>
      </c>
      <c r="J75" s="27">
        <f>ROUND(I75*D2,0)</f>
        <v>5560888</v>
      </c>
      <c r="K75" s="27"/>
      <c r="L75" s="6"/>
      <c r="AE75" s="3">
        <v>2011</v>
      </c>
      <c r="AF75" s="3" t="s">
        <v>192</v>
      </c>
      <c r="AG75" s="3">
        <v>11.04</v>
      </c>
      <c r="AH75" s="15">
        <f t="shared" si="6"/>
        <v>1.1039999999999999E-2</v>
      </c>
    </row>
    <row r="76" spans="2:34" ht="20.149999999999999" customHeight="1" x14ac:dyDescent="0.25">
      <c r="C76" s="94" t="s">
        <v>193</v>
      </c>
      <c r="AE76" s="3">
        <v>2012</v>
      </c>
      <c r="AF76" s="3" t="s">
        <v>194</v>
      </c>
      <c r="AG76" s="3">
        <v>11.04</v>
      </c>
      <c r="AH76" s="15">
        <f t="shared" si="6"/>
        <v>1.1039999999999999E-2</v>
      </c>
    </row>
    <row r="77" spans="2:34" ht="45" customHeight="1" x14ac:dyDescent="0.25">
      <c r="C77" s="76" t="s">
        <v>195</v>
      </c>
      <c r="H77" s="77" t="s">
        <v>196</v>
      </c>
      <c r="J77" s="45" t="s">
        <v>119</v>
      </c>
      <c r="K77" s="46" t="s">
        <v>120</v>
      </c>
      <c r="AE77" s="3">
        <v>2013</v>
      </c>
      <c r="AF77" s="3" t="s">
        <v>197</v>
      </c>
      <c r="AG77" s="3">
        <v>11.04</v>
      </c>
      <c r="AH77" s="15">
        <f t="shared" si="6"/>
        <v>1.1039999999999999E-2</v>
      </c>
    </row>
    <row r="78" spans="2:34" ht="20.149999999999999" customHeight="1" x14ac:dyDescent="0.3">
      <c r="C78" s="48" t="e">
        <f>I117</f>
        <v>#N/A</v>
      </c>
      <c r="H78" s="78" t="e">
        <f>ROUND(I106*40%,0)</f>
        <v>#N/A</v>
      </c>
      <c r="I78" s="57"/>
      <c r="J78" s="65">
        <f>J75</f>
        <v>5560888</v>
      </c>
      <c r="K78" s="55" t="e">
        <f>IF(H79&lt;=J79,H79,J79)</f>
        <v>#N/A</v>
      </c>
      <c r="M78" s="6"/>
      <c r="AE78" s="3">
        <v>2014</v>
      </c>
      <c r="AF78" s="3" t="s">
        <v>198</v>
      </c>
      <c r="AG78" s="3">
        <v>11.04</v>
      </c>
      <c r="AH78" s="15">
        <f t="shared" si="6"/>
        <v>1.1039999999999999E-2</v>
      </c>
    </row>
    <row r="79" spans="2:34" ht="20.149999999999999" customHeight="1" x14ac:dyDescent="0.25">
      <c r="H79" s="93" t="e">
        <f>IF(C78&lt;=H78,C78,H78)</f>
        <v>#N/A</v>
      </c>
      <c r="I79" s="57"/>
      <c r="J79" s="52" t="e">
        <f>IF(H79&lt;=J78,H79,J78)</f>
        <v>#N/A</v>
      </c>
      <c r="AE79" s="3">
        <v>2021</v>
      </c>
      <c r="AF79" s="3" t="s">
        <v>199</v>
      </c>
      <c r="AG79" s="3">
        <v>11.04</v>
      </c>
      <c r="AH79" s="15">
        <f t="shared" si="6"/>
        <v>1.1039999999999999E-2</v>
      </c>
    </row>
    <row r="80" spans="2:34" ht="15" customHeight="1" x14ac:dyDescent="0.25">
      <c r="AE80" s="3">
        <v>2022</v>
      </c>
      <c r="AF80" s="3" t="s">
        <v>200</v>
      </c>
      <c r="AG80" s="3">
        <v>11.04</v>
      </c>
      <c r="AH80" s="15">
        <f t="shared" si="6"/>
        <v>1.1039999999999999E-2</v>
      </c>
    </row>
    <row r="81" spans="3:34" ht="20.149999999999999" customHeight="1" x14ac:dyDescent="0.3">
      <c r="C81" s="2" t="s">
        <v>201</v>
      </c>
      <c r="AE81" s="3">
        <v>2023</v>
      </c>
      <c r="AF81" s="3" t="s">
        <v>202</v>
      </c>
      <c r="AG81" s="3">
        <v>11.04</v>
      </c>
      <c r="AH81" s="15">
        <f t="shared" si="6"/>
        <v>1.1039999999999999E-2</v>
      </c>
    </row>
    <row r="82" spans="3:34" ht="20.149999999999999" customHeight="1" x14ac:dyDescent="0.25">
      <c r="AE82" s="3">
        <v>2029</v>
      </c>
      <c r="AF82" s="3" t="s">
        <v>203</v>
      </c>
      <c r="AG82" s="3">
        <v>11.04</v>
      </c>
      <c r="AH82" s="15">
        <f t="shared" si="6"/>
        <v>1.1039999999999999E-2</v>
      </c>
    </row>
    <row r="83" spans="3:34" ht="17.25" customHeight="1" x14ac:dyDescent="0.3">
      <c r="C83" s="341" t="s">
        <v>204</v>
      </c>
      <c r="D83" s="341"/>
      <c r="E83" s="341"/>
      <c r="F83" s="341"/>
      <c r="G83" s="341"/>
      <c r="H83" s="341"/>
      <c r="I83" s="341"/>
      <c r="J83" s="341"/>
      <c r="K83" s="79"/>
      <c r="L83" s="79"/>
      <c r="M83" s="79"/>
      <c r="AE83" s="3">
        <v>2030</v>
      </c>
      <c r="AF83" s="3" t="s">
        <v>205</v>
      </c>
      <c r="AG83" s="3">
        <v>11.04</v>
      </c>
      <c r="AH83" s="15">
        <f t="shared" si="6"/>
        <v>1.1039999999999999E-2</v>
      </c>
    </row>
    <row r="84" spans="3:34" ht="17.25" customHeight="1" x14ac:dyDescent="0.3">
      <c r="C84" s="341"/>
      <c r="D84" s="341"/>
      <c r="E84" s="341"/>
      <c r="F84" s="341"/>
      <c r="G84" s="341"/>
      <c r="H84" s="341"/>
      <c r="I84" s="341"/>
      <c r="J84" s="341"/>
      <c r="K84" s="79"/>
      <c r="L84" s="79"/>
      <c r="M84" s="79"/>
      <c r="AE84" s="3">
        <v>2100</v>
      </c>
      <c r="AF84" s="3" t="s">
        <v>206</v>
      </c>
      <c r="AG84" s="3">
        <v>11.76</v>
      </c>
      <c r="AH84" s="15">
        <f t="shared" si="6"/>
        <v>1.176E-2</v>
      </c>
    </row>
    <row r="85" spans="3:34" ht="19.5" customHeight="1" x14ac:dyDescent="0.3">
      <c r="C85" s="341"/>
      <c r="D85" s="341"/>
      <c r="E85" s="341"/>
      <c r="F85" s="341"/>
      <c r="G85" s="341"/>
      <c r="H85" s="341"/>
      <c r="I85" s="341"/>
      <c r="J85" s="341"/>
      <c r="K85" s="79"/>
      <c r="L85" s="79"/>
      <c r="M85" s="79"/>
      <c r="AE85" s="3">
        <v>2211</v>
      </c>
      <c r="AF85" s="3" t="s">
        <v>207</v>
      </c>
      <c r="AG85" s="3">
        <v>11.04</v>
      </c>
      <c r="AH85" s="15">
        <f t="shared" si="6"/>
        <v>1.1039999999999999E-2</v>
      </c>
    </row>
    <row r="86" spans="3:34" ht="18" customHeight="1" x14ac:dyDescent="0.25">
      <c r="AE86" s="3">
        <v>2212</v>
      </c>
      <c r="AF86" s="3" t="s">
        <v>208</v>
      </c>
      <c r="AG86" s="3">
        <v>11.04</v>
      </c>
      <c r="AH86" s="15">
        <f t="shared" si="6"/>
        <v>1.1039999999999999E-2</v>
      </c>
    </row>
    <row r="87" spans="3:34" ht="17.25" customHeight="1" x14ac:dyDescent="0.25">
      <c r="C87" s="337" t="s">
        <v>7</v>
      </c>
      <c r="D87" s="338"/>
      <c r="E87" s="80">
        <f>'GCO-GCI-F202'!I8</f>
        <v>0</v>
      </c>
      <c r="G87" s="351" t="s">
        <v>209</v>
      </c>
      <c r="H87" s="351"/>
      <c r="I87" s="352"/>
      <c r="J87" s="80">
        <f>'GCO-GCI-F202'!L10/30</f>
        <v>0</v>
      </c>
      <c r="K87" s="12"/>
      <c r="L87" s="12"/>
      <c r="M87" s="12"/>
      <c r="AE87" s="3">
        <v>2219</v>
      </c>
      <c r="AF87" s="3" t="s">
        <v>210</v>
      </c>
      <c r="AG87" s="3">
        <v>11.04</v>
      </c>
      <c r="AH87" s="15">
        <f t="shared" si="6"/>
        <v>1.1039999999999999E-2</v>
      </c>
    </row>
    <row r="88" spans="3:34" ht="17.25" customHeight="1" x14ac:dyDescent="0.25">
      <c r="C88" s="82"/>
      <c r="D88" s="81"/>
      <c r="E88" s="12"/>
      <c r="G88" s="351" t="s">
        <v>211</v>
      </c>
      <c r="H88" s="351"/>
      <c r="I88" s="352"/>
      <c r="J88" s="80">
        <f>'GCO-GCI-F202'!P26/30</f>
        <v>0</v>
      </c>
      <c r="K88" s="12"/>
      <c r="L88" s="12"/>
      <c r="M88" s="12"/>
      <c r="AE88" s="3">
        <v>2221</v>
      </c>
      <c r="AF88" s="3" t="s">
        <v>212</v>
      </c>
      <c r="AG88" s="3">
        <v>11.04</v>
      </c>
      <c r="AH88" s="15">
        <f t="shared" si="6"/>
        <v>1.1039999999999999E-2</v>
      </c>
    </row>
    <row r="89" spans="3:34" ht="21.75" customHeight="1" x14ac:dyDescent="0.25">
      <c r="C89" s="82"/>
      <c r="D89" s="81"/>
      <c r="E89" s="12"/>
      <c r="G89" s="337" t="s">
        <v>213</v>
      </c>
      <c r="H89" s="337"/>
      <c r="I89" s="338"/>
      <c r="J89" s="28">
        <f>J87+J88</f>
        <v>0</v>
      </c>
      <c r="K89" s="83"/>
      <c r="L89" s="83"/>
      <c r="M89" s="83"/>
      <c r="AE89" s="3">
        <v>2229</v>
      </c>
      <c r="AF89" s="3" t="s">
        <v>214</v>
      </c>
      <c r="AG89" s="3">
        <v>11.04</v>
      </c>
      <c r="AH89" s="15">
        <f t="shared" si="6"/>
        <v>1.1039999999999999E-2</v>
      </c>
    </row>
    <row r="90" spans="3:34" ht="15.75" customHeight="1" x14ac:dyDescent="0.25">
      <c r="C90" s="82"/>
      <c r="D90" s="81"/>
      <c r="E90" s="12"/>
      <c r="G90" s="84"/>
      <c r="H90" s="81"/>
      <c r="I90" s="12"/>
      <c r="AE90" s="3">
        <v>2310</v>
      </c>
      <c r="AF90" s="3" t="s">
        <v>215</v>
      </c>
      <c r="AG90" s="3">
        <v>11.04</v>
      </c>
      <c r="AH90" s="15">
        <f t="shared" si="6"/>
        <v>1.1039999999999999E-2</v>
      </c>
    </row>
    <row r="91" spans="3:34" ht="19.5" customHeight="1" x14ac:dyDescent="0.25">
      <c r="C91" s="339" t="s">
        <v>216</v>
      </c>
      <c r="D91" s="339"/>
      <c r="E91" s="340"/>
      <c r="F91" s="65">
        <f>'GCO-GCI-F202'!K12</f>
        <v>0</v>
      </c>
      <c r="G91" s="84"/>
      <c r="H91" s="82"/>
      <c r="I91" s="12"/>
      <c r="AE91" s="3">
        <v>2391</v>
      </c>
      <c r="AF91" s="3" t="s">
        <v>217</v>
      </c>
      <c r="AG91" s="3">
        <v>11.04</v>
      </c>
      <c r="AH91" s="15">
        <f t="shared" si="6"/>
        <v>1.1039999999999999E-2</v>
      </c>
    </row>
    <row r="92" spans="3:34" ht="25.5" customHeight="1" x14ac:dyDescent="0.25">
      <c r="C92" s="339" t="s">
        <v>218</v>
      </c>
      <c r="D92" s="339"/>
      <c r="E92" s="340"/>
      <c r="F92" s="65">
        <f>'GCO-GCI-F202'!P27</f>
        <v>0</v>
      </c>
      <c r="G92" s="84"/>
      <c r="H92" s="81"/>
      <c r="I92" s="12"/>
      <c r="AE92" s="3">
        <v>2392</v>
      </c>
      <c r="AF92" s="3" t="s">
        <v>219</v>
      </c>
      <c r="AG92" s="3">
        <v>11.04</v>
      </c>
      <c r="AH92" s="15">
        <f t="shared" si="6"/>
        <v>1.1039999999999999E-2</v>
      </c>
    </row>
    <row r="93" spans="3:34" ht="27" customHeight="1" x14ac:dyDescent="0.25">
      <c r="C93" s="347" t="s">
        <v>220</v>
      </c>
      <c r="D93" s="347"/>
      <c r="E93" s="348"/>
      <c r="F93" s="85">
        <f>F91+F92</f>
        <v>0</v>
      </c>
      <c r="G93" s="84"/>
      <c r="H93" s="81"/>
      <c r="I93" s="12"/>
      <c r="AE93" s="3">
        <v>2393</v>
      </c>
      <c r="AF93" s="3" t="s">
        <v>221</v>
      </c>
      <c r="AG93" s="3">
        <v>11.04</v>
      </c>
      <c r="AH93" s="15">
        <f t="shared" si="6"/>
        <v>1.1039999999999999E-2</v>
      </c>
    </row>
    <row r="94" spans="3:34" ht="18" customHeight="1" x14ac:dyDescent="0.25">
      <c r="C94" s="81" t="s">
        <v>222</v>
      </c>
      <c r="D94" s="81"/>
      <c r="E94" s="12"/>
      <c r="F94" s="65">
        <f>IF(I94="X",ROUND(((F93/1.19)*40%),0),ROUND(F93*40%,0))</f>
        <v>0</v>
      </c>
      <c r="G94" s="84"/>
      <c r="H94" s="86" t="s">
        <v>223</v>
      </c>
      <c r="I94" s="80">
        <f>'GCO-GCI-F202'!E8</f>
        <v>0</v>
      </c>
      <c r="AE94" s="3">
        <v>2394</v>
      </c>
      <c r="AF94" s="3" t="s">
        <v>224</v>
      </c>
      <c r="AG94" s="3">
        <v>11.04</v>
      </c>
      <c r="AH94" s="15">
        <f t="shared" si="6"/>
        <v>1.1039999999999999E-2</v>
      </c>
    </row>
    <row r="95" spans="3:34" ht="11.25" customHeight="1" x14ac:dyDescent="0.25">
      <c r="C95" s="82"/>
      <c r="D95" s="81"/>
      <c r="E95" s="12"/>
      <c r="G95" s="84"/>
      <c r="H95" s="81"/>
      <c r="I95" s="12"/>
      <c r="AE95" s="3">
        <v>2395</v>
      </c>
      <c r="AF95" s="3" t="s">
        <v>225</v>
      </c>
      <c r="AG95" s="3">
        <v>11.04</v>
      </c>
      <c r="AH95" s="15">
        <f t="shared" si="6"/>
        <v>1.1039999999999999E-2</v>
      </c>
    </row>
    <row r="96" spans="3:34" ht="13" x14ac:dyDescent="0.25">
      <c r="C96" s="82"/>
      <c r="D96" s="81"/>
      <c r="E96" s="12"/>
      <c r="G96" s="84"/>
      <c r="H96" s="81"/>
      <c r="I96" s="12"/>
      <c r="AE96" s="3">
        <v>2396</v>
      </c>
      <c r="AF96" s="3" t="s">
        <v>226</v>
      </c>
      <c r="AG96" s="3">
        <v>11.04</v>
      </c>
      <c r="AH96" s="15">
        <f t="shared" si="6"/>
        <v>1.1039999999999999E-2</v>
      </c>
    </row>
    <row r="97" spans="3:34" ht="13" x14ac:dyDescent="0.3">
      <c r="C97" s="2" t="s">
        <v>227</v>
      </c>
      <c r="AE97" s="3">
        <v>2399</v>
      </c>
      <c r="AF97" s="3" t="s">
        <v>228</v>
      </c>
      <c r="AG97" s="3">
        <v>11.04</v>
      </c>
      <c r="AH97" s="15">
        <f t="shared" si="6"/>
        <v>1.1039999999999999E-2</v>
      </c>
    </row>
    <row r="98" spans="3:34" ht="13" x14ac:dyDescent="0.3">
      <c r="C98" s="2"/>
      <c r="AE98" s="3">
        <v>2410</v>
      </c>
      <c r="AF98" s="3" t="s">
        <v>229</v>
      </c>
      <c r="AG98" s="3">
        <v>6.9</v>
      </c>
      <c r="AH98" s="15">
        <f t="shared" si="6"/>
        <v>6.9000000000000008E-3</v>
      </c>
    </row>
    <row r="99" spans="3:34" ht="13" x14ac:dyDescent="0.25">
      <c r="C99" s="87" t="s">
        <v>230</v>
      </c>
      <c r="D99" s="87"/>
      <c r="E99" s="87"/>
      <c r="F99" s="88"/>
      <c r="G99" s="88"/>
      <c r="H99" s="88"/>
      <c r="I99" s="89">
        <f>IF(I94="X",ROUND((F93/1.19),0),ROUND(F93,0))</f>
        <v>0</v>
      </c>
      <c r="AE99" s="3">
        <v>2421</v>
      </c>
      <c r="AF99" s="3" t="s">
        <v>231</v>
      </c>
      <c r="AG99" s="3">
        <v>11.04</v>
      </c>
      <c r="AH99" s="15">
        <f t="shared" si="6"/>
        <v>1.1039999999999999E-2</v>
      </c>
    </row>
    <row r="100" spans="3:34" ht="13" x14ac:dyDescent="0.25">
      <c r="C100" s="82"/>
      <c r="D100" s="82"/>
      <c r="E100" s="82"/>
      <c r="I100" s="56"/>
      <c r="AE100" s="3">
        <v>2429</v>
      </c>
      <c r="AF100" s="3" t="s">
        <v>232</v>
      </c>
      <c r="AG100" s="3">
        <v>11.04</v>
      </c>
      <c r="AH100" s="15">
        <f t="shared" si="6"/>
        <v>1.1039999999999999E-2</v>
      </c>
    </row>
    <row r="101" spans="3:34" ht="13" x14ac:dyDescent="0.25">
      <c r="C101" s="87" t="s">
        <v>233</v>
      </c>
      <c r="D101" s="90"/>
      <c r="E101" s="90"/>
      <c r="F101" s="88"/>
      <c r="G101" s="88"/>
      <c r="H101" s="88"/>
      <c r="I101" s="89" t="e">
        <f>SUM(G102:G104)</f>
        <v>#N/A</v>
      </c>
      <c r="AE101" s="3">
        <v>2431</v>
      </c>
      <c r="AF101" s="3" t="s">
        <v>234</v>
      </c>
      <c r="AG101" s="3">
        <v>6.9</v>
      </c>
      <c r="AH101" s="15">
        <f t="shared" si="6"/>
        <v>6.9000000000000008E-3</v>
      </c>
    </row>
    <row r="102" spans="3:34" x14ac:dyDescent="0.25">
      <c r="C102" s="81"/>
      <c r="D102" s="81" t="s">
        <v>122</v>
      </c>
      <c r="E102" s="81"/>
      <c r="G102" s="17">
        <f>IF(E87="X",0,ROUND(F94*12.5%,0))</f>
        <v>0</v>
      </c>
      <c r="I102" s="58"/>
      <c r="AE102" s="3">
        <v>2432</v>
      </c>
      <c r="AF102" s="3" t="s">
        <v>235</v>
      </c>
      <c r="AG102" s="3">
        <v>11.04</v>
      </c>
      <c r="AH102" s="15">
        <f t="shared" si="6"/>
        <v>1.1039999999999999E-2</v>
      </c>
    </row>
    <row r="103" spans="3:34" ht="25.5" customHeight="1" x14ac:dyDescent="0.25">
      <c r="C103" s="81"/>
      <c r="D103" s="346" t="str">
        <f>C36</f>
        <v xml:space="preserve">Aportes obligatorios al sistema general de pensiones -Incluye fondo de solidaridad pensional </v>
      </c>
      <c r="E103" s="346"/>
      <c r="F103" s="346"/>
      <c r="G103" s="17" t="e">
        <f>IF(E87="X",0,ROUND(F94*Z33,0))</f>
        <v>#N/A</v>
      </c>
      <c r="I103" s="58"/>
      <c r="AE103" s="3">
        <v>2511</v>
      </c>
      <c r="AF103" s="3" t="s">
        <v>236</v>
      </c>
      <c r="AG103" s="3">
        <v>11.04</v>
      </c>
      <c r="AH103" s="15">
        <f t="shared" si="6"/>
        <v>1.1039999999999999E-2</v>
      </c>
    </row>
    <row r="104" spans="3:34" x14ac:dyDescent="0.25">
      <c r="C104" s="81"/>
      <c r="D104" s="81" t="s">
        <v>237</v>
      </c>
      <c r="E104" s="81"/>
      <c r="G104" s="17">
        <f>K38</f>
        <v>0</v>
      </c>
      <c r="I104" s="58"/>
      <c r="AE104" s="3">
        <v>2512</v>
      </c>
      <c r="AF104" s="3" t="s">
        <v>238</v>
      </c>
      <c r="AG104" s="3">
        <v>11.04</v>
      </c>
      <c r="AH104" s="15">
        <f t="shared" si="6"/>
        <v>1.1039999999999999E-2</v>
      </c>
    </row>
    <row r="105" spans="3:34" x14ac:dyDescent="0.25">
      <c r="C105" s="81"/>
      <c r="D105" s="81"/>
      <c r="E105" s="81"/>
      <c r="G105" s="17"/>
      <c r="I105" s="58"/>
      <c r="AE105" s="3">
        <v>2513</v>
      </c>
      <c r="AF105" s="3" t="s">
        <v>239</v>
      </c>
      <c r="AG105" s="3">
        <v>11.04</v>
      </c>
      <c r="AH105" s="15">
        <f t="shared" si="6"/>
        <v>1.1039999999999999E-2</v>
      </c>
    </row>
    <row r="106" spans="3:34" ht="13" x14ac:dyDescent="0.25">
      <c r="C106" s="87" t="s">
        <v>240</v>
      </c>
      <c r="D106" s="90"/>
      <c r="E106" s="90"/>
      <c r="F106" s="88"/>
      <c r="G106" s="88"/>
      <c r="H106" s="88"/>
      <c r="I106" s="89" t="e">
        <f>I99-I101</f>
        <v>#N/A</v>
      </c>
      <c r="AE106" s="3">
        <v>2520</v>
      </c>
      <c r="AF106" s="3" t="s">
        <v>241</v>
      </c>
      <c r="AG106" s="3">
        <v>11.04</v>
      </c>
      <c r="AH106" s="15">
        <f t="shared" si="6"/>
        <v>1.1039999999999999E-2</v>
      </c>
    </row>
    <row r="107" spans="3:34" ht="13" x14ac:dyDescent="0.25">
      <c r="C107" s="82"/>
      <c r="D107" s="81"/>
      <c r="E107" s="81"/>
      <c r="I107" s="56"/>
      <c r="AE107" s="3">
        <v>2591</v>
      </c>
      <c r="AF107" s="3" t="s">
        <v>242</v>
      </c>
      <c r="AG107" s="3">
        <v>11.04</v>
      </c>
      <c r="AH107" s="15">
        <f t="shared" si="6"/>
        <v>1.1039999999999999E-2</v>
      </c>
    </row>
    <row r="108" spans="3:34" ht="13" x14ac:dyDescent="0.3">
      <c r="C108" s="95" t="s">
        <v>243</v>
      </c>
      <c r="D108" s="95"/>
      <c r="E108" s="95"/>
      <c r="F108" s="96"/>
      <c r="G108" s="96"/>
      <c r="H108" s="96"/>
      <c r="I108" s="97">
        <f>SUM(G109:G111)</f>
        <v>0</v>
      </c>
      <c r="AE108" s="3">
        <v>2592</v>
      </c>
      <c r="AF108" s="3" t="s">
        <v>244</v>
      </c>
      <c r="AG108" s="3">
        <v>9.66</v>
      </c>
      <c r="AH108" s="15">
        <f t="shared" si="6"/>
        <v>9.6600000000000002E-3</v>
      </c>
    </row>
    <row r="109" spans="3:34" x14ac:dyDescent="0.25">
      <c r="C109" s="81"/>
      <c r="D109" s="81" t="s">
        <v>175</v>
      </c>
      <c r="E109" s="81"/>
      <c r="G109" s="58">
        <f>J71</f>
        <v>0</v>
      </c>
      <c r="AE109" s="3">
        <v>2593</v>
      </c>
      <c r="AF109" s="3" t="s">
        <v>245</v>
      </c>
      <c r="AG109" s="3">
        <v>11.04</v>
      </c>
      <c r="AH109" s="15">
        <f t="shared" si="6"/>
        <v>1.1039999999999999E-2</v>
      </c>
    </row>
    <row r="110" spans="3:34" x14ac:dyDescent="0.25">
      <c r="C110" s="81"/>
      <c r="D110" s="81" t="s">
        <v>186</v>
      </c>
      <c r="E110" s="81"/>
      <c r="G110" s="58">
        <f>J72</f>
        <v>0</v>
      </c>
      <c r="AE110" s="3">
        <v>2599</v>
      </c>
      <c r="AF110" s="3" t="s">
        <v>246</v>
      </c>
      <c r="AG110" s="3">
        <v>11.04</v>
      </c>
      <c r="AH110" s="15">
        <f t="shared" si="6"/>
        <v>1.1039999999999999E-2</v>
      </c>
    </row>
    <row r="111" spans="3:34" x14ac:dyDescent="0.25">
      <c r="C111" s="81"/>
      <c r="D111" s="81" t="s">
        <v>181</v>
      </c>
      <c r="E111" s="81"/>
      <c r="G111" s="58">
        <f>J73</f>
        <v>0</v>
      </c>
      <c r="AE111" s="3">
        <v>2610</v>
      </c>
      <c r="AF111" s="3" t="s">
        <v>247</v>
      </c>
      <c r="AG111" s="3">
        <v>11.04</v>
      </c>
      <c r="AH111" s="15">
        <f t="shared" si="6"/>
        <v>1.1039999999999999E-2</v>
      </c>
    </row>
    <row r="112" spans="3:34" x14ac:dyDescent="0.25">
      <c r="C112" s="81"/>
      <c r="D112" s="81"/>
      <c r="E112" s="81"/>
      <c r="I112" s="58"/>
      <c r="AE112" s="3">
        <v>2620</v>
      </c>
      <c r="AF112" s="3" t="s">
        <v>248</v>
      </c>
      <c r="AG112" s="3">
        <v>11.04</v>
      </c>
      <c r="AH112" s="15">
        <f t="shared" si="6"/>
        <v>1.1039999999999999E-2</v>
      </c>
    </row>
    <row r="113" spans="3:34" ht="13" x14ac:dyDescent="0.25">
      <c r="C113" s="95" t="s">
        <v>249</v>
      </c>
      <c r="D113" s="95"/>
      <c r="E113" s="95"/>
      <c r="F113" s="96"/>
      <c r="G113" s="96"/>
      <c r="H113" s="96"/>
      <c r="I113" s="98" t="e">
        <f>SUM(G114:G115)</f>
        <v>#N/A</v>
      </c>
      <c r="AE113" s="3">
        <v>2630</v>
      </c>
      <c r="AF113" s="3" t="s">
        <v>250</v>
      </c>
      <c r="AG113" s="3">
        <v>11.04</v>
      </c>
      <c r="AH113" s="15">
        <f t="shared" si="6"/>
        <v>1.1039999999999999E-2</v>
      </c>
    </row>
    <row r="114" spans="3:34" x14ac:dyDescent="0.25">
      <c r="C114" s="81"/>
      <c r="D114" s="81" t="s">
        <v>251</v>
      </c>
      <c r="E114" s="81"/>
      <c r="G114" s="57">
        <f>J52</f>
        <v>0</v>
      </c>
      <c r="I114" s="58"/>
      <c r="AE114" s="3">
        <v>2640</v>
      </c>
      <c r="AF114" s="3" t="s">
        <v>252</v>
      </c>
      <c r="AG114" s="3">
        <v>11.04</v>
      </c>
      <c r="AH114" s="15">
        <f t="shared" si="6"/>
        <v>1.1039999999999999E-2</v>
      </c>
    </row>
    <row r="115" spans="3:34" x14ac:dyDescent="0.25">
      <c r="C115" s="81"/>
      <c r="D115" s="81" t="s">
        <v>253</v>
      </c>
      <c r="E115" s="81"/>
      <c r="G115" s="57" t="e">
        <f>J61</f>
        <v>#N/A</v>
      </c>
      <c r="I115" s="58"/>
      <c r="AE115" s="3">
        <v>2651</v>
      </c>
      <c r="AF115" s="3" t="s">
        <v>254</v>
      </c>
      <c r="AG115" s="3">
        <v>11.04</v>
      </c>
      <c r="AH115" s="15">
        <f t="shared" si="6"/>
        <v>1.1039999999999999E-2</v>
      </c>
    </row>
    <row r="116" spans="3:34" x14ac:dyDescent="0.25">
      <c r="C116" s="81"/>
      <c r="I116" s="58"/>
      <c r="AE116" s="3">
        <v>2652</v>
      </c>
      <c r="AF116" s="3" t="s">
        <v>255</v>
      </c>
      <c r="AG116" s="3">
        <v>11.04</v>
      </c>
      <c r="AH116" s="15">
        <f t="shared" si="6"/>
        <v>1.1039999999999999E-2</v>
      </c>
    </row>
    <row r="117" spans="3:34" ht="13" x14ac:dyDescent="0.3">
      <c r="C117" s="99" t="s">
        <v>256</v>
      </c>
      <c r="D117" s="95"/>
      <c r="E117" s="95"/>
      <c r="F117" s="96"/>
      <c r="G117" s="96"/>
      <c r="H117" s="96"/>
      <c r="I117" s="97" t="e">
        <f>I108+I113</f>
        <v>#N/A</v>
      </c>
      <c r="AE117" s="3">
        <v>2660</v>
      </c>
      <c r="AF117" s="3" t="s">
        <v>257</v>
      </c>
      <c r="AG117" s="3">
        <v>11.04</v>
      </c>
      <c r="AH117" s="15">
        <f t="shared" si="6"/>
        <v>1.1039999999999999E-2</v>
      </c>
    </row>
    <row r="118" spans="3:34" x14ac:dyDescent="0.25">
      <c r="C118" s="81"/>
      <c r="D118" s="81"/>
      <c r="E118" s="81"/>
      <c r="I118" s="58"/>
      <c r="AE118" s="3">
        <v>2670</v>
      </c>
      <c r="AF118" s="3" t="s">
        <v>258</v>
      </c>
      <c r="AG118" s="3">
        <v>11.04</v>
      </c>
      <c r="AH118" s="15">
        <f t="shared" si="6"/>
        <v>1.1039999999999999E-2</v>
      </c>
    </row>
    <row r="119" spans="3:34" ht="13" x14ac:dyDescent="0.25">
      <c r="C119" s="87" t="s">
        <v>259</v>
      </c>
      <c r="D119" s="90"/>
      <c r="E119" s="90"/>
      <c r="F119" s="88"/>
      <c r="G119" s="88"/>
      <c r="H119" s="88"/>
      <c r="I119" s="89" t="e">
        <f>K78</f>
        <v>#N/A</v>
      </c>
      <c r="AE119" s="3">
        <v>2680</v>
      </c>
      <c r="AF119" s="3" t="s">
        <v>260</v>
      </c>
      <c r="AG119" s="3">
        <v>11.04</v>
      </c>
      <c r="AH119" s="15">
        <f t="shared" si="6"/>
        <v>1.1039999999999999E-2</v>
      </c>
    </row>
    <row r="120" spans="3:34" x14ac:dyDescent="0.25">
      <c r="C120" s="81"/>
      <c r="D120" s="81"/>
      <c r="E120" s="81"/>
      <c r="I120" s="58"/>
      <c r="AE120" s="3">
        <v>2711</v>
      </c>
      <c r="AF120" s="3" t="s">
        <v>261</v>
      </c>
      <c r="AG120" s="3">
        <v>11.04</v>
      </c>
      <c r="AH120" s="15">
        <f t="shared" si="6"/>
        <v>1.1039999999999999E-2</v>
      </c>
    </row>
    <row r="121" spans="3:34" ht="20.25" customHeight="1" x14ac:dyDescent="0.25">
      <c r="C121" s="87" t="s">
        <v>262</v>
      </c>
      <c r="D121" s="90"/>
      <c r="E121" s="90"/>
      <c r="F121" s="88"/>
      <c r="G121" s="88"/>
      <c r="H121" s="88"/>
      <c r="I121" s="91" t="e">
        <f>I106-I119</f>
        <v>#N/A</v>
      </c>
      <c r="AE121" s="3">
        <v>2712</v>
      </c>
      <c r="AF121" s="3" t="s">
        <v>263</v>
      </c>
      <c r="AG121" s="3">
        <v>11.04</v>
      </c>
      <c r="AH121" s="15">
        <f t="shared" si="6"/>
        <v>1.1039999999999999E-2</v>
      </c>
    </row>
    <row r="122" spans="3:34" x14ac:dyDescent="0.25">
      <c r="C122" s="81"/>
      <c r="D122" s="81"/>
      <c r="E122" s="81"/>
      <c r="I122" s="58"/>
      <c r="AE122" s="3">
        <v>2720</v>
      </c>
      <c r="AF122" s="3" t="s">
        <v>264</v>
      </c>
      <c r="AG122" s="3">
        <v>11.04</v>
      </c>
      <c r="AH122" s="15">
        <f t="shared" si="6"/>
        <v>1.1039999999999999E-2</v>
      </c>
    </row>
    <row r="123" spans="3:34" ht="13" x14ac:dyDescent="0.3">
      <c r="C123" s="2" t="s">
        <v>265</v>
      </c>
      <c r="I123" s="56" t="e">
        <f>VLOOKUP(TRUE,$C$19:$I$27,7,0)</f>
        <v>#N/A</v>
      </c>
      <c r="AE123" s="3">
        <v>2731</v>
      </c>
      <c r="AF123" s="3" t="s">
        <v>266</v>
      </c>
      <c r="AG123" s="3">
        <v>11.04</v>
      </c>
      <c r="AH123" s="15">
        <f t="shared" si="6"/>
        <v>1.1039999999999999E-2</v>
      </c>
    </row>
    <row r="124" spans="3:34" x14ac:dyDescent="0.25">
      <c r="C124" s="81"/>
      <c r="D124" s="81"/>
      <c r="E124" s="81"/>
      <c r="I124" s="58"/>
      <c r="AE124" s="3">
        <v>2732</v>
      </c>
      <c r="AF124" s="3" t="s">
        <v>267</v>
      </c>
      <c r="AG124" s="3">
        <v>11.04</v>
      </c>
      <c r="AH124" s="15">
        <f t="shared" si="6"/>
        <v>1.1039999999999999E-2</v>
      </c>
    </row>
    <row r="125" spans="3:34" ht="13" x14ac:dyDescent="0.3">
      <c r="C125" s="2" t="s">
        <v>268</v>
      </c>
      <c r="I125" s="57">
        <f>'GCO-GCI-F202'!P28</f>
        <v>0</v>
      </c>
      <c r="AE125" s="3">
        <v>2740</v>
      </c>
      <c r="AF125" s="3" t="s">
        <v>269</v>
      </c>
      <c r="AG125" s="3">
        <v>11.04</v>
      </c>
      <c r="AH125" s="15">
        <f t="shared" si="6"/>
        <v>1.1039999999999999E-2</v>
      </c>
    </row>
    <row r="126" spans="3:34" x14ac:dyDescent="0.25">
      <c r="AE126" s="3">
        <v>2750</v>
      </c>
      <c r="AF126" s="3" t="s">
        <v>270</v>
      </c>
      <c r="AG126" s="3">
        <v>11.04</v>
      </c>
      <c r="AH126" s="15">
        <f t="shared" si="6"/>
        <v>1.1039999999999999E-2</v>
      </c>
    </row>
    <row r="127" spans="3:34" ht="22.5" customHeight="1" x14ac:dyDescent="0.25">
      <c r="C127" s="87" t="s">
        <v>271</v>
      </c>
      <c r="D127" s="90"/>
      <c r="E127" s="90"/>
      <c r="F127" s="88"/>
      <c r="G127" s="88"/>
      <c r="H127" s="88"/>
      <c r="I127" s="89" t="e">
        <f>I123-I125</f>
        <v>#N/A</v>
      </c>
      <c r="AE127" s="3">
        <v>2790</v>
      </c>
      <c r="AF127" s="3" t="s">
        <v>272</v>
      </c>
      <c r="AG127" s="3">
        <v>11.04</v>
      </c>
      <c r="AH127" s="15">
        <f t="shared" si="6"/>
        <v>1.1039999999999999E-2</v>
      </c>
    </row>
    <row r="128" spans="3:34" x14ac:dyDescent="0.25">
      <c r="AE128" s="3">
        <v>2811</v>
      </c>
      <c r="AF128" s="3" t="s">
        <v>273</v>
      </c>
      <c r="AG128" s="3">
        <v>11.04</v>
      </c>
      <c r="AH128" s="15">
        <f t="shared" si="6"/>
        <v>1.1039999999999999E-2</v>
      </c>
    </row>
    <row r="129" spans="31:34" x14ac:dyDescent="0.25">
      <c r="AE129" s="3">
        <v>2812</v>
      </c>
      <c r="AF129" s="3" t="s">
        <v>274</v>
      </c>
      <c r="AG129" s="3">
        <v>11.04</v>
      </c>
      <c r="AH129" s="15">
        <f t="shared" si="6"/>
        <v>1.1039999999999999E-2</v>
      </c>
    </row>
    <row r="130" spans="31:34" x14ac:dyDescent="0.25">
      <c r="AE130" s="3">
        <v>2813</v>
      </c>
      <c r="AF130" s="3" t="s">
        <v>275</v>
      </c>
      <c r="AG130" s="3">
        <v>11.04</v>
      </c>
      <c r="AH130" s="15">
        <f t="shared" si="6"/>
        <v>1.1039999999999999E-2</v>
      </c>
    </row>
    <row r="131" spans="31:34" x14ac:dyDescent="0.25">
      <c r="AE131" s="3">
        <v>2814</v>
      </c>
      <c r="AF131" s="3" t="s">
        <v>276</v>
      </c>
      <c r="AG131" s="3">
        <v>11.04</v>
      </c>
      <c r="AH131" s="15">
        <f t="shared" si="6"/>
        <v>1.1039999999999999E-2</v>
      </c>
    </row>
    <row r="132" spans="31:34" x14ac:dyDescent="0.25">
      <c r="AE132" s="3">
        <v>2815</v>
      </c>
      <c r="AF132" s="3" t="s">
        <v>277</v>
      </c>
      <c r="AG132" s="3">
        <v>11.04</v>
      </c>
      <c r="AH132" s="15">
        <f t="shared" si="6"/>
        <v>1.1039999999999999E-2</v>
      </c>
    </row>
    <row r="133" spans="31:34" x14ac:dyDescent="0.25">
      <c r="AE133" s="3">
        <v>2816</v>
      </c>
      <c r="AF133" s="3" t="s">
        <v>278</v>
      </c>
      <c r="AG133" s="3">
        <v>11.04</v>
      </c>
      <c r="AH133" s="15">
        <f t="shared" ref="AH133:AH196" si="7">AG133/1000</f>
        <v>1.1039999999999999E-2</v>
      </c>
    </row>
    <row r="134" spans="31:34" x14ac:dyDescent="0.25">
      <c r="AE134" s="3">
        <v>2817</v>
      </c>
      <c r="AF134" s="3" t="s">
        <v>279</v>
      </c>
      <c r="AG134" s="3">
        <v>11.04</v>
      </c>
      <c r="AH134" s="15">
        <f t="shared" si="7"/>
        <v>1.1039999999999999E-2</v>
      </c>
    </row>
    <row r="135" spans="31:34" x14ac:dyDescent="0.25">
      <c r="AE135" s="3">
        <v>2818</v>
      </c>
      <c r="AF135" s="3" t="s">
        <v>280</v>
      </c>
      <c r="AG135" s="3">
        <v>11.04</v>
      </c>
      <c r="AH135" s="15">
        <f t="shared" si="7"/>
        <v>1.1039999999999999E-2</v>
      </c>
    </row>
    <row r="136" spans="31:34" x14ac:dyDescent="0.25">
      <c r="AE136" s="3">
        <v>2819</v>
      </c>
      <c r="AF136" s="3" t="s">
        <v>281</v>
      </c>
      <c r="AG136" s="3">
        <v>11.04</v>
      </c>
      <c r="AH136" s="15">
        <f t="shared" si="7"/>
        <v>1.1039999999999999E-2</v>
      </c>
    </row>
    <row r="137" spans="31:34" x14ac:dyDescent="0.25">
      <c r="AE137" s="3">
        <v>2821</v>
      </c>
      <c r="AF137" s="3" t="s">
        <v>282</v>
      </c>
      <c r="AG137" s="3">
        <v>11.04</v>
      </c>
      <c r="AH137" s="15">
        <f t="shared" si="7"/>
        <v>1.1039999999999999E-2</v>
      </c>
    </row>
    <row r="138" spans="31:34" x14ac:dyDescent="0.25">
      <c r="AE138" s="3">
        <v>2822</v>
      </c>
      <c r="AF138" s="3" t="s">
        <v>283</v>
      </c>
      <c r="AG138" s="3">
        <v>11.04</v>
      </c>
      <c r="AH138" s="15">
        <f t="shared" si="7"/>
        <v>1.1039999999999999E-2</v>
      </c>
    </row>
    <row r="139" spans="31:34" x14ac:dyDescent="0.25">
      <c r="AE139" s="3">
        <v>2823</v>
      </c>
      <c r="AF139" s="3" t="s">
        <v>284</v>
      </c>
      <c r="AG139" s="3">
        <v>11.04</v>
      </c>
      <c r="AH139" s="15">
        <f t="shared" si="7"/>
        <v>1.1039999999999999E-2</v>
      </c>
    </row>
    <row r="140" spans="31:34" x14ac:dyDescent="0.25">
      <c r="AE140" s="3">
        <v>2824</v>
      </c>
      <c r="AF140" s="3" t="s">
        <v>285</v>
      </c>
      <c r="AG140" s="3">
        <v>11.04</v>
      </c>
      <c r="AH140" s="15">
        <f t="shared" si="7"/>
        <v>1.1039999999999999E-2</v>
      </c>
    </row>
    <row r="141" spans="31:34" x14ac:dyDescent="0.25">
      <c r="AE141" s="3">
        <v>2825</v>
      </c>
      <c r="AF141" s="3" t="s">
        <v>286</v>
      </c>
      <c r="AG141" s="3">
        <v>11.04</v>
      </c>
      <c r="AH141" s="15">
        <f t="shared" si="7"/>
        <v>1.1039999999999999E-2</v>
      </c>
    </row>
    <row r="142" spans="31:34" x14ac:dyDescent="0.25">
      <c r="AE142" s="3">
        <v>2826</v>
      </c>
      <c r="AF142" s="3" t="s">
        <v>287</v>
      </c>
      <c r="AG142" s="3">
        <v>11.04</v>
      </c>
      <c r="AH142" s="15">
        <f t="shared" si="7"/>
        <v>1.1039999999999999E-2</v>
      </c>
    </row>
    <row r="143" spans="31:34" x14ac:dyDescent="0.25">
      <c r="AE143" s="3">
        <v>2829</v>
      </c>
      <c r="AF143" s="3" t="s">
        <v>288</v>
      </c>
      <c r="AG143" s="3">
        <v>11.04</v>
      </c>
      <c r="AH143" s="15">
        <f t="shared" si="7"/>
        <v>1.1039999999999999E-2</v>
      </c>
    </row>
    <row r="144" spans="31:34" x14ac:dyDescent="0.25">
      <c r="AE144" s="3">
        <v>2910</v>
      </c>
      <c r="AF144" s="3" t="s">
        <v>289</v>
      </c>
      <c r="AG144" s="3">
        <v>6.9</v>
      </c>
      <c r="AH144" s="15">
        <f t="shared" si="7"/>
        <v>6.9000000000000008E-3</v>
      </c>
    </row>
    <row r="145" spans="31:34" x14ac:dyDescent="0.25">
      <c r="AE145" s="3">
        <v>2920</v>
      </c>
      <c r="AF145" s="3" t="s">
        <v>290</v>
      </c>
      <c r="AG145" s="3">
        <v>6.9</v>
      </c>
      <c r="AH145" s="15">
        <f t="shared" si="7"/>
        <v>6.9000000000000008E-3</v>
      </c>
    </row>
    <row r="146" spans="31:34" x14ac:dyDescent="0.25">
      <c r="AE146" s="3">
        <v>2930</v>
      </c>
      <c r="AF146" s="3" t="s">
        <v>291</v>
      </c>
      <c r="AG146" s="3">
        <v>6.9</v>
      </c>
      <c r="AH146" s="15">
        <f t="shared" si="7"/>
        <v>6.9000000000000008E-3</v>
      </c>
    </row>
    <row r="147" spans="31:34" x14ac:dyDescent="0.25">
      <c r="AE147" s="3">
        <v>3011</v>
      </c>
      <c r="AF147" s="3" t="s">
        <v>292</v>
      </c>
      <c r="AG147" s="3">
        <v>6.9</v>
      </c>
      <c r="AH147" s="15">
        <f t="shared" si="7"/>
        <v>6.9000000000000008E-3</v>
      </c>
    </row>
    <row r="148" spans="31:34" x14ac:dyDescent="0.25">
      <c r="AE148" s="3">
        <v>3012</v>
      </c>
      <c r="AF148" s="3" t="s">
        <v>293</v>
      </c>
      <c r="AG148" s="3">
        <v>6.9</v>
      </c>
      <c r="AH148" s="15">
        <f t="shared" si="7"/>
        <v>6.9000000000000008E-3</v>
      </c>
    </row>
    <row r="149" spans="31:34" x14ac:dyDescent="0.25">
      <c r="AE149" s="3">
        <v>3020</v>
      </c>
      <c r="AF149" s="3" t="s">
        <v>294</v>
      </c>
      <c r="AG149" s="3">
        <v>6.9</v>
      </c>
      <c r="AH149" s="15">
        <f t="shared" si="7"/>
        <v>6.9000000000000008E-3</v>
      </c>
    </row>
    <row r="150" spans="31:34" x14ac:dyDescent="0.25">
      <c r="AE150" s="3">
        <v>3030</v>
      </c>
      <c r="AF150" s="3" t="s">
        <v>295</v>
      </c>
      <c r="AG150" s="3">
        <v>6.9</v>
      </c>
      <c r="AH150" s="15">
        <f t="shared" si="7"/>
        <v>6.9000000000000008E-3</v>
      </c>
    </row>
    <row r="151" spans="31:34" x14ac:dyDescent="0.25">
      <c r="AE151" s="3">
        <v>3040</v>
      </c>
      <c r="AF151" s="3" t="s">
        <v>296</v>
      </c>
      <c r="AG151" s="3">
        <v>6.9</v>
      </c>
      <c r="AH151" s="15">
        <f t="shared" si="7"/>
        <v>6.9000000000000008E-3</v>
      </c>
    </row>
    <row r="152" spans="31:34" x14ac:dyDescent="0.25">
      <c r="AE152" s="3">
        <v>3091</v>
      </c>
      <c r="AF152" s="3" t="s">
        <v>297</v>
      </c>
      <c r="AG152" s="3">
        <v>6.9</v>
      </c>
      <c r="AH152" s="15">
        <f t="shared" si="7"/>
        <v>6.9000000000000008E-3</v>
      </c>
    </row>
    <row r="153" spans="31:34" x14ac:dyDescent="0.25">
      <c r="AE153" s="3">
        <v>3092</v>
      </c>
      <c r="AF153" s="3" t="s">
        <v>298</v>
      </c>
      <c r="AG153" s="3">
        <v>6.9</v>
      </c>
      <c r="AH153" s="15">
        <f t="shared" si="7"/>
        <v>6.9000000000000008E-3</v>
      </c>
    </row>
    <row r="154" spans="31:34" x14ac:dyDescent="0.25">
      <c r="AE154" s="3">
        <v>3099</v>
      </c>
      <c r="AF154" s="3" t="s">
        <v>299</v>
      </c>
      <c r="AG154" s="3">
        <v>6.9</v>
      </c>
      <c r="AH154" s="15">
        <f t="shared" si="7"/>
        <v>6.9000000000000008E-3</v>
      </c>
    </row>
    <row r="155" spans="31:34" x14ac:dyDescent="0.25">
      <c r="AE155" s="3">
        <v>3110</v>
      </c>
      <c r="AF155" s="3" t="s">
        <v>300</v>
      </c>
      <c r="AG155" s="3">
        <v>11.04</v>
      </c>
      <c r="AH155" s="15">
        <f t="shared" si="7"/>
        <v>1.1039999999999999E-2</v>
      </c>
    </row>
    <row r="156" spans="31:34" x14ac:dyDescent="0.25">
      <c r="AE156" s="3">
        <v>3120</v>
      </c>
      <c r="AF156" s="3" t="s">
        <v>301</v>
      </c>
      <c r="AG156" s="3">
        <v>11.04</v>
      </c>
      <c r="AH156" s="15">
        <f t="shared" si="7"/>
        <v>1.1039999999999999E-2</v>
      </c>
    </row>
    <row r="157" spans="31:34" x14ac:dyDescent="0.25">
      <c r="AE157" s="3">
        <v>3210</v>
      </c>
      <c r="AF157" s="3" t="s">
        <v>302</v>
      </c>
      <c r="AG157" s="3">
        <v>11.04</v>
      </c>
      <c r="AH157" s="15">
        <f t="shared" si="7"/>
        <v>1.1039999999999999E-2</v>
      </c>
    </row>
    <row r="158" spans="31:34" x14ac:dyDescent="0.25">
      <c r="AE158" s="3">
        <v>3220</v>
      </c>
      <c r="AF158" s="3" t="s">
        <v>303</v>
      </c>
      <c r="AG158" s="3">
        <v>11.04</v>
      </c>
      <c r="AH158" s="15">
        <f t="shared" si="7"/>
        <v>1.1039999999999999E-2</v>
      </c>
    </row>
    <row r="159" spans="31:34" x14ac:dyDescent="0.25">
      <c r="AE159" s="3">
        <v>3230</v>
      </c>
      <c r="AF159" s="3" t="s">
        <v>304</v>
      </c>
      <c r="AG159" s="3">
        <v>11.04</v>
      </c>
      <c r="AH159" s="15">
        <f t="shared" si="7"/>
        <v>1.1039999999999999E-2</v>
      </c>
    </row>
    <row r="160" spans="31:34" x14ac:dyDescent="0.25">
      <c r="AE160" s="3">
        <v>3240</v>
      </c>
      <c r="AF160" s="3" t="s">
        <v>305</v>
      </c>
      <c r="AG160" s="3">
        <v>11.04</v>
      </c>
      <c r="AH160" s="15">
        <f t="shared" si="7"/>
        <v>1.1039999999999999E-2</v>
      </c>
    </row>
    <row r="161" spans="31:34" x14ac:dyDescent="0.25">
      <c r="AE161" s="3">
        <v>3250</v>
      </c>
      <c r="AF161" s="3" t="s">
        <v>306</v>
      </c>
      <c r="AG161" s="3">
        <v>11.04</v>
      </c>
      <c r="AH161" s="15">
        <f t="shared" si="7"/>
        <v>1.1039999999999999E-2</v>
      </c>
    </row>
    <row r="162" spans="31:34" x14ac:dyDescent="0.25">
      <c r="AE162" s="3">
        <v>3290</v>
      </c>
      <c r="AF162" s="3" t="s">
        <v>307</v>
      </c>
      <c r="AG162" s="3">
        <v>11.04</v>
      </c>
      <c r="AH162" s="15">
        <f t="shared" si="7"/>
        <v>1.1039999999999999E-2</v>
      </c>
    </row>
    <row r="163" spans="31:34" x14ac:dyDescent="0.25">
      <c r="AE163" s="3">
        <v>3311</v>
      </c>
      <c r="AF163" s="3" t="s">
        <v>308</v>
      </c>
      <c r="AG163" s="3">
        <v>9.66</v>
      </c>
      <c r="AH163" s="15">
        <f t="shared" si="7"/>
        <v>9.6600000000000002E-3</v>
      </c>
    </row>
    <row r="164" spans="31:34" x14ac:dyDescent="0.25">
      <c r="AE164" s="3">
        <v>3312</v>
      </c>
      <c r="AF164" s="3" t="s">
        <v>309</v>
      </c>
      <c r="AG164" s="3">
        <v>9.66</v>
      </c>
      <c r="AH164" s="15">
        <f t="shared" si="7"/>
        <v>9.6600000000000002E-3</v>
      </c>
    </row>
    <row r="165" spans="31:34" x14ac:dyDescent="0.25">
      <c r="AE165" s="3">
        <v>3313</v>
      </c>
      <c r="AF165" s="3" t="s">
        <v>310</v>
      </c>
      <c r="AG165" s="3">
        <v>9.66</v>
      </c>
      <c r="AH165" s="15">
        <f t="shared" si="7"/>
        <v>9.6600000000000002E-3</v>
      </c>
    </row>
    <row r="166" spans="31:34" x14ac:dyDescent="0.25">
      <c r="AE166" s="3">
        <v>3314</v>
      </c>
      <c r="AF166" s="3" t="s">
        <v>311</v>
      </c>
      <c r="AG166" s="3">
        <v>9.66</v>
      </c>
      <c r="AH166" s="15">
        <f t="shared" si="7"/>
        <v>9.6600000000000002E-3</v>
      </c>
    </row>
    <row r="167" spans="31:34" x14ac:dyDescent="0.25">
      <c r="AE167" s="3">
        <v>3315</v>
      </c>
      <c r="AF167" s="3" t="s">
        <v>312</v>
      </c>
      <c r="AG167" s="3">
        <v>9.66</v>
      </c>
      <c r="AH167" s="15">
        <f t="shared" si="7"/>
        <v>9.6600000000000002E-3</v>
      </c>
    </row>
    <row r="168" spans="31:34" x14ac:dyDescent="0.25">
      <c r="AE168" s="3">
        <v>3319</v>
      </c>
      <c r="AF168" s="3" t="s">
        <v>313</v>
      </c>
      <c r="AG168" s="3">
        <v>9.66</v>
      </c>
      <c r="AH168" s="15">
        <f t="shared" si="7"/>
        <v>9.6600000000000002E-3</v>
      </c>
    </row>
    <row r="169" spans="31:34" x14ac:dyDescent="0.25">
      <c r="AE169" s="3">
        <v>3320</v>
      </c>
      <c r="AF169" s="3" t="s">
        <v>314</v>
      </c>
      <c r="AG169" s="3">
        <v>9.66</v>
      </c>
      <c r="AH169" s="15">
        <f t="shared" si="7"/>
        <v>9.6600000000000002E-3</v>
      </c>
    </row>
    <row r="170" spans="31:34" x14ac:dyDescent="0.25">
      <c r="AE170" s="3">
        <v>3511</v>
      </c>
      <c r="AF170" s="3" t="s">
        <v>315</v>
      </c>
      <c r="AG170" s="3">
        <v>11.04</v>
      </c>
      <c r="AH170" s="15">
        <f t="shared" si="7"/>
        <v>1.1039999999999999E-2</v>
      </c>
    </row>
    <row r="171" spans="31:34" x14ac:dyDescent="0.25">
      <c r="AE171" s="3">
        <v>3512</v>
      </c>
      <c r="AF171" s="3" t="s">
        <v>316</v>
      </c>
      <c r="AG171" s="3">
        <v>11.04</v>
      </c>
      <c r="AH171" s="15">
        <f t="shared" si="7"/>
        <v>1.1039999999999999E-2</v>
      </c>
    </row>
    <row r="172" spans="31:34" x14ac:dyDescent="0.25">
      <c r="AE172" s="3">
        <v>3513</v>
      </c>
      <c r="AF172" s="3" t="s">
        <v>317</v>
      </c>
      <c r="AG172" s="3">
        <v>9.66</v>
      </c>
      <c r="AH172" s="15">
        <f t="shared" si="7"/>
        <v>9.6600000000000002E-3</v>
      </c>
    </row>
    <row r="173" spans="31:34" x14ac:dyDescent="0.25">
      <c r="AE173" s="3">
        <v>3514</v>
      </c>
      <c r="AF173" s="3" t="s">
        <v>318</v>
      </c>
      <c r="AG173" s="3">
        <v>11.04</v>
      </c>
      <c r="AH173" s="15">
        <f t="shared" si="7"/>
        <v>1.1039999999999999E-2</v>
      </c>
    </row>
    <row r="174" spans="31:34" x14ac:dyDescent="0.25">
      <c r="AE174" s="3">
        <v>3530</v>
      </c>
      <c r="AF174" s="3" t="s">
        <v>319</v>
      </c>
      <c r="AG174" s="3">
        <v>9.66</v>
      </c>
      <c r="AH174" s="15">
        <f t="shared" si="7"/>
        <v>9.6600000000000002E-3</v>
      </c>
    </row>
    <row r="175" spans="31:34" x14ac:dyDescent="0.25">
      <c r="AE175" s="3">
        <v>3700</v>
      </c>
      <c r="AF175" s="3" t="s">
        <v>320</v>
      </c>
      <c r="AG175" s="3">
        <v>9.66</v>
      </c>
      <c r="AH175" s="15">
        <f t="shared" si="7"/>
        <v>9.6600000000000002E-3</v>
      </c>
    </row>
    <row r="176" spans="31:34" x14ac:dyDescent="0.25">
      <c r="AE176" s="3">
        <v>3811</v>
      </c>
      <c r="AF176" s="3" t="s">
        <v>321</v>
      </c>
      <c r="AG176" s="3">
        <v>9.66</v>
      </c>
      <c r="AH176" s="15">
        <f t="shared" si="7"/>
        <v>9.6600000000000002E-3</v>
      </c>
    </row>
    <row r="177" spans="31:34" x14ac:dyDescent="0.25">
      <c r="AE177" s="3">
        <v>3812</v>
      </c>
      <c r="AF177" s="3" t="s">
        <v>322</v>
      </c>
      <c r="AG177" s="3">
        <v>9.66</v>
      </c>
      <c r="AH177" s="15">
        <f t="shared" si="7"/>
        <v>9.6600000000000002E-3</v>
      </c>
    </row>
    <row r="178" spans="31:34" x14ac:dyDescent="0.25">
      <c r="AE178" s="3">
        <v>3821</v>
      </c>
      <c r="AF178" s="3" t="s">
        <v>323</v>
      </c>
      <c r="AG178" s="3">
        <v>11.04</v>
      </c>
      <c r="AH178" s="15">
        <f t="shared" si="7"/>
        <v>1.1039999999999999E-2</v>
      </c>
    </row>
    <row r="179" spans="31:34" x14ac:dyDescent="0.25">
      <c r="AE179" s="3">
        <v>3822</v>
      </c>
      <c r="AF179" s="3" t="s">
        <v>324</v>
      </c>
      <c r="AG179" s="3">
        <v>11.04</v>
      </c>
      <c r="AH179" s="15">
        <f t="shared" si="7"/>
        <v>1.1039999999999999E-2</v>
      </c>
    </row>
    <row r="180" spans="31:34" x14ac:dyDescent="0.25">
      <c r="AE180" s="3">
        <v>3830</v>
      </c>
      <c r="AF180" s="3" t="s">
        <v>325</v>
      </c>
      <c r="AG180" s="3">
        <v>11.04</v>
      </c>
      <c r="AH180" s="15">
        <f t="shared" si="7"/>
        <v>1.1039999999999999E-2</v>
      </c>
    </row>
    <row r="181" spans="31:34" x14ac:dyDescent="0.25">
      <c r="AE181" s="3">
        <v>4111</v>
      </c>
      <c r="AF181" s="3" t="s">
        <v>326</v>
      </c>
      <c r="AG181" s="3">
        <v>6.9</v>
      </c>
      <c r="AH181" s="15">
        <f t="shared" si="7"/>
        <v>6.9000000000000008E-3</v>
      </c>
    </row>
    <row r="182" spans="31:34" x14ac:dyDescent="0.25">
      <c r="AE182" s="3">
        <v>4112</v>
      </c>
      <c r="AF182" s="3" t="s">
        <v>327</v>
      </c>
      <c r="AG182" s="3">
        <v>6.9</v>
      </c>
      <c r="AH182" s="15">
        <f t="shared" si="7"/>
        <v>6.9000000000000008E-3</v>
      </c>
    </row>
    <row r="183" spans="31:34" x14ac:dyDescent="0.25">
      <c r="AE183" s="3">
        <v>4210</v>
      </c>
      <c r="AF183" s="3" t="s">
        <v>328</v>
      </c>
      <c r="AG183" s="3">
        <v>7.36</v>
      </c>
      <c r="AH183" s="15">
        <f t="shared" si="7"/>
        <v>7.3600000000000002E-3</v>
      </c>
    </row>
    <row r="184" spans="31:34" x14ac:dyDescent="0.25">
      <c r="AE184" s="3">
        <v>4220</v>
      </c>
      <c r="AF184" s="3" t="s">
        <v>329</v>
      </c>
      <c r="AG184" s="3">
        <v>7.36</v>
      </c>
      <c r="AH184" s="15">
        <f t="shared" si="7"/>
        <v>7.3600000000000002E-3</v>
      </c>
    </row>
    <row r="185" spans="31:34" x14ac:dyDescent="0.25">
      <c r="AE185" s="3">
        <v>4290</v>
      </c>
      <c r="AF185" s="3" t="s">
        <v>330</v>
      </c>
      <c r="AG185" s="3">
        <v>7.36</v>
      </c>
      <c r="AH185" s="15">
        <f t="shared" si="7"/>
        <v>7.3600000000000002E-3</v>
      </c>
    </row>
    <row r="186" spans="31:34" x14ac:dyDescent="0.25">
      <c r="AE186" s="3">
        <v>4311</v>
      </c>
      <c r="AF186" s="3" t="s">
        <v>331</v>
      </c>
      <c r="AG186" s="3">
        <v>6.9</v>
      </c>
      <c r="AH186" s="15">
        <f t="shared" si="7"/>
        <v>6.9000000000000008E-3</v>
      </c>
    </row>
    <row r="187" spans="31:34" x14ac:dyDescent="0.25">
      <c r="AE187" s="3">
        <v>4312</v>
      </c>
      <c r="AF187" s="3" t="s">
        <v>332</v>
      </c>
      <c r="AG187" s="3">
        <v>6.9</v>
      </c>
      <c r="AH187" s="15">
        <f t="shared" si="7"/>
        <v>6.9000000000000008E-3</v>
      </c>
    </row>
    <row r="188" spans="31:34" x14ac:dyDescent="0.25">
      <c r="AE188" s="3">
        <v>4321</v>
      </c>
      <c r="AF188" s="3" t="s">
        <v>333</v>
      </c>
      <c r="AG188" s="3">
        <v>6.9</v>
      </c>
      <c r="AH188" s="15">
        <f t="shared" si="7"/>
        <v>6.9000000000000008E-3</v>
      </c>
    </row>
    <row r="189" spans="31:34" x14ac:dyDescent="0.25">
      <c r="AE189" s="3">
        <v>4322</v>
      </c>
      <c r="AF189" s="3" t="s">
        <v>334</v>
      </c>
      <c r="AG189" s="3">
        <v>6.9</v>
      </c>
      <c r="AH189" s="15">
        <f t="shared" si="7"/>
        <v>6.9000000000000008E-3</v>
      </c>
    </row>
    <row r="190" spans="31:34" x14ac:dyDescent="0.25">
      <c r="AE190" s="3">
        <v>4329</v>
      </c>
      <c r="AF190" s="3" t="s">
        <v>335</v>
      </c>
      <c r="AG190" s="3">
        <v>6.9</v>
      </c>
      <c r="AH190" s="15">
        <f t="shared" si="7"/>
        <v>6.9000000000000008E-3</v>
      </c>
    </row>
    <row r="191" spans="31:34" x14ac:dyDescent="0.25">
      <c r="AE191" s="3">
        <v>4330</v>
      </c>
      <c r="AF191" s="3" t="s">
        <v>336</v>
      </c>
      <c r="AG191" s="3">
        <v>7.36</v>
      </c>
      <c r="AH191" s="15">
        <f t="shared" si="7"/>
        <v>7.3600000000000002E-3</v>
      </c>
    </row>
    <row r="192" spans="31:34" x14ac:dyDescent="0.25">
      <c r="AE192" s="3">
        <v>4390</v>
      </c>
      <c r="AF192" s="3" t="s">
        <v>337</v>
      </c>
      <c r="AG192" s="3">
        <v>7.36</v>
      </c>
      <c r="AH192" s="15">
        <f t="shared" si="7"/>
        <v>7.3600000000000002E-3</v>
      </c>
    </row>
    <row r="193" spans="31:34" x14ac:dyDescent="0.25">
      <c r="AE193" s="3">
        <v>4511</v>
      </c>
      <c r="AF193" s="3" t="s">
        <v>338</v>
      </c>
      <c r="AG193" s="3">
        <v>6.9</v>
      </c>
      <c r="AH193" s="15">
        <f t="shared" si="7"/>
        <v>6.9000000000000008E-3</v>
      </c>
    </row>
    <row r="194" spans="31:34" x14ac:dyDescent="0.25">
      <c r="AE194" s="3">
        <v>4512</v>
      </c>
      <c r="AF194" s="3" t="s">
        <v>339</v>
      </c>
      <c r="AG194" s="3">
        <v>6.9</v>
      </c>
      <c r="AH194" s="15">
        <f t="shared" si="7"/>
        <v>6.9000000000000008E-3</v>
      </c>
    </row>
    <row r="195" spans="31:34" x14ac:dyDescent="0.25">
      <c r="AE195" s="3">
        <v>4520</v>
      </c>
      <c r="AF195" s="3" t="s">
        <v>340</v>
      </c>
      <c r="AG195" s="3">
        <v>9.66</v>
      </c>
      <c r="AH195" s="15">
        <f t="shared" si="7"/>
        <v>9.6600000000000002E-3</v>
      </c>
    </row>
    <row r="196" spans="31:34" x14ac:dyDescent="0.25">
      <c r="AE196" s="3">
        <v>4530</v>
      </c>
      <c r="AF196" s="3" t="s">
        <v>341</v>
      </c>
      <c r="AG196" s="3">
        <v>11.04</v>
      </c>
      <c r="AH196" s="15">
        <f t="shared" si="7"/>
        <v>1.1039999999999999E-2</v>
      </c>
    </row>
    <row r="197" spans="31:34" x14ac:dyDescent="0.25">
      <c r="AE197" s="3">
        <v>4542</v>
      </c>
      <c r="AF197" s="3" t="s">
        <v>342</v>
      </c>
      <c r="AG197" s="3">
        <v>9.66</v>
      </c>
      <c r="AH197" s="15">
        <f t="shared" ref="AH197:AH260" si="8">AG197/1000</f>
        <v>9.6600000000000002E-3</v>
      </c>
    </row>
    <row r="198" spans="31:34" x14ac:dyDescent="0.25">
      <c r="AE198" s="3">
        <v>4610</v>
      </c>
      <c r="AF198" s="3" t="s">
        <v>343</v>
      </c>
      <c r="AG198" s="3">
        <v>9.66</v>
      </c>
      <c r="AH198" s="15">
        <f t="shared" si="8"/>
        <v>9.6600000000000002E-3</v>
      </c>
    </row>
    <row r="199" spans="31:34" x14ac:dyDescent="0.25">
      <c r="AE199" s="3">
        <v>4631</v>
      </c>
      <c r="AF199" s="3" t="s">
        <v>344</v>
      </c>
      <c r="AG199" s="3">
        <v>4.1399999999999997</v>
      </c>
      <c r="AH199" s="15">
        <f t="shared" si="8"/>
        <v>4.1399999999999996E-3</v>
      </c>
    </row>
    <row r="200" spans="31:34" x14ac:dyDescent="0.25">
      <c r="AE200" s="3">
        <v>4641</v>
      </c>
      <c r="AF200" s="3" t="s">
        <v>345</v>
      </c>
      <c r="AG200" s="3">
        <v>11.04</v>
      </c>
      <c r="AH200" s="15">
        <f t="shared" si="8"/>
        <v>1.1039999999999999E-2</v>
      </c>
    </row>
    <row r="201" spans="31:34" x14ac:dyDescent="0.25">
      <c r="AE201" s="3">
        <v>4642</v>
      </c>
      <c r="AF201" s="3" t="s">
        <v>346</v>
      </c>
      <c r="AG201" s="3">
        <v>11.04</v>
      </c>
      <c r="AH201" s="15">
        <f t="shared" si="8"/>
        <v>1.1039999999999999E-2</v>
      </c>
    </row>
    <row r="202" spans="31:34" x14ac:dyDescent="0.25">
      <c r="AE202" s="3">
        <v>4643</v>
      </c>
      <c r="AF202" s="3" t="s">
        <v>347</v>
      </c>
      <c r="AG202" s="3">
        <v>11.04</v>
      </c>
      <c r="AH202" s="15">
        <f t="shared" si="8"/>
        <v>1.1039999999999999E-2</v>
      </c>
    </row>
    <row r="203" spans="31:34" x14ac:dyDescent="0.25">
      <c r="AE203" s="3">
        <v>4644</v>
      </c>
      <c r="AF203" s="3" t="s">
        <v>348</v>
      </c>
      <c r="AG203" s="3">
        <v>11.04</v>
      </c>
      <c r="AH203" s="15">
        <f t="shared" si="8"/>
        <v>1.1039999999999999E-2</v>
      </c>
    </row>
    <row r="204" spans="31:34" x14ac:dyDescent="0.25">
      <c r="AE204" s="3">
        <v>4651</v>
      </c>
      <c r="AF204" s="3" t="s">
        <v>349</v>
      </c>
      <c r="AG204" s="3">
        <v>11.04</v>
      </c>
      <c r="AH204" s="15">
        <f t="shared" si="8"/>
        <v>1.1039999999999999E-2</v>
      </c>
    </row>
    <row r="205" spans="31:34" x14ac:dyDescent="0.25">
      <c r="AE205" s="3">
        <v>4652</v>
      </c>
      <c r="AF205" s="3" t="s">
        <v>350</v>
      </c>
      <c r="AG205" s="3">
        <v>11.04</v>
      </c>
      <c r="AH205" s="15">
        <f t="shared" si="8"/>
        <v>1.1039999999999999E-2</v>
      </c>
    </row>
    <row r="206" spans="31:34" x14ac:dyDescent="0.25">
      <c r="AE206" s="3">
        <v>4653</v>
      </c>
      <c r="AF206" s="3" t="s">
        <v>351</v>
      </c>
      <c r="AG206" s="3">
        <v>11.04</v>
      </c>
      <c r="AH206" s="15">
        <f t="shared" si="8"/>
        <v>1.1039999999999999E-2</v>
      </c>
    </row>
    <row r="207" spans="31:34" x14ac:dyDescent="0.25">
      <c r="AE207" s="3">
        <v>4659</v>
      </c>
      <c r="AF207" s="3" t="s">
        <v>352</v>
      </c>
      <c r="AG207" s="3">
        <v>11.04</v>
      </c>
      <c r="AH207" s="15">
        <f t="shared" si="8"/>
        <v>1.1039999999999999E-2</v>
      </c>
    </row>
    <row r="208" spans="31:34" x14ac:dyDescent="0.25">
      <c r="AE208" s="3">
        <v>4662</v>
      </c>
      <c r="AF208" s="3" t="s">
        <v>353</v>
      </c>
      <c r="AG208" s="3">
        <v>11.04</v>
      </c>
      <c r="AH208" s="15">
        <f t="shared" si="8"/>
        <v>1.1039999999999999E-2</v>
      </c>
    </row>
    <row r="209" spans="31:34" x14ac:dyDescent="0.25">
      <c r="AE209" s="3">
        <v>4664</v>
      </c>
      <c r="AF209" s="3" t="s">
        <v>354</v>
      </c>
      <c r="AG209" s="3">
        <v>11.04</v>
      </c>
      <c r="AH209" s="15">
        <f t="shared" si="8"/>
        <v>1.1039999999999999E-2</v>
      </c>
    </row>
    <row r="210" spans="31:34" x14ac:dyDescent="0.25">
      <c r="AE210" s="3">
        <v>4665</v>
      </c>
      <c r="AF210" s="3" t="s">
        <v>355</v>
      </c>
      <c r="AG210" s="3">
        <v>11.04</v>
      </c>
      <c r="AH210" s="15">
        <f t="shared" si="8"/>
        <v>1.1039999999999999E-2</v>
      </c>
    </row>
    <row r="211" spans="31:34" x14ac:dyDescent="0.25">
      <c r="AE211" s="3">
        <v>4669</v>
      </c>
      <c r="AF211" s="3" t="s">
        <v>356</v>
      </c>
      <c r="AG211" s="3">
        <v>11.04</v>
      </c>
      <c r="AH211" s="15">
        <f t="shared" si="8"/>
        <v>1.1039999999999999E-2</v>
      </c>
    </row>
    <row r="212" spans="31:34" x14ac:dyDescent="0.25">
      <c r="AE212" s="3">
        <v>4690</v>
      </c>
      <c r="AF212" s="3" t="s">
        <v>357</v>
      </c>
      <c r="AG212" s="3">
        <v>11.04</v>
      </c>
      <c r="AH212" s="15">
        <f t="shared" si="8"/>
        <v>1.1039999999999999E-2</v>
      </c>
    </row>
    <row r="213" spans="31:34" x14ac:dyDescent="0.25">
      <c r="AE213" s="3">
        <v>4721</v>
      </c>
      <c r="AF213" s="3" t="s">
        <v>358</v>
      </c>
      <c r="AG213" s="3">
        <v>4.1399999999999997</v>
      </c>
      <c r="AH213" s="15">
        <f t="shared" si="8"/>
        <v>4.1399999999999996E-3</v>
      </c>
    </row>
    <row r="214" spans="31:34" x14ac:dyDescent="0.25">
      <c r="AE214" s="3">
        <v>4722</v>
      </c>
      <c r="AF214" s="3" t="s">
        <v>359</v>
      </c>
      <c r="AG214" s="3">
        <v>4.1399999999999997</v>
      </c>
      <c r="AH214" s="15">
        <f t="shared" si="8"/>
        <v>4.1399999999999996E-3</v>
      </c>
    </row>
    <row r="215" spans="31:34" x14ac:dyDescent="0.25">
      <c r="AE215" s="3">
        <v>4723</v>
      </c>
      <c r="AF215" s="3" t="s">
        <v>360</v>
      </c>
      <c r="AG215" s="3">
        <v>4.1399999999999997</v>
      </c>
      <c r="AH215" s="15">
        <f t="shared" si="8"/>
        <v>4.1399999999999996E-3</v>
      </c>
    </row>
    <row r="216" spans="31:34" x14ac:dyDescent="0.25">
      <c r="AE216" s="3">
        <v>4729</v>
      </c>
      <c r="AF216" s="3" t="s">
        <v>361</v>
      </c>
      <c r="AG216" s="3">
        <v>4.1399999999999997</v>
      </c>
      <c r="AH216" s="15">
        <f t="shared" si="8"/>
        <v>4.1399999999999996E-3</v>
      </c>
    </row>
    <row r="217" spans="31:34" x14ac:dyDescent="0.25">
      <c r="AE217" s="3">
        <v>4731</v>
      </c>
      <c r="AF217" s="3" t="s">
        <v>362</v>
      </c>
      <c r="AG217" s="3">
        <v>13.8</v>
      </c>
      <c r="AH217" s="15">
        <f t="shared" si="8"/>
        <v>1.3800000000000002E-2</v>
      </c>
    </row>
    <row r="218" spans="31:34" x14ac:dyDescent="0.25">
      <c r="AE218" s="3">
        <v>4732</v>
      </c>
      <c r="AF218" s="3" t="s">
        <v>363</v>
      </c>
      <c r="AG218" s="3">
        <v>11.04</v>
      </c>
      <c r="AH218" s="15">
        <f t="shared" si="8"/>
        <v>1.1039999999999999E-2</v>
      </c>
    </row>
    <row r="219" spans="31:34" x14ac:dyDescent="0.25">
      <c r="AE219" s="3">
        <v>4741</v>
      </c>
      <c r="AF219" s="3" t="s">
        <v>364</v>
      </c>
      <c r="AG219" s="3">
        <v>11.04</v>
      </c>
      <c r="AH219" s="15">
        <f t="shared" si="8"/>
        <v>1.1039999999999999E-2</v>
      </c>
    </row>
    <row r="220" spans="31:34" x14ac:dyDescent="0.25">
      <c r="AE220" s="3">
        <v>4742</v>
      </c>
      <c r="AF220" s="3" t="s">
        <v>365</v>
      </c>
      <c r="AG220" s="3">
        <v>11.04</v>
      </c>
      <c r="AH220" s="15">
        <f t="shared" si="8"/>
        <v>1.1039999999999999E-2</v>
      </c>
    </row>
    <row r="221" spans="31:34" x14ac:dyDescent="0.25">
      <c r="AE221" s="3">
        <v>4751</v>
      </c>
      <c r="AF221" s="3" t="s">
        <v>366</v>
      </c>
      <c r="AG221" s="3">
        <v>11.04</v>
      </c>
      <c r="AH221" s="15">
        <f t="shared" si="8"/>
        <v>1.1039999999999999E-2</v>
      </c>
    </row>
    <row r="222" spans="31:34" x14ac:dyDescent="0.25">
      <c r="AE222" s="3">
        <v>4753</v>
      </c>
      <c r="AF222" s="3" t="s">
        <v>367</v>
      </c>
      <c r="AG222" s="3">
        <v>11.04</v>
      </c>
      <c r="AH222" s="15">
        <f t="shared" si="8"/>
        <v>1.1039999999999999E-2</v>
      </c>
    </row>
    <row r="223" spans="31:34" x14ac:dyDescent="0.25">
      <c r="AE223" s="3">
        <v>4754</v>
      </c>
      <c r="AF223" s="3" t="s">
        <v>368</v>
      </c>
      <c r="AG223" s="3">
        <v>11.04</v>
      </c>
      <c r="AH223" s="15">
        <f t="shared" si="8"/>
        <v>1.1039999999999999E-2</v>
      </c>
    </row>
    <row r="224" spans="31:34" x14ac:dyDescent="0.25">
      <c r="AE224" s="3">
        <v>4755</v>
      </c>
      <c r="AF224" s="3" t="s">
        <v>369</v>
      </c>
      <c r="AG224" s="3">
        <v>11.04</v>
      </c>
      <c r="AH224" s="15">
        <f t="shared" si="8"/>
        <v>1.1039999999999999E-2</v>
      </c>
    </row>
    <row r="225" spans="31:34" x14ac:dyDescent="0.25">
      <c r="AE225" s="3">
        <v>4759</v>
      </c>
      <c r="AF225" s="3" t="s">
        <v>370</v>
      </c>
      <c r="AG225" s="3">
        <v>11.04</v>
      </c>
      <c r="AH225" s="15">
        <f t="shared" si="8"/>
        <v>1.1039999999999999E-2</v>
      </c>
    </row>
    <row r="226" spans="31:34" x14ac:dyDescent="0.25">
      <c r="AE226" s="3">
        <v>4762</v>
      </c>
      <c r="AF226" s="3" t="s">
        <v>371</v>
      </c>
      <c r="AG226" s="3">
        <v>11.04</v>
      </c>
      <c r="AH226" s="15">
        <f t="shared" si="8"/>
        <v>1.1039999999999999E-2</v>
      </c>
    </row>
    <row r="227" spans="31:34" x14ac:dyDescent="0.25">
      <c r="AE227" s="3">
        <v>4769</v>
      </c>
      <c r="AF227" s="3" t="s">
        <v>372</v>
      </c>
      <c r="AG227" s="3">
        <v>11.04</v>
      </c>
      <c r="AH227" s="15">
        <f t="shared" si="8"/>
        <v>1.1039999999999999E-2</v>
      </c>
    </row>
    <row r="228" spans="31:34" x14ac:dyDescent="0.25">
      <c r="AE228" s="3">
        <v>4771</v>
      </c>
      <c r="AF228" s="3" t="s">
        <v>373</v>
      </c>
      <c r="AG228" s="3">
        <v>11.04</v>
      </c>
      <c r="AH228" s="15">
        <f t="shared" si="8"/>
        <v>1.1039999999999999E-2</v>
      </c>
    </row>
    <row r="229" spans="31:34" x14ac:dyDescent="0.25">
      <c r="AE229" s="3">
        <v>4772</v>
      </c>
      <c r="AF229" s="3" t="s">
        <v>374</v>
      </c>
      <c r="AG229" s="3">
        <v>11.04</v>
      </c>
      <c r="AH229" s="15">
        <f t="shared" si="8"/>
        <v>1.1039999999999999E-2</v>
      </c>
    </row>
    <row r="230" spans="31:34" x14ac:dyDescent="0.25">
      <c r="AE230" s="3">
        <v>4774</v>
      </c>
      <c r="AF230" s="3" t="s">
        <v>375</v>
      </c>
      <c r="AG230" s="3">
        <v>11.04</v>
      </c>
      <c r="AH230" s="15">
        <f t="shared" si="8"/>
        <v>1.1039999999999999E-2</v>
      </c>
    </row>
    <row r="231" spans="31:34" x14ac:dyDescent="0.25">
      <c r="AE231" s="3">
        <v>4775</v>
      </c>
      <c r="AF231" s="3" t="s">
        <v>376</v>
      </c>
      <c r="AG231" s="3">
        <v>11.04</v>
      </c>
      <c r="AH231" s="15">
        <f t="shared" si="8"/>
        <v>1.1039999999999999E-2</v>
      </c>
    </row>
    <row r="232" spans="31:34" x14ac:dyDescent="0.25">
      <c r="AE232" s="3">
        <v>4782</v>
      </c>
      <c r="AF232" s="3" t="s">
        <v>377</v>
      </c>
      <c r="AG232" s="3">
        <v>11.04</v>
      </c>
      <c r="AH232" s="15">
        <f t="shared" si="8"/>
        <v>1.1039999999999999E-2</v>
      </c>
    </row>
    <row r="233" spans="31:34" x14ac:dyDescent="0.25">
      <c r="AE233" s="3">
        <v>4789</v>
      </c>
      <c r="AF233" s="3" t="s">
        <v>378</v>
      </c>
      <c r="AG233" s="3">
        <v>11.04</v>
      </c>
      <c r="AH233" s="15">
        <f t="shared" si="8"/>
        <v>1.1039999999999999E-2</v>
      </c>
    </row>
    <row r="234" spans="31:34" x14ac:dyDescent="0.25">
      <c r="AE234" s="3">
        <v>4911</v>
      </c>
      <c r="AF234" s="3" t="s">
        <v>379</v>
      </c>
      <c r="AG234" s="3">
        <v>4.1399999999999997</v>
      </c>
      <c r="AH234" s="15">
        <f t="shared" si="8"/>
        <v>4.1399999999999996E-3</v>
      </c>
    </row>
    <row r="235" spans="31:34" x14ac:dyDescent="0.25">
      <c r="AE235" s="3">
        <v>4912</v>
      </c>
      <c r="AF235" s="3" t="s">
        <v>380</v>
      </c>
      <c r="AG235" s="3">
        <v>4.1399999999999997</v>
      </c>
      <c r="AH235" s="15">
        <f t="shared" si="8"/>
        <v>4.1399999999999996E-3</v>
      </c>
    </row>
    <row r="236" spans="31:34" x14ac:dyDescent="0.25">
      <c r="AE236" s="3">
        <v>4921</v>
      </c>
      <c r="AF236" s="3" t="s">
        <v>381</v>
      </c>
      <c r="AG236" s="3">
        <v>4.1399999999999997</v>
      </c>
      <c r="AH236" s="15">
        <f t="shared" si="8"/>
        <v>4.1399999999999996E-3</v>
      </c>
    </row>
    <row r="237" spans="31:34" x14ac:dyDescent="0.25">
      <c r="AE237" s="3">
        <v>4922</v>
      </c>
      <c r="AF237" s="3" t="s">
        <v>382</v>
      </c>
      <c r="AG237" s="3">
        <v>4.1399999999999997</v>
      </c>
      <c r="AH237" s="15">
        <f t="shared" si="8"/>
        <v>4.1399999999999996E-3</v>
      </c>
    </row>
    <row r="238" spans="31:34" x14ac:dyDescent="0.25">
      <c r="AE238" s="3">
        <v>4923</v>
      </c>
      <c r="AF238" s="3" t="s">
        <v>383</v>
      </c>
      <c r="AG238" s="3">
        <v>4.1399999999999997</v>
      </c>
      <c r="AH238" s="15">
        <f t="shared" si="8"/>
        <v>4.1399999999999996E-3</v>
      </c>
    </row>
    <row r="239" spans="31:34" x14ac:dyDescent="0.25">
      <c r="AE239" s="3">
        <v>4930</v>
      </c>
      <c r="AF239" s="3" t="s">
        <v>384</v>
      </c>
      <c r="AG239" s="3">
        <v>4.1399999999999997</v>
      </c>
      <c r="AH239" s="15">
        <f t="shared" si="8"/>
        <v>4.1399999999999996E-3</v>
      </c>
    </row>
    <row r="240" spans="31:34" x14ac:dyDescent="0.25">
      <c r="AE240" s="3">
        <v>5011</v>
      </c>
      <c r="AF240" s="3" t="s">
        <v>385</v>
      </c>
      <c r="AG240" s="3">
        <v>4.1399999999999997</v>
      </c>
      <c r="AH240" s="15">
        <f t="shared" si="8"/>
        <v>4.1399999999999996E-3</v>
      </c>
    </row>
    <row r="241" spans="31:34" x14ac:dyDescent="0.25">
      <c r="AE241" s="3">
        <v>5012</v>
      </c>
      <c r="AF241" s="3" t="s">
        <v>386</v>
      </c>
      <c r="AG241" s="3">
        <v>4.1399999999999997</v>
      </c>
      <c r="AH241" s="15">
        <f t="shared" si="8"/>
        <v>4.1399999999999996E-3</v>
      </c>
    </row>
    <row r="242" spans="31:34" x14ac:dyDescent="0.25">
      <c r="AE242" s="3">
        <v>5021</v>
      </c>
      <c r="AF242" s="3" t="s">
        <v>387</v>
      </c>
      <c r="AG242" s="3">
        <v>4.1399999999999997</v>
      </c>
      <c r="AH242" s="15">
        <f t="shared" si="8"/>
        <v>4.1399999999999996E-3</v>
      </c>
    </row>
    <row r="243" spans="31:34" x14ac:dyDescent="0.25">
      <c r="AE243" s="3">
        <v>5022</v>
      </c>
      <c r="AF243" s="3" t="s">
        <v>388</v>
      </c>
      <c r="AG243" s="3">
        <v>4.1399999999999997</v>
      </c>
      <c r="AH243" s="15">
        <f t="shared" si="8"/>
        <v>4.1399999999999996E-3</v>
      </c>
    </row>
    <row r="244" spans="31:34" x14ac:dyDescent="0.25">
      <c r="AE244" s="3">
        <v>5111</v>
      </c>
      <c r="AF244" s="3" t="s">
        <v>389</v>
      </c>
      <c r="AG244" s="3">
        <v>4.1399999999999997</v>
      </c>
      <c r="AH244" s="15">
        <f t="shared" si="8"/>
        <v>4.1399999999999996E-3</v>
      </c>
    </row>
    <row r="245" spans="31:34" x14ac:dyDescent="0.25">
      <c r="AE245" s="3">
        <v>5112</v>
      </c>
      <c r="AF245" s="3" t="s">
        <v>390</v>
      </c>
      <c r="AG245" s="3">
        <v>4.1399999999999997</v>
      </c>
      <c r="AH245" s="15">
        <f t="shared" si="8"/>
        <v>4.1399999999999996E-3</v>
      </c>
    </row>
    <row r="246" spans="31:34" x14ac:dyDescent="0.25">
      <c r="AE246" s="3">
        <v>5121</v>
      </c>
      <c r="AF246" s="3" t="s">
        <v>391</v>
      </c>
      <c r="AG246" s="3">
        <v>4.1399999999999997</v>
      </c>
      <c r="AH246" s="15">
        <f t="shared" si="8"/>
        <v>4.1399999999999996E-3</v>
      </c>
    </row>
    <row r="247" spans="31:34" x14ac:dyDescent="0.25">
      <c r="AE247" s="3">
        <v>5122</v>
      </c>
      <c r="AF247" s="3" t="s">
        <v>392</v>
      </c>
      <c r="AG247" s="3">
        <v>4.1399999999999997</v>
      </c>
      <c r="AH247" s="15">
        <f t="shared" si="8"/>
        <v>4.1399999999999996E-3</v>
      </c>
    </row>
    <row r="248" spans="31:34" x14ac:dyDescent="0.25">
      <c r="AE248" s="3">
        <v>5210</v>
      </c>
      <c r="AF248" s="3" t="s">
        <v>393</v>
      </c>
      <c r="AG248" s="3">
        <v>9.66</v>
      </c>
      <c r="AH248" s="15">
        <f t="shared" si="8"/>
        <v>9.6600000000000002E-3</v>
      </c>
    </row>
    <row r="249" spans="31:34" x14ac:dyDescent="0.25">
      <c r="AE249" s="3">
        <v>5221</v>
      </c>
      <c r="AF249" s="3" t="s">
        <v>394</v>
      </c>
      <c r="AG249" s="3">
        <v>9.66</v>
      </c>
      <c r="AH249" s="15">
        <f t="shared" si="8"/>
        <v>9.6600000000000002E-3</v>
      </c>
    </row>
    <row r="250" spans="31:34" x14ac:dyDescent="0.25">
      <c r="AE250" s="3">
        <v>5222</v>
      </c>
      <c r="AF250" s="3" t="s">
        <v>395</v>
      </c>
      <c r="AG250" s="3">
        <v>4.1399999999999997</v>
      </c>
      <c r="AH250" s="15">
        <f t="shared" si="8"/>
        <v>4.1399999999999996E-3</v>
      </c>
    </row>
    <row r="251" spans="31:34" x14ac:dyDescent="0.25">
      <c r="AE251" s="3">
        <v>5223</v>
      </c>
      <c r="AF251" s="3" t="s">
        <v>396</v>
      </c>
      <c r="AG251" s="3">
        <v>9.66</v>
      </c>
      <c r="AH251" s="15">
        <f t="shared" si="8"/>
        <v>9.6600000000000002E-3</v>
      </c>
    </row>
    <row r="252" spans="31:34" x14ac:dyDescent="0.25">
      <c r="AE252" s="3">
        <v>5224</v>
      </c>
      <c r="AF252" s="3" t="s">
        <v>397</v>
      </c>
      <c r="AG252" s="3">
        <v>9.66</v>
      </c>
      <c r="AH252" s="15">
        <f t="shared" si="8"/>
        <v>9.6600000000000002E-3</v>
      </c>
    </row>
    <row r="253" spans="31:34" x14ac:dyDescent="0.25">
      <c r="AE253" s="3">
        <v>5229</v>
      </c>
      <c r="AF253" s="3" t="s">
        <v>398</v>
      </c>
      <c r="AG253" s="3">
        <v>9.66</v>
      </c>
      <c r="AH253" s="15">
        <f t="shared" si="8"/>
        <v>9.6600000000000002E-3</v>
      </c>
    </row>
    <row r="254" spans="31:34" x14ac:dyDescent="0.25">
      <c r="AE254" s="3">
        <v>5310</v>
      </c>
      <c r="AF254" s="3" t="s">
        <v>399</v>
      </c>
      <c r="AG254" s="3">
        <v>9.66</v>
      </c>
      <c r="AH254" s="15">
        <f t="shared" si="8"/>
        <v>9.6600000000000002E-3</v>
      </c>
    </row>
    <row r="255" spans="31:34" x14ac:dyDescent="0.25">
      <c r="AE255" s="3">
        <v>5320</v>
      </c>
      <c r="AF255" s="3" t="s">
        <v>400</v>
      </c>
      <c r="AG255" s="3">
        <v>9.66</v>
      </c>
      <c r="AH255" s="15">
        <f t="shared" si="8"/>
        <v>9.6600000000000002E-3</v>
      </c>
    </row>
    <row r="256" spans="31:34" x14ac:dyDescent="0.25">
      <c r="AE256" s="3">
        <v>5511</v>
      </c>
      <c r="AF256" s="3" t="s">
        <v>401</v>
      </c>
      <c r="AG256" s="3">
        <v>13.8</v>
      </c>
      <c r="AH256" s="15">
        <f t="shared" si="8"/>
        <v>1.3800000000000002E-2</v>
      </c>
    </row>
    <row r="257" spans="31:34" x14ac:dyDescent="0.25">
      <c r="AE257" s="3">
        <v>5512</v>
      </c>
      <c r="AF257" s="3" t="s">
        <v>402</v>
      </c>
      <c r="AG257" s="3">
        <v>13.8</v>
      </c>
      <c r="AH257" s="15">
        <f t="shared" si="8"/>
        <v>1.3800000000000002E-2</v>
      </c>
    </row>
    <row r="258" spans="31:34" x14ac:dyDescent="0.25">
      <c r="AE258" s="3">
        <v>5513</v>
      </c>
      <c r="AF258" s="3" t="s">
        <v>403</v>
      </c>
      <c r="AG258" s="3">
        <v>13.8</v>
      </c>
      <c r="AH258" s="15">
        <f t="shared" si="8"/>
        <v>1.3800000000000002E-2</v>
      </c>
    </row>
    <row r="259" spans="31:34" x14ac:dyDescent="0.25">
      <c r="AE259" s="3">
        <v>5514</v>
      </c>
      <c r="AF259" s="3" t="s">
        <v>404</v>
      </c>
      <c r="AG259" s="3">
        <v>13.8</v>
      </c>
      <c r="AH259" s="15">
        <f t="shared" si="8"/>
        <v>1.3800000000000002E-2</v>
      </c>
    </row>
    <row r="260" spans="31:34" x14ac:dyDescent="0.25">
      <c r="AE260" s="3">
        <v>5519</v>
      </c>
      <c r="AF260" s="3" t="s">
        <v>405</v>
      </c>
      <c r="AG260" s="3">
        <v>13.8</v>
      </c>
      <c r="AH260" s="15">
        <f t="shared" si="8"/>
        <v>1.3800000000000002E-2</v>
      </c>
    </row>
    <row r="261" spans="31:34" x14ac:dyDescent="0.25">
      <c r="AE261" s="3">
        <v>5520</v>
      </c>
      <c r="AF261" s="3" t="s">
        <v>406</v>
      </c>
      <c r="AG261" s="3">
        <v>13.8</v>
      </c>
      <c r="AH261" s="15">
        <f t="shared" ref="AH261:AH324" si="9">AG261/1000</f>
        <v>1.3800000000000002E-2</v>
      </c>
    </row>
    <row r="262" spans="31:34" x14ac:dyDescent="0.25">
      <c r="AE262" s="3">
        <v>5530</v>
      </c>
      <c r="AF262" s="3" t="s">
        <v>407</v>
      </c>
      <c r="AG262" s="3">
        <v>13.8</v>
      </c>
      <c r="AH262" s="15">
        <f t="shared" si="9"/>
        <v>1.3800000000000002E-2</v>
      </c>
    </row>
    <row r="263" spans="31:34" x14ac:dyDescent="0.25">
      <c r="AE263" s="3">
        <v>5590</v>
      </c>
      <c r="AF263" s="3" t="s">
        <v>408</v>
      </c>
      <c r="AG263" s="3">
        <v>13.8</v>
      </c>
      <c r="AH263" s="15">
        <f t="shared" si="9"/>
        <v>1.3800000000000002E-2</v>
      </c>
    </row>
    <row r="264" spans="31:34" x14ac:dyDescent="0.25">
      <c r="AE264" s="3">
        <v>5611</v>
      </c>
      <c r="AF264" s="3" t="s">
        <v>409</v>
      </c>
      <c r="AG264" s="3">
        <v>13.8</v>
      </c>
      <c r="AH264" s="15">
        <f t="shared" si="9"/>
        <v>1.3800000000000002E-2</v>
      </c>
    </row>
    <row r="265" spans="31:34" x14ac:dyDescent="0.25">
      <c r="AE265" s="3">
        <v>5612</v>
      </c>
      <c r="AF265" s="3" t="s">
        <v>410</v>
      </c>
      <c r="AG265" s="3">
        <v>13.8</v>
      </c>
      <c r="AH265" s="15">
        <f t="shared" si="9"/>
        <v>1.3800000000000002E-2</v>
      </c>
    </row>
    <row r="266" spans="31:34" x14ac:dyDescent="0.25">
      <c r="AE266" s="3">
        <v>5613</v>
      </c>
      <c r="AF266" s="3" t="s">
        <v>411</v>
      </c>
      <c r="AG266" s="3">
        <v>13.8</v>
      </c>
      <c r="AH266" s="15">
        <f t="shared" si="9"/>
        <v>1.3800000000000002E-2</v>
      </c>
    </row>
    <row r="267" spans="31:34" x14ac:dyDescent="0.25">
      <c r="AE267" s="3">
        <v>5619</v>
      </c>
      <c r="AF267" s="3" t="s">
        <v>412</v>
      </c>
      <c r="AG267" s="3">
        <v>13.8</v>
      </c>
      <c r="AH267" s="15">
        <f t="shared" si="9"/>
        <v>1.3800000000000002E-2</v>
      </c>
    </row>
    <row r="268" spans="31:34" x14ac:dyDescent="0.25">
      <c r="AE268" s="3">
        <v>5621</v>
      </c>
      <c r="AF268" s="3" t="s">
        <v>413</v>
      </c>
      <c r="AG268" s="3">
        <v>13.8</v>
      </c>
      <c r="AH268" s="15">
        <f t="shared" si="9"/>
        <v>1.3800000000000002E-2</v>
      </c>
    </row>
    <row r="269" spans="31:34" x14ac:dyDescent="0.25">
      <c r="AE269" s="3">
        <v>5629</v>
      </c>
      <c r="AF269" s="3" t="s">
        <v>414</v>
      </c>
      <c r="AG269" s="3">
        <v>13.8</v>
      </c>
      <c r="AH269" s="15">
        <f t="shared" si="9"/>
        <v>1.3800000000000002E-2</v>
      </c>
    </row>
    <row r="270" spans="31:34" x14ac:dyDescent="0.25">
      <c r="AE270" s="3">
        <v>5630</v>
      </c>
      <c r="AF270" s="3" t="s">
        <v>415</v>
      </c>
      <c r="AG270" s="3">
        <v>13.8</v>
      </c>
      <c r="AH270" s="15">
        <f t="shared" si="9"/>
        <v>1.3800000000000002E-2</v>
      </c>
    </row>
    <row r="271" spans="31:34" x14ac:dyDescent="0.25">
      <c r="AE271" s="3">
        <v>5812</v>
      </c>
      <c r="AF271" s="3" t="s">
        <v>416</v>
      </c>
      <c r="AG271" s="3">
        <v>11.04</v>
      </c>
      <c r="AH271" s="15">
        <f t="shared" si="9"/>
        <v>1.1039999999999999E-2</v>
      </c>
    </row>
    <row r="272" spans="31:34" x14ac:dyDescent="0.25">
      <c r="AE272" s="3">
        <v>5813</v>
      </c>
      <c r="AF272" s="3" t="s">
        <v>417</v>
      </c>
      <c r="AG272" s="3">
        <v>4.1399999999999997</v>
      </c>
      <c r="AH272" s="15">
        <f t="shared" si="9"/>
        <v>4.1399999999999996E-3</v>
      </c>
    </row>
    <row r="273" spans="31:34" x14ac:dyDescent="0.25">
      <c r="AE273" s="3">
        <v>5819</v>
      </c>
      <c r="AF273" s="3" t="s">
        <v>418</v>
      </c>
      <c r="AG273" s="3">
        <v>11.04</v>
      </c>
      <c r="AH273" s="15">
        <f t="shared" si="9"/>
        <v>1.1039999999999999E-2</v>
      </c>
    </row>
    <row r="274" spans="31:34" x14ac:dyDescent="0.25">
      <c r="AE274" s="3">
        <v>5820</v>
      </c>
      <c r="AF274" s="3" t="s">
        <v>419</v>
      </c>
      <c r="AG274" s="3">
        <v>11.04</v>
      </c>
      <c r="AH274" s="15">
        <f t="shared" si="9"/>
        <v>1.1039999999999999E-2</v>
      </c>
    </row>
    <row r="275" spans="31:34" x14ac:dyDescent="0.25">
      <c r="AE275" s="3">
        <v>5911</v>
      </c>
      <c r="AF275" s="3" t="s">
        <v>420</v>
      </c>
      <c r="AG275" s="3">
        <v>11.04</v>
      </c>
      <c r="AH275" s="15">
        <f t="shared" si="9"/>
        <v>1.1039999999999999E-2</v>
      </c>
    </row>
    <row r="276" spans="31:34" x14ac:dyDescent="0.25">
      <c r="AE276" s="3">
        <v>5912</v>
      </c>
      <c r="AF276" s="3" t="s">
        <v>421</v>
      </c>
      <c r="AG276" s="3">
        <v>11.04</v>
      </c>
      <c r="AH276" s="15">
        <f t="shared" si="9"/>
        <v>1.1039999999999999E-2</v>
      </c>
    </row>
    <row r="277" spans="31:34" x14ac:dyDescent="0.25">
      <c r="AE277" s="3">
        <v>5913</v>
      </c>
      <c r="AF277" s="3" t="s">
        <v>422</v>
      </c>
      <c r="AG277" s="3">
        <v>9.66</v>
      </c>
      <c r="AH277" s="15">
        <f t="shared" si="9"/>
        <v>9.6600000000000002E-3</v>
      </c>
    </row>
    <row r="278" spans="31:34" x14ac:dyDescent="0.25">
      <c r="AE278" s="3">
        <v>5914</v>
      </c>
      <c r="AF278" s="3" t="s">
        <v>423</v>
      </c>
      <c r="AG278" s="3">
        <v>6.9</v>
      </c>
      <c r="AH278" s="15">
        <f t="shared" si="9"/>
        <v>6.9000000000000008E-3</v>
      </c>
    </row>
    <row r="279" spans="31:34" x14ac:dyDescent="0.25">
      <c r="AE279" s="3">
        <v>5920</v>
      </c>
      <c r="AF279" s="3" t="s">
        <v>424</v>
      </c>
      <c r="AG279" s="3">
        <v>11.04</v>
      </c>
      <c r="AH279" s="15">
        <f t="shared" si="9"/>
        <v>1.1039999999999999E-2</v>
      </c>
    </row>
    <row r="280" spans="31:34" x14ac:dyDescent="0.25">
      <c r="AE280" s="3">
        <v>6010</v>
      </c>
      <c r="AF280" s="3" t="s">
        <v>425</v>
      </c>
      <c r="AG280" s="3">
        <v>4.1399999999999997</v>
      </c>
      <c r="AH280" s="15">
        <f t="shared" si="9"/>
        <v>4.1399999999999996E-3</v>
      </c>
    </row>
    <row r="281" spans="31:34" x14ac:dyDescent="0.25">
      <c r="AE281" s="3">
        <v>6110</v>
      </c>
      <c r="AF281" s="3" t="s">
        <v>426</v>
      </c>
      <c r="AG281" s="3">
        <v>10.3</v>
      </c>
      <c r="AH281" s="15">
        <f t="shared" si="9"/>
        <v>1.03E-2</v>
      </c>
    </row>
    <row r="282" spans="31:34" x14ac:dyDescent="0.25">
      <c r="AE282" s="3">
        <v>6120</v>
      </c>
      <c r="AF282" s="3" t="s">
        <v>427</v>
      </c>
      <c r="AG282" s="3">
        <v>10.3</v>
      </c>
      <c r="AH282" s="15">
        <f t="shared" si="9"/>
        <v>1.03E-2</v>
      </c>
    </row>
    <row r="283" spans="31:34" x14ac:dyDescent="0.25">
      <c r="AE283" s="3">
        <v>6130</v>
      </c>
      <c r="AF283" s="3" t="s">
        <v>428</v>
      </c>
      <c r="AG283" s="3">
        <v>9.66</v>
      </c>
      <c r="AH283" s="15">
        <f t="shared" si="9"/>
        <v>9.6600000000000002E-3</v>
      </c>
    </row>
    <row r="284" spans="31:34" x14ac:dyDescent="0.25">
      <c r="AE284" s="3">
        <v>6190</v>
      </c>
      <c r="AF284" s="3" t="s">
        <v>429</v>
      </c>
      <c r="AG284" s="3">
        <v>9.66</v>
      </c>
      <c r="AH284" s="15">
        <f t="shared" si="9"/>
        <v>9.6600000000000002E-3</v>
      </c>
    </row>
    <row r="285" spans="31:34" x14ac:dyDescent="0.25">
      <c r="AE285" s="3">
        <v>6201</v>
      </c>
      <c r="AF285" s="3" t="s">
        <v>430</v>
      </c>
      <c r="AG285" s="3">
        <v>9.66</v>
      </c>
      <c r="AH285" s="15">
        <f t="shared" si="9"/>
        <v>9.6600000000000002E-3</v>
      </c>
    </row>
    <row r="286" spans="31:34" x14ac:dyDescent="0.25">
      <c r="AE286" s="3">
        <v>6202</v>
      </c>
      <c r="AF286" s="3" t="s">
        <v>431</v>
      </c>
      <c r="AG286" s="3">
        <v>6.9</v>
      </c>
      <c r="AH286" s="15">
        <f t="shared" si="9"/>
        <v>6.9000000000000008E-3</v>
      </c>
    </row>
    <row r="287" spans="31:34" x14ac:dyDescent="0.25">
      <c r="AE287" s="3">
        <v>6209</v>
      </c>
      <c r="AF287" s="3" t="s">
        <v>432</v>
      </c>
      <c r="AG287" s="3">
        <v>9.66</v>
      </c>
      <c r="AH287" s="15">
        <f t="shared" si="9"/>
        <v>9.6600000000000002E-3</v>
      </c>
    </row>
    <row r="288" spans="31:34" x14ac:dyDescent="0.25">
      <c r="AE288" s="3">
        <v>6311</v>
      </c>
      <c r="AF288" s="3" t="s">
        <v>433</v>
      </c>
      <c r="AG288" s="3">
        <v>9.66</v>
      </c>
      <c r="AH288" s="15">
        <f t="shared" si="9"/>
        <v>9.6600000000000002E-3</v>
      </c>
    </row>
    <row r="289" spans="31:34" x14ac:dyDescent="0.25">
      <c r="AE289" s="3">
        <v>6312</v>
      </c>
      <c r="AF289" s="3" t="s">
        <v>434</v>
      </c>
      <c r="AG289" s="3">
        <v>9.66</v>
      </c>
      <c r="AH289" s="15">
        <f t="shared" si="9"/>
        <v>9.6600000000000002E-3</v>
      </c>
    </row>
    <row r="290" spans="31:34" x14ac:dyDescent="0.25">
      <c r="AE290" s="3">
        <v>6391</v>
      </c>
      <c r="AF290" s="3" t="s">
        <v>435</v>
      </c>
      <c r="AG290" s="3">
        <v>9.66</v>
      </c>
      <c r="AH290" s="15">
        <f t="shared" si="9"/>
        <v>9.6600000000000002E-3</v>
      </c>
    </row>
    <row r="291" spans="31:34" x14ac:dyDescent="0.25">
      <c r="AE291" s="3">
        <v>6399</v>
      </c>
      <c r="AF291" s="3" t="s">
        <v>436</v>
      </c>
      <c r="AG291" s="3">
        <v>9.66</v>
      </c>
      <c r="AH291" s="15">
        <f t="shared" si="9"/>
        <v>9.6600000000000002E-3</v>
      </c>
    </row>
    <row r="292" spans="31:34" x14ac:dyDescent="0.25">
      <c r="AE292" s="3">
        <v>6411</v>
      </c>
      <c r="AF292" s="3" t="s">
        <v>437</v>
      </c>
      <c r="AG292" s="3">
        <v>12.54</v>
      </c>
      <c r="AH292" s="15">
        <f t="shared" si="9"/>
        <v>1.2539999999999999E-2</v>
      </c>
    </row>
    <row r="293" spans="31:34" x14ac:dyDescent="0.25">
      <c r="AE293" s="3">
        <v>6412</v>
      </c>
      <c r="AF293" s="3" t="s">
        <v>438</v>
      </c>
      <c r="AG293" s="3">
        <v>12.54</v>
      </c>
      <c r="AH293" s="15">
        <f t="shared" si="9"/>
        <v>1.2539999999999999E-2</v>
      </c>
    </row>
    <row r="294" spans="31:34" x14ac:dyDescent="0.25">
      <c r="AE294" s="3">
        <v>6421</v>
      </c>
      <c r="AF294" s="3" t="s">
        <v>439</v>
      </c>
      <c r="AG294" s="3">
        <v>12.54</v>
      </c>
      <c r="AH294" s="15">
        <f t="shared" si="9"/>
        <v>1.2539999999999999E-2</v>
      </c>
    </row>
    <row r="295" spans="31:34" x14ac:dyDescent="0.25">
      <c r="AE295" s="3">
        <v>6422</v>
      </c>
      <c r="AF295" s="3" t="s">
        <v>440</v>
      </c>
      <c r="AG295" s="3">
        <v>12.54</v>
      </c>
      <c r="AH295" s="15">
        <f t="shared" si="9"/>
        <v>1.2539999999999999E-2</v>
      </c>
    </row>
    <row r="296" spans="31:34" x14ac:dyDescent="0.25">
      <c r="AE296" s="3">
        <v>6423</v>
      </c>
      <c r="AF296" s="3" t="s">
        <v>441</v>
      </c>
      <c r="AG296" s="3">
        <v>12.54</v>
      </c>
      <c r="AH296" s="15">
        <f t="shared" si="9"/>
        <v>1.2539999999999999E-2</v>
      </c>
    </row>
    <row r="297" spans="31:34" x14ac:dyDescent="0.25">
      <c r="AE297" s="3">
        <v>6424</v>
      </c>
      <c r="AF297" s="3" t="s">
        <v>442</v>
      </c>
      <c r="AG297" s="3">
        <v>12.54</v>
      </c>
      <c r="AH297" s="15">
        <f t="shared" si="9"/>
        <v>1.2539999999999999E-2</v>
      </c>
    </row>
    <row r="298" spans="31:34" x14ac:dyDescent="0.25">
      <c r="AE298" s="3">
        <v>6431</v>
      </c>
      <c r="AF298" s="3" t="s">
        <v>443</v>
      </c>
      <c r="AG298" s="3">
        <v>12.54</v>
      </c>
      <c r="AH298" s="15">
        <f t="shared" si="9"/>
        <v>1.2539999999999999E-2</v>
      </c>
    </row>
    <row r="299" spans="31:34" x14ac:dyDescent="0.25">
      <c r="AE299" s="3">
        <v>6491</v>
      </c>
      <c r="AF299" s="3" t="s">
        <v>444</v>
      </c>
      <c r="AG299" s="3">
        <v>12.54</v>
      </c>
      <c r="AH299" s="15">
        <f t="shared" si="9"/>
        <v>1.2539999999999999E-2</v>
      </c>
    </row>
    <row r="300" spans="31:34" x14ac:dyDescent="0.25">
      <c r="AE300" s="3">
        <v>6492</v>
      </c>
      <c r="AF300" s="3" t="s">
        <v>445</v>
      </c>
      <c r="AG300" s="3">
        <v>12.54</v>
      </c>
      <c r="AH300" s="15">
        <f t="shared" si="9"/>
        <v>1.2539999999999999E-2</v>
      </c>
    </row>
    <row r="301" spans="31:34" x14ac:dyDescent="0.25">
      <c r="AE301" s="3">
        <v>6493</v>
      </c>
      <c r="AF301" s="3" t="s">
        <v>446</v>
      </c>
      <c r="AG301" s="3">
        <v>12.54</v>
      </c>
      <c r="AH301" s="15">
        <f t="shared" si="9"/>
        <v>1.2539999999999999E-2</v>
      </c>
    </row>
    <row r="302" spans="31:34" x14ac:dyDescent="0.25">
      <c r="AE302" s="3">
        <v>6494</v>
      </c>
      <c r="AF302" s="3" t="s">
        <v>447</v>
      </c>
      <c r="AG302" s="3">
        <v>12.54</v>
      </c>
      <c r="AH302" s="15">
        <f t="shared" si="9"/>
        <v>1.2539999999999999E-2</v>
      </c>
    </row>
    <row r="303" spans="31:34" x14ac:dyDescent="0.25">
      <c r="AE303" s="3">
        <v>6495</v>
      </c>
      <c r="AF303" s="3" t="s">
        <v>448</v>
      </c>
      <c r="AG303" s="3">
        <v>12.54</v>
      </c>
      <c r="AH303" s="15">
        <f t="shared" si="9"/>
        <v>1.2539999999999999E-2</v>
      </c>
    </row>
    <row r="304" spans="31:34" x14ac:dyDescent="0.25">
      <c r="AE304" s="3">
        <v>6496</v>
      </c>
      <c r="AF304" s="3" t="s">
        <v>449</v>
      </c>
      <c r="AG304" s="3">
        <v>12.54</v>
      </c>
      <c r="AH304" s="15">
        <f t="shared" si="9"/>
        <v>1.2539999999999999E-2</v>
      </c>
    </row>
    <row r="305" spans="31:34" x14ac:dyDescent="0.25">
      <c r="AE305" s="3">
        <v>6511</v>
      </c>
      <c r="AF305" s="3" t="s">
        <v>450</v>
      </c>
      <c r="AG305" s="3">
        <v>12.54</v>
      </c>
      <c r="AH305" s="15">
        <f t="shared" si="9"/>
        <v>1.2539999999999999E-2</v>
      </c>
    </row>
    <row r="306" spans="31:34" x14ac:dyDescent="0.25">
      <c r="AE306" s="3">
        <v>6512</v>
      </c>
      <c r="AF306" s="3" t="s">
        <v>451</v>
      </c>
      <c r="AG306" s="3">
        <v>12.54</v>
      </c>
      <c r="AH306" s="15">
        <f t="shared" si="9"/>
        <v>1.2539999999999999E-2</v>
      </c>
    </row>
    <row r="307" spans="31:34" x14ac:dyDescent="0.25">
      <c r="AE307" s="3">
        <v>6513</v>
      </c>
      <c r="AF307" s="3" t="s">
        <v>452</v>
      </c>
      <c r="AG307" s="3">
        <v>12.54</v>
      </c>
      <c r="AH307" s="15">
        <f t="shared" si="9"/>
        <v>1.2539999999999999E-2</v>
      </c>
    </row>
    <row r="308" spans="31:34" x14ac:dyDescent="0.25">
      <c r="AE308" s="3">
        <v>6515</v>
      </c>
      <c r="AF308" s="3" t="s">
        <v>453</v>
      </c>
      <c r="AG308" s="3">
        <v>11.04</v>
      </c>
      <c r="AH308" s="15">
        <f t="shared" si="9"/>
        <v>1.1039999999999999E-2</v>
      </c>
    </row>
    <row r="309" spans="31:34" x14ac:dyDescent="0.25">
      <c r="AE309" s="3">
        <v>6521</v>
      </c>
      <c r="AF309" s="3" t="s">
        <v>454</v>
      </c>
      <c r="AG309" s="3">
        <v>12.54</v>
      </c>
      <c r="AH309" s="15">
        <f t="shared" si="9"/>
        <v>1.2539999999999999E-2</v>
      </c>
    </row>
    <row r="310" spans="31:34" x14ac:dyDescent="0.25">
      <c r="AE310" s="3">
        <v>6522</v>
      </c>
      <c r="AF310" s="3" t="s">
        <v>455</v>
      </c>
      <c r="AG310" s="3">
        <v>12.54</v>
      </c>
      <c r="AH310" s="15">
        <f t="shared" si="9"/>
        <v>1.2539999999999999E-2</v>
      </c>
    </row>
    <row r="311" spans="31:34" x14ac:dyDescent="0.25">
      <c r="AE311" s="3">
        <v>6523</v>
      </c>
      <c r="AF311" s="3" t="s">
        <v>456</v>
      </c>
      <c r="AG311" s="3">
        <v>11.04</v>
      </c>
      <c r="AH311" s="15">
        <f t="shared" si="9"/>
        <v>1.1039999999999999E-2</v>
      </c>
    </row>
    <row r="312" spans="31:34" x14ac:dyDescent="0.25">
      <c r="AE312" s="3">
        <v>6532</v>
      </c>
      <c r="AF312" s="3" t="s">
        <v>457</v>
      </c>
      <c r="AG312" s="3">
        <v>12.54</v>
      </c>
      <c r="AH312" s="15">
        <f t="shared" si="9"/>
        <v>1.2539999999999999E-2</v>
      </c>
    </row>
    <row r="313" spans="31:34" x14ac:dyDescent="0.25">
      <c r="AE313" s="3">
        <v>6612</v>
      </c>
      <c r="AF313" s="3" t="s">
        <v>458</v>
      </c>
      <c r="AG313" s="3">
        <v>9.66</v>
      </c>
      <c r="AH313" s="15">
        <f t="shared" si="9"/>
        <v>9.6600000000000002E-3</v>
      </c>
    </row>
    <row r="314" spans="31:34" x14ac:dyDescent="0.25">
      <c r="AE314" s="3">
        <v>6613</v>
      </c>
      <c r="AF314" s="3" t="s">
        <v>459</v>
      </c>
      <c r="AG314" s="3">
        <v>9.66</v>
      </c>
      <c r="AH314" s="15">
        <f t="shared" si="9"/>
        <v>9.6600000000000002E-3</v>
      </c>
    </row>
    <row r="315" spans="31:34" x14ac:dyDescent="0.25">
      <c r="AE315" s="3">
        <v>6614</v>
      </c>
      <c r="AF315" s="3" t="s">
        <v>460</v>
      </c>
      <c r="AG315" s="3">
        <v>12.54</v>
      </c>
      <c r="AH315" s="15">
        <f t="shared" si="9"/>
        <v>1.2539999999999999E-2</v>
      </c>
    </row>
    <row r="316" spans="31:34" x14ac:dyDescent="0.25">
      <c r="AE316" s="3">
        <v>6615</v>
      </c>
      <c r="AF316" s="3" t="s">
        <v>461</v>
      </c>
      <c r="AG316" s="3">
        <v>12.54</v>
      </c>
      <c r="AH316" s="15">
        <f t="shared" si="9"/>
        <v>1.2539999999999999E-2</v>
      </c>
    </row>
    <row r="317" spans="31:34" x14ac:dyDescent="0.25">
      <c r="AE317" s="3">
        <v>6619</v>
      </c>
      <c r="AF317" s="3" t="s">
        <v>462</v>
      </c>
      <c r="AG317" s="3">
        <v>12.54</v>
      </c>
      <c r="AH317" s="15">
        <f t="shared" si="9"/>
        <v>1.2539999999999999E-2</v>
      </c>
    </row>
    <row r="318" spans="31:34" x14ac:dyDescent="0.25">
      <c r="AE318" s="3">
        <v>6621</v>
      </c>
      <c r="AF318" s="3" t="s">
        <v>463</v>
      </c>
      <c r="AG318" s="3">
        <v>12.54</v>
      </c>
      <c r="AH318" s="15">
        <f t="shared" si="9"/>
        <v>1.2539999999999999E-2</v>
      </c>
    </row>
    <row r="319" spans="31:34" x14ac:dyDescent="0.25">
      <c r="AE319" s="3">
        <v>6629</v>
      </c>
      <c r="AF319" s="3" t="s">
        <v>464</v>
      </c>
      <c r="AG319" s="3">
        <v>9.66</v>
      </c>
      <c r="AH319" s="15">
        <f t="shared" si="9"/>
        <v>9.6600000000000002E-3</v>
      </c>
    </row>
    <row r="320" spans="31:34" x14ac:dyDescent="0.25">
      <c r="AE320" s="3">
        <v>6630</v>
      </c>
      <c r="AF320" s="3" t="s">
        <v>465</v>
      </c>
      <c r="AG320" s="3">
        <v>12.54</v>
      </c>
      <c r="AH320" s="15">
        <f t="shared" si="9"/>
        <v>1.2539999999999999E-2</v>
      </c>
    </row>
    <row r="321" spans="31:34" x14ac:dyDescent="0.25">
      <c r="AE321" s="3">
        <v>6810</v>
      </c>
      <c r="AF321" s="3" t="s">
        <v>466</v>
      </c>
      <c r="AG321" s="3">
        <v>9.66</v>
      </c>
      <c r="AH321" s="15">
        <f t="shared" si="9"/>
        <v>9.6600000000000002E-3</v>
      </c>
    </row>
    <row r="322" spans="31:34" x14ac:dyDescent="0.25">
      <c r="AE322" s="3">
        <v>6820</v>
      </c>
      <c r="AF322" s="3" t="s">
        <v>467</v>
      </c>
      <c r="AG322" s="3">
        <v>9.66</v>
      </c>
      <c r="AH322" s="15">
        <f t="shared" si="9"/>
        <v>9.6600000000000002E-3</v>
      </c>
    </row>
    <row r="323" spans="31:34" x14ac:dyDescent="0.25">
      <c r="AE323" s="3">
        <v>7310</v>
      </c>
      <c r="AF323" s="3" t="s">
        <v>468</v>
      </c>
      <c r="AG323" s="3">
        <v>9.66</v>
      </c>
      <c r="AH323" s="15">
        <f t="shared" si="9"/>
        <v>9.6600000000000002E-3</v>
      </c>
    </row>
    <row r="324" spans="31:34" x14ac:dyDescent="0.25">
      <c r="AE324" s="3">
        <v>7420</v>
      </c>
      <c r="AF324" s="3" t="s">
        <v>469</v>
      </c>
      <c r="AG324" s="3">
        <v>9.66</v>
      </c>
      <c r="AH324" s="15">
        <f t="shared" si="9"/>
        <v>9.6600000000000002E-3</v>
      </c>
    </row>
    <row r="325" spans="31:34" x14ac:dyDescent="0.25">
      <c r="AE325" s="3">
        <v>7500</v>
      </c>
      <c r="AF325" s="3" t="s">
        <v>470</v>
      </c>
      <c r="AG325" s="3">
        <v>9.66</v>
      </c>
      <c r="AH325" s="15">
        <f t="shared" ref="AH325:AH388" si="10">AG325/1000</f>
        <v>9.6600000000000002E-3</v>
      </c>
    </row>
    <row r="326" spans="31:34" x14ac:dyDescent="0.25">
      <c r="AE326" s="3">
        <v>7710</v>
      </c>
      <c r="AF326" s="3" t="s">
        <v>471</v>
      </c>
      <c r="AG326" s="3">
        <v>9.66</v>
      </c>
      <c r="AH326" s="15">
        <f t="shared" si="10"/>
        <v>9.6600000000000002E-3</v>
      </c>
    </row>
    <row r="327" spans="31:34" x14ac:dyDescent="0.25">
      <c r="AE327" s="3">
        <v>7721</v>
      </c>
      <c r="AF327" s="3" t="s">
        <v>472</v>
      </c>
      <c r="AG327" s="3">
        <v>9.66</v>
      </c>
      <c r="AH327" s="15">
        <f t="shared" si="10"/>
        <v>9.6600000000000002E-3</v>
      </c>
    </row>
    <row r="328" spans="31:34" x14ac:dyDescent="0.25">
      <c r="AE328" s="3">
        <v>7722</v>
      </c>
      <c r="AF328" s="3" t="s">
        <v>473</v>
      </c>
      <c r="AG328" s="3">
        <v>9.66</v>
      </c>
      <c r="AH328" s="15">
        <f t="shared" si="10"/>
        <v>9.6600000000000002E-3</v>
      </c>
    </row>
    <row r="329" spans="31:34" x14ac:dyDescent="0.25">
      <c r="AE329" s="3">
        <v>7729</v>
      </c>
      <c r="AF329" s="3" t="s">
        <v>474</v>
      </c>
      <c r="AG329" s="3">
        <v>9.66</v>
      </c>
      <c r="AH329" s="15">
        <f t="shared" si="10"/>
        <v>9.6600000000000002E-3</v>
      </c>
    </row>
    <row r="330" spans="31:34" x14ac:dyDescent="0.25">
      <c r="AE330" s="3">
        <v>7730</v>
      </c>
      <c r="AF330" s="3" t="s">
        <v>475</v>
      </c>
      <c r="AG330" s="3">
        <v>9.66</v>
      </c>
      <c r="AH330" s="15">
        <f t="shared" si="10"/>
        <v>9.6600000000000002E-3</v>
      </c>
    </row>
    <row r="331" spans="31:34" x14ac:dyDescent="0.25">
      <c r="AE331" s="3">
        <v>7740</v>
      </c>
      <c r="AF331" s="3" t="s">
        <v>476</v>
      </c>
      <c r="AG331" s="3">
        <v>9.66</v>
      </c>
      <c r="AH331" s="15">
        <f t="shared" si="10"/>
        <v>9.6600000000000002E-3</v>
      </c>
    </row>
    <row r="332" spans="31:34" x14ac:dyDescent="0.25">
      <c r="AE332" s="3">
        <v>7810</v>
      </c>
      <c r="AF332" s="3" t="s">
        <v>477</v>
      </c>
      <c r="AG332" s="3">
        <v>9.66</v>
      </c>
      <c r="AH332" s="15">
        <f t="shared" si="10"/>
        <v>9.6600000000000002E-3</v>
      </c>
    </row>
    <row r="333" spans="31:34" x14ac:dyDescent="0.25">
      <c r="AE333" s="3">
        <v>7820</v>
      </c>
      <c r="AF333" s="3" t="s">
        <v>478</v>
      </c>
      <c r="AG333" s="3">
        <v>9.66</v>
      </c>
      <c r="AH333" s="15">
        <f t="shared" si="10"/>
        <v>9.6600000000000002E-3</v>
      </c>
    </row>
    <row r="334" spans="31:34" x14ac:dyDescent="0.25">
      <c r="AE334" s="3">
        <v>7830</v>
      </c>
      <c r="AF334" s="3" t="s">
        <v>479</v>
      </c>
      <c r="AG334" s="3">
        <v>9.66</v>
      </c>
      <c r="AH334" s="15">
        <f t="shared" si="10"/>
        <v>9.6600000000000002E-3</v>
      </c>
    </row>
    <row r="335" spans="31:34" x14ac:dyDescent="0.25">
      <c r="AE335" s="3">
        <v>7911</v>
      </c>
      <c r="AF335" s="3" t="s">
        <v>480</v>
      </c>
      <c r="AG335" s="3">
        <v>9.66</v>
      </c>
      <c r="AH335" s="15">
        <f t="shared" si="10"/>
        <v>9.6600000000000002E-3</v>
      </c>
    </row>
    <row r="336" spans="31:34" x14ac:dyDescent="0.25">
      <c r="AE336" s="3">
        <v>7912</v>
      </c>
      <c r="AF336" s="3" t="s">
        <v>481</v>
      </c>
      <c r="AG336" s="3">
        <v>9.66</v>
      </c>
      <c r="AH336" s="15">
        <f t="shared" si="10"/>
        <v>9.6600000000000002E-3</v>
      </c>
    </row>
    <row r="337" spans="31:34" x14ac:dyDescent="0.25">
      <c r="AE337" s="3">
        <v>7990</v>
      </c>
      <c r="AF337" s="3" t="s">
        <v>482</v>
      </c>
      <c r="AG337" s="3">
        <v>9.66</v>
      </c>
      <c r="AH337" s="15">
        <f t="shared" si="10"/>
        <v>9.6600000000000002E-3</v>
      </c>
    </row>
    <row r="338" spans="31:34" x14ac:dyDescent="0.25">
      <c r="AE338" s="3">
        <v>8010</v>
      </c>
      <c r="AF338" s="3" t="s">
        <v>483</v>
      </c>
      <c r="AG338" s="3">
        <v>13.8</v>
      </c>
      <c r="AH338" s="15">
        <f t="shared" si="10"/>
        <v>1.3800000000000002E-2</v>
      </c>
    </row>
    <row r="339" spans="31:34" x14ac:dyDescent="0.25">
      <c r="AE339" s="3">
        <v>8020</v>
      </c>
      <c r="AF339" s="3" t="s">
        <v>484</v>
      </c>
      <c r="AG339" s="3">
        <v>13.8</v>
      </c>
      <c r="AH339" s="15">
        <f t="shared" si="10"/>
        <v>1.3800000000000002E-2</v>
      </c>
    </row>
    <row r="340" spans="31:34" x14ac:dyDescent="0.25">
      <c r="AE340" s="3">
        <v>8030</v>
      </c>
      <c r="AF340" s="3" t="s">
        <v>485</v>
      </c>
      <c r="AG340" s="3">
        <v>13.8</v>
      </c>
      <c r="AH340" s="15">
        <f t="shared" si="10"/>
        <v>1.3800000000000002E-2</v>
      </c>
    </row>
    <row r="341" spans="31:34" x14ac:dyDescent="0.25">
      <c r="AE341" s="3">
        <v>8110</v>
      </c>
      <c r="AF341" s="3" t="s">
        <v>486</v>
      </c>
      <c r="AG341" s="3">
        <v>9.66</v>
      </c>
      <c r="AH341" s="15">
        <f t="shared" si="10"/>
        <v>9.6600000000000002E-3</v>
      </c>
    </row>
    <row r="342" spans="31:34" x14ac:dyDescent="0.25">
      <c r="AE342" s="3">
        <v>8121</v>
      </c>
      <c r="AF342" s="3" t="s">
        <v>487</v>
      </c>
      <c r="AG342" s="3">
        <v>9.66</v>
      </c>
      <c r="AH342" s="15">
        <f t="shared" si="10"/>
        <v>9.6600000000000002E-3</v>
      </c>
    </row>
    <row r="343" spans="31:34" x14ac:dyDescent="0.25">
      <c r="AE343" s="3">
        <v>8129</v>
      </c>
      <c r="AF343" s="3" t="s">
        <v>488</v>
      </c>
      <c r="AG343" s="3">
        <v>9.66</v>
      </c>
      <c r="AH343" s="15">
        <f t="shared" si="10"/>
        <v>9.6600000000000002E-3</v>
      </c>
    </row>
    <row r="344" spans="31:34" x14ac:dyDescent="0.25">
      <c r="AE344" s="3">
        <v>8130</v>
      </c>
      <c r="AF344" s="3" t="s">
        <v>489</v>
      </c>
      <c r="AG344" s="3">
        <v>9.66</v>
      </c>
      <c r="AH344" s="15">
        <f t="shared" si="10"/>
        <v>9.6600000000000002E-3</v>
      </c>
    </row>
    <row r="345" spans="31:34" x14ac:dyDescent="0.25">
      <c r="AE345" s="3">
        <v>8211</v>
      </c>
      <c r="AF345" s="3" t="s">
        <v>490</v>
      </c>
      <c r="AG345" s="3">
        <v>9.66</v>
      </c>
      <c r="AH345" s="15">
        <f t="shared" si="10"/>
        <v>9.6600000000000002E-3</v>
      </c>
    </row>
    <row r="346" spans="31:34" x14ac:dyDescent="0.25">
      <c r="AE346" s="3">
        <v>8219</v>
      </c>
      <c r="AF346" s="3" t="s">
        <v>491</v>
      </c>
      <c r="AG346" s="3">
        <v>9.66</v>
      </c>
      <c r="AH346" s="15">
        <f t="shared" si="10"/>
        <v>9.6600000000000002E-3</v>
      </c>
    </row>
    <row r="347" spans="31:34" x14ac:dyDescent="0.25">
      <c r="AE347" s="3">
        <v>8220</v>
      </c>
      <c r="AF347" s="3" t="s">
        <v>492</v>
      </c>
      <c r="AG347" s="3">
        <v>9.66</v>
      </c>
      <c r="AH347" s="15">
        <f t="shared" si="10"/>
        <v>9.6600000000000002E-3</v>
      </c>
    </row>
    <row r="348" spans="31:34" x14ac:dyDescent="0.25">
      <c r="AE348" s="3">
        <v>8230</v>
      </c>
      <c r="AF348" s="3" t="s">
        <v>493</v>
      </c>
      <c r="AG348" s="3">
        <v>9.66</v>
      </c>
      <c r="AH348" s="15">
        <f t="shared" si="10"/>
        <v>9.6600000000000002E-3</v>
      </c>
    </row>
    <row r="349" spans="31:34" x14ac:dyDescent="0.25">
      <c r="AE349" s="3">
        <v>8291</v>
      </c>
      <c r="AF349" s="3" t="s">
        <v>494</v>
      </c>
      <c r="AG349" s="3">
        <v>9.66</v>
      </c>
      <c r="AH349" s="15">
        <f t="shared" si="10"/>
        <v>9.6600000000000002E-3</v>
      </c>
    </row>
    <row r="350" spans="31:34" x14ac:dyDescent="0.25">
      <c r="AE350" s="3">
        <v>8292</v>
      </c>
      <c r="AF350" s="3" t="s">
        <v>495</v>
      </c>
      <c r="AG350" s="3">
        <v>9.66</v>
      </c>
      <c r="AH350" s="15">
        <f t="shared" si="10"/>
        <v>9.6600000000000002E-3</v>
      </c>
    </row>
    <row r="351" spans="31:34" x14ac:dyDescent="0.25">
      <c r="AE351" s="3">
        <v>8299</v>
      </c>
      <c r="AF351" s="3" t="s">
        <v>496</v>
      </c>
      <c r="AG351" s="3">
        <v>9.66</v>
      </c>
      <c r="AH351" s="15">
        <f t="shared" si="10"/>
        <v>9.6600000000000002E-3</v>
      </c>
    </row>
    <row r="352" spans="31:34" x14ac:dyDescent="0.25">
      <c r="AE352" s="3">
        <v>8511</v>
      </c>
      <c r="AF352" s="3" t="s">
        <v>497</v>
      </c>
      <c r="AG352" s="3">
        <v>7</v>
      </c>
      <c r="AH352" s="15">
        <f t="shared" si="10"/>
        <v>7.0000000000000001E-3</v>
      </c>
    </row>
    <row r="353" spans="31:34" x14ac:dyDescent="0.25">
      <c r="AE353" s="3">
        <v>8512</v>
      </c>
      <c r="AF353" s="3" t="s">
        <v>498</v>
      </c>
      <c r="AG353" s="3">
        <v>7</v>
      </c>
      <c r="AH353" s="15">
        <f t="shared" si="10"/>
        <v>7.0000000000000001E-3</v>
      </c>
    </row>
    <row r="354" spans="31:34" x14ac:dyDescent="0.25">
      <c r="AE354" s="3">
        <v>8513</v>
      </c>
      <c r="AF354" s="3" t="s">
        <v>499</v>
      </c>
      <c r="AG354" s="3">
        <v>7</v>
      </c>
      <c r="AH354" s="15">
        <f t="shared" si="10"/>
        <v>7.0000000000000001E-3</v>
      </c>
    </row>
    <row r="355" spans="31:34" x14ac:dyDescent="0.25">
      <c r="AE355" s="3">
        <v>8521</v>
      </c>
      <c r="AF355" s="3" t="s">
        <v>500</v>
      </c>
      <c r="AG355" s="3">
        <v>7</v>
      </c>
      <c r="AH355" s="15">
        <f t="shared" si="10"/>
        <v>7.0000000000000001E-3</v>
      </c>
    </row>
    <row r="356" spans="31:34" x14ac:dyDescent="0.25">
      <c r="AE356" s="3">
        <v>8522</v>
      </c>
      <c r="AF356" s="3" t="s">
        <v>501</v>
      </c>
      <c r="AG356" s="3">
        <v>7</v>
      </c>
      <c r="AH356" s="15">
        <f t="shared" si="10"/>
        <v>7.0000000000000001E-3</v>
      </c>
    </row>
    <row r="357" spans="31:34" x14ac:dyDescent="0.25">
      <c r="AE357" s="3">
        <v>8530</v>
      </c>
      <c r="AF357" s="3" t="s">
        <v>502</v>
      </c>
      <c r="AG357" s="3">
        <v>7</v>
      </c>
      <c r="AH357" s="15">
        <f t="shared" si="10"/>
        <v>7.0000000000000001E-3</v>
      </c>
    </row>
    <row r="358" spans="31:34" x14ac:dyDescent="0.25">
      <c r="AE358" s="3">
        <v>8541</v>
      </c>
      <c r="AF358" s="3" t="s">
        <v>503</v>
      </c>
      <c r="AG358" s="3">
        <v>9.66</v>
      </c>
      <c r="AH358" s="15">
        <f t="shared" si="10"/>
        <v>9.6600000000000002E-3</v>
      </c>
    </row>
    <row r="359" spans="31:34" x14ac:dyDescent="0.25">
      <c r="AE359" s="3">
        <v>8542</v>
      </c>
      <c r="AF359" s="3" t="s">
        <v>504</v>
      </c>
      <c r="AG359" s="3">
        <v>9.66</v>
      </c>
      <c r="AH359" s="15">
        <f t="shared" si="10"/>
        <v>9.6600000000000002E-3</v>
      </c>
    </row>
    <row r="360" spans="31:34" x14ac:dyDescent="0.25">
      <c r="AE360" s="3">
        <v>8543</v>
      </c>
      <c r="AF360" s="3" t="s">
        <v>505</v>
      </c>
      <c r="AG360" s="3">
        <v>9.66</v>
      </c>
      <c r="AH360" s="15">
        <f t="shared" si="10"/>
        <v>9.6600000000000002E-3</v>
      </c>
    </row>
    <row r="361" spans="31:34" x14ac:dyDescent="0.25">
      <c r="AE361" s="3">
        <v>8544</v>
      </c>
      <c r="AF361" s="3" t="s">
        <v>506</v>
      </c>
      <c r="AG361" s="3">
        <v>9.66</v>
      </c>
      <c r="AH361" s="15">
        <f t="shared" si="10"/>
        <v>9.6600000000000002E-3</v>
      </c>
    </row>
    <row r="362" spans="31:34" x14ac:dyDescent="0.25">
      <c r="AE362" s="3">
        <v>8551</v>
      </c>
      <c r="AF362" s="3" t="s">
        <v>507</v>
      </c>
      <c r="AG362" s="3">
        <v>9.66</v>
      </c>
      <c r="AH362" s="15">
        <f t="shared" si="10"/>
        <v>9.6600000000000002E-3</v>
      </c>
    </row>
    <row r="363" spans="31:34" x14ac:dyDescent="0.25">
      <c r="AE363" s="3">
        <v>8552</v>
      </c>
      <c r="AF363" s="3" t="s">
        <v>508</v>
      </c>
      <c r="AG363" s="3">
        <v>9.66</v>
      </c>
      <c r="AH363" s="15">
        <f t="shared" si="10"/>
        <v>9.6600000000000002E-3</v>
      </c>
    </row>
    <row r="364" spans="31:34" x14ac:dyDescent="0.25">
      <c r="AE364" s="3">
        <v>8553</v>
      </c>
      <c r="AF364" s="3" t="s">
        <v>509</v>
      </c>
      <c r="AG364" s="3">
        <v>9.66</v>
      </c>
      <c r="AH364" s="15">
        <f t="shared" si="10"/>
        <v>9.6600000000000002E-3</v>
      </c>
    </row>
    <row r="365" spans="31:34" x14ac:dyDescent="0.25">
      <c r="AE365" s="3">
        <v>8559</v>
      </c>
      <c r="AF365" s="3" t="s">
        <v>510</v>
      </c>
      <c r="AG365" s="3">
        <v>9.66</v>
      </c>
      <c r="AH365" s="15">
        <f t="shared" si="10"/>
        <v>9.6600000000000002E-3</v>
      </c>
    </row>
    <row r="366" spans="31:34" x14ac:dyDescent="0.25">
      <c r="AE366" s="3">
        <v>85591</v>
      </c>
      <c r="AF366" s="3" t="s">
        <v>511</v>
      </c>
      <c r="AG366" s="3">
        <v>9.66</v>
      </c>
      <c r="AH366" s="15">
        <f t="shared" si="10"/>
        <v>9.6600000000000002E-3</v>
      </c>
    </row>
    <row r="367" spans="31:34" x14ac:dyDescent="0.25">
      <c r="AE367" s="3">
        <v>85592</v>
      </c>
      <c r="AF367" s="3" t="s">
        <v>512</v>
      </c>
      <c r="AG367" s="3">
        <v>9.66</v>
      </c>
      <c r="AH367" s="15">
        <f t="shared" si="10"/>
        <v>9.6600000000000002E-3</v>
      </c>
    </row>
    <row r="368" spans="31:34" x14ac:dyDescent="0.25">
      <c r="AE368" s="3">
        <v>8560</v>
      </c>
      <c r="AF368" s="3" t="s">
        <v>513</v>
      </c>
      <c r="AG368" s="3">
        <v>9.66</v>
      </c>
      <c r="AH368" s="15">
        <f t="shared" si="10"/>
        <v>9.6600000000000002E-3</v>
      </c>
    </row>
    <row r="369" spans="31:34" x14ac:dyDescent="0.25">
      <c r="AE369" s="3">
        <v>8610</v>
      </c>
      <c r="AF369" s="3" t="s">
        <v>514</v>
      </c>
      <c r="AG369" s="3">
        <v>9.66</v>
      </c>
      <c r="AH369" s="15">
        <f t="shared" si="10"/>
        <v>9.6600000000000002E-3</v>
      </c>
    </row>
    <row r="370" spans="31:34" x14ac:dyDescent="0.25">
      <c r="AE370" s="3">
        <v>8720</v>
      </c>
      <c r="AF370" s="3" t="s">
        <v>515</v>
      </c>
      <c r="AG370" s="3">
        <v>9.66</v>
      </c>
      <c r="AH370" s="15">
        <f t="shared" si="10"/>
        <v>9.6600000000000002E-3</v>
      </c>
    </row>
    <row r="371" spans="31:34" x14ac:dyDescent="0.25">
      <c r="AE371" s="3">
        <v>8730</v>
      </c>
      <c r="AF371" s="3" t="s">
        <v>516</v>
      </c>
      <c r="AG371" s="3">
        <v>9.66</v>
      </c>
      <c r="AH371" s="15">
        <f t="shared" si="10"/>
        <v>9.6600000000000002E-3</v>
      </c>
    </row>
    <row r="372" spans="31:34" x14ac:dyDescent="0.25">
      <c r="AE372" s="3">
        <v>8790</v>
      </c>
      <c r="AF372" s="3" t="s">
        <v>517</v>
      </c>
      <c r="AG372" s="3">
        <v>9.66</v>
      </c>
      <c r="AH372" s="15">
        <f t="shared" si="10"/>
        <v>9.6600000000000002E-3</v>
      </c>
    </row>
    <row r="373" spans="31:34" x14ac:dyDescent="0.25">
      <c r="AE373" s="3">
        <v>8810</v>
      </c>
      <c r="AF373" s="3" t="s">
        <v>518</v>
      </c>
      <c r="AG373" s="3">
        <v>9.66</v>
      </c>
      <c r="AH373" s="15">
        <f t="shared" si="10"/>
        <v>9.6600000000000002E-3</v>
      </c>
    </row>
    <row r="374" spans="31:34" x14ac:dyDescent="0.25">
      <c r="AE374" s="3">
        <v>8891</v>
      </c>
      <c r="AF374" s="3" t="s">
        <v>519</v>
      </c>
      <c r="AG374" s="3">
        <v>9.66</v>
      </c>
      <c r="AH374" s="15">
        <f t="shared" si="10"/>
        <v>9.6600000000000002E-3</v>
      </c>
    </row>
    <row r="375" spans="31:34" x14ac:dyDescent="0.25">
      <c r="AE375" s="3">
        <v>8899</v>
      </c>
      <c r="AF375" s="3" t="s">
        <v>520</v>
      </c>
      <c r="AG375" s="3">
        <v>9.66</v>
      </c>
      <c r="AH375" s="15">
        <f t="shared" si="10"/>
        <v>9.6600000000000002E-3</v>
      </c>
    </row>
    <row r="376" spans="31:34" x14ac:dyDescent="0.25">
      <c r="AE376" s="3">
        <v>9321</v>
      </c>
      <c r="AF376" s="3" t="s">
        <v>521</v>
      </c>
      <c r="AG376" s="3">
        <v>9.66</v>
      </c>
      <c r="AH376" s="15">
        <f t="shared" si="10"/>
        <v>9.6600000000000002E-3</v>
      </c>
    </row>
    <row r="377" spans="31:34" x14ac:dyDescent="0.25">
      <c r="AE377" s="3">
        <v>9411</v>
      </c>
      <c r="AF377" s="3" t="s">
        <v>522</v>
      </c>
      <c r="AG377" s="3">
        <v>9.66</v>
      </c>
      <c r="AH377" s="15">
        <f t="shared" si="10"/>
        <v>9.6600000000000002E-3</v>
      </c>
    </row>
    <row r="378" spans="31:34" x14ac:dyDescent="0.25">
      <c r="AE378" s="3">
        <v>9499</v>
      </c>
      <c r="AF378" s="3" t="s">
        <v>523</v>
      </c>
      <c r="AG378" s="3">
        <v>9.66</v>
      </c>
      <c r="AH378" s="15">
        <f t="shared" si="10"/>
        <v>9.6600000000000002E-3</v>
      </c>
    </row>
    <row r="379" spans="31:34" x14ac:dyDescent="0.25">
      <c r="AE379" s="3">
        <v>9511</v>
      </c>
      <c r="AF379" s="3" t="s">
        <v>524</v>
      </c>
      <c r="AG379" s="3">
        <v>9.66</v>
      </c>
      <c r="AH379" s="15">
        <f t="shared" si="10"/>
        <v>9.6600000000000002E-3</v>
      </c>
    </row>
    <row r="380" spans="31:34" x14ac:dyDescent="0.25">
      <c r="AE380" s="3">
        <v>9512</v>
      </c>
      <c r="AF380" s="3" t="s">
        <v>525</v>
      </c>
      <c r="AG380" s="3">
        <v>9.66</v>
      </c>
      <c r="AH380" s="15">
        <f t="shared" si="10"/>
        <v>9.6600000000000002E-3</v>
      </c>
    </row>
    <row r="381" spans="31:34" x14ac:dyDescent="0.25">
      <c r="AE381" s="3">
        <v>9521</v>
      </c>
      <c r="AF381" s="3" t="s">
        <v>526</v>
      </c>
      <c r="AG381" s="3">
        <v>9.66</v>
      </c>
      <c r="AH381" s="15">
        <f t="shared" si="10"/>
        <v>9.6600000000000002E-3</v>
      </c>
    </row>
    <row r="382" spans="31:34" x14ac:dyDescent="0.25">
      <c r="AE382" s="3">
        <v>9522</v>
      </c>
      <c r="AF382" s="3" t="s">
        <v>527</v>
      </c>
      <c r="AG382" s="3">
        <v>9.66</v>
      </c>
      <c r="AH382" s="15">
        <f t="shared" si="10"/>
        <v>9.6600000000000002E-3</v>
      </c>
    </row>
    <row r="383" spans="31:34" x14ac:dyDescent="0.25">
      <c r="AE383" s="3">
        <v>9523</v>
      </c>
      <c r="AF383" s="3" t="s">
        <v>528</v>
      </c>
      <c r="AG383" s="3">
        <v>9.66</v>
      </c>
      <c r="AH383" s="15">
        <f t="shared" si="10"/>
        <v>9.6600000000000002E-3</v>
      </c>
    </row>
    <row r="384" spans="31:34" x14ac:dyDescent="0.25">
      <c r="AE384" s="3">
        <v>9524</v>
      </c>
      <c r="AF384" s="3" t="s">
        <v>529</v>
      </c>
      <c r="AG384" s="3">
        <v>9.66</v>
      </c>
      <c r="AH384" s="15">
        <f t="shared" si="10"/>
        <v>9.6600000000000002E-3</v>
      </c>
    </row>
    <row r="385" spans="31:34" x14ac:dyDescent="0.25">
      <c r="AE385" s="3">
        <v>9529</v>
      </c>
      <c r="AF385" s="3" t="s">
        <v>530</v>
      </c>
      <c r="AG385" s="3">
        <v>9.66</v>
      </c>
      <c r="AH385" s="15">
        <f t="shared" si="10"/>
        <v>9.6600000000000002E-3</v>
      </c>
    </row>
    <row r="386" spans="31:34" x14ac:dyDescent="0.25">
      <c r="AE386" s="3">
        <v>9601</v>
      </c>
      <c r="AF386" s="3" t="s">
        <v>531</v>
      </c>
      <c r="AG386" s="3">
        <v>9.66</v>
      </c>
      <c r="AH386" s="15">
        <f t="shared" si="10"/>
        <v>9.6600000000000002E-3</v>
      </c>
    </row>
    <row r="387" spans="31:34" x14ac:dyDescent="0.25">
      <c r="AE387" s="3">
        <v>9602</v>
      </c>
      <c r="AF387" s="3" t="s">
        <v>532</v>
      </c>
      <c r="AG387" s="3">
        <v>9.66</v>
      </c>
      <c r="AH387" s="15">
        <f t="shared" si="10"/>
        <v>9.6600000000000002E-3</v>
      </c>
    </row>
    <row r="388" spans="31:34" x14ac:dyDescent="0.25">
      <c r="AE388" s="3">
        <v>9603</v>
      </c>
      <c r="AF388" s="3" t="s">
        <v>533</v>
      </c>
      <c r="AG388" s="3">
        <v>9.66</v>
      </c>
      <c r="AH388" s="15">
        <f t="shared" si="10"/>
        <v>9.6600000000000002E-3</v>
      </c>
    </row>
    <row r="389" spans="31:34" x14ac:dyDescent="0.25">
      <c r="AE389" s="3">
        <v>9609</v>
      </c>
      <c r="AF389" s="3" t="s">
        <v>534</v>
      </c>
      <c r="AG389" s="3">
        <v>9.66</v>
      </c>
      <c r="AH389" s="15">
        <f t="shared" ref="AH389:AH452" si="11">AG389/1000</f>
        <v>9.6600000000000002E-3</v>
      </c>
    </row>
    <row r="390" spans="31:34" x14ac:dyDescent="0.25">
      <c r="AE390" s="3">
        <v>10201</v>
      </c>
      <c r="AF390" s="3" t="s">
        <v>535</v>
      </c>
      <c r="AG390" s="3">
        <v>4.1399999999999997</v>
      </c>
      <c r="AH390" s="15">
        <f t="shared" si="11"/>
        <v>4.1399999999999996E-3</v>
      </c>
    </row>
    <row r="391" spans="31:34" x14ac:dyDescent="0.25">
      <c r="AE391" s="3">
        <v>10202</v>
      </c>
      <c r="AF391" s="3" t="s">
        <v>536</v>
      </c>
      <c r="AG391" s="3">
        <v>11.04</v>
      </c>
      <c r="AH391" s="15">
        <f t="shared" si="11"/>
        <v>1.1039999999999999E-2</v>
      </c>
    </row>
    <row r="392" spans="31:34" x14ac:dyDescent="0.25">
      <c r="AE392" s="3">
        <v>10401</v>
      </c>
      <c r="AF392" s="3" t="s">
        <v>537</v>
      </c>
      <c r="AG392" s="3">
        <v>4.1399999999999997</v>
      </c>
      <c r="AH392" s="15">
        <f t="shared" si="11"/>
        <v>4.1399999999999996E-3</v>
      </c>
    </row>
    <row r="393" spans="31:34" x14ac:dyDescent="0.25">
      <c r="AE393" s="3">
        <v>10402</v>
      </c>
      <c r="AF393" s="3" t="s">
        <v>538</v>
      </c>
      <c r="AG393" s="3">
        <v>11.04</v>
      </c>
      <c r="AH393" s="15">
        <f t="shared" si="11"/>
        <v>1.1039999999999999E-2</v>
      </c>
    </row>
    <row r="394" spans="31:34" x14ac:dyDescent="0.25">
      <c r="AE394" s="3">
        <v>14201</v>
      </c>
      <c r="AF394" s="3" t="s">
        <v>539</v>
      </c>
      <c r="AG394" s="3">
        <v>4.1399999999999997</v>
      </c>
      <c r="AH394" s="15">
        <f t="shared" si="11"/>
        <v>4.1399999999999996E-3</v>
      </c>
    </row>
    <row r="395" spans="31:34" x14ac:dyDescent="0.25">
      <c r="AE395" s="3">
        <v>14202</v>
      </c>
      <c r="AF395" s="3" t="s">
        <v>540</v>
      </c>
      <c r="AG395" s="3">
        <v>11.04</v>
      </c>
      <c r="AH395" s="15">
        <f t="shared" si="11"/>
        <v>1.1039999999999999E-2</v>
      </c>
    </row>
    <row r="396" spans="31:34" x14ac:dyDescent="0.25">
      <c r="AE396" s="3">
        <v>14301</v>
      </c>
      <c r="AF396" s="3" t="s">
        <v>541</v>
      </c>
      <c r="AG396" s="3">
        <v>4.1399999999999997</v>
      </c>
      <c r="AH396" s="15">
        <f t="shared" si="11"/>
        <v>4.1399999999999996E-3</v>
      </c>
    </row>
    <row r="397" spans="31:34" x14ac:dyDescent="0.25">
      <c r="AE397" s="3">
        <v>14302</v>
      </c>
      <c r="AF397" s="3" t="s">
        <v>542</v>
      </c>
      <c r="AG397" s="3">
        <v>11.04</v>
      </c>
      <c r="AH397" s="15">
        <f t="shared" si="11"/>
        <v>1.1039999999999999E-2</v>
      </c>
    </row>
    <row r="398" spans="31:34" x14ac:dyDescent="0.25">
      <c r="AE398" s="3">
        <v>35201</v>
      </c>
      <c r="AF398" s="3" t="s">
        <v>543</v>
      </c>
      <c r="AG398" s="3">
        <v>11.04</v>
      </c>
      <c r="AH398" s="15">
        <f t="shared" si="11"/>
        <v>1.1039999999999999E-2</v>
      </c>
    </row>
    <row r="399" spans="31:34" x14ac:dyDescent="0.25">
      <c r="AE399" s="3">
        <v>35202</v>
      </c>
      <c r="AF399" s="3" t="s">
        <v>544</v>
      </c>
      <c r="AG399" s="3">
        <v>9.66</v>
      </c>
      <c r="AH399" s="15">
        <f t="shared" si="11"/>
        <v>9.6600000000000002E-3</v>
      </c>
    </row>
    <row r="400" spans="31:34" x14ac:dyDescent="0.25">
      <c r="AE400" s="3">
        <v>36001</v>
      </c>
      <c r="AF400" s="3" t="s">
        <v>545</v>
      </c>
      <c r="AG400" s="3">
        <v>11.04</v>
      </c>
      <c r="AH400" s="15">
        <f t="shared" si="11"/>
        <v>1.1039999999999999E-2</v>
      </c>
    </row>
    <row r="401" spans="31:34" x14ac:dyDescent="0.25">
      <c r="AE401" s="3">
        <v>36002</v>
      </c>
      <c r="AF401" s="3" t="s">
        <v>546</v>
      </c>
      <c r="AG401" s="3">
        <v>9.66</v>
      </c>
      <c r="AH401" s="15">
        <f t="shared" si="11"/>
        <v>9.6600000000000002E-3</v>
      </c>
    </row>
    <row r="402" spans="31:34" x14ac:dyDescent="0.25">
      <c r="AE402" s="3">
        <v>39001</v>
      </c>
      <c r="AF402" s="3" t="s">
        <v>547</v>
      </c>
      <c r="AG402" s="3">
        <v>9.66</v>
      </c>
      <c r="AH402" s="15">
        <f t="shared" si="11"/>
        <v>9.6600000000000002E-3</v>
      </c>
    </row>
    <row r="403" spans="31:34" x14ac:dyDescent="0.25">
      <c r="AE403" s="3">
        <v>39002</v>
      </c>
      <c r="AF403" s="3" t="s">
        <v>548</v>
      </c>
      <c r="AG403" s="3">
        <v>6.9</v>
      </c>
      <c r="AH403" s="15">
        <f t="shared" si="11"/>
        <v>6.9000000000000008E-3</v>
      </c>
    </row>
    <row r="404" spans="31:34" x14ac:dyDescent="0.25">
      <c r="AE404" s="3">
        <v>45411</v>
      </c>
      <c r="AF404" s="3" t="s">
        <v>549</v>
      </c>
      <c r="AG404" s="3">
        <v>6.9</v>
      </c>
      <c r="AH404" s="15">
        <f t="shared" si="11"/>
        <v>6.9000000000000008E-3</v>
      </c>
    </row>
    <row r="405" spans="31:34" x14ac:dyDescent="0.25">
      <c r="AE405" s="3">
        <v>45412</v>
      </c>
      <c r="AF405" s="3" t="s">
        <v>550</v>
      </c>
      <c r="AG405" s="3">
        <v>11.04</v>
      </c>
      <c r="AH405" s="15">
        <f t="shared" si="11"/>
        <v>1.1039999999999999E-2</v>
      </c>
    </row>
    <row r="406" spans="31:34" x14ac:dyDescent="0.25">
      <c r="AE406" s="3">
        <v>46201</v>
      </c>
      <c r="AF406" s="3" t="s">
        <v>551</v>
      </c>
      <c r="AG406" s="3">
        <v>4.1399999999999997</v>
      </c>
      <c r="AH406" s="15">
        <f t="shared" si="11"/>
        <v>4.1399999999999996E-3</v>
      </c>
    </row>
    <row r="407" spans="31:34" x14ac:dyDescent="0.25">
      <c r="AE407" s="3">
        <v>46202</v>
      </c>
      <c r="AF407" s="3" t="s">
        <v>552</v>
      </c>
      <c r="AG407" s="3">
        <v>11.04</v>
      </c>
      <c r="AH407" s="15">
        <f t="shared" si="11"/>
        <v>1.1039999999999999E-2</v>
      </c>
    </row>
    <row r="408" spans="31:34" x14ac:dyDescent="0.25">
      <c r="AE408" s="3">
        <v>46321</v>
      </c>
      <c r="AF408" s="3" t="s">
        <v>553</v>
      </c>
      <c r="AG408" s="3">
        <v>11.04</v>
      </c>
      <c r="AH408" s="15">
        <f t="shared" si="11"/>
        <v>1.1039999999999999E-2</v>
      </c>
    </row>
    <row r="409" spans="31:34" x14ac:dyDescent="0.25">
      <c r="AE409" s="3">
        <v>46322</v>
      </c>
      <c r="AF409" s="3" t="s">
        <v>554</v>
      </c>
      <c r="AG409" s="3">
        <v>13.8</v>
      </c>
      <c r="AH409" s="15">
        <f t="shared" si="11"/>
        <v>1.3800000000000002E-2</v>
      </c>
    </row>
    <row r="410" spans="31:34" x14ac:dyDescent="0.25">
      <c r="AE410" s="3">
        <v>46451</v>
      </c>
      <c r="AF410" s="3" t="s">
        <v>555</v>
      </c>
      <c r="AG410" s="3">
        <v>4.1399999999999997</v>
      </c>
      <c r="AH410" s="15">
        <f t="shared" si="11"/>
        <v>4.1399999999999996E-3</v>
      </c>
    </row>
    <row r="411" spans="31:34" x14ac:dyDescent="0.25">
      <c r="AE411" s="3">
        <v>46452</v>
      </c>
      <c r="AF411" s="3" t="s">
        <v>556</v>
      </c>
      <c r="AG411" s="3">
        <v>11.04</v>
      </c>
      <c r="AH411" s="15">
        <f t="shared" si="11"/>
        <v>1.1039999999999999E-2</v>
      </c>
    </row>
    <row r="412" spans="31:34" x14ac:dyDescent="0.25">
      <c r="AE412" s="3">
        <v>46491</v>
      </c>
      <c r="AF412" s="3" t="s">
        <v>557</v>
      </c>
      <c r="AG412" s="3">
        <v>11.04</v>
      </c>
      <c r="AH412" s="15">
        <f t="shared" si="11"/>
        <v>1.1039999999999999E-2</v>
      </c>
    </row>
    <row r="413" spans="31:34" x14ac:dyDescent="0.25">
      <c r="AE413" s="3">
        <v>46492</v>
      </c>
      <c r="AF413" s="3" t="s">
        <v>558</v>
      </c>
      <c r="AG413" s="3">
        <v>13.8</v>
      </c>
      <c r="AH413" s="15">
        <f t="shared" si="11"/>
        <v>1.3800000000000002E-2</v>
      </c>
    </row>
    <row r="414" spans="31:34" x14ac:dyDescent="0.25">
      <c r="AE414" s="3">
        <v>46611</v>
      </c>
      <c r="AF414" s="3" t="s">
        <v>559</v>
      </c>
      <c r="AG414" s="3">
        <v>11.04</v>
      </c>
      <c r="AH414" s="15">
        <f t="shared" si="11"/>
        <v>1.1039999999999999E-2</v>
      </c>
    </row>
    <row r="415" spans="31:34" x14ac:dyDescent="0.25">
      <c r="AE415" s="3">
        <v>46612</v>
      </c>
      <c r="AF415" s="3" t="s">
        <v>560</v>
      </c>
      <c r="AG415" s="3">
        <v>13.8</v>
      </c>
      <c r="AH415" s="15">
        <f t="shared" si="11"/>
        <v>1.3800000000000002E-2</v>
      </c>
    </row>
    <row r="416" spans="31:34" x14ac:dyDescent="0.25">
      <c r="AE416" s="3">
        <v>46631</v>
      </c>
      <c r="AF416" s="3" t="s">
        <v>561</v>
      </c>
      <c r="AG416" s="3">
        <v>6.9</v>
      </c>
      <c r="AH416" s="15">
        <f t="shared" si="11"/>
        <v>6.9000000000000008E-3</v>
      </c>
    </row>
    <row r="417" spans="31:34" x14ac:dyDescent="0.25">
      <c r="AE417" s="3">
        <v>46632</v>
      </c>
      <c r="AF417" s="3" t="s">
        <v>562</v>
      </c>
      <c r="AG417" s="3">
        <v>11.04</v>
      </c>
      <c r="AH417" s="15">
        <f t="shared" si="11"/>
        <v>1.1039999999999999E-2</v>
      </c>
    </row>
    <row r="418" spans="31:34" x14ac:dyDescent="0.25">
      <c r="AE418" s="3">
        <v>47111</v>
      </c>
      <c r="AF418" s="3" t="s">
        <v>563</v>
      </c>
      <c r="AG418" s="3">
        <v>4.1399999999999997</v>
      </c>
      <c r="AH418" s="15">
        <f t="shared" si="11"/>
        <v>4.1399999999999996E-3</v>
      </c>
    </row>
    <row r="419" spans="31:34" x14ac:dyDescent="0.25">
      <c r="AE419" s="3">
        <v>47112</v>
      </c>
      <c r="AF419" s="3" t="s">
        <v>564</v>
      </c>
      <c r="AG419" s="3">
        <v>13.8</v>
      </c>
      <c r="AH419" s="15">
        <f t="shared" si="11"/>
        <v>1.3800000000000002E-2</v>
      </c>
    </row>
    <row r="420" spans="31:34" x14ac:dyDescent="0.25">
      <c r="AE420" s="3">
        <v>47191</v>
      </c>
      <c r="AF420" s="3" t="s">
        <v>565</v>
      </c>
      <c r="AG420" s="3">
        <v>11.04</v>
      </c>
      <c r="AH420" s="15">
        <f t="shared" si="11"/>
        <v>1.1039999999999999E-2</v>
      </c>
    </row>
    <row r="421" spans="31:34" x14ac:dyDescent="0.25">
      <c r="AE421" s="3">
        <v>47192</v>
      </c>
      <c r="AF421" s="3" t="s">
        <v>566</v>
      </c>
      <c r="AG421" s="3">
        <v>4.1399999999999997</v>
      </c>
      <c r="AH421" s="15">
        <f t="shared" si="11"/>
        <v>4.1399999999999996E-3</v>
      </c>
    </row>
    <row r="422" spans="31:34" x14ac:dyDescent="0.25">
      <c r="AE422" s="3">
        <v>47241</v>
      </c>
      <c r="AF422" s="3" t="s">
        <v>567</v>
      </c>
      <c r="AG422" s="3">
        <v>11.04</v>
      </c>
      <c r="AH422" s="15">
        <f t="shared" si="11"/>
        <v>1.1039999999999999E-2</v>
      </c>
    </row>
    <row r="423" spans="31:34" x14ac:dyDescent="0.25">
      <c r="AE423" s="3">
        <v>47242</v>
      </c>
      <c r="AF423" s="3" t="s">
        <v>568</v>
      </c>
      <c r="AG423" s="3">
        <v>13.8</v>
      </c>
      <c r="AH423" s="15">
        <f t="shared" si="11"/>
        <v>1.3800000000000002E-2</v>
      </c>
    </row>
    <row r="424" spans="31:34" x14ac:dyDescent="0.25">
      <c r="AE424" s="3">
        <v>47521</v>
      </c>
      <c r="AF424" s="3" t="s">
        <v>569</v>
      </c>
      <c r="AG424" s="3">
        <v>6.9</v>
      </c>
      <c r="AH424" s="15">
        <f t="shared" si="11"/>
        <v>6.9000000000000008E-3</v>
      </c>
    </row>
    <row r="425" spans="31:34" x14ac:dyDescent="0.25">
      <c r="AE425" s="3">
        <v>47522</v>
      </c>
      <c r="AF425" s="3" t="s">
        <v>570</v>
      </c>
      <c r="AG425" s="3">
        <v>11.04</v>
      </c>
      <c r="AH425" s="15">
        <f t="shared" si="11"/>
        <v>1.1039999999999999E-2</v>
      </c>
    </row>
    <row r="426" spans="31:34" x14ac:dyDescent="0.25">
      <c r="AE426" s="3">
        <v>47611</v>
      </c>
      <c r="AF426" s="3" t="s">
        <v>571</v>
      </c>
      <c r="AG426" s="3">
        <v>4.1399999999999997</v>
      </c>
      <c r="AH426" s="15">
        <f t="shared" si="11"/>
        <v>4.1399999999999996E-3</v>
      </c>
    </row>
    <row r="427" spans="31:34" x14ac:dyDescent="0.25">
      <c r="AE427" s="3">
        <v>47612</v>
      </c>
      <c r="AF427" s="3" t="s">
        <v>572</v>
      </c>
      <c r="AG427" s="3">
        <v>11.04</v>
      </c>
      <c r="AH427" s="15">
        <f t="shared" si="11"/>
        <v>1.1039999999999999E-2</v>
      </c>
    </row>
    <row r="428" spans="31:34" x14ac:dyDescent="0.25">
      <c r="AE428" s="3">
        <v>47731</v>
      </c>
      <c r="AF428" s="3" t="s">
        <v>573</v>
      </c>
      <c r="AG428" s="3">
        <v>4.1399999999999997</v>
      </c>
      <c r="AH428" s="15">
        <f t="shared" si="11"/>
        <v>4.1399999999999996E-3</v>
      </c>
    </row>
    <row r="429" spans="31:34" x14ac:dyDescent="0.25">
      <c r="AE429" s="3">
        <v>47732</v>
      </c>
      <c r="AF429" s="3" t="s">
        <v>574</v>
      </c>
      <c r="AG429" s="3">
        <v>11.04</v>
      </c>
      <c r="AH429" s="15">
        <f t="shared" si="11"/>
        <v>1.1039999999999999E-2</v>
      </c>
    </row>
    <row r="430" spans="31:34" x14ac:dyDescent="0.25">
      <c r="AE430" s="3">
        <v>47811</v>
      </c>
      <c r="AF430" s="3" t="s">
        <v>575</v>
      </c>
      <c r="AG430" s="3">
        <v>4.1399999999999997</v>
      </c>
      <c r="AH430" s="15">
        <f t="shared" si="11"/>
        <v>4.1399999999999996E-3</v>
      </c>
    </row>
    <row r="431" spans="31:34" x14ac:dyDescent="0.25">
      <c r="AE431" s="3">
        <v>47812</v>
      </c>
      <c r="AF431" s="3" t="s">
        <v>576</v>
      </c>
      <c r="AG431" s="3">
        <v>11.04</v>
      </c>
      <c r="AH431" s="15">
        <f t="shared" si="11"/>
        <v>1.1039999999999999E-2</v>
      </c>
    </row>
    <row r="432" spans="31:34" x14ac:dyDescent="0.25">
      <c r="AE432" s="3">
        <v>47813</v>
      </c>
      <c r="AF432" s="3" t="s">
        <v>577</v>
      </c>
      <c r="AG432" s="3">
        <v>13.8</v>
      </c>
      <c r="AH432" s="15">
        <f t="shared" si="11"/>
        <v>1.3800000000000002E-2</v>
      </c>
    </row>
    <row r="433" spans="31:34" x14ac:dyDescent="0.25">
      <c r="AE433" s="3">
        <v>47911</v>
      </c>
      <c r="AF433" s="3" t="s">
        <v>578</v>
      </c>
      <c r="AG433" s="3">
        <v>4.1399999999999997</v>
      </c>
      <c r="AH433" s="15">
        <f t="shared" si="11"/>
        <v>4.1399999999999996E-3</v>
      </c>
    </row>
    <row r="434" spans="31:34" x14ac:dyDescent="0.25">
      <c r="AE434" s="3">
        <v>47912</v>
      </c>
      <c r="AF434" s="3" t="s">
        <v>579</v>
      </c>
      <c r="AG434" s="3">
        <v>6.9</v>
      </c>
      <c r="AH434" s="15">
        <f t="shared" si="11"/>
        <v>6.9000000000000008E-3</v>
      </c>
    </row>
    <row r="435" spans="31:34" x14ac:dyDescent="0.25">
      <c r="AE435" s="3">
        <v>47913</v>
      </c>
      <c r="AF435" s="3" t="s">
        <v>580</v>
      </c>
      <c r="AG435" s="3">
        <v>13.8</v>
      </c>
      <c r="AH435" s="15">
        <f t="shared" si="11"/>
        <v>1.3800000000000002E-2</v>
      </c>
    </row>
    <row r="436" spans="31:34" x14ac:dyDescent="0.25">
      <c r="AE436" s="3">
        <v>47914</v>
      </c>
      <c r="AF436" s="3" t="s">
        <v>581</v>
      </c>
      <c r="AG436" s="3">
        <v>11.04</v>
      </c>
      <c r="AH436" s="15">
        <f t="shared" si="11"/>
        <v>1.1039999999999999E-2</v>
      </c>
    </row>
    <row r="437" spans="31:34" x14ac:dyDescent="0.25">
      <c r="AE437" s="3">
        <v>47921</v>
      </c>
      <c r="AF437" s="3" t="s">
        <v>582</v>
      </c>
      <c r="AG437" s="3">
        <v>4.1399999999999997</v>
      </c>
      <c r="AH437" s="15">
        <f t="shared" si="11"/>
        <v>4.1399999999999996E-3</v>
      </c>
    </row>
    <row r="438" spans="31:34" x14ac:dyDescent="0.25">
      <c r="AE438" s="3">
        <v>47922</v>
      </c>
      <c r="AF438" s="3" t="s">
        <v>583</v>
      </c>
      <c r="AG438" s="3">
        <v>6.9</v>
      </c>
      <c r="AH438" s="15">
        <f t="shared" si="11"/>
        <v>6.9000000000000008E-3</v>
      </c>
    </row>
    <row r="439" spans="31:34" x14ac:dyDescent="0.25">
      <c r="AE439" s="3">
        <v>47923</v>
      </c>
      <c r="AF439" s="3" t="s">
        <v>584</v>
      </c>
      <c r="AG439" s="3">
        <v>13.8</v>
      </c>
      <c r="AH439" s="15">
        <f t="shared" si="11"/>
        <v>1.3800000000000002E-2</v>
      </c>
    </row>
    <row r="440" spans="31:34" x14ac:dyDescent="0.25">
      <c r="AE440" s="3">
        <v>47924</v>
      </c>
      <c r="AF440" s="3" t="s">
        <v>585</v>
      </c>
      <c r="AG440" s="3">
        <v>11.04</v>
      </c>
      <c r="AH440" s="15">
        <f t="shared" si="11"/>
        <v>1.1039999999999999E-2</v>
      </c>
    </row>
    <row r="441" spans="31:34" x14ac:dyDescent="0.25">
      <c r="AE441" s="3">
        <v>47991</v>
      </c>
      <c r="AF441" s="3" t="s">
        <v>586</v>
      </c>
      <c r="AG441" s="3">
        <v>4.1399999999999997</v>
      </c>
      <c r="AH441" s="15">
        <f t="shared" si="11"/>
        <v>4.1399999999999996E-3</v>
      </c>
    </row>
    <row r="442" spans="31:34" x14ac:dyDescent="0.25">
      <c r="AE442" s="3">
        <v>47992</v>
      </c>
      <c r="AF442" s="3" t="s">
        <v>587</v>
      </c>
      <c r="AG442" s="3">
        <v>6.9</v>
      </c>
      <c r="AH442" s="15">
        <f t="shared" si="11"/>
        <v>6.9000000000000008E-3</v>
      </c>
    </row>
    <row r="443" spans="31:34" x14ac:dyDescent="0.25">
      <c r="AE443" s="3">
        <v>47993</v>
      </c>
      <c r="AF443" s="3" t="s">
        <v>588</v>
      </c>
      <c r="AG443" s="3">
        <v>13.8</v>
      </c>
      <c r="AH443" s="15">
        <f t="shared" si="11"/>
        <v>1.3800000000000002E-2</v>
      </c>
    </row>
    <row r="444" spans="31:34" x14ac:dyDescent="0.25">
      <c r="AE444" s="3">
        <v>47994</v>
      </c>
      <c r="AF444" s="3" t="s">
        <v>589</v>
      </c>
      <c r="AG444" s="3">
        <v>11.04</v>
      </c>
      <c r="AH444" s="15">
        <f t="shared" si="11"/>
        <v>1.1039999999999999E-2</v>
      </c>
    </row>
    <row r="445" spans="31:34" x14ac:dyDescent="0.25">
      <c r="AE445" s="3">
        <v>58111</v>
      </c>
      <c r="AF445" s="3" t="s">
        <v>590</v>
      </c>
      <c r="AG445" s="3">
        <v>4.1399999999999997</v>
      </c>
      <c r="AH445" s="15">
        <f t="shared" si="11"/>
        <v>4.1399999999999996E-3</v>
      </c>
    </row>
    <row r="446" spans="31:34" x14ac:dyDescent="0.25">
      <c r="AE446" s="3">
        <v>58112</v>
      </c>
      <c r="AF446" s="3" t="s">
        <v>591</v>
      </c>
      <c r="AG446" s="3">
        <v>8</v>
      </c>
      <c r="AH446" s="15">
        <f t="shared" si="11"/>
        <v>8.0000000000000002E-3</v>
      </c>
    </row>
    <row r="447" spans="31:34" x14ac:dyDescent="0.25">
      <c r="AE447" s="3">
        <v>58113</v>
      </c>
      <c r="AF447" s="3" t="s">
        <v>592</v>
      </c>
      <c r="AG447" s="3">
        <v>4.1399999999999997</v>
      </c>
      <c r="AH447" s="15">
        <f t="shared" si="11"/>
        <v>4.1399999999999996E-3</v>
      </c>
    </row>
    <row r="448" spans="31:34" x14ac:dyDescent="0.25">
      <c r="AE448" s="3">
        <v>60201</v>
      </c>
      <c r="AF448" s="3" t="s">
        <v>593</v>
      </c>
      <c r="AG448" s="3">
        <v>4.1399999999999997</v>
      </c>
      <c r="AH448" s="15">
        <f t="shared" si="11"/>
        <v>4.1399999999999996E-3</v>
      </c>
    </row>
    <row r="449" spans="31:34" x14ac:dyDescent="0.25">
      <c r="AE449" s="3">
        <v>60202</v>
      </c>
      <c r="AF449" s="3" t="s">
        <v>594</v>
      </c>
      <c r="AG449" s="3">
        <v>9.66</v>
      </c>
      <c r="AH449" s="15">
        <f t="shared" si="11"/>
        <v>9.6600000000000002E-3</v>
      </c>
    </row>
    <row r="450" spans="31:34" x14ac:dyDescent="0.25">
      <c r="AE450" s="3">
        <v>64991</v>
      </c>
      <c r="AF450" s="3" t="s">
        <v>595</v>
      </c>
      <c r="AG450" s="3">
        <v>12.54</v>
      </c>
      <c r="AH450" s="15">
        <f t="shared" si="11"/>
        <v>1.2539999999999999E-2</v>
      </c>
    </row>
    <row r="451" spans="31:34" x14ac:dyDescent="0.25">
      <c r="AE451" s="3">
        <v>64992</v>
      </c>
      <c r="AF451" s="3" t="s">
        <v>596</v>
      </c>
      <c r="AG451" s="3">
        <v>11.04</v>
      </c>
      <c r="AH451" s="15">
        <f t="shared" si="11"/>
        <v>1.1039999999999999E-2</v>
      </c>
    </row>
    <row r="452" spans="31:34" x14ac:dyDescent="0.25">
      <c r="AE452" s="3">
        <v>64993</v>
      </c>
      <c r="AF452" s="3" t="s">
        <v>597</v>
      </c>
      <c r="AG452" s="3">
        <v>13.8</v>
      </c>
      <c r="AH452" s="15">
        <f t="shared" si="11"/>
        <v>1.3800000000000002E-2</v>
      </c>
    </row>
    <row r="453" spans="31:34" x14ac:dyDescent="0.25">
      <c r="AE453" s="3">
        <v>66111</v>
      </c>
      <c r="AF453" s="3" t="s">
        <v>598</v>
      </c>
      <c r="AG453" s="3">
        <v>12.54</v>
      </c>
      <c r="AH453" s="15">
        <f t="shared" ref="AH453:AH490" si="12">AG453/1000</f>
        <v>1.2539999999999999E-2</v>
      </c>
    </row>
    <row r="454" spans="31:34" x14ac:dyDescent="0.25">
      <c r="AE454" s="3">
        <v>66112</v>
      </c>
      <c r="AF454" s="3" t="s">
        <v>599</v>
      </c>
      <c r="AG454" s="3">
        <v>9.66</v>
      </c>
      <c r="AH454" s="15">
        <f t="shared" si="12"/>
        <v>9.6600000000000002E-3</v>
      </c>
    </row>
    <row r="455" spans="31:34" x14ac:dyDescent="0.25">
      <c r="AE455" s="3">
        <v>69101</v>
      </c>
      <c r="AF455" s="3" t="s">
        <v>600</v>
      </c>
      <c r="AG455" s="3">
        <v>8.66</v>
      </c>
      <c r="AH455" s="15">
        <f t="shared" si="12"/>
        <v>8.6599999999999993E-3</v>
      </c>
    </row>
    <row r="456" spans="31:34" x14ac:dyDescent="0.25">
      <c r="AE456" s="3">
        <v>69102</v>
      </c>
      <c r="AF456" s="3" t="s">
        <v>601</v>
      </c>
      <c r="AG456" s="3">
        <v>7.66</v>
      </c>
      <c r="AH456" s="15">
        <f t="shared" si="12"/>
        <v>7.6600000000000001E-3</v>
      </c>
    </row>
    <row r="457" spans="31:34" x14ac:dyDescent="0.25">
      <c r="AE457" s="3">
        <v>69201</v>
      </c>
      <c r="AF457" s="3" t="s">
        <v>602</v>
      </c>
      <c r="AG457" s="3">
        <v>8.66</v>
      </c>
      <c r="AH457" s="15">
        <f t="shared" si="12"/>
        <v>8.6599999999999993E-3</v>
      </c>
    </row>
    <row r="458" spans="31:34" x14ac:dyDescent="0.25">
      <c r="AE458" s="3">
        <v>69202</v>
      </c>
      <c r="AF458" s="3" t="s">
        <v>603</v>
      </c>
      <c r="AG458" s="3">
        <v>7.66</v>
      </c>
      <c r="AH458" s="15">
        <f t="shared" si="12"/>
        <v>7.6600000000000001E-3</v>
      </c>
    </row>
    <row r="459" spans="31:34" x14ac:dyDescent="0.25">
      <c r="AE459" s="3">
        <v>70101</v>
      </c>
      <c r="AF459" s="3" t="s">
        <v>604</v>
      </c>
      <c r="AG459" s="3">
        <v>8.66</v>
      </c>
      <c r="AH459" s="15">
        <f t="shared" si="12"/>
        <v>8.6599999999999993E-3</v>
      </c>
    </row>
    <row r="460" spans="31:34" x14ac:dyDescent="0.25">
      <c r="AE460" s="3">
        <v>70102</v>
      </c>
      <c r="AF460" s="3" t="s">
        <v>605</v>
      </c>
      <c r="AG460" s="3">
        <v>7.66</v>
      </c>
      <c r="AH460" s="15">
        <f t="shared" si="12"/>
        <v>7.6600000000000001E-3</v>
      </c>
    </row>
    <row r="461" spans="31:34" x14ac:dyDescent="0.25">
      <c r="AE461" s="3">
        <v>70201</v>
      </c>
      <c r="AF461" s="3" t="s">
        <v>606</v>
      </c>
      <c r="AG461" s="3">
        <v>8.66</v>
      </c>
      <c r="AH461" s="15">
        <f t="shared" si="12"/>
        <v>8.6599999999999993E-3</v>
      </c>
    </row>
    <row r="462" spans="31:34" x14ac:dyDescent="0.25">
      <c r="AE462" s="3">
        <v>70202</v>
      </c>
      <c r="AF462" s="3" t="s">
        <v>607</v>
      </c>
      <c r="AG462" s="3">
        <v>7.66</v>
      </c>
      <c r="AH462" s="15">
        <f t="shared" si="12"/>
        <v>7.6600000000000001E-3</v>
      </c>
    </row>
    <row r="463" spans="31:34" x14ac:dyDescent="0.25">
      <c r="AE463" s="3">
        <v>71111</v>
      </c>
      <c r="AF463" s="3" t="s">
        <v>608</v>
      </c>
      <c r="AG463" s="3">
        <v>8.66</v>
      </c>
      <c r="AH463" s="15">
        <f t="shared" si="12"/>
        <v>8.6599999999999993E-3</v>
      </c>
    </row>
    <row r="464" spans="31:34" x14ac:dyDescent="0.25">
      <c r="AE464" s="3">
        <v>71112</v>
      </c>
      <c r="AF464" s="3" t="s">
        <v>609</v>
      </c>
      <c r="AG464" s="3">
        <v>7.66</v>
      </c>
      <c r="AH464" s="15">
        <f t="shared" si="12"/>
        <v>7.6600000000000001E-3</v>
      </c>
    </row>
    <row r="465" spans="31:34" x14ac:dyDescent="0.25">
      <c r="AE465" s="3">
        <v>71121</v>
      </c>
      <c r="AF465" s="3" t="s">
        <v>610</v>
      </c>
      <c r="AG465" s="3">
        <v>8.66</v>
      </c>
      <c r="AH465" s="15">
        <f t="shared" si="12"/>
        <v>8.6599999999999993E-3</v>
      </c>
    </row>
    <row r="466" spans="31:34" x14ac:dyDescent="0.25">
      <c r="AE466" s="3">
        <v>71122</v>
      </c>
      <c r="AF466" s="3" t="s">
        <v>611</v>
      </c>
      <c r="AG466" s="3">
        <v>7.66</v>
      </c>
      <c r="AH466" s="15">
        <f t="shared" si="12"/>
        <v>7.6600000000000001E-3</v>
      </c>
    </row>
    <row r="467" spans="31:34" x14ac:dyDescent="0.25">
      <c r="AE467" s="3">
        <v>71201</v>
      </c>
      <c r="AF467" s="3" t="s">
        <v>612</v>
      </c>
      <c r="AG467" s="3">
        <v>8.66</v>
      </c>
      <c r="AH467" s="15">
        <f t="shared" si="12"/>
        <v>8.6599999999999993E-3</v>
      </c>
    </row>
    <row r="468" spans="31:34" x14ac:dyDescent="0.25">
      <c r="AE468" s="3">
        <v>71202</v>
      </c>
      <c r="AF468" s="3" t="s">
        <v>613</v>
      </c>
      <c r="AG468" s="3">
        <v>7.66</v>
      </c>
      <c r="AH468" s="15">
        <f t="shared" si="12"/>
        <v>7.6600000000000001E-3</v>
      </c>
    </row>
    <row r="469" spans="31:34" x14ac:dyDescent="0.25">
      <c r="AE469" s="3">
        <v>72101</v>
      </c>
      <c r="AF469" s="3" t="s">
        <v>614</v>
      </c>
      <c r="AG469" s="3">
        <v>8.66</v>
      </c>
      <c r="AH469" s="15">
        <f t="shared" si="12"/>
        <v>8.6599999999999993E-3</v>
      </c>
    </row>
    <row r="470" spans="31:34" x14ac:dyDescent="0.25">
      <c r="AE470" s="3">
        <v>72102</v>
      </c>
      <c r="AF470" s="3" t="s">
        <v>615</v>
      </c>
      <c r="AG470" s="3">
        <v>7.66</v>
      </c>
      <c r="AH470" s="15">
        <f t="shared" si="12"/>
        <v>7.6600000000000001E-3</v>
      </c>
    </row>
    <row r="471" spans="31:34" x14ac:dyDescent="0.25">
      <c r="AE471" s="3">
        <v>72201</v>
      </c>
      <c r="AF471" s="3" t="s">
        <v>616</v>
      </c>
      <c r="AG471" s="3">
        <v>8.66</v>
      </c>
      <c r="AH471" s="15">
        <f t="shared" si="12"/>
        <v>8.6599999999999993E-3</v>
      </c>
    </row>
    <row r="472" spans="31:34" x14ac:dyDescent="0.25">
      <c r="AE472" s="3">
        <v>72202</v>
      </c>
      <c r="AF472" s="3" t="s">
        <v>617</v>
      </c>
      <c r="AG472" s="3">
        <v>7.66</v>
      </c>
      <c r="AH472" s="15">
        <f t="shared" si="12"/>
        <v>7.6600000000000001E-3</v>
      </c>
    </row>
    <row r="473" spans="31:34" x14ac:dyDescent="0.25">
      <c r="AE473" s="3">
        <v>73201</v>
      </c>
      <c r="AF473" s="3" t="s">
        <v>618</v>
      </c>
      <c r="AG473" s="3">
        <v>8.66</v>
      </c>
      <c r="AH473" s="15">
        <f t="shared" si="12"/>
        <v>8.6599999999999993E-3</v>
      </c>
    </row>
    <row r="474" spans="31:34" x14ac:dyDescent="0.25">
      <c r="AE474" s="3">
        <v>73202</v>
      </c>
      <c r="AF474" s="3" t="s">
        <v>619</v>
      </c>
      <c r="AG474" s="3">
        <v>7.66</v>
      </c>
      <c r="AH474" s="15">
        <f t="shared" si="12"/>
        <v>7.6600000000000001E-3</v>
      </c>
    </row>
    <row r="475" spans="31:34" x14ac:dyDescent="0.25">
      <c r="AE475" s="3">
        <v>74101</v>
      </c>
      <c r="AF475" s="3" t="s">
        <v>620</v>
      </c>
      <c r="AG475" s="3">
        <v>8.66</v>
      </c>
      <c r="AH475" s="15">
        <f t="shared" si="12"/>
        <v>8.6599999999999993E-3</v>
      </c>
    </row>
    <row r="476" spans="31:34" x14ac:dyDescent="0.25">
      <c r="AE476" s="3">
        <v>74102</v>
      </c>
      <c r="AF476" s="3" t="s">
        <v>621</v>
      </c>
      <c r="AG476" s="3">
        <v>7.66</v>
      </c>
      <c r="AH476" s="15">
        <f t="shared" si="12"/>
        <v>7.6600000000000001E-3</v>
      </c>
    </row>
    <row r="477" spans="31:34" x14ac:dyDescent="0.25">
      <c r="AE477" s="3">
        <v>74901</v>
      </c>
      <c r="AF477" s="3" t="s">
        <v>622</v>
      </c>
      <c r="AG477" s="3">
        <v>8.66</v>
      </c>
      <c r="AH477" s="15">
        <f t="shared" si="12"/>
        <v>8.6599999999999993E-3</v>
      </c>
    </row>
    <row r="478" spans="31:34" x14ac:dyDescent="0.25">
      <c r="AE478" s="3">
        <v>74902</v>
      </c>
      <c r="AF478" s="3" t="s">
        <v>623</v>
      </c>
      <c r="AG478" s="3">
        <v>7.66</v>
      </c>
      <c r="AH478" s="15">
        <f t="shared" si="12"/>
        <v>7.6600000000000001E-3</v>
      </c>
    </row>
    <row r="479" spans="31:34" x14ac:dyDescent="0.25">
      <c r="AE479" s="3">
        <v>8523</v>
      </c>
      <c r="AF479" s="3" t="s">
        <v>624</v>
      </c>
      <c r="AG479" s="3">
        <v>7</v>
      </c>
      <c r="AH479" s="15">
        <f t="shared" si="12"/>
        <v>7.0000000000000001E-3</v>
      </c>
    </row>
    <row r="480" spans="31:34" x14ac:dyDescent="0.25">
      <c r="AE480" s="3">
        <v>85232</v>
      </c>
      <c r="AF480" s="3" t="s">
        <v>625</v>
      </c>
      <c r="AG480" s="3">
        <v>9.66</v>
      </c>
      <c r="AH480" s="15">
        <f t="shared" si="12"/>
        <v>9.6600000000000002E-3</v>
      </c>
    </row>
    <row r="481" spans="31:34" x14ac:dyDescent="0.25">
      <c r="AE481" s="3">
        <v>8551</v>
      </c>
      <c r="AF481" s="3" t="s">
        <v>625</v>
      </c>
      <c r="AG481" s="3">
        <v>9.66</v>
      </c>
      <c r="AH481" s="15">
        <f t="shared" si="12"/>
        <v>9.6600000000000002E-3</v>
      </c>
    </row>
    <row r="482" spans="31:34" x14ac:dyDescent="0.25">
      <c r="AE482" s="3">
        <v>86211</v>
      </c>
      <c r="AF482" s="3" t="s">
        <v>626</v>
      </c>
      <c r="AG482" s="3">
        <v>9.66</v>
      </c>
      <c r="AH482" s="15">
        <f t="shared" si="12"/>
        <v>9.6600000000000002E-3</v>
      </c>
    </row>
    <row r="483" spans="31:34" x14ac:dyDescent="0.25">
      <c r="AE483" s="3">
        <v>86221</v>
      </c>
      <c r="AF483" s="3" t="s">
        <v>627</v>
      </c>
      <c r="AG483" s="3">
        <v>9.66</v>
      </c>
      <c r="AH483" s="15">
        <f t="shared" si="12"/>
        <v>9.6600000000000002E-3</v>
      </c>
    </row>
    <row r="484" spans="31:34" x14ac:dyDescent="0.25">
      <c r="AE484" s="3">
        <v>86911</v>
      </c>
      <c r="AF484" s="3" t="s">
        <v>628</v>
      </c>
      <c r="AG484" s="3">
        <v>9.66</v>
      </c>
      <c r="AH484" s="15">
        <f t="shared" si="12"/>
        <v>9.6600000000000002E-3</v>
      </c>
    </row>
    <row r="485" spans="31:34" x14ac:dyDescent="0.25">
      <c r="AE485" s="3">
        <v>86921</v>
      </c>
      <c r="AF485" s="3" t="s">
        <v>629</v>
      </c>
      <c r="AG485" s="3">
        <v>9.66</v>
      </c>
      <c r="AH485" s="15">
        <f t="shared" si="12"/>
        <v>9.6600000000000002E-3</v>
      </c>
    </row>
    <row r="486" spans="31:34" x14ac:dyDescent="0.25">
      <c r="AE486" s="3">
        <v>86991</v>
      </c>
      <c r="AF486" s="3" t="s">
        <v>630</v>
      </c>
      <c r="AG486" s="3">
        <v>9.66</v>
      </c>
      <c r="AH486" s="15">
        <f t="shared" si="12"/>
        <v>9.6600000000000002E-3</v>
      </c>
    </row>
    <row r="487" spans="31:34" x14ac:dyDescent="0.25">
      <c r="AE487" s="3">
        <v>87101</v>
      </c>
      <c r="AF487" s="3" t="s">
        <v>631</v>
      </c>
      <c r="AG487" s="3">
        <v>9.66</v>
      </c>
      <c r="AH487" s="15">
        <f t="shared" si="12"/>
        <v>9.6600000000000002E-3</v>
      </c>
    </row>
    <row r="488" spans="31:34" x14ac:dyDescent="0.25">
      <c r="AE488" s="3">
        <v>92001</v>
      </c>
      <c r="AF488" s="3" t="s">
        <v>632</v>
      </c>
      <c r="AG488" s="3">
        <v>9.66</v>
      </c>
      <c r="AH488" s="15">
        <f t="shared" si="12"/>
        <v>9.6600000000000002E-3</v>
      </c>
    </row>
    <row r="489" spans="31:34" x14ac:dyDescent="0.25">
      <c r="AE489" s="3">
        <v>93291</v>
      </c>
      <c r="AF489" s="3" t="s">
        <v>633</v>
      </c>
      <c r="AG489" s="3">
        <v>9.66</v>
      </c>
      <c r="AH489" s="15">
        <f t="shared" si="12"/>
        <v>9.6600000000000002E-3</v>
      </c>
    </row>
    <row r="490" spans="31:34" x14ac:dyDescent="0.25">
      <c r="AE490" s="3">
        <v>5330</v>
      </c>
      <c r="AF490" s="3" t="s">
        <v>634</v>
      </c>
      <c r="AG490" s="3">
        <v>10.63</v>
      </c>
      <c r="AH490" s="15">
        <f t="shared" si="12"/>
        <v>1.0630000000000001E-2</v>
      </c>
    </row>
    <row r="491" spans="31:34" x14ac:dyDescent="0.25">
      <c r="AH491" s="92"/>
    </row>
    <row r="492" spans="31:34" x14ac:dyDescent="0.25">
      <c r="AH492" s="92"/>
    </row>
    <row r="493" spans="31:34" x14ac:dyDescent="0.25">
      <c r="AH493" s="92"/>
    </row>
    <row r="494" spans="31:34" x14ac:dyDescent="0.25">
      <c r="AH494" s="92"/>
    </row>
    <row r="495" spans="31:34" x14ac:dyDescent="0.25">
      <c r="AH495" s="92"/>
    </row>
    <row r="496" spans="31:34" x14ac:dyDescent="0.25">
      <c r="AH496" s="92"/>
    </row>
    <row r="497" spans="34:34" x14ac:dyDescent="0.25">
      <c r="AH497" s="92"/>
    </row>
    <row r="498" spans="34:34" x14ac:dyDescent="0.25">
      <c r="AH498" s="92"/>
    </row>
    <row r="499" spans="34:34" x14ac:dyDescent="0.25">
      <c r="AH499" s="92"/>
    </row>
    <row r="500" spans="34:34" x14ac:dyDescent="0.25">
      <c r="AH500" s="92"/>
    </row>
    <row r="501" spans="34:34" x14ac:dyDescent="0.25">
      <c r="AH501" s="92"/>
    </row>
    <row r="502" spans="34:34" x14ac:dyDescent="0.25">
      <c r="AH502" s="92"/>
    </row>
    <row r="503" spans="34:34" x14ac:dyDescent="0.25">
      <c r="AH503" s="92"/>
    </row>
  </sheetData>
  <sheetProtection algorithmName="SHA-512" hashValue="FuWIv+hmjaszsuCr2/de/3olfuKGlcB8MndQd6fFPAlmYdCWBu3b3jk7VuAJobHSG6sRD2ZOAVbKbjwkQ4/wPw==" saltValue="usEdJ4mVsblXcjsfIQYLBg==" spinCount="100000" sheet="1" objects="1" scenarios="1"/>
  <autoFilter ref="AE3:AH503" xr:uid="{28C9297C-14F2-4138-AA6A-8489DFBAB314}"/>
  <mergeCells count="41">
    <mergeCell ref="D103:F103"/>
    <mergeCell ref="C93:E93"/>
    <mergeCell ref="C49:G49"/>
    <mergeCell ref="C50:G50"/>
    <mergeCell ref="C58:J59"/>
    <mergeCell ref="C92:E92"/>
    <mergeCell ref="C65:G65"/>
    <mergeCell ref="C66:G66"/>
    <mergeCell ref="C67:G67"/>
    <mergeCell ref="C68:G68"/>
    <mergeCell ref="C70:G70"/>
    <mergeCell ref="C71:G71"/>
    <mergeCell ref="C72:G72"/>
    <mergeCell ref="C73:G73"/>
    <mergeCell ref="G87:I87"/>
    <mergeCell ref="G88:I88"/>
    <mergeCell ref="G89:I89"/>
    <mergeCell ref="C87:D87"/>
    <mergeCell ref="C91:E91"/>
    <mergeCell ref="C83:J85"/>
    <mergeCell ref="H43:H46"/>
    <mergeCell ref="I43:I46"/>
    <mergeCell ref="J43:J46"/>
    <mergeCell ref="C46:G46"/>
    <mergeCell ref="C48:G48"/>
    <mergeCell ref="C64:G64"/>
    <mergeCell ref="C19:C20"/>
    <mergeCell ref="D19:E19"/>
    <mergeCell ref="F19:F20"/>
    <mergeCell ref="G19:H19"/>
    <mergeCell ref="I19:I20"/>
    <mergeCell ref="C34:G34"/>
    <mergeCell ref="C42:G42"/>
    <mergeCell ref="C43:G43"/>
    <mergeCell ref="C44:G44"/>
    <mergeCell ref="C45:G45"/>
    <mergeCell ref="C37:G37"/>
    <mergeCell ref="C38:G38"/>
    <mergeCell ref="C35:G35"/>
    <mergeCell ref="C36:G36"/>
    <mergeCell ref="C41:G4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DE7B5D40C7C6478B394C883130E88A" ma:contentTypeVersion="15" ma:contentTypeDescription="Crear nuevo documento." ma:contentTypeScope="" ma:versionID="86af54b63918ddf8b83e4e3595e775b1">
  <xsd:schema xmlns:xsd="http://www.w3.org/2001/XMLSchema" xmlns:xs="http://www.w3.org/2001/XMLSchema" xmlns:p="http://schemas.microsoft.com/office/2006/metadata/properties" xmlns:ns2="951c9fa9-1a99-4320-870f-f9c95ec9a339" xmlns:ns3="53c52e5a-c3a0-46c2-a23e-3c082911effb" targetNamespace="http://schemas.microsoft.com/office/2006/metadata/properties" ma:root="true" ma:fieldsID="dccb4fe44741d1a8dc7fe3d6a2330167" ns2:_="" ns3:_="">
    <xsd:import namespace="951c9fa9-1a99-4320-870f-f9c95ec9a339"/>
    <xsd:import namespace="53c52e5a-c3a0-46c2-a23e-3c082911ef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c9fa9-1a99-4320-870f-f9c95ec9a3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c52e5a-c3a0-46c2-a23e-3c082911eff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9640736-5650-4e1a-8110-773b22a06d5e}" ma:internalName="TaxCatchAll" ma:showField="CatchAllData" ma:web="53c52e5a-c3a0-46c2-a23e-3c082911ef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1c9fa9-1a99-4320-870f-f9c95ec9a339">
      <Terms xmlns="http://schemas.microsoft.com/office/infopath/2007/PartnerControls"/>
    </lcf76f155ced4ddcb4097134ff3c332f>
    <TaxCatchAll xmlns="53c52e5a-c3a0-46c2-a23e-3c082911effb" xsi:nil="true"/>
  </documentManagement>
</p:properties>
</file>

<file path=customXml/itemProps1.xml><?xml version="1.0" encoding="utf-8"?>
<ds:datastoreItem xmlns:ds="http://schemas.openxmlformats.org/officeDocument/2006/customXml" ds:itemID="{E97C7C30-6CAC-4D97-B3ED-947D0DA53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c9fa9-1a99-4320-870f-f9c95ec9a339"/>
    <ds:schemaRef ds:uri="53c52e5a-c3a0-46c2-a23e-3c082911ef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12F6D8-8117-493D-B2EB-EF11F6D3759F}">
  <ds:schemaRefs>
    <ds:schemaRef ds:uri="http://schemas.microsoft.com/sharepoint/v3/contenttype/forms"/>
  </ds:schemaRefs>
</ds:datastoreItem>
</file>

<file path=customXml/itemProps3.xml><?xml version="1.0" encoding="utf-8"?>
<ds:datastoreItem xmlns:ds="http://schemas.openxmlformats.org/officeDocument/2006/customXml" ds:itemID="{E4280D5C-8308-4FAE-A394-AA06F0EF70E1}">
  <ds:schemaRefs>
    <ds:schemaRef ds:uri="http://schemas.microsoft.com/office/2006/metadata/properties"/>
    <ds:schemaRef ds:uri="http://schemas.microsoft.com/office/infopath/2007/PartnerControls"/>
    <ds:schemaRef ds:uri="951c9fa9-1a99-4320-870f-f9c95ec9a339"/>
    <ds:schemaRef ds:uri="53c52e5a-c3a0-46c2-a23e-3c082911ef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GCO-GCI-F202</vt:lpstr>
      <vt:lpstr>Lista de chequeo</vt:lpstr>
      <vt:lpstr>VARIABLES</vt:lpstr>
      <vt:lpstr>'GCO-GCI-F202'!Área_de_impresión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Ximena Perez Holguin</dc:creator>
  <cp:keywords/>
  <dc:description/>
  <cp:lastModifiedBy>Luisa Fernanda Ibagon Moreno</cp:lastModifiedBy>
  <cp:revision/>
  <dcterms:created xsi:type="dcterms:W3CDTF">2015-06-05T18:19:34Z</dcterms:created>
  <dcterms:modified xsi:type="dcterms:W3CDTF">2025-11-07T15:52:44Z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0x010100FADE7B5D40C7C6478B394C883130E88A</vt:lpwstr>
  </property>
  <property fmtid="{D5CDD505-2E9C-101B-9397-08002B2CF9AE}" pid="3" name="MediaServiceImageTags">
    <vt:lpwstr/>
  </property>
</Properties>
</file>