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10. Octubre/Caso HOLA 346589/"/>
    </mc:Choice>
  </mc:AlternateContent>
  <xr:revisionPtr revIDLastSave="7" documentId="13_ncr:1_{9AA7BB85-0CBE-470B-B9B3-B2269A828362}" xr6:coauthVersionLast="47" xr6:coauthVersionMax="47" xr10:uidLastSave="{7BDA4F2E-84D6-42E7-B31B-751A3E4470C8}"/>
  <bookViews>
    <workbookView xWindow="-120" yWindow="-120" windowWidth="29040" windowHeight="15840" tabRatio="882" firstSheet="1" activeTab="2" xr2:uid="{00000000-000D-0000-FFFF-FFFF00000000}"/>
  </bookViews>
  <sheets>
    <sheet name="Instructivo" sheetId="20" r:id="rId1"/>
    <sheet name="Contexto proceso" sheetId="21" r:id="rId2"/>
    <sheet name="Mapa final"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 r:id="rId14"/>
    <externalReference r:id="rId15"/>
  </externalReferences>
  <definedNames>
    <definedName name="_1_SE">#REF!</definedName>
    <definedName name="A">#REF!</definedName>
    <definedName name="AA">#REF!</definedName>
    <definedName name="aaaa">#REF!</definedName>
    <definedName name="accion">#REF!</definedName>
    <definedName name="AGENTE">#REF!</definedName>
    <definedName name="AREA_IMPACTO">#REF!</definedName>
    <definedName name="areaimpacto">'[1]SM-FO-27'!$BQ$476:$BQ$482</definedName>
    <definedName name="B">#REF!</definedName>
    <definedName name="CALIFICACION">#REF!</definedName>
    <definedName name="CAUSAS">[2]CAUSAS!$C$6:$O$11</definedName>
    <definedName name="cl">'[1]SM-FO-27'!#REF!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_Existente">[3]Hoja4!$H$3:$H$4</definedName>
    <definedName name="CONTROLES">#REF!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'[1]SM-FO-27'!$BP$476:$BP$480</definedName>
    <definedName name="g">#REF!</definedName>
    <definedName name="GRAVEDAD">#REF!</definedName>
    <definedName name="Impacto">[3]Hoja4!$F$3:$F$7</definedName>
    <definedName name="INSTALACIONES">#REF!</definedName>
    <definedName name="LET">#REF!</definedName>
    <definedName name="MACROPROCESO">#REF!</definedName>
    <definedName name="nivelorgriesgo">'[1]SM-FO-27'!$BR$481:$BR$483</definedName>
    <definedName name="NN">#REF!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#REF!</definedName>
    <definedName name="Probabilidad">[3]Hoja4!$E$3:$E$7</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#REF!</definedName>
    <definedName name="SE">#REF!</definedName>
    <definedName name="SI_NO">'[4]NO BORRAR'!$F$1:$F$2</definedName>
    <definedName name="SINO">#REF!</definedName>
    <definedName name="SISTEMAS">#REF!</definedName>
    <definedName name="TECNOLOGIA">#REF!</definedName>
    <definedName name="Tipificacionriesgo">'[1]SM-FO-27'!$BR$486:$BR$499</definedName>
    <definedName name="TIPO">'[5]Base de Datos'!$A$4:$A$8</definedName>
    <definedName name="Tipo_de_Riesgo">[3]Hoja4!$D$3:$D$9</definedName>
    <definedName name="TIPOACCION">'[2]NO BORRAR'!$I$1:$I$9</definedName>
    <definedName name="TOTAL_PUNTAJE_RIESGO">#REF!</definedName>
    <definedName name="TRATAMIENTO">#REF!</definedName>
    <definedName name="TRATAMIENTO_RIESGO">'[4]NO BORRAR'!$G$1:$G$5</definedName>
    <definedName name="trIANGULO">#REF!</definedName>
    <definedName name="X">#REF!</definedName>
    <definedName name="Y">#REF!</definedName>
    <definedName name="Z">#REF!</definedName>
    <definedName name="zona">#REF!</definedName>
  </definedNames>
  <calcPr calcId="191028"/>
  <pivotCaches>
    <pivotCache cacheId="1"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2" i="1" l="1"/>
  <c r="Q32" i="1"/>
  <c r="AB32" i="1" s="1"/>
  <c r="AA32" i="1" s="1"/>
  <c r="T25" i="1"/>
  <c r="Q25" i="1"/>
  <c r="H25" i="1"/>
  <c r="I25" i="1" s="1"/>
  <c r="K77" i="1"/>
  <c r="K74" i="1"/>
  <c r="K72" i="1"/>
  <c r="K46" i="1"/>
  <c r="K84" i="1"/>
  <c r="K32" i="1"/>
  <c r="K44" i="1"/>
  <c r="K64" i="1"/>
  <c r="K75" i="1"/>
  <c r="K69" i="1"/>
  <c r="K45" i="1"/>
  <c r="K53" i="1"/>
  <c r="K63" i="1"/>
  <c r="K42" i="1"/>
  <c r="K50" i="1"/>
  <c r="K78" i="1"/>
  <c r="K62" i="1"/>
  <c r="K71" i="1"/>
  <c r="K54" i="1"/>
  <c r="K39" i="1"/>
  <c r="K80" i="1"/>
  <c r="K65" i="1"/>
  <c r="K81" i="1"/>
  <c r="K52" i="1"/>
  <c r="K56" i="1"/>
  <c r="K36" i="1"/>
  <c r="K34" i="1"/>
  <c r="K70" i="1"/>
  <c r="K33" i="1"/>
  <c r="K47" i="1"/>
  <c r="K41" i="1"/>
  <c r="K48" i="1"/>
  <c r="K57" i="1"/>
  <c r="K35" i="1"/>
  <c r="K51" i="1"/>
  <c r="K82" i="1"/>
  <c r="K38" i="1"/>
  <c r="K83" i="1"/>
  <c r="K68" i="1"/>
  <c r="K58" i="1"/>
  <c r="K40" i="1"/>
  <c r="K66" i="1"/>
  <c r="K76" i="1"/>
  <c r="K59" i="1"/>
  <c r="K60" i="1"/>
  <c r="F221" i="13" l="1"/>
  <c r="F211" i="13"/>
  <c r="F212" i="13"/>
  <c r="F213" i="13"/>
  <c r="F214" i="13"/>
  <c r="F215" i="13"/>
  <c r="F216" i="13"/>
  <c r="F217" i="13"/>
  <c r="F218" i="13"/>
  <c r="F219" i="13"/>
  <c r="F220" i="13"/>
  <c r="F210" i="13"/>
  <c r="K30" i="1"/>
  <c r="K29" i="1"/>
  <c r="K26" i="1"/>
  <c r="K27" i="1"/>
  <c r="B221" i="13" a="1"/>
  <c r="K28" i="1"/>
  <c r="B221" i="13" l="1"/>
  <c r="Q67" i="1"/>
  <c r="Q62" i="1"/>
  <c r="Q5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84" i="1" l="1"/>
  <c r="Q84" i="1"/>
  <c r="T83" i="1"/>
  <c r="Q83" i="1"/>
  <c r="T82" i="1"/>
  <c r="Q82" i="1"/>
  <c r="T81" i="1"/>
  <c r="Q81" i="1"/>
  <c r="T80" i="1"/>
  <c r="Q80" i="1"/>
  <c r="T79" i="1"/>
  <c r="Q79" i="1"/>
  <c r="AB80" i="1" s="1"/>
  <c r="H79" i="1"/>
  <c r="I79" i="1" s="1"/>
  <c r="T78" i="1"/>
  <c r="Q78" i="1"/>
  <c r="T77" i="1"/>
  <c r="Q77" i="1"/>
  <c r="T76" i="1"/>
  <c r="Q76" i="1"/>
  <c r="T75" i="1"/>
  <c r="Q75" i="1"/>
  <c r="T74" i="1"/>
  <c r="Q74" i="1"/>
  <c r="T73" i="1"/>
  <c r="Q73" i="1"/>
  <c r="H73" i="1"/>
  <c r="I73" i="1" s="1"/>
  <c r="T72" i="1"/>
  <c r="Q72" i="1"/>
  <c r="T71" i="1"/>
  <c r="Q71" i="1"/>
  <c r="T70" i="1"/>
  <c r="Q70" i="1"/>
  <c r="T69" i="1"/>
  <c r="Q69" i="1"/>
  <c r="T68" i="1"/>
  <c r="Q68" i="1"/>
  <c r="AB68" i="1" s="1"/>
  <c r="T67" i="1"/>
  <c r="H67" i="1"/>
  <c r="I67" i="1" s="1"/>
  <c r="T66" i="1"/>
  <c r="Q66" i="1"/>
  <c r="T65" i="1"/>
  <c r="Q65" i="1"/>
  <c r="T64" i="1"/>
  <c r="Q64" i="1"/>
  <c r="T63" i="1"/>
  <c r="Q63" i="1"/>
  <c r="T62" i="1"/>
  <c r="T61" i="1"/>
  <c r="Q61" i="1"/>
  <c r="AB62" i="1" s="1"/>
  <c r="H61" i="1"/>
  <c r="I61" i="1" s="1"/>
  <c r="T60" i="1"/>
  <c r="Q60" i="1"/>
  <c r="T59" i="1"/>
  <c r="Q59" i="1"/>
  <c r="T58" i="1"/>
  <c r="Q58" i="1"/>
  <c r="T57" i="1"/>
  <c r="Q57" i="1"/>
  <c r="T56" i="1"/>
  <c r="T55" i="1"/>
  <c r="Q55" i="1"/>
  <c r="AB56" i="1" s="1"/>
  <c r="H55" i="1"/>
  <c r="I55" i="1" s="1"/>
  <c r="T54" i="1"/>
  <c r="Q54" i="1"/>
  <c r="T53" i="1"/>
  <c r="Q53" i="1"/>
  <c r="T52" i="1"/>
  <c r="Q52" i="1"/>
  <c r="T51" i="1"/>
  <c r="Q51" i="1"/>
  <c r="T50" i="1"/>
  <c r="Q50" i="1"/>
  <c r="T49" i="1"/>
  <c r="Q49" i="1"/>
  <c r="H49" i="1"/>
  <c r="I49" i="1" s="1"/>
  <c r="T48" i="1"/>
  <c r="Q48" i="1"/>
  <c r="T47" i="1"/>
  <c r="Q47" i="1"/>
  <c r="T46" i="1"/>
  <c r="Q46" i="1"/>
  <c r="T45" i="1"/>
  <c r="Q45" i="1"/>
  <c r="T44" i="1"/>
  <c r="Q44" i="1"/>
  <c r="T43" i="1"/>
  <c r="Q43" i="1"/>
  <c r="H43" i="1"/>
  <c r="I43" i="1" s="1"/>
  <c r="T37" i="1"/>
  <c r="Q37" i="1"/>
  <c r="H37" i="1"/>
  <c r="I37" i="1" s="1"/>
  <c r="H31" i="1"/>
  <c r="T31" i="1"/>
  <c r="Q31" i="1"/>
  <c r="AB44" i="1" l="1"/>
  <c r="AB50" i="1"/>
  <c r="AB74" i="1"/>
  <c r="AB65" i="1"/>
  <c r="AA65" i="1" s="1"/>
  <c r="AB66" i="1"/>
  <c r="AA66" i="1" s="1"/>
  <c r="I31" i="1"/>
  <c r="X31" i="1" s="1"/>
  <c r="Z32" i="1" s="1"/>
  <c r="X79" i="1"/>
  <c r="X73" i="1"/>
  <c r="X67" i="1"/>
  <c r="X61" i="1"/>
  <c r="X65" i="1"/>
  <c r="X66" i="1"/>
  <c r="X55" i="1"/>
  <c r="X49" i="1"/>
  <c r="X43" i="1"/>
  <c r="X37" i="1"/>
  <c r="Y79" i="1" l="1"/>
  <c r="Z79" i="1"/>
  <c r="X80" i="1" s="1"/>
  <c r="Y80" i="1" s="1"/>
  <c r="Y73" i="1"/>
  <c r="Z73" i="1"/>
  <c r="X74" i="1" s="1"/>
  <c r="Z74" i="1" s="1"/>
  <c r="X75" i="1" s="1"/>
  <c r="Y67" i="1"/>
  <c r="Z67" i="1"/>
  <c r="X68" i="1" s="1"/>
  <c r="Z68" i="1" s="1"/>
  <c r="X69" i="1" s="1"/>
  <c r="Y66" i="1"/>
  <c r="Z66" i="1"/>
  <c r="Y65" i="1"/>
  <c r="Z65" i="1"/>
  <c r="Y61" i="1"/>
  <c r="Z61" i="1"/>
  <c r="Y55" i="1"/>
  <c r="Z55" i="1"/>
  <c r="X56" i="1" s="1"/>
  <c r="Z56" i="1" s="1"/>
  <c r="X57" i="1" s="1"/>
  <c r="Y49" i="1"/>
  <c r="Z49" i="1"/>
  <c r="Y43" i="1"/>
  <c r="Z43" i="1"/>
  <c r="X44" i="1" s="1"/>
  <c r="Z44" i="1" s="1"/>
  <c r="X45" i="1" s="1"/>
  <c r="Y45" i="1" s="1"/>
  <c r="Y37" i="1"/>
  <c r="Z37" i="1"/>
  <c r="X38" i="1" s="1"/>
  <c r="Y31" i="1"/>
  <c r="Z31" i="1"/>
  <c r="X32" i="1" s="1"/>
  <c r="Y32" i="1" s="1"/>
  <c r="AC32" i="1" s="1"/>
  <c r="Y74" i="1" l="1"/>
  <c r="Y68" i="1"/>
  <c r="X39" i="1"/>
  <c r="Y56" i="1"/>
  <c r="Y44" i="1"/>
  <c r="Y57" i="1"/>
  <c r="Z57" i="1"/>
  <c r="Z75" i="1"/>
  <c r="X76" i="1" s="1"/>
  <c r="Y75" i="1"/>
  <c r="Z69" i="1"/>
  <c r="X70" i="1" s="1"/>
  <c r="Y69" i="1"/>
  <c r="Z80" i="1"/>
  <c r="X81" i="1" s="1"/>
  <c r="X50" i="1"/>
  <c r="X62" i="1"/>
  <c r="X63" i="1"/>
  <c r="Z4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65" i="1"/>
  <c r="AC66" i="1"/>
  <c r="T26" i="1"/>
  <c r="Y76" i="1" l="1"/>
  <c r="Z76" i="1"/>
  <c r="Y70" i="1"/>
  <c r="Z70" i="1"/>
  <c r="X71" i="1" s="1"/>
  <c r="X40" i="1"/>
  <c r="Y63" i="1"/>
  <c r="Z63" i="1"/>
  <c r="X64" i="1" s="1"/>
  <c r="Y81" i="1"/>
  <c r="Z81" i="1"/>
  <c r="X82" i="1" s="1"/>
  <c r="Y62" i="1"/>
  <c r="Z62" i="1"/>
  <c r="X58" i="1"/>
  <c r="Y50" i="1"/>
  <c r="Z50" i="1"/>
  <c r="X51" i="1" s="1"/>
  <c r="Y51" i="1" s="1"/>
  <c r="X47" i="1"/>
  <c r="Y47" i="1" s="1"/>
  <c r="X46" i="1"/>
  <c r="X33" i="1"/>
  <c r="Z51" i="1" l="1"/>
  <c r="X52" i="1" s="1"/>
  <c r="Z52" i="1" s="1"/>
  <c r="X53" i="1" s="1"/>
  <c r="Y71" i="1"/>
  <c r="Z71" i="1"/>
  <c r="X72" i="1" s="1"/>
  <c r="X77" i="1"/>
  <c r="X78" i="1"/>
  <c r="Y58" i="1"/>
  <c r="Z58" i="1"/>
  <c r="X59" i="1" s="1"/>
  <c r="Y59" i="1" s="1"/>
  <c r="Y64" i="1"/>
  <c r="Z64" i="1"/>
  <c r="X41" i="1"/>
  <c r="Z82" i="1"/>
  <c r="Y82" i="1"/>
  <c r="Y46" i="1"/>
  <c r="Z46" i="1"/>
  <c r="Z47" i="1"/>
  <c r="X48" i="1" s="1"/>
  <c r="X34" i="1"/>
  <c r="Y52" i="1" l="1"/>
  <c r="Y78" i="1"/>
  <c r="Z78" i="1"/>
  <c r="Y77" i="1"/>
  <c r="Z77" i="1"/>
  <c r="Y72" i="1"/>
  <c r="Z72" i="1"/>
  <c r="X83" i="1"/>
  <c r="X84" i="1"/>
  <c r="Z59" i="1"/>
  <c r="X60" i="1" s="1"/>
  <c r="Y60" i="1" s="1"/>
  <c r="Z53" i="1"/>
  <c r="X54" i="1" s="1"/>
  <c r="Y53" i="1"/>
  <c r="X42" i="1"/>
  <c r="Y48" i="1"/>
  <c r="Z48" i="1"/>
  <c r="X35" i="1"/>
  <c r="X36" i="1" s="1"/>
  <c r="X25" i="1"/>
  <c r="Y25" i="1" l="1"/>
  <c r="Z26" i="1"/>
  <c r="Y84" i="1"/>
  <c r="Z84" i="1"/>
  <c r="Y83" i="1"/>
  <c r="Z83" i="1"/>
  <c r="Y54" i="1"/>
  <c r="Z54" i="1"/>
  <c r="Z60" i="1"/>
  <c r="Q26" i="1"/>
  <c r="Z25" i="1" l="1"/>
  <c r="X26" i="1" s="1"/>
  <c r="Y26" i="1" l="1"/>
  <c r="X27" i="1" l="1"/>
  <c r="X28" i="1" l="1"/>
  <c r="X29" i="1" l="1"/>
  <c r="X30" i="1" l="1"/>
  <c r="AB43" i="1" l="1"/>
  <c r="AA43" i="1" s="1"/>
  <c r="AB81" i="1"/>
  <c r="AB73" i="1"/>
  <c r="AB55" i="1"/>
  <c r="AA55" i="1" s="1"/>
  <c r="AB67" i="1"/>
  <c r="AA67" i="1" s="1"/>
  <c r="AB61" i="1"/>
  <c r="AA61" i="1" s="1"/>
  <c r="AB49" i="1"/>
  <c r="AA49" i="1" s="1"/>
  <c r="J40" i="19" l="1"/>
  <c r="V30" i="19"/>
  <c r="AH20" i="19"/>
  <c r="J30" i="19"/>
  <c r="V20" i="19"/>
  <c r="AH10" i="19"/>
  <c r="P10" i="19"/>
  <c r="AB50" i="19"/>
  <c r="J50" i="19"/>
  <c r="AB40" i="19"/>
  <c r="P30" i="19"/>
  <c r="V50" i="19"/>
  <c r="P50" i="19"/>
  <c r="AB10" i="19"/>
  <c r="AH30" i="19"/>
  <c r="AH40" i="19"/>
  <c r="J10" i="19"/>
  <c r="AB20" i="19"/>
  <c r="AH50" i="19"/>
  <c r="AC49" i="1"/>
  <c r="V10" i="19"/>
  <c r="P20" i="19"/>
  <c r="J20" i="19"/>
  <c r="P40" i="19"/>
  <c r="V40" i="19"/>
  <c r="AB30" i="19"/>
  <c r="J11" i="19"/>
  <c r="V11" i="19"/>
  <c r="AB21" i="19"/>
  <c r="P31" i="19"/>
  <c r="J31" i="19"/>
  <c r="AB41" i="19"/>
  <c r="AC55" i="1"/>
  <c r="AH41" i="19"/>
  <c r="P41" i="19"/>
  <c r="J21" i="19"/>
  <c r="AB31" i="19"/>
  <c r="AB51" i="19"/>
  <c r="P21" i="19"/>
  <c r="V41" i="19"/>
  <c r="V31" i="19"/>
  <c r="AH21" i="19"/>
  <c r="AB11" i="19"/>
  <c r="P51" i="19"/>
  <c r="V21" i="19"/>
  <c r="AH31" i="19"/>
  <c r="V51" i="19"/>
  <c r="J51" i="19"/>
  <c r="AH51" i="19"/>
  <c r="AH11" i="19"/>
  <c r="J41" i="19"/>
  <c r="P11" i="19"/>
  <c r="AC6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73" i="1"/>
  <c r="AA80" i="1"/>
  <c r="AC43"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A81" i="1"/>
  <c r="AB82" i="1"/>
  <c r="AB51" i="1"/>
  <c r="AA50" i="1"/>
  <c r="AA56" i="1"/>
  <c r="AB57" i="1"/>
  <c r="AA57" i="1" s="1"/>
  <c r="AB58" i="1"/>
  <c r="V32" i="19"/>
  <c r="P42" i="19"/>
  <c r="J12" i="19"/>
  <c r="J32" i="19"/>
  <c r="AB52" i="19"/>
  <c r="AC61" i="1"/>
  <c r="J22" i="19"/>
  <c r="V22" i="19"/>
  <c r="J52" i="19"/>
  <c r="AH12" i="19"/>
  <c r="J42" i="19"/>
  <c r="AH42" i="19"/>
  <c r="P32" i="19"/>
  <c r="AB12" i="19"/>
  <c r="AH32" i="19"/>
  <c r="AB32" i="19"/>
  <c r="AB42" i="19"/>
  <c r="V42" i="19"/>
  <c r="V12" i="19"/>
  <c r="V52" i="19"/>
  <c r="AB22" i="19"/>
  <c r="AH52" i="19"/>
  <c r="AH22" i="19"/>
  <c r="P22" i="19"/>
  <c r="P12" i="19"/>
  <c r="P52" i="19"/>
  <c r="AB63" i="1"/>
  <c r="AA63" i="1" s="1"/>
  <c r="AB64" i="1"/>
  <c r="AA64" i="1" s="1"/>
  <c r="AA62" i="1"/>
  <c r="AA68" i="1"/>
  <c r="AB69" i="1"/>
  <c r="AA74" i="1"/>
  <c r="AB75" i="1"/>
  <c r="AA44" i="1"/>
  <c r="AB4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82" i="1"/>
  <c r="AB83" i="1"/>
  <c r="K35" i="19"/>
  <c r="AC25" i="19"/>
  <c r="K45" i="19"/>
  <c r="AI45" i="19"/>
  <c r="W45" i="19"/>
  <c r="Q35" i="19"/>
  <c r="K55" i="19"/>
  <c r="AC15" i="19"/>
  <c r="Q15" i="19"/>
  <c r="AC35" i="19"/>
  <c r="AI35" i="19"/>
  <c r="Q55" i="19"/>
  <c r="AI25" i="19"/>
  <c r="AC8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7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56" i="1"/>
  <c r="AD55" i="19"/>
  <c r="R15" i="19"/>
  <c r="AJ35" i="19"/>
  <c r="AC8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7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63" i="1"/>
  <c r="AD12" i="19"/>
  <c r="AD32" i="19"/>
  <c r="AD22" i="19"/>
  <c r="X52" i="19"/>
  <c r="AD52" i="19"/>
  <c r="L42" i="19"/>
  <c r="R42" i="19"/>
  <c r="AJ21" i="19"/>
  <c r="AD31" i="19"/>
  <c r="R21" i="19"/>
  <c r="AD41" i="19"/>
  <c r="AJ11" i="19"/>
  <c r="AJ51" i="19"/>
  <c r="AC57" i="1"/>
  <c r="L41" i="19"/>
  <c r="AD11" i="19"/>
  <c r="L21" i="19"/>
  <c r="L11" i="19"/>
  <c r="X51" i="19"/>
  <c r="X21" i="19"/>
  <c r="R11" i="19"/>
  <c r="R31" i="19"/>
  <c r="AJ41" i="19"/>
  <c r="L31" i="19"/>
  <c r="R51" i="19"/>
  <c r="X31" i="19"/>
  <c r="X11" i="19"/>
  <c r="X41" i="19"/>
  <c r="AJ31" i="19"/>
  <c r="AD51" i="19"/>
  <c r="R41" i="19"/>
  <c r="AD21" i="19"/>
  <c r="L51" i="19"/>
  <c r="AA45" i="1"/>
  <c r="AB46" i="1"/>
  <c r="AA69" i="1"/>
  <c r="AB70" i="1"/>
  <c r="K42" i="19"/>
  <c r="AC32" i="19"/>
  <c r="W42" i="19"/>
  <c r="AI52" i="19"/>
  <c r="K22" i="19"/>
  <c r="Q32" i="19"/>
  <c r="AI12" i="19"/>
  <c r="AC52" i="19"/>
  <c r="Q42" i="19"/>
  <c r="AC42" i="19"/>
  <c r="K12" i="19"/>
  <c r="Q22" i="19"/>
  <c r="W52" i="19"/>
  <c r="AI42" i="19"/>
  <c r="W32" i="19"/>
  <c r="AI22" i="19"/>
  <c r="W12" i="19"/>
  <c r="AI32" i="19"/>
  <c r="AC12" i="19"/>
  <c r="Q12" i="19"/>
  <c r="Q52" i="19"/>
  <c r="AC62" i="1"/>
  <c r="K32" i="19"/>
  <c r="W22" i="19"/>
  <c r="K52" i="19"/>
  <c r="AC22" i="19"/>
  <c r="AC40" i="19"/>
  <c r="W10" i="19"/>
  <c r="AC50" i="19"/>
  <c r="Q10" i="19"/>
  <c r="Q30" i="19"/>
  <c r="W50" i="19"/>
  <c r="K40" i="19"/>
  <c r="Q50" i="19"/>
  <c r="W20" i="19"/>
  <c r="AC50" i="1"/>
  <c r="K10" i="19"/>
  <c r="Q40" i="19"/>
  <c r="K30" i="19"/>
  <c r="AI50" i="19"/>
  <c r="AI20" i="19"/>
  <c r="K50" i="19"/>
  <c r="AI40" i="19"/>
  <c r="W40" i="19"/>
  <c r="K20" i="19"/>
  <c r="AC10" i="19"/>
  <c r="AI10" i="19"/>
  <c r="AC20" i="19"/>
  <c r="AI30" i="19"/>
  <c r="AC30" i="19"/>
  <c r="W30" i="19"/>
  <c r="Q20" i="19"/>
  <c r="AA75" i="1"/>
  <c r="AB76" i="1"/>
  <c r="K39" i="19"/>
  <c r="AC39" i="19"/>
  <c r="W29" i="19"/>
  <c r="AI49" i="19"/>
  <c r="W9" i="19"/>
  <c r="AC19" i="19"/>
  <c r="Q49" i="19"/>
  <c r="W49" i="19"/>
  <c r="AC9" i="19"/>
  <c r="AI9" i="19"/>
  <c r="Q29" i="19"/>
  <c r="W39" i="19"/>
  <c r="Q39" i="19"/>
  <c r="AC4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68" i="1"/>
  <c r="Q33" i="19"/>
  <c r="AI23" i="19"/>
  <c r="K53" i="19"/>
  <c r="AC23" i="19"/>
  <c r="AC13" i="19"/>
  <c r="W23" i="19"/>
  <c r="W33" i="19"/>
  <c r="Q13" i="19"/>
  <c r="W13" i="19"/>
  <c r="AI13" i="19"/>
  <c r="Q43" i="19"/>
  <c r="Q23" i="19"/>
  <c r="W53" i="19"/>
  <c r="M12" i="19"/>
  <c r="AK42" i="19"/>
  <c r="AE32" i="19"/>
  <c r="AC64" i="1"/>
  <c r="M52" i="19"/>
  <c r="S12" i="19"/>
  <c r="M32" i="19"/>
  <c r="S52" i="19"/>
  <c r="Y52" i="19"/>
  <c r="Y42" i="19"/>
  <c r="AK12" i="19"/>
  <c r="S22" i="19"/>
  <c r="AE12" i="19"/>
  <c r="Y22" i="19"/>
  <c r="S32" i="19"/>
  <c r="AK52" i="19"/>
  <c r="M22" i="19"/>
  <c r="AK32" i="19"/>
  <c r="AE22" i="19"/>
  <c r="AE42" i="19"/>
  <c r="Y32" i="19"/>
  <c r="M42" i="19"/>
  <c r="Y12" i="19"/>
  <c r="AE52" i="19"/>
  <c r="AK22" i="19"/>
  <c r="S42" i="19"/>
  <c r="AA58" i="1"/>
  <c r="AB60" i="1"/>
  <c r="AA60" i="1" s="1"/>
  <c r="AB59" i="1"/>
  <c r="AA59" i="1" s="1"/>
  <c r="AA51" i="1"/>
  <c r="AB5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AC51" i="1"/>
  <c r="L10" i="19"/>
  <c r="L50" i="19"/>
  <c r="AJ20" i="19"/>
  <c r="AJ40" i="19"/>
  <c r="AD30" i="19"/>
  <c r="R20" i="19"/>
  <c r="AD50" i="19"/>
  <c r="AJ30" i="19"/>
  <c r="AJ50" i="19"/>
  <c r="X30" i="19"/>
  <c r="AD20" i="19"/>
  <c r="L40" i="19"/>
  <c r="X50" i="19"/>
  <c r="X20" i="19"/>
  <c r="AD40" i="19"/>
  <c r="R10" i="19"/>
  <c r="L30" i="19"/>
  <c r="L20" i="19"/>
  <c r="AA70" i="1"/>
  <c r="AB71" i="1"/>
  <c r="AA83" i="1"/>
  <c r="AB84" i="1"/>
  <c r="AA8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69" i="1"/>
  <c r="X23" i="19"/>
  <c r="R33" i="19"/>
  <c r="R43" i="19"/>
  <c r="AD53" i="19"/>
  <c r="AJ13" i="19"/>
  <c r="R23" i="19"/>
  <c r="R13" i="19"/>
  <c r="AJ53" i="19"/>
  <c r="L33" i="19"/>
  <c r="L23" i="19"/>
  <c r="X43" i="19"/>
  <c r="X53" i="19"/>
  <c r="AD13" i="19"/>
  <c r="L53" i="19"/>
  <c r="L13" i="19"/>
  <c r="AD23" i="19"/>
  <c r="AJ33" i="19"/>
  <c r="AJ23" i="19"/>
  <c r="R53" i="19"/>
  <c r="M55" i="19"/>
  <c r="AK15" i="19"/>
  <c r="AE25" i="19"/>
  <c r="AC8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5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60" i="1"/>
  <c r="AG11" i="19"/>
  <c r="AM41" i="19"/>
  <c r="AA21" i="19"/>
  <c r="AA51" i="19"/>
  <c r="U51" i="19"/>
  <c r="U31" i="19"/>
  <c r="AA11" i="19"/>
  <c r="AG21" i="19"/>
  <c r="O31" i="19"/>
  <c r="AA76" i="1"/>
  <c r="AB77" i="1"/>
  <c r="AA46" i="1"/>
  <c r="AB47" i="1"/>
  <c r="AA47" i="1" s="1"/>
  <c r="AB48" i="1"/>
  <c r="AA4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52" i="1"/>
  <c r="AB53" i="1"/>
  <c r="AE11" i="19"/>
  <c r="Y41" i="19"/>
  <c r="M41" i="19"/>
  <c r="Y21" i="19"/>
  <c r="AK41" i="19"/>
  <c r="S31" i="19"/>
  <c r="M31" i="19"/>
  <c r="M51" i="19"/>
  <c r="Y51" i="19"/>
  <c r="AK21" i="19"/>
  <c r="AK31" i="19"/>
  <c r="Y11" i="19"/>
  <c r="AE41" i="19"/>
  <c r="AE21" i="19"/>
  <c r="S51" i="19"/>
  <c r="AE51" i="19"/>
  <c r="AK51" i="19"/>
  <c r="M21" i="19"/>
  <c r="AE31" i="19"/>
  <c r="AC58" i="1"/>
  <c r="S41" i="19"/>
  <c r="AK11" i="19"/>
  <c r="S11" i="19"/>
  <c r="Y31" i="19"/>
  <c r="S21" i="19"/>
  <c r="M11" i="19"/>
  <c r="L54" i="19"/>
  <c r="AJ14" i="19"/>
  <c r="AD44" i="19"/>
  <c r="X54" i="19"/>
  <c r="R14" i="19"/>
  <c r="AD24" i="19"/>
  <c r="AD34" i="19"/>
  <c r="R54" i="19"/>
  <c r="L34" i="19"/>
  <c r="AJ34" i="19"/>
  <c r="X24" i="19"/>
  <c r="AJ24" i="19"/>
  <c r="X44" i="19"/>
  <c r="R24" i="19"/>
  <c r="AC75" i="1"/>
  <c r="X34" i="19"/>
  <c r="L14" i="19"/>
  <c r="AD14" i="19"/>
  <c r="L44" i="19"/>
  <c r="R44" i="19"/>
  <c r="AD54" i="19"/>
  <c r="X14" i="19"/>
  <c r="AJ44" i="19"/>
  <c r="R34" i="19"/>
  <c r="AJ54" i="19"/>
  <c r="L24" i="19"/>
  <c r="AD29" i="19"/>
  <c r="AD19" i="19"/>
  <c r="R39" i="19"/>
  <c r="R9" i="19"/>
  <c r="X49" i="19"/>
  <c r="X9" i="19"/>
  <c r="AD39" i="19"/>
  <c r="R29" i="19"/>
  <c r="L49" i="19"/>
  <c r="X19" i="19"/>
  <c r="X29" i="19"/>
  <c r="X39" i="19"/>
  <c r="L9" i="19"/>
  <c r="AC45" i="1"/>
  <c r="AD9" i="19"/>
  <c r="AJ49" i="19"/>
  <c r="L39" i="19"/>
  <c r="R19" i="19"/>
  <c r="AJ39" i="19"/>
  <c r="AJ29" i="19"/>
  <c r="AJ19" i="19"/>
  <c r="AJ9" i="19"/>
  <c r="AD49" i="19"/>
  <c r="L19" i="19"/>
  <c r="L29" i="19"/>
  <c r="R49" i="19"/>
  <c r="AA53" i="1" l="1"/>
  <c r="AB54" i="1"/>
  <c r="AA54" i="1" s="1"/>
  <c r="AG39" i="19"/>
  <c r="AG29" i="19"/>
  <c r="AM19" i="19"/>
  <c r="O39" i="19"/>
  <c r="AC4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7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84" i="1"/>
  <c r="AG15" i="19"/>
  <c r="U15" i="19"/>
  <c r="AG55" i="19"/>
  <c r="U55" i="19"/>
  <c r="AE40" i="19"/>
  <c r="Y30" i="19"/>
  <c r="M20" i="19"/>
  <c r="AC5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47"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8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46" i="1"/>
  <c r="M9" i="19"/>
  <c r="Y29" i="19"/>
  <c r="AA71" i="1"/>
  <c r="AB72" i="1"/>
  <c r="AA7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77" i="1"/>
  <c r="AB78" i="1"/>
  <c r="AA7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7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78" i="1"/>
  <c r="AA14" i="19"/>
  <c r="O54" i="19"/>
  <c r="U44" i="19"/>
  <c r="U43" i="19"/>
  <c r="U13" i="19"/>
  <c r="AM53" i="19"/>
  <c r="AA53" i="19"/>
  <c r="AA43" i="19"/>
  <c r="O53" i="19"/>
  <c r="O23" i="19"/>
  <c r="O13" i="19"/>
  <c r="AG43" i="19"/>
  <c r="U33" i="19"/>
  <c r="U23" i="19"/>
  <c r="AM13" i="19"/>
  <c r="AM23" i="19"/>
  <c r="AG13" i="19"/>
  <c r="AA23" i="19"/>
  <c r="AG33" i="19"/>
  <c r="AA33" i="19"/>
  <c r="AM33" i="19"/>
  <c r="AA13" i="19"/>
  <c r="AC7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77" i="1"/>
  <c r="AF53" i="19"/>
  <c r="T43" i="19"/>
  <c r="Z53" i="19"/>
  <c r="N43" i="19"/>
  <c r="T23" i="19"/>
  <c r="AF43" i="19"/>
  <c r="Z13" i="19"/>
  <c r="Z43" i="19"/>
  <c r="AF23" i="19"/>
  <c r="AL13" i="19"/>
  <c r="Z23" i="19"/>
  <c r="AL43" i="19"/>
  <c r="AF13" i="19"/>
  <c r="AL23" i="19"/>
  <c r="N13" i="19"/>
  <c r="T33" i="19"/>
  <c r="AL53" i="19"/>
  <c r="N23" i="19"/>
  <c r="N53" i="19"/>
  <c r="AF33" i="19"/>
  <c r="N33" i="19"/>
  <c r="AC7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5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5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55" i="1" l="1"/>
  <c r="L55" i="1" s="1"/>
  <c r="K25" i="1"/>
  <c r="L25" i="1" s="1"/>
  <c r="K43" i="1"/>
  <c r="L43" i="1" s="1"/>
  <c r="K37" i="1"/>
  <c r="L37" i="1" s="1"/>
  <c r="K67" i="1"/>
  <c r="L67" i="1" s="1"/>
  <c r="K61" i="1"/>
  <c r="L61" i="1" s="1"/>
  <c r="K49" i="1"/>
  <c r="L49" i="1" s="1"/>
  <c r="K31" i="1"/>
  <c r="L31" i="1" s="1"/>
  <c r="K79" i="1"/>
  <c r="L79" i="1" s="1"/>
  <c r="K73" i="1"/>
  <c r="L73" i="1" s="1"/>
  <c r="X6" i="18" l="1"/>
  <c r="AJ30" i="18"/>
  <c r="R22" i="18"/>
  <c r="L6" i="18"/>
  <c r="R30" i="18"/>
  <c r="X22" i="18"/>
  <c r="X38" i="18"/>
  <c r="AD38" i="18"/>
  <c r="N31" i="1"/>
  <c r="AD22" i="18"/>
  <c r="M31" i="1"/>
  <c r="AB31" i="1" s="1"/>
  <c r="AA3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49" i="1"/>
  <c r="L32" i="18"/>
  <c r="X8" i="18"/>
  <c r="X24" i="18"/>
  <c r="AJ8" i="18"/>
  <c r="M49" i="1"/>
  <c r="R40" i="18"/>
  <c r="L40" i="18"/>
  <c r="X16" i="18"/>
  <c r="L24" i="18"/>
  <c r="AJ24" i="18"/>
  <c r="X32" i="18"/>
  <c r="AJ40" i="18"/>
  <c r="R16" i="18"/>
  <c r="AD40" i="18"/>
  <c r="AD32" i="18"/>
  <c r="AD16" i="18"/>
  <c r="M61" i="1"/>
  <c r="J42" i="18"/>
  <c r="P34" i="18"/>
  <c r="AB18" i="18"/>
  <c r="AB42" i="18"/>
  <c r="AH34" i="18"/>
  <c r="P10" i="18"/>
  <c r="V34" i="18"/>
  <c r="P42" i="18"/>
  <c r="V42" i="18"/>
  <c r="AH42" i="18"/>
  <c r="AB26" i="18"/>
  <c r="AH26" i="18"/>
  <c r="V26" i="18"/>
  <c r="AB34" i="18"/>
  <c r="V10" i="18"/>
  <c r="AH18" i="18"/>
  <c r="J34" i="18"/>
  <c r="J10" i="18"/>
  <c r="AB10" i="18"/>
  <c r="J18" i="18"/>
  <c r="N61" i="1"/>
  <c r="P26" i="18"/>
  <c r="J26" i="18"/>
  <c r="AH10" i="18"/>
  <c r="P18" i="18"/>
  <c r="V18" i="18"/>
  <c r="X42" i="18"/>
  <c r="AD34" i="18"/>
  <c r="AD10" i="18"/>
  <c r="AD26" i="18"/>
  <c r="L10" i="18"/>
  <c r="L42" i="18"/>
  <c r="L26" i="18"/>
  <c r="X18" i="18"/>
  <c r="X34" i="18"/>
  <c r="X10" i="18"/>
  <c r="R18" i="18"/>
  <c r="AJ10" i="18"/>
  <c r="AD42" i="18"/>
  <c r="AJ34" i="18"/>
  <c r="R26" i="18"/>
  <c r="M67" i="1"/>
  <c r="L18" i="18"/>
  <c r="AJ26" i="18"/>
  <c r="AD18" i="18"/>
  <c r="R34" i="18"/>
  <c r="L34" i="18"/>
  <c r="AJ42" i="18"/>
  <c r="R10" i="18"/>
  <c r="R42" i="18"/>
  <c r="X26" i="18"/>
  <c r="AJ18" i="18"/>
  <c r="N67" i="1"/>
  <c r="T14" i="18"/>
  <c r="AL38" i="18"/>
  <c r="N14" i="18"/>
  <c r="Z6" i="18"/>
  <c r="T38" i="18"/>
  <c r="T22" i="18"/>
  <c r="AL14" i="18"/>
  <c r="N22" i="18"/>
  <c r="N37" i="1"/>
  <c r="AF22" i="18"/>
  <c r="N6" i="18"/>
  <c r="AF6" i="18"/>
  <c r="AF38" i="18"/>
  <c r="M37" i="1"/>
  <c r="AB37" i="1" s="1"/>
  <c r="AA37" i="1" s="1"/>
  <c r="N38" i="18"/>
  <c r="AL30" i="18"/>
  <c r="AL22" i="18"/>
  <c r="T6" i="18"/>
  <c r="AF14" i="18"/>
  <c r="AF30" i="18"/>
  <c r="Z22" i="18"/>
  <c r="T30" i="18"/>
  <c r="Z30" i="18"/>
  <c r="AL6" i="18"/>
  <c r="Z14" i="18"/>
  <c r="Z38" i="18"/>
  <c r="N30" i="18"/>
  <c r="J40" i="18"/>
  <c r="AB40" i="18"/>
  <c r="AH32" i="18"/>
  <c r="AB24" i="18"/>
  <c r="V16" i="18"/>
  <c r="M43" i="1"/>
  <c r="J16" i="18"/>
  <c r="P32" i="18"/>
  <c r="V24" i="18"/>
  <c r="P24" i="18"/>
  <c r="V40" i="18"/>
  <c r="P16" i="18"/>
  <c r="P40" i="18"/>
  <c r="V32" i="18"/>
  <c r="AH16" i="18"/>
  <c r="AB16" i="18"/>
  <c r="V8" i="18"/>
  <c r="AH24" i="18"/>
  <c r="AH8" i="18"/>
  <c r="AH40" i="18"/>
  <c r="J8" i="18"/>
  <c r="AB32" i="18"/>
  <c r="AB8" i="18"/>
  <c r="J24" i="18"/>
  <c r="J32" i="18"/>
  <c r="P8" i="18"/>
  <c r="N43" i="1"/>
  <c r="Z42" i="18"/>
  <c r="T18" i="18"/>
  <c r="AF34" i="18"/>
  <c r="AF42" i="18"/>
  <c r="N42" i="18"/>
  <c r="Z18" i="18"/>
  <c r="AL10" i="18"/>
  <c r="AL26" i="18"/>
  <c r="AF26" i="18"/>
  <c r="Z10" i="18"/>
  <c r="N18" i="18"/>
  <c r="T26" i="18"/>
  <c r="AF10" i="18"/>
  <c r="T34" i="18"/>
  <c r="N26" i="18"/>
  <c r="AL18" i="18"/>
  <c r="N10" i="18"/>
  <c r="AF18" i="18"/>
  <c r="Z26" i="18"/>
  <c r="AL34" i="18"/>
  <c r="M73" i="1"/>
  <c r="Z34" i="18"/>
  <c r="T10" i="18"/>
  <c r="N73" i="1"/>
  <c r="AL42" i="18"/>
  <c r="N34" i="18"/>
  <c r="T42" i="18"/>
  <c r="P14" i="18"/>
  <c r="V22" i="18"/>
  <c r="V14" i="18"/>
  <c r="P22" i="18"/>
  <c r="V38" i="18"/>
  <c r="AH14" i="18"/>
  <c r="AH38" i="18"/>
  <c r="J14" i="18"/>
  <c r="AB22" i="18"/>
  <c r="V30" i="18"/>
  <c r="AB14" i="18"/>
  <c r="AB38" i="18"/>
  <c r="J30" i="18"/>
  <c r="P38" i="18"/>
  <c r="AB6" i="18"/>
  <c r="M25" i="1"/>
  <c r="AB25" i="1" s="1"/>
  <c r="AH30" i="18"/>
  <c r="J38" i="18"/>
  <c r="AH6" i="18"/>
  <c r="V6" i="18"/>
  <c r="AB30" i="18"/>
  <c r="J22" i="18"/>
  <c r="J6" i="18"/>
  <c r="P30" i="18"/>
  <c r="AH22" i="18"/>
  <c r="P6" i="18"/>
  <c r="N25" i="1"/>
  <c r="AH12" i="18"/>
  <c r="J20" i="18"/>
  <c r="J44" i="18"/>
  <c r="AB28" i="18"/>
  <c r="P28" i="18"/>
  <c r="N79" i="1"/>
  <c r="P12" i="18"/>
  <c r="AH20" i="18"/>
  <c r="P44" i="18"/>
  <c r="AB12" i="18"/>
  <c r="P20" i="18"/>
  <c r="J36" i="18"/>
  <c r="P36" i="18"/>
  <c r="AB44" i="18"/>
  <c r="V44" i="18"/>
  <c r="J28" i="18"/>
  <c r="AH36" i="18"/>
  <c r="V12" i="18"/>
  <c r="V28" i="18"/>
  <c r="AH44" i="18"/>
  <c r="AB20" i="18"/>
  <c r="AB36" i="18"/>
  <c r="AH28" i="18"/>
  <c r="V36" i="18"/>
  <c r="V20" i="18"/>
  <c r="M79" i="1"/>
  <c r="AB79" i="1" s="1"/>
  <c r="AA79" i="1" s="1"/>
  <c r="J12" i="18"/>
  <c r="AF24" i="18"/>
  <c r="AF32" i="18"/>
  <c r="T40" i="18"/>
  <c r="M55" i="1"/>
  <c r="Z40" i="18"/>
  <c r="AL8" i="18"/>
  <c r="AF8" i="18"/>
  <c r="T8" i="18"/>
  <c r="Z16" i="18"/>
  <c r="T24" i="18"/>
  <c r="AL24" i="18"/>
  <c r="Z32" i="18"/>
  <c r="N32" i="18"/>
  <c r="N16" i="18"/>
  <c r="Z8" i="18"/>
  <c r="AL40" i="18"/>
  <c r="N8" i="18"/>
  <c r="N24" i="18"/>
  <c r="T32" i="18"/>
  <c r="T16" i="18"/>
  <c r="AF40" i="18"/>
  <c r="AF16" i="18"/>
  <c r="AL32" i="18"/>
  <c r="N40" i="18"/>
  <c r="Z24" i="18"/>
  <c r="AL16" i="18"/>
  <c r="N55" i="1"/>
  <c r="AA25" i="1" l="1"/>
  <c r="AB26" i="1"/>
  <c r="AA26" i="1" s="1"/>
  <c r="AB27" i="19"/>
  <c r="AH37" i="19"/>
  <c r="J7" i="19"/>
  <c r="J17" i="19"/>
  <c r="P27" i="19"/>
  <c r="V37" i="19"/>
  <c r="V47" i="19"/>
  <c r="AB7" i="19"/>
  <c r="AH17" i="19"/>
  <c r="J37" i="19"/>
  <c r="P17" i="19"/>
  <c r="P7" i="19"/>
  <c r="J47" i="19"/>
  <c r="AC31" i="1"/>
  <c r="V17" i="19"/>
  <c r="AH27" i="19"/>
  <c r="V27" i="19"/>
  <c r="AB37" i="19"/>
  <c r="AH47" i="19"/>
  <c r="AB47" i="19"/>
  <c r="AH7" i="19"/>
  <c r="J27" i="19"/>
  <c r="P37" i="19"/>
  <c r="P47" i="19"/>
  <c r="V7" i="19"/>
  <c r="AB17" i="19"/>
  <c r="P38" i="19"/>
  <c r="P48" i="19"/>
  <c r="J8" i="19"/>
  <c r="AB48" i="19"/>
  <c r="AH48" i="19"/>
  <c r="V18" i="19"/>
  <c r="J28" i="19"/>
  <c r="V28" i="19"/>
  <c r="P28" i="19"/>
  <c r="V38" i="19"/>
  <c r="AB38" i="19"/>
  <c r="P8" i="19"/>
  <c r="AC37" i="1"/>
  <c r="AH38" i="19"/>
  <c r="AB18" i="19"/>
  <c r="J18" i="19"/>
  <c r="AH8" i="19"/>
  <c r="V8" i="19"/>
  <c r="AH18" i="19"/>
  <c r="J38" i="19"/>
  <c r="P18" i="19"/>
  <c r="J48" i="19"/>
  <c r="AB8" i="19"/>
  <c r="AB28" i="19"/>
  <c r="AH28" i="19"/>
  <c r="V48" i="19"/>
  <c r="P16" i="19"/>
  <c r="P6" i="19"/>
  <c r="AH6" i="19"/>
  <c r="V46" i="19"/>
  <c r="AH46" i="19"/>
  <c r="AB46" i="19"/>
  <c r="J6" i="19"/>
  <c r="P46" i="19"/>
  <c r="AB26" i="19"/>
  <c r="AB16" i="19"/>
  <c r="AH26" i="19"/>
  <c r="J16" i="19"/>
  <c r="V26" i="19"/>
  <c r="AH36" i="19"/>
  <c r="P26" i="19"/>
  <c r="V16" i="19"/>
  <c r="V36" i="19"/>
  <c r="AC25"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79" i="1"/>
  <c r="AB25" i="19"/>
  <c r="AH35" i="19"/>
  <c r="P55" i="19"/>
  <c r="J45" i="19"/>
  <c r="P25" i="19"/>
  <c r="P35" i="19"/>
  <c r="V55" i="19"/>
  <c r="W16" i="19" l="1"/>
  <c r="K36" i="19"/>
  <c r="Q26" i="19"/>
  <c r="AC26" i="1"/>
  <c r="Q6" i="19"/>
  <c r="K6" i="19"/>
  <c r="Q16" i="19"/>
  <c r="AI6" i="19"/>
  <c r="AI16" i="19"/>
  <c r="W6" i="19"/>
  <c r="Q36" i="19"/>
  <c r="W26" i="19"/>
  <c r="K26" i="19"/>
  <c r="W46" i="19"/>
  <c r="AI36" i="19"/>
  <c r="AI26" i="19"/>
  <c r="AC6" i="19"/>
  <c r="W36" i="19"/>
  <c r="AC36" i="19"/>
  <c r="K16" i="19"/>
  <c r="K46" i="19"/>
  <c r="AI46" i="19"/>
  <c r="AC46" i="19"/>
  <c r="AC26" i="19"/>
  <c r="Q46" i="19"/>
  <c r="AC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<sst xmlns="http://schemas.openxmlformats.org/spreadsheetml/2006/main" count="391" uniqueCount="263">
  <si>
    <t>Matriz Mapa de Riesgos</t>
  </si>
  <si>
    <t>|</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</si>
  <si>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</si>
  <si>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</si>
  <si>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Instructivo
-   </t>
    </r>
    <r>
      <rPr>
        <b/>
        <sz val="11"/>
        <rFont val="Arial Narrow"/>
        <family val="2"/>
      </rPr>
      <t xml:space="preserve">Hoja 1 Contexto del proceso:  </t>
    </r>
    <r>
      <rPr>
        <sz val="11"/>
        <rFont val="Arial Narrow"/>
        <family val="2"/>
      </rPr>
      <t xml:space="preserve">Diligenciar analisis DOFA para cada proceso </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</si>
  <si>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</si>
  <si>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</si>
  <si>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</si>
  <si>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</si>
  <si>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</si>
  <si>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</si>
  <si>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</si>
  <si>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</si>
  <si>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</si>
  <si>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</si>
  <si>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</si>
  <si>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</si>
  <si>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</si>
  <si>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</si>
  <si>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</si>
  <si>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</si>
  <si>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</si>
  <si>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</si>
  <si>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</si>
  <si>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</si>
  <si>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</si>
  <si>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</si>
  <si>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</si>
  <si>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</si>
  <si>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</si>
  <si>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</si>
  <si>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</si>
  <si>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</si>
  <si>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</si>
  <si>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</si>
  <si>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</si>
  <si>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</si>
  <si>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</si>
  <si>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</si>
  <si>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</si>
  <si>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</si>
  <si>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</si>
  <si>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</si>
  <si>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</si>
  <si>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</si>
  <si>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</si>
  <si>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</si>
  <si>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</si>
  <si>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</si>
  <si>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</si>
  <si>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</si>
  <si>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</si>
  <si>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</si>
  <si>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</si>
  <si>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</si>
  <si>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</si>
  <si>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</si>
  <si>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</si>
  <si>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</si>
  <si>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</si>
  <si>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ANÁLISIS DOFA        </t>
  </si>
  <si>
    <t>Origen Interno</t>
  </si>
  <si>
    <t>Fortalezas</t>
  </si>
  <si>
    <t>Debilidades</t>
  </si>
  <si>
    <t>F3. Conocimiento técnico  por parte del equipo de trabajo de las entidades del sector de las problemáticas asociadas a las políticas públicas sectoriales.</t>
  </si>
  <si>
    <t>Origen Externo</t>
  </si>
  <si>
    <t>Oportunidades</t>
  </si>
  <si>
    <t>Amenazas</t>
  </si>
  <si>
    <t>MATRIZ MAPA DE RIESGO</t>
  </si>
  <si>
    <t>Código</t>
  </si>
  <si>
    <t>PLE-PIN-F001</t>
  </si>
  <si>
    <t>Versión</t>
  </si>
  <si>
    <t>Vigencia</t>
  </si>
  <si>
    <t>22 de diciembre de 2021</t>
  </si>
  <si>
    <t>Caso HOLA:</t>
  </si>
  <si>
    <t>CONTROL DE CAMBIOS MATRIZ DE RIESGOS</t>
  </si>
  <si>
    <t>VERSIÓN</t>
  </si>
  <si>
    <t>FECHA</t>
  </si>
  <si>
    <t>DESCRIPCIÓN DE LA MODIFICACIÓN</t>
  </si>
  <si>
    <t>Creación de la matriz de riesgos del proceso</t>
  </si>
  <si>
    <t>Ajuste y actualización a la matriz de acuerdo con la guía del DAFP V4 -2018 a través del manual de gestión del riesgo versión 11- 2019. Se elimina el R5 ya que es parte del contexto externo, se unifican los riegos 1, 3 y 4 ya que tienen elementos en común y se pueden gestionar de manera unificada , se ajusta el R2, se identifica un nuevo riesgo el cual es trasladado del proceso AGL. Se ajustarón los eventos, causas, consecuencias y el control.</t>
  </si>
  <si>
    <t>Actualización de la matriz en el nuevo formato, se establecen los criterios de la matriz DOFA en su contexto interno y externo, se modifican las causas y consecuencias del riesgo R1 y su control, se ajustan los controles para los riesgos R2 y R3</t>
  </si>
  <si>
    <t xml:space="preserve">Se revisaron los valores correspondientes al nivel de ejecución de los controles a partir de las observaciones del informe de auditoria al proceso.  Se presenta variación en los valores del riesgo residual producto de esta modificación. </t>
  </si>
  <si>
    <t>Se realiza actualización de matriz de riesgos de gestión de acuerdo con los lineamientos establecidos en el manual de gestión del riesgo PLE-PIN-M001 versión 6. Se realizó a través de mesa de trabajo a la que asistió el promotor de mejora con el acompañamiento técnico del grupo de riesgos de la Oficina Asesora de Planeación. Se realizaron ajustes de redacción al control 2 del R1,  al R2, y a las causas del R3. Se aprobó bajo caso HOLA No. 238128</t>
  </si>
  <si>
    <t>NOTA: Para el diligenciamiento de esta matriz tenga en cuenta el manual "Gestión del Riesgo" PLE-PIN-M001</t>
  </si>
  <si>
    <t>Proceso:</t>
  </si>
  <si>
    <t xml:space="preserve">Planeación y Gestión Sectorial </t>
  </si>
  <si>
    <t>Objetivo:</t>
  </si>
  <si>
    <t>Coordinar la planeación sectorial mediante la orientación metodológica en la definición, formulación, implementación y seguimiento en los diferentes niveles de planeación que permitan mejorar continuamente la gestión del sector gobierno.</t>
  </si>
  <si>
    <t>Alcance:</t>
  </si>
  <si>
    <t>Inicia con la definición de prioridades distritales y del sector, entrega de planes sectoriales, y termina con los informes de seguimiento y evaluación de los compromisos asumidos, de manera articulada con las entidades del sector gobierno y de acuerdo a los lineamientos de la Secretaria Distrital de Planeación</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</si>
  <si>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</si>
  <si>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</si>
  <si>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</si>
  <si>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</si>
  <si>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</si>
  <si>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</si>
  <si>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</si>
  <si>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</si>
  <si>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</si>
  <si>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</si>
  <si>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</si>
  <si>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</si>
  <si>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</si>
  <si>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</si>
  <si>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</si>
  <si>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</si>
  <si>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</si>
  <si>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</si>
  <si>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</si>
  <si>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</si>
  <si>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</si>
  <si>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</si>
  <si>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</si>
  <si>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</si>
  <si>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</si>
  <si>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</si>
  <si>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</si>
  <si>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</si>
  <si>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Reputacional</t>
  </si>
  <si>
    <t xml:space="preserve">Los canales de comunicación  no son lo suficientes agiles y efectivos </t>
  </si>
  <si>
    <t>Falta de cultura en el trabajo como sector</t>
  </si>
  <si>
    <t xml:space="preserve">Afectación reputacional por la descoordinación y desarticulación de las entidades del sector para generación instrumentos de planeación, seguimiento y evaluación sectorial </t>
  </si>
  <si>
    <t>Ejecucion y Administracion de procesos</t>
  </si>
  <si>
    <t xml:space="preserve">     El riesgo afecta la imagen de la entidad con algunos usuarios de relevancia frente al logro de los objetivos</t>
  </si>
  <si>
    <t>La secretaría técnica del Comité Sectorial de Gestión y Desempeño, cuando se requiera formular e implementar  instrumentos y/o herramientas de planeación, seguimiento o evaluación sectorial, convoca a sesión para la presentación del documento.  En caso de presentarse observaciones, se acogen los comentarios y se presenta para aprobación.
Como evidencia de la ejecución del control quedan las actas de Comité y los documentos aprobados. Este control está documentado en los actos administrativos: Acuerdo 001 de 2020 Reglamento Interno del Comité Sectorial de Gestión y Desempeño, y Resolución 672 de 2020 donde se establece la conformación y funcionamiento del Comité Sectorial de Gestión y Desempeño del Sector Gobierno y se dictan otras disposiciones.</t>
  </si>
  <si>
    <t>Detectivo</t>
  </si>
  <si>
    <t>Manual</t>
  </si>
  <si>
    <t>Documentado</t>
  </si>
  <si>
    <t>Continua</t>
  </si>
  <si>
    <t>Con Registro</t>
  </si>
  <si>
    <t>Aceptar</t>
  </si>
  <si>
    <t xml:space="preserve">Los equipos de las oficinas de planeación coordinan con las diferentes áreas (entidades del sector) mesas y estrategias de trabajo con el fín de garantizar  que los instrumentos de planeación que  se requieran,   sean construidos y desarrollados con la participación de las entidades que componen el sector, en caso de que existiere una desviación en el control se deberá informar al jefe de la oficina de planeación, como evidencia del control quedan las comunicaciones y documentos  en sus diferentes fases de construcción y seguimiento.   </t>
  </si>
  <si>
    <t>Preventivo</t>
  </si>
  <si>
    <t>Desconocimiento de
los elementos estructurales del sector</t>
  </si>
  <si>
    <t>Desconocimiento técnico en la  formulación de los lineamientos</t>
  </si>
  <si>
    <t>Afectación reputacional por lineamientos para la gestión del sector inoportunos y/o que no sean pertinentes</t>
  </si>
  <si>
    <t xml:space="preserve">     El riesgo afecta la imagen de de la entidad con efecto publicitario sostenido a nivel de sector administrativo, nivel departamental o municipal</t>
  </si>
  <si>
    <t>La Oficina Asesora de Planeación, cada vez que se requiera, formula lineamientos que son presentados a las entidades del sector para retroalimentación y validación previo a su adopción por parte de las oficinas de planeación y/o del Comité Sectorial de Gestión y Desempeño, a través de reuniones de trabajo y/o comunicaciones oficiales establecidas en las entidades. En caso de no ser validados los lineamientos, se ajustarán y volverán a presentarlos hasta que se tome una decisión. 
Como soporte o trazabilidad queda las evidencias de las reuniones, comunicaciones oficiales, correos institucionales, y/o actas de Comité Sectorial de Gestión y Desempeño.</t>
  </si>
  <si>
    <t>El profesional asignado por el jefe de la OAP cada vez que ingresa un analista nuevo al proceso de Planeación y Gestión Sectorial, realiza la programación de una inducción en el puesto de trabajo y/o capacitación relacionado con lineamientos y metodologías para la gestión del sector.En caso de que no se pueda realizar la capacitación, se realizará una nueva programación. La evidencia de la aplicación de este control es el registro de capacitación, programación de las inducciones y Formato de entrenamiento en puesto de trabajo y demás soportes.</t>
  </si>
  <si>
    <t>Económico y Reputacional</t>
  </si>
  <si>
    <t>Asignación limitada de recursos para las diferentes fases de la política pública</t>
  </si>
  <si>
    <t>Desconocimiento  del procedimiento de los lineamientos adoptados por el distrito  para la formulación, implementación y seguimiento de política pública.</t>
  </si>
  <si>
    <t>Afectación reputacional por el incumplimiento de las actividades establecidas para la formulación, implementación y seguimiento de política pública.</t>
  </si>
  <si>
    <t>Los profesionales asignados de la OAP para el acompañamiento técnico y metodológico en las fases de las políticas públicas de la SDG, de acuerdo con lo establecido en el instrumento de seguimiento a las políticas públicas del sector gobierno, realizan como minimo trimestralmente un seguimiento quedando registrado en la matriz establecida para tal fin. En caso de que se evidencie desviaciones en el cumplimiento de alguna de las fases del ciclo de las políticas públicas, se envía comunicación oficial a la dependencia líder de la política pública. Como evidencia de esto queda la matriz de seguimiento, informe semestral sobre el estado de las políticas públicas del sector y las comunicaciones oficiales.</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</si>
  <si>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</si>
  <si>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</si>
  <si>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</si>
  <si>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</si>
  <si>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</si>
  <si>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</si>
  <si>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</si>
  <si>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</si>
  <si>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</si>
  <si>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</si>
  <si>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</si>
  <si>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</si>
  <si>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</si>
  <si>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</si>
  <si>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</si>
  <si>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</si>
  <si>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</si>
  <si>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</si>
  <si>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</si>
  <si>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</si>
  <si>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</si>
  <si>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</si>
  <si>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</si>
  <si>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</si>
  <si>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</si>
  <si>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</si>
  <si>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</si>
  <si>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</si>
  <si>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</si>
  <si>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</si>
  <si>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</si>
  <si>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</si>
  <si>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</si>
  <si>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</si>
  <si>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</si>
  <si>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</si>
  <si>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</si>
  <si>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</si>
  <si>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</si>
  <si>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</si>
  <si>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</si>
  <si>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</si>
  <si>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</si>
  <si>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</si>
  <si>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</si>
  <si>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</si>
  <si>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</si>
  <si>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</si>
  <si>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</si>
  <si>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</si>
  <si>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</si>
  <si>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</si>
  <si>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</si>
  <si>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</si>
  <si>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</si>
  <si>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</si>
  <si>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</si>
  <si>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</si>
  <si>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</si>
  <si>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</si>
  <si>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</si>
  <si>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</si>
  <si>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</si>
  <si>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</si>
  <si>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</si>
  <si>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</si>
  <si>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</si>
  <si>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</si>
  <si>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</si>
  <si>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</si>
  <si>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</si>
  <si>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</si>
  <si>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</si>
  <si>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</si>
  <si>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</si>
  <si>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</si>
  <si>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</si>
  <si>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</si>
  <si>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</si>
  <si>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</si>
  <si>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</si>
  <si>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</si>
  <si>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</si>
  <si>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</si>
  <si>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</si>
  <si>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</si>
  <si>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</si>
  <si>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</si>
  <si>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</si>
  <si>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</si>
  <si>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</si>
  <si>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</si>
  <si>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</si>
  <si>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</si>
  <si>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Reducir (compartir)</t>
  </si>
  <si>
    <t>Reducir (mitigar)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</si>
  <si>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</si>
  <si>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</si>
  <si>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</si>
  <si>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</si>
  <si>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</si>
  <si>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</si>
  <si>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</si>
  <si>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</si>
  <si>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</si>
  <si>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</si>
  <si>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</si>
  <si>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</si>
  <si>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</si>
  <si>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F1.Se cuenta con documentación actualizada del proceso de acuerdo con la normatividad vigente.</t>
  </si>
  <si>
    <t>F2. Se cuenta con un plan estrategico sectorial por cuatrenio.</t>
  </si>
  <si>
    <t xml:space="preserve">D1. Diferencias en la interpretación de los lineamientos aplicables a la planeación sectorial.  </t>
  </si>
  <si>
    <t>D2. Capacidad operativa y humana limitada en los equipos de trabajo para adelantar las actividades del proceso.</t>
  </si>
  <si>
    <t xml:space="preserve">D3. Ausencia de herramientas tecnológicas que faciliten la labor de articulación para realizar la planeación y gestión del Sector Gobierno. </t>
  </si>
  <si>
    <t xml:space="preserve">A1. Falta de continuidad  en los instrumentos de planeación estratégica Distritales. </t>
  </si>
  <si>
    <t xml:space="preserve">O1. Se cuenta con una metodología estandarizada a nivel distrital para el ciclo de las políticas públicas (CONPES). </t>
  </si>
  <si>
    <t>A3. Instrumentos para medición de la implementación de las políticas públicas, no cuentan con variables para medir  estrategias de desarrollo de organismo a nivel nacional e internacional.</t>
  </si>
  <si>
    <t>Se realiza actualización del contexto del proceso. Aprobado bajo caso HOLA No. 346589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</si>
</sst>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8"/>
      <color indexed="60"/>
      <name val="Arial"/>
      <family val="2"/>
    </font>
    <font>
      <b/>
      <sz val="48"/>
      <color indexed="60"/>
      <name val="Arial"/>
      <family val="2"/>
    </font>
    <font>
      <b/>
      <sz val="10"/>
      <name val="Arial"/>
      <family val="2"/>
    </font>
    <font>
      <b/>
      <sz val="12"/>
      <color indexed="16"/>
      <name val="Arial"/>
      <family val="2"/>
    </font>
    <font>
      <b/>
      <sz val="12"/>
      <color rgb="FFA6A6A6"/>
      <name val="Titillium Web"/>
    </font>
    <font>
      <b/>
      <sz val="20"/>
      <color rgb="FFC00000"/>
      <name val="Arial Narrow"/>
      <family val="2"/>
    </font>
    <font>
      <sz val="11"/>
      <color rgb="FF000000"/>
      <name val="Calibri"/>
      <family val="2"/>
      <scheme val="minor"/>
    </font>
    <font>
      <b/>
      <sz val="48"/>
      <color rgb="FF993300"/>
      <name val="Arial"/>
      <family val="2"/>
    </font>
    <font>
      <b/>
      <sz val="18"/>
      <name val="Arial"/>
      <family val="2"/>
    </font>
    <font>
      <b/>
      <sz val="12"/>
      <name val="Arial"/>
      <family val="2"/>
    </font>
    <font>
      <sz val="10"/>
      <color rgb="FF000000"/>
      <name val="Arial"/>
      <family val="2"/>
    </font>
    <font>
      <sz val="12"/>
      <name val="Arial"/>
      <family val="2"/>
    </font>
    <font>
      <b/>
      <sz val="11"/>
      <color rgb="FF800000"/>
      <name val="Arial"/>
      <family val="2"/>
    </font>
    <font>
      <sz val="11"/>
      <color rgb="FF000000"/>
      <name val="Arial"/>
      <family val="2"/>
    </font>
    <font>
      <b/>
      <sz val="11"/>
      <color rgb="FF000000"/>
      <name val="Arial"/>
      <family val="2"/>
    </font>
    <font>
      <sz val="10"/>
      <color rgb="FFFFFFFF"/>
      <name val="Arial"/>
      <family val="2"/>
    </font>
    <font>
      <b/>
      <sz val="12"/>
      <color rgb="FFFF0000"/>
      <name val="Arial"/>
      <family val="2"/>
    </font>
    <font>
      <b/>
      <sz val="9"/>
      <color rgb="FFFFFFFF"/>
      <name val="Arial"/>
      <family val="2"/>
    </font>
    <font>
      <b/>
      <sz val="11"/>
      <name val="Arial"/>
      <family val="2"/>
    </font>
    <font>
      <b/>
      <i/>
      <sz val="14"/>
      <color rgb="FFA6A6A6"/>
      <name val="Arial"/>
      <family val="2"/>
    </font>
    <font>
      <b/>
      <sz val="28"/>
      <color rgb="FF993300"/>
      <name val="Arial"/>
      <family val="2"/>
    </font>
    <font>
      <sz val="11"/>
      <name val="Arial"/>
      <family val="2"/>
    </font>
    <font>
      <b/>
      <sz val="12"/>
      <color rgb="FFFF0000"/>
      <name val="Titillium Web"/>
    </font>
    <font>
      <b/>
      <sz val="11"/>
      <color rgb="FF7030A0"/>
      <name val="Calibri"/>
      <family val="2"/>
      <scheme val="minor"/>
    </font>
    <font>
      <b/>
      <sz val="12"/>
      <color theme="0" tint="-0.34998626667073579"/>
      <name val="Titillium Web"/>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0"/>
        <bgColor rgb="FF000000"/>
      </patternFill>
    </fill>
  </fills>
  <borders count="8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right/>
      <top style="thin">
        <color rgb="FFFFFFFF"/>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4" fillId="0" borderId="0" applyFont="0" applyFill="0" applyBorder="0" applyAlignment="0" applyProtection="0"/>
    <xf numFmtId="0" fontId="47" fillId="0" borderId="0"/>
    <xf numFmtId="0" fontId="48" fillId="0" borderId="0"/>
    <xf numFmtId="0" fontId="5" fillId="0" borderId="0"/>
  </cellStyleXfs>
  <cellXfs count="51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2"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23" fillId="13" borderId="19" xfId="0" applyFont="1" applyFill="1" applyBorder="1" applyAlignment="1" applyProtection="1">
      <alignment horizontal="center" wrapText="1" readingOrder="1"/>
      <protection hidden="1"/>
    </xf>
    <xf numFmtId="0" fontId="0" fillId="3" borderId="0" xfId="0" applyFill="1"/>
    <xf numFmtId="0" fontId="49" fillId="3" borderId="51" xfId="2" applyFont="1" applyFill="1" applyBorder="1"/>
    <xf numFmtId="0" fontId="49" fillId="3" borderId="52" xfId="2" applyFont="1" applyFill="1" applyBorder="1"/>
    <xf numFmtId="0" fontId="49" fillId="3" borderId="53" xfId="2" applyFont="1" applyFill="1" applyBorder="1"/>
    <xf numFmtId="0" fontId="16" fillId="3" borderId="0" xfId="0" applyFont="1" applyFill="1" applyAlignment="1">
      <alignment vertical="center"/>
    </xf>
    <xf numFmtId="0" fontId="5" fillId="3" borderId="0" xfId="0" applyFont="1" applyFill="1"/>
    <xf numFmtId="0" fontId="36" fillId="3" borderId="0" xfId="0" applyFont="1" applyFill="1"/>
    <xf numFmtId="0" fontId="37" fillId="3" borderId="34" xfId="0" applyFont="1" applyFill="1" applyBorder="1" applyAlignment="1">
      <alignment horizontal="center" vertical="center" wrapText="1" readingOrder="1"/>
    </xf>
    <xf numFmtId="0" fontId="38" fillId="3" borderId="34" xfId="0" applyFont="1" applyFill="1" applyBorder="1" applyAlignment="1">
      <alignment horizontal="justify" vertical="center" wrapText="1" readingOrder="1"/>
    </xf>
    <xf numFmtId="9" fontId="37" fillId="3" borderId="43" xfId="0" applyNumberFormat="1"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8" fillId="3" borderId="33" xfId="0" applyFont="1" applyFill="1" applyBorder="1" applyAlignment="1">
      <alignment horizontal="justify" vertical="center" wrapText="1" readingOrder="1"/>
    </xf>
    <xf numFmtId="9" fontId="37" fillId="3" borderId="38" xfId="0" applyNumberFormat="1"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8" fillId="3" borderId="40" xfId="0" applyFont="1" applyFill="1" applyBorder="1" applyAlignment="1">
      <alignment horizontal="justify" vertical="center" wrapText="1" readingOrder="1"/>
    </xf>
    <xf numFmtId="0" fontId="38" fillId="3" borderId="41" xfId="0" applyFont="1" applyFill="1" applyBorder="1" applyAlignment="1">
      <alignment horizontal="center" vertical="center" wrapText="1" readingOrder="1"/>
    </xf>
    <xf numFmtId="0" fontId="46" fillId="3" borderId="0" xfId="0" applyFont="1" applyFill="1"/>
    <xf numFmtId="0" fontId="37" fillId="15" borderId="45" xfId="0" applyFont="1" applyFill="1" applyBorder="1" applyAlignment="1">
      <alignment horizontal="center" vertical="center" wrapText="1" readingOrder="1"/>
    </xf>
    <xf numFmtId="0" fontId="37" fillId="15" borderId="46"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2"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49" fontId="57" fillId="16" borderId="0" xfId="0" applyNumberFormat="1" applyFont="1" applyFill="1" applyAlignment="1" applyProtection="1">
      <alignment horizontal="center" vertical="center" wrapText="1"/>
      <protection locked="0"/>
    </xf>
    <xf numFmtId="0" fontId="59" fillId="18" borderId="33" xfId="0" applyFont="1" applyFill="1" applyBorder="1" applyAlignment="1" applyProtection="1">
      <alignment horizontal="center" vertical="center" wrapText="1"/>
      <protection locked="0"/>
    </xf>
    <xf numFmtId="49" fontId="64" fillId="19" borderId="0" xfId="0" applyNumberFormat="1" applyFont="1" applyFill="1" applyAlignment="1" applyProtection="1">
      <alignment vertical="center" wrapText="1"/>
      <protection locked="0"/>
    </xf>
    <xf numFmtId="0" fontId="62" fillId="19" borderId="0" xfId="0" applyFont="1" applyFill="1" applyProtection="1">
      <protection locked="0"/>
    </xf>
    <xf numFmtId="0" fontId="65" fillId="19" borderId="0" xfId="0" applyFont="1" applyFill="1" applyAlignment="1" applyProtection="1">
      <alignment horizontal="left" vertical="center" wrapText="1"/>
      <protection locked="0"/>
    </xf>
    <xf numFmtId="0" fontId="66" fillId="19" borderId="0" xfId="0" applyFont="1" applyFill="1" applyAlignment="1" applyProtection="1">
      <alignment vertical="center" wrapText="1"/>
      <protection locked="0"/>
    </xf>
    <xf numFmtId="0" fontId="66" fillId="19" borderId="0" xfId="0" applyFont="1" applyFill="1" applyProtection="1">
      <protection locked="0"/>
    </xf>
    <xf numFmtId="0" fontId="66" fillId="19" borderId="0" xfId="0" applyFont="1" applyFill="1" applyAlignment="1" applyProtection="1">
      <alignment horizontal="center"/>
      <protection locked="0"/>
    </xf>
    <xf numFmtId="0" fontId="62" fillId="19" borderId="0" xfId="0" applyFont="1" applyFill="1" applyAlignment="1" applyProtection="1">
      <alignment horizontal="center"/>
      <protection locked="0"/>
    </xf>
    <xf numFmtId="0" fontId="67" fillId="0" borderId="69" xfId="0" applyFont="1" applyBorder="1" applyAlignment="1" applyProtection="1">
      <alignment horizontal="right"/>
      <protection locked="0"/>
    </xf>
    <xf numFmtId="0" fontId="69" fillId="19" borderId="0" xfId="0" applyFont="1" applyFill="1" applyAlignment="1" applyProtection="1">
      <alignment horizontal="center" vertical="center" wrapText="1"/>
      <protection locked="0"/>
    </xf>
    <xf numFmtId="14" fontId="67" fillId="0" borderId="69" xfId="0" applyNumberFormat="1" applyFont="1" applyBorder="1" applyAlignment="1" applyProtection="1">
      <alignment horizontal="right"/>
      <protection locked="0"/>
    </xf>
    <xf numFmtId="0" fontId="69" fillId="19" borderId="0" xfId="0" applyFont="1" applyFill="1" applyAlignment="1" applyProtection="1">
      <alignment vertical="center" wrapText="1"/>
      <protection locked="0"/>
    </xf>
    <xf numFmtId="0" fontId="70" fillId="19" borderId="0" xfId="0" applyFont="1" applyFill="1" applyAlignment="1" applyProtection="1">
      <alignment vertical="center" wrapText="1"/>
      <protection locked="0"/>
    </xf>
    <xf numFmtId="0" fontId="65" fillId="19" borderId="0" xfId="0" applyFont="1" applyFill="1" applyAlignment="1" applyProtection="1">
      <alignment horizontal="center" vertical="center" wrapText="1"/>
      <protection locked="0"/>
    </xf>
    <xf numFmtId="0" fontId="62" fillId="19" borderId="0" xfId="0" applyFont="1" applyFill="1" applyAlignment="1" applyProtection="1">
      <alignment horizontal="center" vertical="center"/>
      <protection locked="0"/>
    </xf>
    <xf numFmtId="0" fontId="66" fillId="19" borderId="0" xfId="0" applyFont="1" applyFill="1" applyAlignment="1" applyProtection="1">
      <alignment horizontal="center" vertical="center" wrapText="1"/>
      <protection locked="0"/>
    </xf>
    <xf numFmtId="0" fontId="66" fillId="19" borderId="0" xfId="0" applyFont="1" applyFill="1" applyAlignment="1" applyProtection="1">
      <alignment horizontal="center" vertical="center"/>
      <protection locked="0"/>
    </xf>
    <xf numFmtId="0" fontId="71" fillId="19" borderId="0" xfId="0" applyFont="1" applyFill="1" applyAlignment="1" applyProtection="1">
      <alignment horizontal="center" vertical="center"/>
      <protection locked="0"/>
    </xf>
    <xf numFmtId="2" fontId="67" fillId="19" borderId="0" xfId="0" applyNumberFormat="1" applyFont="1" applyFill="1" applyAlignment="1" applyProtection="1">
      <alignment horizontal="center" vertical="center" wrapText="1"/>
      <protection locked="0"/>
    </xf>
    <xf numFmtId="0" fontId="71" fillId="19" borderId="0" xfId="0" applyFont="1" applyFill="1" applyProtection="1">
      <protection locked="0"/>
    </xf>
    <xf numFmtId="0" fontId="71" fillId="19" borderId="0" xfId="0" applyFont="1" applyFill="1" applyAlignment="1" applyProtection="1">
      <alignment horizontal="center"/>
      <protection locked="0"/>
    </xf>
    <xf numFmtId="0" fontId="72" fillId="19" borderId="0" xfId="0" applyFont="1" applyFill="1" applyAlignment="1" applyProtection="1">
      <alignment horizontal="left" vertical="center"/>
      <protection locked="0"/>
    </xf>
    <xf numFmtId="165" fontId="65" fillId="19" borderId="0" xfId="0" applyNumberFormat="1" applyFont="1" applyFill="1" applyAlignment="1" applyProtection="1">
      <alignment horizontal="center" vertical="center"/>
      <protection locked="0"/>
    </xf>
    <xf numFmtId="0" fontId="67" fillId="19" borderId="0" xfId="0" applyFont="1" applyFill="1" applyAlignment="1" applyProtection="1">
      <alignment horizontal="left" vertical="center" wrapText="1"/>
      <protection locked="0"/>
    </xf>
    <xf numFmtId="0" fontId="67" fillId="19" borderId="0" xfId="0" applyFont="1" applyFill="1" applyAlignment="1" applyProtection="1">
      <alignment vertical="justify" wrapText="1"/>
      <protection locked="0"/>
    </xf>
    <xf numFmtId="0" fontId="62" fillId="0" borderId="0" xfId="0" applyFont="1" applyProtection="1">
      <protection locked="0"/>
    </xf>
    <xf numFmtId="0" fontId="47" fillId="19" borderId="0" xfId="0" applyFont="1" applyFill="1" applyAlignment="1" applyProtection="1">
      <alignment vertical="center" wrapText="1"/>
      <protection locked="0"/>
    </xf>
    <xf numFmtId="0" fontId="73" fillId="20" borderId="0" xfId="0" applyFont="1" applyFill="1" applyAlignment="1" applyProtection="1">
      <alignment horizontal="center" vertical="center" wrapText="1"/>
      <protection locked="0"/>
    </xf>
    <xf numFmtId="2" fontId="67" fillId="20" borderId="0" xfId="0" applyNumberFormat="1" applyFont="1" applyFill="1" applyAlignment="1" applyProtection="1">
      <alignment horizontal="center" vertical="center" wrapText="1"/>
      <protection hidden="1"/>
    </xf>
    <xf numFmtId="0" fontId="74" fillId="20" borderId="0" xfId="0" applyFont="1" applyFill="1" applyAlignment="1" applyProtection="1">
      <alignment horizontal="center" vertical="center" wrapText="1"/>
      <protection hidden="1"/>
    </xf>
    <xf numFmtId="0" fontId="67" fillId="20" borderId="0" xfId="0" applyFont="1" applyFill="1" applyAlignment="1" applyProtection="1">
      <alignment horizontal="center" vertical="justify" wrapText="1"/>
      <protection locked="0"/>
    </xf>
    <xf numFmtId="0" fontId="67" fillId="20" borderId="0" xfId="0" applyFont="1" applyFill="1" applyAlignment="1" applyProtection="1">
      <alignment vertical="justify" wrapText="1"/>
      <protection locked="0"/>
    </xf>
    <xf numFmtId="0" fontId="69" fillId="19" borderId="69" xfId="0" applyFont="1" applyFill="1" applyBorder="1" applyAlignment="1" applyProtection="1">
      <alignment vertical="center" wrapText="1"/>
      <protection locked="0"/>
    </xf>
    <xf numFmtId="0" fontId="68" fillId="0" borderId="33" xfId="0" applyFont="1" applyBorder="1" applyAlignment="1" applyProtection="1">
      <alignment horizontal="center" vertical="center" wrapText="1"/>
      <protection locked="0"/>
    </xf>
    <xf numFmtId="0" fontId="68" fillId="19" borderId="0" xfId="0" applyFont="1" applyFill="1" applyAlignment="1" applyProtection="1">
      <alignment horizontal="right" wrapText="1"/>
      <protection locked="0"/>
    </xf>
    <xf numFmtId="49" fontId="63" fillId="19" borderId="0" xfId="0" applyNumberFormat="1" applyFont="1" applyFill="1" applyAlignment="1" applyProtection="1">
      <alignment vertical="center" wrapText="1"/>
      <protection locked="0"/>
    </xf>
    <xf numFmtId="0" fontId="67" fillId="19" borderId="33" xfId="0" applyFont="1" applyFill="1" applyBorder="1" applyAlignment="1" applyProtection="1">
      <alignment horizontal="center" vertical="center" wrapText="1"/>
      <protection locked="0"/>
    </xf>
    <xf numFmtId="0" fontId="60" fillId="0" borderId="33" xfId="0" applyFont="1" applyBorder="1" applyAlignment="1">
      <alignment horizontal="left" vertical="center" wrapText="1"/>
    </xf>
    <xf numFmtId="14" fontId="67" fillId="19" borderId="33" xfId="0" applyNumberFormat="1" applyFont="1" applyFill="1" applyBorder="1" applyAlignment="1" applyProtection="1">
      <alignment horizontal="center" vertical="center" wrapText="1"/>
      <protection locked="0"/>
    </xf>
    <xf numFmtId="14" fontId="67" fillId="0" borderId="33" xfId="0" applyNumberFormat="1" applyFont="1" applyBorder="1" applyAlignment="1" applyProtection="1">
      <alignment horizontal="center" vertical="center" wrapText="1"/>
      <protection locked="0"/>
    </xf>
    <xf numFmtId="0" fontId="2" fillId="0" borderId="2" xfId="0" applyFont="1" applyBorder="1" applyAlignment="1">
      <alignment horizontal="center" vertical="center"/>
    </xf>
    <xf numFmtId="0" fontId="49" fillId="0" borderId="2" xfId="0" applyFont="1" applyBorder="1" applyAlignment="1" applyProtection="1">
      <alignment horizontal="justify" vertical="top" wrapText="1"/>
      <protection locked="0"/>
    </xf>
    <xf numFmtId="0" fontId="2" fillId="0" borderId="2" xfId="0" applyFont="1" applyBorder="1" applyAlignment="1" applyProtection="1">
      <alignment horizontal="center" vertical="center"/>
      <protection hidden="1"/>
    </xf>
    <xf numFmtId="0" fontId="2" fillId="0" borderId="2" xfId="0" applyFont="1" applyBorder="1" applyAlignment="1" applyProtection="1">
      <alignment horizontal="center" vertical="center" textRotation="90"/>
      <protection locked="0"/>
    </xf>
    <xf numFmtId="9" fontId="2" fillId="0" borderId="2" xfId="0" applyNumberFormat="1" applyFont="1" applyBorder="1" applyAlignment="1" applyProtection="1">
      <alignment horizontal="center" vertical="center"/>
      <protection hidden="1"/>
    </xf>
    <xf numFmtId="164" fontId="2" fillId="0" borderId="2" xfId="1" applyNumberFormat="1" applyFont="1" applyBorder="1" applyAlignment="1">
      <alignment horizontal="center" vertical="center"/>
    </xf>
    <xf numFmtId="0" fontId="51" fillId="0" borderId="2" xfId="0" applyFont="1" applyBorder="1" applyAlignment="1" applyProtection="1">
      <alignment horizontal="center" vertical="center" textRotation="90" wrapText="1"/>
      <protection hidden="1"/>
    </xf>
    <xf numFmtId="9" fontId="2" fillId="0" borderId="4" xfId="0" applyNumberFormat="1" applyFont="1" applyBorder="1" applyAlignment="1" applyProtection="1">
      <alignment horizontal="center" vertical="center"/>
      <protection hidden="1"/>
    </xf>
    <xf numFmtId="0" fontId="51" fillId="0" borderId="2" xfId="0" applyFont="1" applyBorder="1" applyAlignment="1" applyProtection="1">
      <alignment horizontal="center" vertical="center" textRotation="90"/>
      <protection hidden="1"/>
    </xf>
    <xf numFmtId="0" fontId="2" fillId="0" borderId="4" xfId="0" applyFont="1" applyBorder="1" applyAlignment="1" applyProtection="1">
      <alignment horizontal="center" vertical="center" textRotation="90"/>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14"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horizontal="center" vertical="top"/>
      <protection locked="0"/>
    </xf>
    <xf numFmtId="0" fontId="51" fillId="0" borderId="4" xfId="0" applyFont="1" applyBorder="1" applyAlignment="1" applyProtection="1">
      <alignment horizontal="center" vertical="center" textRotation="90" wrapText="1"/>
      <protection hidden="1"/>
    </xf>
    <xf numFmtId="0" fontId="51" fillId="0" borderId="4" xfId="0" applyFont="1" applyBorder="1" applyAlignment="1" applyProtection="1">
      <alignment horizontal="center" vertical="center" textRotation="90"/>
      <protection hidden="1"/>
    </xf>
    <xf numFmtId="0" fontId="49" fillId="0" borderId="2" xfId="0" applyFont="1" applyBorder="1" applyAlignment="1" applyProtection="1">
      <alignment horizontal="center" vertical="center" wrapText="1"/>
      <protection locked="0"/>
    </xf>
    <xf numFmtId="164" fontId="2" fillId="0" borderId="2" xfId="1" applyNumberFormat="1" applyFont="1" applyBorder="1" applyAlignment="1">
      <alignment horizontal="center" vertical="top"/>
    </xf>
    <xf numFmtId="9" fontId="2" fillId="0" borderId="4" xfId="1" applyFont="1" applyFill="1" applyBorder="1" applyAlignment="1" applyProtection="1">
      <alignment horizontal="center" vertical="center"/>
      <protection locked="0"/>
    </xf>
    <xf numFmtId="164" fontId="2" fillId="9" borderId="2" xfId="1" applyNumberFormat="1" applyFont="1" applyFill="1" applyBorder="1" applyAlignment="1">
      <alignment horizontal="center" vertical="top"/>
    </xf>
    <xf numFmtId="0" fontId="2" fillId="0" borderId="2" xfId="0" applyFont="1" applyBorder="1" applyAlignment="1">
      <alignment horizontal="center" vertical="top"/>
    </xf>
    <xf numFmtId="0" fontId="2" fillId="0" borderId="2" xfId="0" applyFont="1" applyBorder="1" applyAlignment="1" applyProtection="1">
      <alignment horizontal="center" vertical="top"/>
      <protection hidden="1"/>
    </xf>
    <xf numFmtId="0" fontId="2" fillId="0" borderId="2" xfId="0" applyFont="1" applyBorder="1" applyAlignment="1" applyProtection="1">
      <alignment horizontal="center" vertical="top" textRotation="90"/>
      <protection locked="0"/>
    </xf>
    <xf numFmtId="9" fontId="2" fillId="0" borderId="2" xfId="0" applyNumberFormat="1" applyFont="1" applyBorder="1" applyAlignment="1" applyProtection="1">
      <alignment horizontal="center" vertical="top"/>
      <protection hidden="1"/>
    </xf>
    <xf numFmtId="0" fontId="51" fillId="0" borderId="2" xfId="0" applyFont="1" applyBorder="1" applyAlignment="1" applyProtection="1">
      <alignment horizontal="center" vertical="top" textRotation="90" wrapText="1"/>
      <protection hidden="1"/>
    </xf>
    <xf numFmtId="9" fontId="2" fillId="0" borderId="4" xfId="0" applyNumberFormat="1" applyFont="1" applyBorder="1" applyAlignment="1" applyProtection="1">
      <alignment horizontal="center" vertical="top"/>
      <protection hidden="1"/>
    </xf>
    <xf numFmtId="0" fontId="51" fillId="0" borderId="2" xfId="0" applyFont="1" applyBorder="1" applyAlignment="1" applyProtection="1">
      <alignment horizontal="center" vertical="top" textRotation="90"/>
      <protection hidden="1"/>
    </xf>
    <xf numFmtId="0" fontId="2" fillId="0" borderId="4" xfId="0" applyFont="1" applyBorder="1" applyAlignment="1" applyProtection="1">
      <alignment horizontal="center" vertical="top" textRotation="90"/>
      <protection locked="0"/>
    </xf>
    <xf numFmtId="14" fontId="2" fillId="0" borderId="2" xfId="0" applyNumberFormat="1" applyFont="1" applyBorder="1" applyAlignment="1" applyProtection="1">
      <alignment horizontal="center" vertical="top"/>
      <protection locked="0"/>
    </xf>
    <xf numFmtId="0" fontId="2" fillId="0" borderId="2" xfId="0" applyFont="1" applyBorder="1" applyAlignment="1" applyProtection="1">
      <alignment horizontal="justify" vertical="top"/>
      <protection locked="0"/>
    </xf>
    <xf numFmtId="0" fontId="79" fillId="0" borderId="0" xfId="0" applyFont="1" applyAlignment="1">
      <alignment wrapText="1"/>
    </xf>
    <xf numFmtId="0" fontId="80" fillId="0" borderId="33" xfId="0" applyFont="1" applyBorder="1" applyAlignment="1">
      <alignment horizontal="left" vertical="center" wrapText="1"/>
    </xf>
    <xf numFmtId="0" fontId="0" fillId="3" borderId="0" xfId="0" applyFill="1" applyAlignment="1">
      <alignment wrapText="1"/>
    </xf>
    <xf numFmtId="0" fontId="78" fillId="0" borderId="0" xfId="0" applyFont="1" applyAlignment="1">
      <alignment horizontal="left" vertical="center" wrapText="1"/>
    </xf>
    <xf numFmtId="0" fontId="78" fillId="0" borderId="0" xfId="0" applyFont="1" applyAlignment="1">
      <alignment vertical="center" wrapText="1"/>
    </xf>
    <xf numFmtId="0" fontId="60" fillId="0" borderId="33" xfId="0" applyFont="1" applyBorder="1" applyAlignment="1">
      <alignment vertical="center" wrapText="1"/>
    </xf>
    <xf numFmtId="0" fontId="67" fillId="0" borderId="33" xfId="0" applyFont="1" applyBorder="1" applyAlignment="1" applyProtection="1">
      <alignment horizontal="center" vertical="center" wrapText="1"/>
      <protection locked="0"/>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61" fillId="3" borderId="48" xfId="2" applyFont="1" applyFill="1" applyBorder="1" applyAlignment="1">
      <alignment horizontal="center" vertical="center" wrapText="1"/>
    </xf>
    <xf numFmtId="0" fontId="61" fillId="3" borderId="49" xfId="2" applyFont="1" applyFill="1" applyBorder="1" applyAlignment="1">
      <alignment horizontal="center" vertical="center" wrapText="1"/>
    </xf>
    <xf numFmtId="0" fontId="61" fillId="3" borderId="50"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49" fillId="0" borderId="69" xfId="2" quotePrefix="1" applyFont="1" applyBorder="1" applyAlignment="1">
      <alignment horizontal="left" vertical="center" wrapText="1"/>
    </xf>
    <xf numFmtId="0" fontId="49"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49" fontId="56" fillId="16" borderId="0" xfId="0" applyNumberFormat="1" applyFont="1" applyFill="1" applyAlignment="1" applyProtection="1">
      <alignment horizontal="right" vertical="center" wrapText="1"/>
      <protection locked="0"/>
    </xf>
    <xf numFmtId="0" fontId="49" fillId="0" borderId="4" xfId="0" applyFont="1" applyBorder="1" applyAlignment="1" applyProtection="1">
      <alignment horizontal="left" vertical="center" wrapText="1"/>
      <protection locked="0"/>
    </xf>
    <xf numFmtId="0" fontId="49" fillId="0" borderId="8" xfId="0" applyFont="1" applyBorder="1" applyAlignment="1" applyProtection="1">
      <alignment horizontal="left" vertical="center" wrapText="1"/>
      <protection locked="0"/>
    </xf>
    <xf numFmtId="0" fontId="49" fillId="0" borderId="5"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4" xfId="0" applyFont="1" applyBorder="1" applyAlignment="1" applyProtection="1">
      <alignment horizontal="center" vertical="center" textRotation="90"/>
      <protection locked="0"/>
    </xf>
    <xf numFmtId="0" fontId="2" fillId="0" borderId="8" xfId="0" applyFont="1" applyBorder="1" applyAlignment="1" applyProtection="1">
      <alignment horizontal="center" vertical="center" textRotation="90"/>
      <protection locked="0"/>
    </xf>
    <xf numFmtId="0" fontId="2" fillId="0" borderId="5" xfId="0" applyFont="1" applyBorder="1" applyAlignment="1" applyProtection="1">
      <alignment horizontal="center" vertical="center" textRotation="90"/>
      <protection locked="0"/>
    </xf>
    <xf numFmtId="9" fontId="2" fillId="0" borderId="4" xfId="0" applyNumberFormat="1" applyFont="1" applyBorder="1" applyAlignment="1" applyProtection="1">
      <alignment horizontal="center" vertical="center"/>
      <protection hidden="1"/>
    </xf>
    <xf numFmtId="9" fontId="2" fillId="0" borderId="8" xfId="0" applyNumberFormat="1" applyFont="1" applyBorder="1" applyAlignment="1" applyProtection="1">
      <alignment horizontal="center" vertical="center"/>
      <protection hidden="1"/>
    </xf>
    <xf numFmtId="9" fontId="2" fillId="0" borderId="5" xfId="0" applyNumberFormat="1" applyFont="1" applyBorder="1" applyAlignment="1" applyProtection="1">
      <alignment horizontal="center" vertical="center"/>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1" fillId="0" borderId="4" xfId="0" applyFont="1" applyBorder="1" applyAlignment="1" applyProtection="1">
      <alignment horizontal="center" vertical="center" wrapText="1"/>
      <protection hidden="1"/>
    </xf>
    <xf numFmtId="0" fontId="51" fillId="0" borderId="8" xfId="0" applyFont="1" applyBorder="1" applyAlignment="1" applyProtection="1">
      <alignment horizontal="center" vertical="center" wrapText="1"/>
      <protection hidden="1"/>
    </xf>
    <xf numFmtId="0" fontId="51" fillId="0" borderId="5" xfId="0" applyFont="1" applyBorder="1" applyAlignment="1" applyProtection="1">
      <alignment horizontal="center" vertical="center" wrapText="1"/>
      <protection hidden="1"/>
    </xf>
    <xf numFmtId="9" fontId="2" fillId="0" borderId="4" xfId="0" applyNumberFormat="1" applyFont="1" applyBorder="1" applyAlignment="1" applyProtection="1">
      <alignment horizontal="center" vertical="center" wrapText="1"/>
      <protection hidden="1"/>
    </xf>
    <xf numFmtId="9" fontId="2" fillId="0" borderId="8" xfId="0" applyNumberFormat="1" applyFont="1" applyBorder="1" applyAlignment="1" applyProtection="1">
      <alignment horizontal="center" vertical="center" wrapText="1"/>
      <protection hidden="1"/>
    </xf>
    <xf numFmtId="9" fontId="2" fillId="0" borderId="5" xfId="0" applyNumberFormat="1" applyFont="1" applyBorder="1" applyAlignment="1" applyProtection="1">
      <alignment horizontal="center" vertical="center" wrapText="1"/>
      <protection hidden="1"/>
    </xf>
    <xf numFmtId="0" fontId="51" fillId="0" borderId="4" xfId="0" applyFont="1" applyBorder="1" applyAlignment="1" applyProtection="1">
      <alignment horizontal="center" vertical="center"/>
      <protection hidden="1"/>
    </xf>
    <xf numFmtId="0" fontId="51" fillId="0" borderId="8" xfId="0" applyFont="1" applyBorder="1" applyAlignment="1" applyProtection="1">
      <alignment horizontal="center" vertical="center"/>
      <protection hidden="1"/>
    </xf>
    <xf numFmtId="0" fontId="51" fillId="0" borderId="5" xfId="0" applyFont="1" applyBorder="1" applyAlignment="1" applyProtection="1">
      <alignment horizontal="center" vertical="center"/>
      <protection hidden="1"/>
    </xf>
    <xf numFmtId="14" fontId="2" fillId="0" borderId="4" xfId="0" applyNumberFormat="1" applyFont="1" applyBorder="1" applyAlignment="1" applyProtection="1">
      <alignment horizontal="center" vertical="top"/>
      <protection locked="0"/>
    </xf>
    <xf numFmtId="14" fontId="2" fillId="0" borderId="8" xfId="0" applyNumberFormat="1" applyFont="1" applyBorder="1" applyAlignment="1" applyProtection="1">
      <alignment horizontal="center" vertical="top"/>
      <protection locked="0"/>
    </xf>
    <xf numFmtId="14" fontId="2" fillId="0" borderId="5" xfId="0" applyNumberFormat="1" applyFont="1" applyBorder="1" applyAlignment="1" applyProtection="1">
      <alignment horizontal="center" vertical="top"/>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5" xfId="0" applyFont="1" applyBorder="1" applyAlignment="1" applyProtection="1">
      <alignment horizontal="center" vertical="top"/>
      <protection locked="0"/>
    </xf>
    <xf numFmtId="0" fontId="51" fillId="0" borderId="4" xfId="0" applyFont="1" applyBorder="1" applyAlignment="1" applyProtection="1">
      <alignment horizontal="center" vertical="center" textRotation="90" wrapText="1"/>
      <protection hidden="1"/>
    </xf>
    <xf numFmtId="0" fontId="51" fillId="0" borderId="8" xfId="0" applyFont="1" applyBorder="1" applyAlignment="1" applyProtection="1">
      <alignment horizontal="center" vertical="center" textRotation="90" wrapText="1"/>
      <protection hidden="1"/>
    </xf>
    <xf numFmtId="0" fontId="51" fillId="0" borderId="5" xfId="0" applyFont="1" applyBorder="1" applyAlignment="1" applyProtection="1">
      <alignment horizontal="center" vertical="center" textRotation="90" wrapText="1"/>
      <protection hidden="1"/>
    </xf>
    <xf numFmtId="9" fontId="2" fillId="0" borderId="4" xfId="0" applyNumberFormat="1" applyFont="1" applyBorder="1" applyAlignment="1" applyProtection="1">
      <alignment horizontal="center" vertical="center"/>
      <protection locked="0"/>
    </xf>
    <xf numFmtId="9" fontId="2" fillId="0" borderId="8" xfId="0" applyNumberFormat="1" applyFont="1" applyBorder="1" applyAlignment="1" applyProtection="1">
      <alignment horizontal="center" vertical="center"/>
      <protection locked="0"/>
    </xf>
    <xf numFmtId="9" fontId="2" fillId="0" borderId="5" xfId="0" applyNumberFormat="1" applyFont="1" applyBorder="1" applyAlignment="1" applyProtection="1">
      <alignment horizontal="center" vertical="center"/>
      <protection locked="0"/>
    </xf>
    <xf numFmtId="9" fontId="2" fillId="0" borderId="4" xfId="1" applyFont="1" applyFill="1" applyBorder="1" applyAlignment="1" applyProtection="1">
      <alignment horizontal="center" vertical="center"/>
      <protection locked="0"/>
    </xf>
    <xf numFmtId="9" fontId="2" fillId="0" borderId="8" xfId="1" applyFont="1" applyFill="1" applyBorder="1" applyAlignment="1" applyProtection="1">
      <alignment horizontal="center" vertical="center"/>
      <protection locked="0"/>
    </xf>
    <xf numFmtId="9" fontId="2" fillId="0" borderId="5" xfId="1" applyFont="1" applyFill="1" applyBorder="1" applyAlignment="1" applyProtection="1">
      <alignment horizontal="center" vertical="center"/>
      <protection locked="0"/>
    </xf>
    <xf numFmtId="0" fontId="51" fillId="0" borderId="4" xfId="0" applyFont="1" applyBorder="1" applyAlignment="1" applyProtection="1">
      <alignment horizontal="center" vertical="center" textRotation="90"/>
      <protection hidden="1"/>
    </xf>
    <xf numFmtId="0" fontId="51" fillId="0" borderId="8" xfId="0" applyFont="1" applyBorder="1" applyAlignment="1" applyProtection="1">
      <alignment horizontal="center" vertical="center" textRotation="90"/>
      <protection hidden="1"/>
    </xf>
    <xf numFmtId="0" fontId="51" fillId="0" borderId="5" xfId="0" applyFont="1" applyBorder="1" applyAlignment="1" applyProtection="1">
      <alignment horizontal="center" vertical="center" textRotation="90"/>
      <protection hidden="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7" fillId="3" borderId="6"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5" fillId="2" borderId="28"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9" fontId="2" fillId="0" borderId="4" xfId="0" applyNumberFormat="1" applyFont="1" applyBorder="1" applyAlignment="1" applyProtection="1">
      <alignment horizontal="center" vertical="top" wrapText="1"/>
      <protection hidden="1"/>
    </xf>
    <xf numFmtId="9" fontId="2" fillId="0" borderId="8" xfId="0" applyNumberFormat="1" applyFont="1" applyBorder="1" applyAlignment="1" applyProtection="1">
      <alignment horizontal="center" vertical="top" wrapText="1"/>
      <protection hidden="1"/>
    </xf>
    <xf numFmtId="9" fontId="2" fillId="0" borderId="5" xfId="0" applyNumberFormat="1" applyFont="1" applyBorder="1" applyAlignment="1" applyProtection="1">
      <alignment horizontal="center" vertical="top" wrapText="1"/>
      <protection hidden="1"/>
    </xf>
    <xf numFmtId="0" fontId="51" fillId="0" borderId="4" xfId="0" applyFont="1" applyBorder="1" applyAlignment="1" applyProtection="1">
      <alignment horizontal="center" vertical="top"/>
      <protection hidden="1"/>
    </xf>
    <xf numFmtId="0" fontId="51" fillId="0" borderId="8" xfId="0" applyFont="1" applyBorder="1" applyAlignment="1" applyProtection="1">
      <alignment horizontal="center" vertical="top"/>
      <protection hidden="1"/>
    </xf>
    <xf numFmtId="0" fontId="51" fillId="0" borderId="5" xfId="0" applyFont="1" applyBorder="1" applyAlignment="1" applyProtection="1">
      <alignment horizontal="center" vertical="top"/>
      <protection hidden="1"/>
    </xf>
    <xf numFmtId="0" fontId="51" fillId="0" borderId="4" xfId="0" applyFont="1" applyBorder="1" applyAlignment="1" applyProtection="1">
      <alignment horizontal="center" vertical="top" wrapText="1"/>
      <protection hidden="1"/>
    </xf>
    <xf numFmtId="0" fontId="51" fillId="0" borderId="8" xfId="0" applyFont="1" applyBorder="1" applyAlignment="1" applyProtection="1">
      <alignment horizontal="center" vertical="top" wrapText="1"/>
      <protection hidden="1"/>
    </xf>
    <xf numFmtId="0" fontId="51" fillId="0" borderId="5" xfId="0" applyFont="1" applyBorder="1" applyAlignment="1" applyProtection="1">
      <alignment horizontal="center" vertical="top" wrapText="1"/>
      <protection hidden="1"/>
    </xf>
    <xf numFmtId="9" fontId="2" fillId="0" borderId="4" xfId="0" applyNumberFormat="1" applyFont="1" applyBorder="1" applyAlignment="1" applyProtection="1">
      <alignment horizontal="center" vertical="top" wrapText="1"/>
      <protection locked="0"/>
    </xf>
    <xf numFmtId="9" fontId="2" fillId="0" borderId="8" xfId="0" applyNumberFormat="1" applyFont="1" applyBorder="1" applyAlignment="1" applyProtection="1">
      <alignment horizontal="center" vertical="top" wrapText="1"/>
      <protection locked="0"/>
    </xf>
    <xf numFmtId="9" fontId="2" fillId="0" borderId="5" xfId="0" applyNumberFormat="1" applyFont="1" applyBorder="1" applyAlignment="1" applyProtection="1">
      <alignment horizontal="center" vertical="top"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9" fontId="2" fillId="0" borderId="4" xfId="0" applyNumberFormat="1" applyFont="1" applyBorder="1" applyAlignment="1" applyProtection="1">
      <alignment horizontal="left" vertical="center" wrapText="1"/>
      <protection locked="0"/>
    </xf>
    <xf numFmtId="9" fontId="2" fillId="0" borderId="8" xfId="0" applyNumberFormat="1" applyFont="1" applyBorder="1" applyAlignment="1" applyProtection="1">
      <alignment horizontal="left" vertical="center" wrapText="1"/>
      <protection locked="0"/>
    </xf>
    <xf numFmtId="9" fontId="2" fillId="0" borderId="5" xfId="0" applyNumberFormat="1" applyFont="1" applyBorder="1" applyAlignment="1" applyProtection="1">
      <alignment horizontal="left" vertical="center" wrapText="1"/>
      <protection locked="0"/>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4" fillId="2" borderId="6" xfId="0" applyFont="1" applyFill="1" applyBorder="1" applyAlignment="1">
      <alignment horizontal="left" vertical="center"/>
    </xf>
    <xf numFmtId="0" fontId="24" fillId="2" borderId="7" xfId="0" applyFont="1" applyFill="1" applyBorder="1" applyAlignment="1">
      <alignment horizontal="left" vertical="center"/>
    </xf>
    <xf numFmtId="0" fontId="26" fillId="2" borderId="4" xfId="0" applyFont="1" applyFill="1" applyBorder="1" applyAlignment="1">
      <alignment horizontal="center" vertical="center" textRotation="90"/>
    </xf>
    <xf numFmtId="0" fontId="26"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7" fillId="3" borderId="6"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49" fontId="76" fillId="19" borderId="0" xfId="0" applyNumberFormat="1" applyFont="1" applyFill="1" applyAlignment="1" applyProtection="1">
      <alignment horizontal="center" vertical="center" wrapText="1"/>
      <protection locked="0"/>
    </xf>
    <xf numFmtId="2" fontId="67" fillId="20" borderId="0" xfId="0" applyNumberFormat="1" applyFont="1" applyFill="1" applyAlignment="1" applyProtection="1">
      <alignment horizontal="center" vertical="center" wrapText="1"/>
      <protection hidden="1"/>
    </xf>
    <xf numFmtId="0" fontId="67" fillId="20" borderId="0" xfId="0" applyFont="1" applyFill="1" applyAlignment="1" applyProtection="1">
      <alignment horizontal="center" vertical="justify" wrapText="1"/>
      <protection locked="0"/>
    </xf>
    <xf numFmtId="0" fontId="75" fillId="19" borderId="0" xfId="0" applyFont="1" applyFill="1" applyAlignment="1" applyProtection="1">
      <alignment horizontal="left" vertical="top"/>
      <protection locked="0"/>
    </xf>
    <xf numFmtId="0" fontId="68" fillId="0" borderId="76" xfId="0" applyFont="1" applyBorder="1" applyAlignment="1" applyProtection="1">
      <alignment horizontal="center" vertical="center" wrapText="1"/>
      <protection locked="0"/>
    </xf>
    <xf numFmtId="0" fontId="73" fillId="20" borderId="0" xfId="0" applyFont="1" applyFill="1" applyAlignment="1" applyProtection="1">
      <alignment horizontal="center" vertical="center" wrapText="1"/>
      <protection locked="0"/>
    </xf>
    <xf numFmtId="0" fontId="68" fillId="0" borderId="77" xfId="0" applyFont="1" applyBorder="1" applyAlignment="1" applyProtection="1">
      <alignment horizontal="center" vertical="center" wrapText="1"/>
      <protection locked="0"/>
    </xf>
    <xf numFmtId="0" fontId="68" fillId="0" borderId="78" xfId="0" applyFont="1" applyBorder="1" applyAlignment="1" applyProtection="1">
      <alignment horizontal="center" vertical="center" wrapText="1"/>
      <protection locked="0"/>
    </xf>
    <xf numFmtId="0" fontId="68" fillId="0" borderId="79" xfId="0" applyFont="1" applyBorder="1" applyAlignment="1" applyProtection="1">
      <alignment horizontal="center" vertical="center" wrapText="1"/>
      <protection locked="0"/>
    </xf>
    <xf numFmtId="0" fontId="77" fillId="0" borderId="77" xfId="0" applyFont="1" applyBorder="1" applyAlignment="1" applyProtection="1">
      <alignment horizontal="left" vertical="center" wrapText="1"/>
      <protection locked="0"/>
    </xf>
    <xf numFmtId="0" fontId="77" fillId="0" borderId="78" xfId="0" applyFont="1" applyBorder="1" applyAlignment="1" applyProtection="1">
      <alignment horizontal="left" vertical="center" wrapText="1"/>
      <protection locked="0"/>
    </xf>
    <xf numFmtId="0" fontId="77" fillId="0" borderId="79" xfId="0" applyFont="1" applyBorder="1" applyAlignment="1" applyProtection="1">
      <alignment horizontal="left" vertical="center" wrapText="1"/>
      <protection locked="0"/>
    </xf>
    <xf numFmtId="0" fontId="67" fillId="0" borderId="77" xfId="0" applyFont="1" applyBorder="1" applyAlignment="1" applyProtection="1">
      <alignment horizontal="left" vertical="center" wrapText="1"/>
      <protection locked="0"/>
    </xf>
    <xf numFmtId="0" fontId="67" fillId="0" borderId="78" xfId="0" applyFont="1" applyBorder="1" applyAlignment="1" applyProtection="1">
      <alignment horizontal="left" vertical="center" wrapText="1"/>
      <protection locked="0"/>
    </xf>
    <xf numFmtId="0" fontId="67" fillId="0" borderId="79" xfId="0" applyFont="1" applyBorder="1" applyAlignment="1" applyProtection="1">
      <alignment horizontal="left" vertical="center" wrapText="1"/>
      <protection locked="0"/>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9" xfId="0" applyFont="1" applyBorder="1" applyAlignment="1">
      <alignment horizontal="center" vertical="center" wrapText="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35" xfId="0" applyFont="1" applyFill="1" applyBorder="1" applyAlignment="1">
      <alignment horizontal="center" vertical="center" wrapText="1" readingOrder="1"/>
    </xf>
    <xf numFmtId="0" fontId="40" fillId="15" borderId="36" xfId="0" applyFont="1" applyFill="1" applyBorder="1" applyAlignment="1">
      <alignment horizontal="center" vertical="center" wrapText="1" readingOrder="1"/>
    </xf>
    <xf numFmtId="0" fontId="40" fillId="15" borderId="47"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4" xfId="0" applyFont="1" applyFill="1" applyBorder="1" applyAlignment="1">
      <alignment horizontal="center" vertical="center" wrapText="1" readingOrder="1"/>
    </xf>
    <xf numFmtId="0" fontId="37" fillId="15" borderId="45" xfId="0" applyFont="1" applyFill="1" applyBorder="1" applyAlignment="1">
      <alignment horizontal="center" vertical="center" wrapText="1" readingOrder="1"/>
    </xf>
    <xf numFmtId="0" fontId="37" fillId="3" borderId="42"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3"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58" fillId="17" borderId="33" xfId="0" applyFont="1" applyFill="1" applyBorder="1" applyAlignment="1">
      <alignment horizontal="center" vertical="center" wrapText="1"/>
    </xf>
    <xf numFmtId="0" fontId="60" fillId="0" borderId="75" xfId="0" applyFont="1" applyBorder="1" applyAlignment="1">
      <alignment horizontal="left" vertical="center" wrapText="1"/>
    </xf>
    <xf numFmtId="0" fontId="60" fillId="0" borderId="34" xfId="0" applyFont="1" applyBorder="1" applyAlignment="1">
      <alignment horizontal="left"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51">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115454</xdr:colOff>
      <xdr:row>11</xdr:row>
      <xdr:rowOff>242454</xdr:rowOff>
    </xdr:from>
    <xdr:to>
      <xdr:col>2</xdr:col>
      <xdr:colOff>735445</xdr:colOff>
      <xdr:row>11</xdr:row>
      <xdr:rowOff>1013978</xdr:rowOff>
    </xdr:to>
    <xdr:pic>
      <xdr:nvPicPr>
        <xdr:cNvPr id="2" name="Imagen 135">
          <a:extLst>
            <a:ext uri="{FF2B5EF4-FFF2-40B4-BE49-F238E27FC236}">
              <a16:creationId xmlns:a16="http://schemas.microsoft.com/office/drawing/2014/main" id="{8A041215-B7E0-234C-BC46-44CB965B0C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818" y="92363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495300</xdr:colOff>
      <xdr:row>2</xdr:row>
      <xdr:rowOff>9526</xdr:rowOff>
    </xdr:from>
    <xdr:to>
      <xdr:col>2</xdr:col>
      <xdr:colOff>2171700</xdr:colOff>
      <xdr:row>3</xdr:row>
      <xdr:rowOff>590550</xdr:rowOff>
    </xdr:to>
    <xdr:pic>
      <xdr:nvPicPr>
        <xdr:cNvPr id="2" name="Imagen 135">
          <a:extLst>
            <a:ext uri="{FF2B5EF4-FFF2-40B4-BE49-F238E27FC236}">
              <a16:creationId xmlns:a16="http://schemas.microsoft.com/office/drawing/2014/main" id="{0446CEC4-8D36-6247-8AE3-2F67F317B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0800" y="390526"/>
          <a:ext cx="2501900" cy="77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25400</xdr:colOff>
      <xdr:row>13</xdr:row>
      <xdr:rowOff>0</xdr:rowOff>
    </xdr:from>
    <xdr:to>
      <xdr:col>16</xdr:col>
      <xdr:colOff>320675</xdr:colOff>
      <xdr:row>13</xdr:row>
      <xdr:rowOff>304800</xdr:rowOff>
    </xdr:to>
    <xdr:sp macro="" textlink="">
      <xdr:nvSpPr>
        <xdr:cNvPr id="2" name="AutoShape 38" descr="Resultado de imagen para boton agregar icono">
          <a:extLst>
            <a:ext uri="{FF2B5EF4-FFF2-40B4-BE49-F238E27FC236}">
              <a16:creationId xmlns:a16="http://schemas.microsoft.com/office/drawing/2014/main" id="{5CCAC519-8FCC-4ECD-BBC1-191D238B5548}"/>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304800</xdr:rowOff>
    </xdr:to>
    <xdr:sp macro="" textlink="">
      <xdr:nvSpPr>
        <xdr:cNvPr id="3" name="AutoShape 39" descr="Resultado de imagen para boton agregar icono">
          <a:extLst>
            <a:ext uri="{FF2B5EF4-FFF2-40B4-BE49-F238E27FC236}">
              <a16:creationId xmlns:a16="http://schemas.microsoft.com/office/drawing/2014/main" id="{212298C9-1C90-422A-B33A-5B9110C76EB4}"/>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304800</xdr:rowOff>
    </xdr:to>
    <xdr:sp macro="" textlink="">
      <xdr:nvSpPr>
        <xdr:cNvPr id="4" name="AutoShape 40" descr="Resultado de imagen para boton agregar icono">
          <a:extLst>
            <a:ext uri="{FF2B5EF4-FFF2-40B4-BE49-F238E27FC236}">
              <a16:creationId xmlns:a16="http://schemas.microsoft.com/office/drawing/2014/main" id="{B5279E58-EA1A-4043-A3F3-3775086B4600}"/>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13</xdr:row>
      <xdr:rowOff>0</xdr:rowOff>
    </xdr:from>
    <xdr:to>
      <xdr:col>16</xdr:col>
      <xdr:colOff>320675</xdr:colOff>
      <xdr:row>13</xdr:row>
      <xdr:rowOff>304800</xdr:rowOff>
    </xdr:to>
    <xdr:sp macro="" textlink="">
      <xdr:nvSpPr>
        <xdr:cNvPr id="5" name="AutoShape 42" descr="Z">
          <a:extLst>
            <a:ext uri="{FF2B5EF4-FFF2-40B4-BE49-F238E27FC236}">
              <a16:creationId xmlns:a16="http://schemas.microsoft.com/office/drawing/2014/main" id="{72D5F597-052C-4F5A-9378-56A3A52B91F6}"/>
            </a:ext>
          </a:extLst>
        </xdr:cNvPr>
        <xdr:cNvSpPr>
          <a:spLocks noChangeAspect="1" noChangeArrowheads="1"/>
        </xdr:cNvSpPr>
      </xdr:nvSpPr>
      <xdr:spPr bwMode="auto">
        <a:xfrm>
          <a:off x="16042105" y="6038070"/>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16</xdr:col>
      <xdr:colOff>25400</xdr:colOff>
      <xdr:row>8</xdr:row>
      <xdr:rowOff>127000</xdr:rowOff>
    </xdr:from>
    <xdr:to>
      <xdr:col>16</xdr:col>
      <xdr:colOff>25400</xdr:colOff>
      <xdr:row>9</xdr:row>
      <xdr:rowOff>195407</xdr:rowOff>
    </xdr:to>
    <xdr:sp macro="" textlink="">
      <xdr:nvSpPr>
        <xdr:cNvPr id="6" name="Rectangle 53">
          <a:extLst>
            <a:ext uri="{FF2B5EF4-FFF2-40B4-BE49-F238E27FC236}">
              <a16:creationId xmlns:a16="http://schemas.microsoft.com/office/drawing/2014/main" id="{30F52F8A-3743-471F-A917-088E199F2384}"/>
            </a:ext>
          </a:extLst>
        </xdr:cNvPr>
        <xdr:cNvSpPr>
          <a:spLocks noChangeArrowheads="1"/>
        </xdr:cNvSpPr>
      </xdr:nvSpPr>
      <xdr:spPr bwMode="auto">
        <a:xfrm>
          <a:off x="16042105" y="5760843"/>
          <a:ext cx="0" cy="276225"/>
        </a:xfrm>
        <a:prstGeom prst="rect">
          <a:avLst/>
        </a:prstGeom>
        <a:noFill/>
        <a:ln>
          <a:noFill/>
        </a:ln>
      </xdr:spPr>
      <xdr:txBody>
        <a:bodyPr wrap="square" lIns="45720" tIns="41148" rIns="45720" bIns="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0</xdr:col>
      <xdr:colOff>162791</xdr:colOff>
      <xdr:row>5</xdr:row>
      <xdr:rowOff>30018</xdr:rowOff>
    </xdr:from>
    <xdr:to>
      <xdr:col>32</xdr:col>
      <xdr:colOff>1811842</xdr:colOff>
      <xdr:row>5</xdr:row>
      <xdr:rowOff>95373</xdr:rowOff>
    </xdr:to>
    <xdr:cxnSp macro="">
      <xdr:nvCxnSpPr>
        <xdr:cNvPr id="7" name="Conector recto 6">
          <a:extLst>
            <a:ext uri="{FF2B5EF4-FFF2-40B4-BE49-F238E27FC236}">
              <a16:creationId xmlns:a16="http://schemas.microsoft.com/office/drawing/2014/main" id="{FF79EB7A-1C4D-4552-9713-538E56CE04FB}"/>
            </a:ext>
          </a:extLst>
        </xdr:cNvPr>
        <xdr:cNvCxnSpPr/>
      </xdr:nvCxnSpPr>
      <xdr:spPr>
        <a:xfrm flipV="1">
          <a:off x="162791" y="2608118"/>
          <a:ext cx="35990645" cy="65355"/>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40409</xdr:colOff>
      <xdr:row>0</xdr:row>
      <xdr:rowOff>165101</xdr:rowOff>
    </xdr:from>
    <xdr:to>
      <xdr:col>5</xdr:col>
      <xdr:colOff>76200</xdr:colOff>
      <xdr:row>5</xdr:row>
      <xdr:rowOff>15261</xdr:rowOff>
    </xdr:to>
    <xdr:pic>
      <xdr:nvPicPr>
        <xdr:cNvPr id="8" name="Imagen 7">
          <a:extLst>
            <a:ext uri="{FF2B5EF4-FFF2-40B4-BE49-F238E27FC236}">
              <a16:creationId xmlns:a16="http://schemas.microsoft.com/office/drawing/2014/main" id="{4F137EE6-AF90-4845-9503-7974EF38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009" y="165101"/>
          <a:ext cx="3744191" cy="1259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16</xdr:col>
      <xdr:colOff>25400</xdr:colOff>
      <xdr:row>12</xdr:row>
      <xdr:rowOff>0</xdr:rowOff>
    </xdr:from>
    <xdr:ext cx="295275" cy="304800"/>
    <xdr:sp macro="" textlink="">
      <xdr:nvSpPr>
        <xdr:cNvPr id="9" name="AutoShape 38" descr="Resultado de imagen para boton agregar icono">
          <a:extLst>
            <a:ext uri="{FF2B5EF4-FFF2-40B4-BE49-F238E27FC236}">
              <a16:creationId xmlns:a16="http://schemas.microsoft.com/office/drawing/2014/main" id="{BE957914-4463-4011-AB50-AE29CD3CB332}"/>
            </a:ext>
          </a:extLst>
        </xdr:cNvPr>
        <xdr:cNvSpPr>
          <a:spLocks noChangeAspect="1" noChangeArrowheads="1"/>
        </xdr:cNvSpPr>
      </xdr:nvSpPr>
      <xdr:spPr bwMode="auto">
        <a:xfrm>
          <a:off x="19466983" y="6244167"/>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800"/>
    <xdr:sp macro="" textlink="">
      <xdr:nvSpPr>
        <xdr:cNvPr id="10" name="AutoShape 39" descr="Resultado de imagen para boton agregar icono">
          <a:extLst>
            <a:ext uri="{FF2B5EF4-FFF2-40B4-BE49-F238E27FC236}">
              <a16:creationId xmlns:a16="http://schemas.microsoft.com/office/drawing/2014/main" id="{6FFE4E94-F282-4309-8A9F-213AC73D339F}"/>
            </a:ext>
          </a:extLst>
        </xdr:cNvPr>
        <xdr:cNvSpPr>
          <a:spLocks noChangeAspect="1" noChangeArrowheads="1"/>
        </xdr:cNvSpPr>
      </xdr:nvSpPr>
      <xdr:spPr bwMode="auto">
        <a:xfrm>
          <a:off x="19466983" y="6244167"/>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800"/>
    <xdr:sp macro="" textlink="">
      <xdr:nvSpPr>
        <xdr:cNvPr id="11" name="AutoShape 40" descr="Resultado de imagen para boton agregar icono">
          <a:extLst>
            <a:ext uri="{FF2B5EF4-FFF2-40B4-BE49-F238E27FC236}">
              <a16:creationId xmlns:a16="http://schemas.microsoft.com/office/drawing/2014/main" id="{47C4DEB6-C4E6-430B-AD5A-73ADA1A234FD}"/>
            </a:ext>
          </a:extLst>
        </xdr:cNvPr>
        <xdr:cNvSpPr>
          <a:spLocks noChangeAspect="1" noChangeArrowheads="1"/>
        </xdr:cNvSpPr>
      </xdr:nvSpPr>
      <xdr:spPr bwMode="auto">
        <a:xfrm>
          <a:off x="19466983" y="6244167"/>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16</xdr:col>
      <xdr:colOff>25400</xdr:colOff>
      <xdr:row>12</xdr:row>
      <xdr:rowOff>0</xdr:rowOff>
    </xdr:from>
    <xdr:ext cx="295275" cy="304800"/>
    <xdr:sp macro="" textlink="">
      <xdr:nvSpPr>
        <xdr:cNvPr id="12" name="AutoShape 42" descr="Z">
          <a:extLst>
            <a:ext uri="{FF2B5EF4-FFF2-40B4-BE49-F238E27FC236}">
              <a16:creationId xmlns:a16="http://schemas.microsoft.com/office/drawing/2014/main" id="{27AA2E59-034C-42F3-A77F-F368E78CEC85}"/>
            </a:ext>
          </a:extLst>
        </xdr:cNvPr>
        <xdr:cNvSpPr>
          <a:spLocks noChangeAspect="1" noChangeArrowheads="1"/>
        </xdr:cNvSpPr>
      </xdr:nvSpPr>
      <xdr:spPr bwMode="auto">
        <a:xfrm>
          <a:off x="19466983" y="6244167"/>
          <a:ext cx="295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nacional33/meci/Documents%20and%20Settings/JENITH%20%20LINARES/Mis%20documentos/CONTROL%20INTERNO%20CGC/TALLER/GESTION%20DEL%20RIESGO%20Y%20CONTRO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CAR/Downloads/2.%20Mapa%20de%20riesgos%20DIRyPLA_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50" dataDxfId="149">
  <autoFilter ref="B209:C219" xr:uid="{00000000-0009-0000-0100-000001000000}"/>
  <tableColumns count="2">
    <tableColumn id="1" xr3:uid="{00000000-0010-0000-0000-000001000000}" name="Criterios" dataDxfId="148"/>
    <tableColumn id="2" xr3:uid="{00000000-0010-0000-0000-000002000000}" name="Subcriterios" dataDxfId="147"/>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55"/>
  <sheetViews>
    <sheetView topLeftCell="A4" zoomScale="110" zoomScaleNormal="110" workbookViewId="0">
      <selection activeCell="B12" sqref="B12:H12"/>
    </sheetView>
  </sheetViews>
  <sheetFormatPr baseColWidth="10" defaultColWidth="11.42578125" defaultRowHeight="15" x14ac:dyDescent="0.25"/>
  <cols>
    <col min="1" max="1" width="2.85546875" style="82" customWidth="1"/>
    <col min="2" max="3" width="24.7109375" style="82" customWidth="1"/>
    <col min="4" max="4" width="16" style="82" customWidth="1"/>
    <col min="5" max="5" width="24.7109375" style="82" customWidth="1"/>
    <col min="6" max="6" width="27.7109375" style="82" customWidth="1"/>
    <col min="7" max="8" width="24.7109375" style="82" customWidth="1"/>
    <col min="9" max="16384" width="11.42578125" style="82"/>
  </cols>
  <sheetData>
    <row r="4" spans="2:8" ht="6.95" customHeight="1" thickBot="1" x14ac:dyDescent="0.3"/>
    <row r="5" spans="2:8" hidden="1" x14ac:dyDescent="0.25"/>
    <row r="6" spans="2:8" ht="15.75" hidden="1" thickBot="1" x14ac:dyDescent="0.3"/>
    <row r="7" spans="2:8" ht="15.75" hidden="1" thickBot="1" x14ac:dyDescent="0.3"/>
    <row r="8" spans="2:8" ht="0.95" hidden="1" customHeight="1" thickBot="1" x14ac:dyDescent="0.3"/>
    <row r="9" spans="2:8" ht="15.75" hidden="1" thickBot="1" x14ac:dyDescent="0.3"/>
    <row r="10" spans="2:8" ht="15.75" hidden="1" thickBot="1" x14ac:dyDescent="0.3"/>
    <row r="11" spans="2:8" ht="15.75" hidden="1" thickBot="1" x14ac:dyDescent="0.3"/>
    <row r="12" spans="2:8" ht="95.1" customHeight="1" x14ac:dyDescent="0.25">
      <c r="B12" s="218" t="s">
        <v>0</v>
      </c>
      <c r="C12" s="219"/>
      <c r="D12" s="219"/>
      <c r="E12" s="219"/>
      <c r="F12" s="219"/>
      <c r="G12" s="219"/>
      <c r="H12" s="220"/>
    </row>
    <row r="13" spans="2:8" ht="11.1" customHeight="1" x14ac:dyDescent="0.25">
      <c r="B13" s="83"/>
      <c r="C13" s="84"/>
      <c r="D13" s="84"/>
      <c r="E13" s="84"/>
      <c r="F13" s="84"/>
      <c r="G13" s="84"/>
      <c r="H13" s="85"/>
    </row>
    <row r="14" spans="2:8" ht="29.1" hidden="1" customHeight="1" x14ac:dyDescent="0.25">
      <c r="B14" s="221" t="s">
        <v>1</v>
      </c>
      <c r="C14" s="222"/>
      <c r="D14" s="222"/>
      <c r="E14" s="222"/>
      <c r="F14" s="222"/>
      <c r="G14" s="222"/>
      <c r="H14" s="223"/>
    </row>
    <row r="15" spans="2:8" ht="63" hidden="1" customHeight="1" x14ac:dyDescent="0.25">
      <c r="B15" s="224"/>
      <c r="C15" s="225"/>
      <c r="D15" s="225"/>
      <c r="E15" s="225"/>
      <c r="F15" s="225"/>
      <c r="G15" s="225"/>
      <c r="H15" s="226"/>
    </row>
    <row r="16" spans="2:8" ht="16.5" x14ac:dyDescent="0.25">
      <c r="B16" s="227" t="s">
        <v>2</v>
      </c>
      <c r="C16" s="228"/>
      <c r="D16" s="228"/>
      <c r="E16" s="228"/>
      <c r="F16" s="228"/>
      <c r="G16" s="228"/>
      <c r="H16" s="229"/>
    </row>
    <row r="17" spans="2:8" ht="95.25" customHeight="1" x14ac:dyDescent="0.25">
      <c r="B17" s="237" t="s">
        <v>3</v>
      </c>
      <c r="C17" s="238"/>
      <c r="D17" s="238"/>
      <c r="E17" s="238"/>
      <c r="F17" s="238"/>
      <c r="G17" s="238"/>
      <c r="H17" s="239"/>
    </row>
    <row r="18" spans="2:8" ht="16.5" x14ac:dyDescent="0.25">
      <c r="B18" s="119"/>
      <c r="C18" s="120"/>
      <c r="D18" s="120"/>
      <c r="E18" s="120"/>
      <c r="F18" s="120"/>
      <c r="G18" s="120"/>
      <c r="H18" s="121"/>
    </row>
    <row r="19" spans="2:8" ht="16.5" customHeight="1" x14ac:dyDescent="0.25">
      <c r="B19" s="230" t="s">
        <v>4</v>
      </c>
      <c r="C19" s="231"/>
      <c r="D19" s="231"/>
      <c r="E19" s="231"/>
      <c r="F19" s="231"/>
      <c r="G19" s="231"/>
      <c r="H19" s="232"/>
    </row>
    <row r="20" spans="2:8" ht="44.25" customHeight="1" x14ac:dyDescent="0.25">
      <c r="B20" s="230"/>
      <c r="C20" s="231"/>
      <c r="D20" s="231"/>
      <c r="E20" s="231"/>
      <c r="F20" s="231"/>
      <c r="G20" s="231"/>
      <c r="H20" s="232"/>
    </row>
    <row r="21" spans="2:8" ht="15.75" thickBot="1" x14ac:dyDescent="0.3">
      <c r="B21" s="108"/>
      <c r="C21" s="111"/>
      <c r="D21" s="116"/>
      <c r="E21" s="117"/>
      <c r="F21" s="117"/>
      <c r="G21" s="118"/>
      <c r="H21" s="112"/>
    </row>
    <row r="22" spans="2:8" ht="15.75" thickTop="1" x14ac:dyDescent="0.25">
      <c r="B22" s="108"/>
      <c r="C22" s="233" t="s">
        <v>5</v>
      </c>
      <c r="D22" s="234"/>
      <c r="E22" s="235" t="s">
        <v>6</v>
      </c>
      <c r="F22" s="236"/>
      <c r="G22" s="111"/>
      <c r="H22" s="112"/>
    </row>
    <row r="23" spans="2:8" ht="35.25" customHeight="1" x14ac:dyDescent="0.25">
      <c r="B23" s="108"/>
      <c r="C23" s="205" t="s">
        <v>7</v>
      </c>
      <c r="D23" s="206"/>
      <c r="E23" s="207" t="s">
        <v>8</v>
      </c>
      <c r="F23" s="208"/>
      <c r="G23" s="111"/>
      <c r="H23" s="112"/>
    </row>
    <row r="24" spans="2:8" ht="17.25" customHeight="1" x14ac:dyDescent="0.25">
      <c r="B24" s="108"/>
      <c r="C24" s="205" t="s">
        <v>9</v>
      </c>
      <c r="D24" s="206"/>
      <c r="E24" s="207" t="s">
        <v>10</v>
      </c>
      <c r="F24" s="208"/>
      <c r="G24" s="111"/>
      <c r="H24" s="112"/>
    </row>
    <row r="25" spans="2:8" ht="19.5" customHeight="1" x14ac:dyDescent="0.25">
      <c r="B25" s="108"/>
      <c r="C25" s="205" t="s">
        <v>11</v>
      </c>
      <c r="D25" s="206"/>
      <c r="E25" s="207" t="s">
        <v>12</v>
      </c>
      <c r="F25" s="208"/>
      <c r="G25" s="111"/>
      <c r="H25" s="112"/>
    </row>
    <row r="26" spans="2:8" ht="69.75" customHeight="1" x14ac:dyDescent="0.25">
      <c r="B26" s="108"/>
      <c r="C26" s="205" t="s">
        <v>13</v>
      </c>
      <c r="D26" s="206"/>
      <c r="E26" s="207" t="s">
        <v>14</v>
      </c>
      <c r="F26" s="208"/>
      <c r="G26" s="111"/>
      <c r="H26" s="112"/>
    </row>
    <row r="27" spans="2:8" ht="34.5" customHeight="1" x14ac:dyDescent="0.25">
      <c r="B27" s="108"/>
      <c r="C27" s="209" t="s">
        <v>15</v>
      </c>
      <c r="D27" s="210"/>
      <c r="E27" s="201" t="s">
        <v>16</v>
      </c>
      <c r="F27" s="202"/>
      <c r="G27" s="111"/>
      <c r="H27" s="112"/>
    </row>
    <row r="28" spans="2:8" ht="27.75" customHeight="1" x14ac:dyDescent="0.25">
      <c r="B28" s="108"/>
      <c r="C28" s="209" t="s">
        <v>17</v>
      </c>
      <c r="D28" s="210"/>
      <c r="E28" s="201" t="s">
        <v>18</v>
      </c>
      <c r="F28" s="202"/>
      <c r="G28" s="111"/>
      <c r="H28" s="112"/>
    </row>
    <row r="29" spans="2:8" ht="28.5" customHeight="1" x14ac:dyDescent="0.25">
      <c r="B29" s="108"/>
      <c r="C29" s="209" t="s">
        <v>19</v>
      </c>
      <c r="D29" s="210"/>
      <c r="E29" s="201" t="s">
        <v>20</v>
      </c>
      <c r="F29" s="202"/>
      <c r="G29" s="111"/>
      <c r="H29" s="112"/>
    </row>
    <row r="30" spans="2:8" ht="72.75" customHeight="1" x14ac:dyDescent="0.25">
      <c r="B30" s="108"/>
      <c r="C30" s="209" t="s">
        <v>21</v>
      </c>
      <c r="D30" s="210"/>
      <c r="E30" s="201" t="s">
        <v>22</v>
      </c>
      <c r="F30" s="202"/>
      <c r="G30" s="111"/>
      <c r="H30" s="112"/>
    </row>
    <row r="31" spans="2:8" ht="64.5" customHeight="1" x14ac:dyDescent="0.25">
      <c r="B31" s="108"/>
      <c r="C31" s="209" t="s">
        <v>23</v>
      </c>
      <c r="D31" s="210"/>
      <c r="E31" s="201" t="s">
        <v>24</v>
      </c>
      <c r="F31" s="202"/>
      <c r="G31" s="111"/>
      <c r="H31" s="112"/>
    </row>
    <row r="32" spans="2:8" ht="71.25" customHeight="1" x14ac:dyDescent="0.25">
      <c r="B32" s="108"/>
      <c r="C32" s="209" t="s">
        <v>25</v>
      </c>
      <c r="D32" s="210"/>
      <c r="E32" s="201" t="s">
        <v>26</v>
      </c>
      <c r="F32" s="202"/>
      <c r="G32" s="111"/>
      <c r="H32" s="112"/>
    </row>
    <row r="33" spans="2:8" ht="55.5" customHeight="1" x14ac:dyDescent="0.25">
      <c r="B33" s="108"/>
      <c r="C33" s="203" t="s">
        <v>27</v>
      </c>
      <c r="D33" s="204"/>
      <c r="E33" s="201" t="s">
        <v>28</v>
      </c>
      <c r="F33" s="202"/>
      <c r="G33" s="111"/>
      <c r="H33" s="112"/>
    </row>
    <row r="34" spans="2:8" ht="42" customHeight="1" x14ac:dyDescent="0.25">
      <c r="B34" s="108"/>
      <c r="C34" s="203" t="s">
        <v>29</v>
      </c>
      <c r="D34" s="204"/>
      <c r="E34" s="201" t="s">
        <v>30</v>
      </c>
      <c r="F34" s="202"/>
      <c r="G34" s="111"/>
      <c r="H34" s="112"/>
    </row>
    <row r="35" spans="2:8" ht="59.25" customHeight="1" x14ac:dyDescent="0.25">
      <c r="B35" s="108"/>
      <c r="C35" s="203" t="s">
        <v>31</v>
      </c>
      <c r="D35" s="204"/>
      <c r="E35" s="201" t="s">
        <v>32</v>
      </c>
      <c r="F35" s="202"/>
      <c r="G35" s="111"/>
      <c r="H35" s="112"/>
    </row>
    <row r="36" spans="2:8" ht="23.25" customHeight="1" x14ac:dyDescent="0.25">
      <c r="B36" s="108"/>
      <c r="C36" s="203" t="s">
        <v>33</v>
      </c>
      <c r="D36" s="204"/>
      <c r="E36" s="201" t="s">
        <v>34</v>
      </c>
      <c r="F36" s="202"/>
      <c r="G36" s="111"/>
      <c r="H36" s="112"/>
    </row>
    <row r="37" spans="2:8" ht="30.75" customHeight="1" x14ac:dyDescent="0.25">
      <c r="B37" s="108"/>
      <c r="C37" s="203" t="s">
        <v>35</v>
      </c>
      <c r="D37" s="204"/>
      <c r="E37" s="201" t="s">
        <v>36</v>
      </c>
      <c r="F37" s="202"/>
      <c r="G37" s="111"/>
      <c r="H37" s="112"/>
    </row>
    <row r="38" spans="2:8" ht="35.25" customHeight="1" x14ac:dyDescent="0.25">
      <c r="B38" s="108"/>
      <c r="C38" s="203" t="s">
        <v>37</v>
      </c>
      <c r="D38" s="204"/>
      <c r="E38" s="201" t="s">
        <v>38</v>
      </c>
      <c r="F38" s="202"/>
      <c r="G38" s="111"/>
      <c r="H38" s="112"/>
    </row>
    <row r="39" spans="2:8" ht="33" customHeight="1" x14ac:dyDescent="0.25">
      <c r="B39" s="108"/>
      <c r="C39" s="203" t="s">
        <v>37</v>
      </c>
      <c r="D39" s="204"/>
      <c r="E39" s="201" t="s">
        <v>38</v>
      </c>
      <c r="F39" s="202"/>
      <c r="G39" s="111"/>
      <c r="H39" s="112"/>
    </row>
    <row r="40" spans="2:8" ht="30" customHeight="1" x14ac:dyDescent="0.25">
      <c r="B40" s="108"/>
      <c r="C40" s="203" t="s">
        <v>39</v>
      </c>
      <c r="D40" s="204"/>
      <c r="E40" s="201" t="s">
        <v>40</v>
      </c>
      <c r="F40" s="202"/>
      <c r="G40" s="111"/>
      <c r="H40" s="112"/>
    </row>
    <row r="41" spans="2:8" ht="35.25" customHeight="1" x14ac:dyDescent="0.25">
      <c r="B41" s="108"/>
      <c r="C41" s="203" t="s">
        <v>41</v>
      </c>
      <c r="D41" s="204"/>
      <c r="E41" s="201" t="s">
        <v>42</v>
      </c>
      <c r="F41" s="202"/>
      <c r="G41" s="111"/>
      <c r="H41" s="112"/>
    </row>
    <row r="42" spans="2:8" ht="31.5" customHeight="1" x14ac:dyDescent="0.25">
      <c r="B42" s="108"/>
      <c r="C42" s="203" t="s">
        <v>43</v>
      </c>
      <c r="D42" s="204"/>
      <c r="E42" s="201" t="s">
        <v>44</v>
      </c>
      <c r="F42" s="202"/>
      <c r="G42" s="111"/>
      <c r="H42" s="112"/>
    </row>
    <row r="43" spans="2:8" ht="35.25" customHeight="1" x14ac:dyDescent="0.25">
      <c r="B43" s="108"/>
      <c r="C43" s="203" t="s">
        <v>45</v>
      </c>
      <c r="D43" s="204"/>
      <c r="E43" s="201" t="s">
        <v>46</v>
      </c>
      <c r="F43" s="202"/>
      <c r="G43" s="111"/>
      <c r="H43" s="112"/>
    </row>
    <row r="44" spans="2:8" ht="59.25" customHeight="1" x14ac:dyDescent="0.25">
      <c r="B44" s="108"/>
      <c r="C44" s="203" t="s">
        <v>47</v>
      </c>
      <c r="D44" s="204"/>
      <c r="E44" s="201" t="s">
        <v>48</v>
      </c>
      <c r="F44" s="202"/>
      <c r="G44" s="111"/>
      <c r="H44" s="112"/>
    </row>
    <row r="45" spans="2:8" ht="29.25" customHeight="1" x14ac:dyDescent="0.25">
      <c r="B45" s="108"/>
      <c r="C45" s="203" t="s">
        <v>49</v>
      </c>
      <c r="D45" s="204"/>
      <c r="E45" s="201" t="s">
        <v>50</v>
      </c>
      <c r="F45" s="202"/>
      <c r="G45" s="111"/>
      <c r="H45" s="112"/>
    </row>
    <row r="46" spans="2:8" ht="82.5" customHeight="1" x14ac:dyDescent="0.25">
      <c r="B46" s="108"/>
      <c r="C46" s="203" t="s">
        <v>51</v>
      </c>
      <c r="D46" s="204"/>
      <c r="E46" s="201" t="s">
        <v>52</v>
      </c>
      <c r="F46" s="202"/>
      <c r="G46" s="111"/>
      <c r="H46" s="112"/>
    </row>
    <row r="47" spans="2:8" ht="46.5" customHeight="1" x14ac:dyDescent="0.25">
      <c r="B47" s="108"/>
      <c r="C47" s="203" t="s">
        <v>53</v>
      </c>
      <c r="D47" s="204"/>
      <c r="E47" s="201" t="s">
        <v>54</v>
      </c>
      <c r="F47" s="202"/>
      <c r="G47" s="111"/>
      <c r="H47" s="112"/>
    </row>
    <row r="48" spans="2:8" ht="6.75" customHeight="1" thickBot="1" x14ac:dyDescent="0.3">
      <c r="B48" s="108"/>
      <c r="C48" s="214"/>
      <c r="D48" s="215"/>
      <c r="E48" s="216"/>
      <c r="F48" s="217"/>
      <c r="G48" s="111"/>
      <c r="H48" s="112"/>
    </row>
    <row r="49" spans="2:8" ht="15.75" thickTop="1" x14ac:dyDescent="0.25">
      <c r="B49" s="108"/>
      <c r="C49" s="109"/>
      <c r="D49" s="109"/>
      <c r="E49" s="110"/>
      <c r="F49" s="110"/>
      <c r="G49" s="111"/>
      <c r="H49" s="112"/>
    </row>
    <row r="50" spans="2:8" ht="21" customHeight="1" x14ac:dyDescent="0.25">
      <c r="B50" s="211" t="s">
        <v>55</v>
      </c>
      <c r="C50" s="212"/>
      <c r="D50" s="212"/>
      <c r="E50" s="212"/>
      <c r="F50" s="212"/>
      <c r="G50" s="212"/>
      <c r="H50" s="213"/>
    </row>
    <row r="51" spans="2:8" ht="20.25" customHeight="1" x14ac:dyDescent="0.25">
      <c r="B51" s="211" t="s">
        <v>56</v>
      </c>
      <c r="C51" s="212"/>
      <c r="D51" s="212"/>
      <c r="E51" s="212"/>
      <c r="F51" s="212"/>
      <c r="G51" s="212"/>
      <c r="H51" s="213"/>
    </row>
    <row r="52" spans="2:8" ht="20.25" customHeight="1" x14ac:dyDescent="0.25">
      <c r="B52" s="211" t="s">
        <v>57</v>
      </c>
      <c r="C52" s="212"/>
      <c r="D52" s="212"/>
      <c r="E52" s="212"/>
      <c r="F52" s="212"/>
      <c r="G52" s="212"/>
      <c r="H52" s="213"/>
    </row>
    <row r="53" spans="2:8" ht="20.25" customHeight="1" x14ac:dyDescent="0.25">
      <c r="B53" s="211" t="s">
        <v>58</v>
      </c>
      <c r="C53" s="212"/>
      <c r="D53" s="212"/>
      <c r="E53" s="212"/>
      <c r="F53" s="212"/>
      <c r="G53" s="212"/>
      <c r="H53" s="213"/>
    </row>
    <row r="54" spans="2:8" x14ac:dyDescent="0.25">
      <c r="B54" s="211" t="s">
        <v>59</v>
      </c>
      <c r="C54" s="212"/>
      <c r="D54" s="212"/>
      <c r="E54" s="212"/>
      <c r="F54" s="212"/>
      <c r="G54" s="212"/>
      <c r="H54" s="213"/>
    </row>
    <row r="55" spans="2:8" ht="15.75" thickBot="1" x14ac:dyDescent="0.3">
      <c r="B55" s="113"/>
      <c r="C55" s="114"/>
      <c r="D55" s="114"/>
      <c r="E55" s="114"/>
      <c r="F55" s="114"/>
      <c r="G55" s="114"/>
      <c r="H55" s="115"/>
    </row>
  </sheetData>
  <mergeCells count="64">
    <mergeCell ref="B12:H12"/>
    <mergeCell ref="B14:H15"/>
    <mergeCell ref="B16:H16"/>
    <mergeCell ref="B19:H20"/>
    <mergeCell ref="C22:D22"/>
    <mergeCell ref="E22:F22"/>
    <mergeCell ref="B17:H17"/>
    <mergeCell ref="C23:D23"/>
    <mergeCell ref="E23:F23"/>
    <mergeCell ref="C27:D27"/>
    <mergeCell ref="E27:F27"/>
    <mergeCell ref="C31:D31"/>
    <mergeCell ref="C28:D28"/>
    <mergeCell ref="C29:D29"/>
    <mergeCell ref="C30:D30"/>
    <mergeCell ref="E28:F28"/>
    <mergeCell ref="E29:F29"/>
    <mergeCell ref="E30:F30"/>
    <mergeCell ref="E31:F31"/>
    <mergeCell ref="B52:H52"/>
    <mergeCell ref="B53:H53"/>
    <mergeCell ref="B54:H54"/>
    <mergeCell ref="E33:F33"/>
    <mergeCell ref="C33:D33"/>
    <mergeCell ref="C34:D34"/>
    <mergeCell ref="E34:F34"/>
    <mergeCell ref="C36:D36"/>
    <mergeCell ref="E36:F36"/>
    <mergeCell ref="E44:F44"/>
    <mergeCell ref="C42:D42"/>
    <mergeCell ref="C41:D41"/>
    <mergeCell ref="E41:F41"/>
    <mergeCell ref="E42:F42"/>
    <mergeCell ref="C37:D37"/>
    <mergeCell ref="E37:F37"/>
    <mergeCell ref="C43:D43"/>
    <mergeCell ref="B50:H50"/>
    <mergeCell ref="C39:D39"/>
    <mergeCell ref="E39:F39"/>
    <mergeCell ref="C40:D40"/>
    <mergeCell ref="E40:F40"/>
    <mergeCell ref="E43:F43"/>
    <mergeCell ref="C44:D44"/>
    <mergeCell ref="C45:D45"/>
    <mergeCell ref="E45:F45"/>
    <mergeCell ref="C46:D46"/>
    <mergeCell ref="E46:F46"/>
    <mergeCell ref="B51:H51"/>
    <mergeCell ref="C48:D48"/>
    <mergeCell ref="E48:F48"/>
    <mergeCell ref="C47:D47"/>
    <mergeCell ref="E47:F47"/>
    <mergeCell ref="E38:F38"/>
    <mergeCell ref="C38:D38"/>
    <mergeCell ref="C26:D26"/>
    <mergeCell ref="E26:F26"/>
    <mergeCell ref="C24:D24"/>
    <mergeCell ref="E24:F24"/>
    <mergeCell ref="C25:D25"/>
    <mergeCell ref="E25:F25"/>
    <mergeCell ref="E32:F32"/>
    <mergeCell ref="C32:D32"/>
    <mergeCell ref="C35:D35"/>
    <mergeCell ref="E35:F3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133</v>
      </c>
    </row>
    <row r="4" spans="1:1" x14ac:dyDescent="0.2">
      <c r="A4" s="9" t="s">
        <v>126</v>
      </c>
    </row>
    <row r="5" spans="1:1" x14ac:dyDescent="0.2">
      <c r="A5" s="9" t="s">
        <v>220</v>
      </c>
    </row>
    <row r="6" spans="1:1" x14ac:dyDescent="0.2">
      <c r="A6" s="9" t="s">
        <v>222</v>
      </c>
    </row>
    <row r="7" spans="1:1" x14ac:dyDescent="0.2">
      <c r="A7" s="9" t="s">
        <v>127</v>
      </c>
    </row>
    <row r="8" spans="1:1" x14ac:dyDescent="0.2">
      <c r="A8" s="9" t="s">
        <v>128</v>
      </c>
    </row>
    <row r="9" spans="1:1" x14ac:dyDescent="0.2">
      <c r="A9" s="9" t="s">
        <v>228</v>
      </c>
    </row>
    <row r="10" spans="1:1" x14ac:dyDescent="0.2">
      <c r="A10" s="9" t="s">
        <v>129</v>
      </c>
    </row>
    <row r="11" spans="1:1" x14ac:dyDescent="0.2">
      <c r="A11" s="9" t="s">
        <v>231</v>
      </c>
    </row>
    <row r="12" spans="1:1" x14ac:dyDescent="0.2">
      <c r="A12" s="9" t="s">
        <v>250</v>
      </c>
    </row>
    <row r="13" spans="1:1" x14ac:dyDescent="0.2">
      <c r="A13" s="9" t="s">
        <v>251</v>
      </c>
    </row>
    <row r="14" spans="1:1" x14ac:dyDescent="0.2">
      <c r="A14" s="9" t="s">
        <v>252</v>
      </c>
    </row>
    <row r="16" spans="1:1" x14ac:dyDescent="0.2">
      <c r="A16" s="9" t="s">
        <v>253</v>
      </c>
    </row>
    <row r="17" spans="1:1" x14ac:dyDescent="0.2">
      <c r="A17" s="9" t="s">
        <v>131</v>
      </c>
    </row>
    <row r="18" spans="1:1" x14ac:dyDescent="0.2">
      <c r="A18" s="9" t="s">
        <v>238</v>
      </c>
    </row>
    <row r="20" spans="1:1" x14ac:dyDescent="0.2">
      <c r="A20" s="9" t="s">
        <v>242</v>
      </c>
    </row>
    <row r="21" spans="1:1" x14ac:dyDescent="0.2">
      <c r="A21" s="9" t="s">
        <v>243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8C7F2-2557-0141-AE89-C47E0A8CCE40}">
  <dimension ref="B4:G12"/>
  <sheetViews>
    <sheetView showGridLines="0" topLeftCell="B4" workbookViewId="0">
      <selection activeCell="D12" sqref="D12"/>
    </sheetView>
  </sheetViews>
  <sheetFormatPr baseColWidth="10" defaultColWidth="11.42578125" defaultRowHeight="15" x14ac:dyDescent="0.25"/>
  <cols>
    <col min="3" max="3" width="46.42578125" customWidth="1"/>
    <col min="4" max="4" width="58" customWidth="1"/>
    <col min="5" max="5" width="21.140625" customWidth="1"/>
    <col min="6" max="6" width="32" customWidth="1"/>
  </cols>
  <sheetData>
    <row r="4" spans="2:7" ht="52.5" customHeight="1" x14ac:dyDescent="0.25">
      <c r="B4" s="240" t="s">
        <v>60</v>
      </c>
      <c r="C4" s="240"/>
      <c r="D4" s="240"/>
    </row>
    <row r="5" spans="2:7" ht="6.75" customHeight="1" x14ac:dyDescent="0.25">
      <c r="D5" s="122"/>
    </row>
    <row r="6" spans="2:7" ht="15" customHeight="1" x14ac:dyDescent="0.25">
      <c r="B6" s="509" t="s">
        <v>61</v>
      </c>
      <c r="C6" s="123" t="s">
        <v>62</v>
      </c>
      <c r="D6" s="123" t="s">
        <v>63</v>
      </c>
    </row>
    <row r="7" spans="2:7" ht="60.75" x14ac:dyDescent="0.25">
      <c r="B7" s="509"/>
      <c r="C7" s="195" t="s">
        <v>254</v>
      </c>
      <c r="D7" s="160" t="s">
        <v>256</v>
      </c>
      <c r="E7" s="197"/>
    </row>
    <row r="8" spans="2:7" ht="60.75" x14ac:dyDescent="0.25">
      <c r="B8" s="509"/>
      <c r="C8" s="160" t="s">
        <v>255</v>
      </c>
      <c r="D8" s="160" t="s">
        <v>257</v>
      </c>
      <c r="E8" s="196"/>
    </row>
    <row r="9" spans="2:7" ht="81" customHeight="1" x14ac:dyDescent="0.25">
      <c r="B9" s="509"/>
      <c r="C9" s="160" t="s">
        <v>64</v>
      </c>
      <c r="D9" s="160" t="s">
        <v>258</v>
      </c>
    </row>
    <row r="10" spans="2:7" ht="15.75" customHeight="1" x14ac:dyDescent="0.25">
      <c r="B10" s="509" t="s">
        <v>65</v>
      </c>
      <c r="C10" s="123" t="s">
        <v>66</v>
      </c>
      <c r="D10" s="123" t="s">
        <v>67</v>
      </c>
    </row>
    <row r="11" spans="2:7" ht="60.75" customHeight="1" x14ac:dyDescent="0.25">
      <c r="B11" s="509"/>
      <c r="C11" s="510" t="s">
        <v>260</v>
      </c>
      <c r="D11" s="199" t="s">
        <v>259</v>
      </c>
      <c r="E11" s="198"/>
      <c r="F11" s="194"/>
      <c r="G11" s="196"/>
    </row>
    <row r="12" spans="2:7" ht="81" x14ac:dyDescent="0.25">
      <c r="B12" s="509"/>
      <c r="C12" s="511"/>
      <c r="D12" s="199" t="s">
        <v>261</v>
      </c>
      <c r="E12" s="198"/>
    </row>
  </sheetData>
  <mergeCells count="4">
    <mergeCell ref="B4:D4"/>
    <mergeCell ref="B6:B9"/>
    <mergeCell ref="B10:B12"/>
    <mergeCell ref="C11:C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87"/>
  <sheetViews>
    <sheetView showGridLines="0" tabSelected="1" topLeftCell="B2" zoomScale="90" zoomScaleNormal="90" workbookViewId="0">
      <selection activeCell="C19" sqref="C19:N19"/>
    </sheetView>
  </sheetViews>
  <sheetFormatPr baseColWidth="10" defaultColWidth="11.42578125" defaultRowHeight="16.5" x14ac:dyDescent="0.3"/>
  <cols>
    <col min="1" max="1" width="4" style="2" bestFit="1" customWidth="1"/>
    <col min="2" max="2" width="14.140625" style="2" customWidth="1"/>
    <col min="3" max="3" width="21.8554687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2.7109375" style="1" customWidth="1"/>
    <col min="15" max="15" width="21.7109375" style="1" customWidth="1"/>
    <col min="16" max="16" width="57.5703125" style="1" customWidth="1"/>
    <col min="17" max="17" width="15.140625" style="1" bestFit="1" customWidth="1"/>
    <col min="18" max="18" width="6.85546875" style="1" customWidth="1"/>
    <col min="19" max="19" width="12"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27.7109375" style="1" customWidth="1"/>
    <col min="34" max="34" width="14.85546875" style="1" customWidth="1"/>
    <col min="35" max="35" width="18.42578125" style="1" customWidth="1"/>
    <col min="36" max="36" width="21" style="1" customWidth="1"/>
    <col min="37" max="16384" width="11.42578125" style="1"/>
  </cols>
  <sheetData>
    <row r="1" spans="1:68" ht="36.950000000000003" customHeight="1" x14ac:dyDescent="0.3">
      <c r="A1" s="345" t="s">
        <v>68</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126" t="s">
        <v>69</v>
      </c>
      <c r="AG1" s="131" t="s">
        <v>70</v>
      </c>
      <c r="AH1" s="158"/>
      <c r="AI1" s="158"/>
      <c r="AJ1" s="158"/>
      <c r="AK1" s="158"/>
      <c r="AL1" s="124"/>
      <c r="AM1" s="124"/>
      <c r="AN1" s="124"/>
      <c r="AO1" s="124"/>
      <c r="AP1" s="125"/>
      <c r="AQ1" s="125"/>
      <c r="AR1" s="125"/>
      <c r="AS1" s="125"/>
      <c r="AT1" s="125"/>
      <c r="AU1" s="125"/>
      <c r="AV1" s="125"/>
      <c r="AW1" s="125"/>
      <c r="AX1" s="125"/>
      <c r="AY1" s="125"/>
      <c r="AZ1" s="125"/>
    </row>
    <row r="2" spans="1:68" x14ac:dyDescent="0.3">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126" t="s">
        <v>71</v>
      </c>
      <c r="AG2" s="131">
        <v>5</v>
      </c>
      <c r="AH2" s="127"/>
      <c r="AI2" s="128"/>
      <c r="AJ2" s="128"/>
      <c r="AK2" s="129"/>
      <c r="AL2" s="128"/>
      <c r="AM2" s="128"/>
      <c r="AN2" s="125"/>
      <c r="AO2" s="130"/>
      <c r="AP2" s="125"/>
      <c r="AQ2" s="125"/>
      <c r="AR2" s="125"/>
      <c r="AS2" s="125"/>
      <c r="AT2" s="125"/>
      <c r="AU2" s="125"/>
      <c r="AV2" s="125"/>
      <c r="AW2" s="125"/>
      <c r="AX2" s="125"/>
      <c r="AY2" s="125"/>
      <c r="AZ2" s="125"/>
    </row>
    <row r="3" spans="1:68" x14ac:dyDescent="0.3">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126" t="s">
        <v>72</v>
      </c>
      <c r="AG3" s="133" t="s">
        <v>73</v>
      </c>
      <c r="AH3" s="127"/>
      <c r="AI3" s="128"/>
      <c r="AJ3" s="128"/>
      <c r="AK3" s="129"/>
      <c r="AL3" s="128"/>
      <c r="AM3" s="128"/>
      <c r="AN3" s="125"/>
      <c r="AO3" s="130"/>
      <c r="AP3" s="125"/>
      <c r="AQ3" s="125"/>
      <c r="AR3" s="125"/>
      <c r="AS3" s="125"/>
      <c r="AT3" s="125"/>
      <c r="AU3" s="125"/>
      <c r="AV3" s="125"/>
      <c r="AW3" s="125"/>
      <c r="AX3" s="125"/>
      <c r="AY3" s="125"/>
      <c r="AZ3" s="125"/>
    </row>
    <row r="4" spans="1:68" ht="15.95" customHeight="1" x14ac:dyDescent="0.3">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135" t="s">
        <v>74</v>
      </c>
      <c r="AG4" s="134">
        <v>209905</v>
      </c>
      <c r="AH4" s="127"/>
      <c r="AI4" s="128"/>
      <c r="AJ4" s="128"/>
      <c r="AK4" s="129"/>
      <c r="AL4" s="128"/>
      <c r="AM4" s="128"/>
      <c r="AN4" s="125"/>
      <c r="AO4" s="130"/>
      <c r="AP4" s="125"/>
      <c r="AQ4" s="125"/>
      <c r="AR4" s="125"/>
      <c r="AS4" s="125"/>
      <c r="AT4" s="125"/>
      <c r="AU4" s="125"/>
      <c r="AV4" s="125"/>
      <c r="AW4" s="125"/>
      <c r="AX4" s="125"/>
      <c r="AY4" s="125"/>
      <c r="AZ4" s="125"/>
    </row>
    <row r="5" spans="1:68" ht="24" customHeight="1" x14ac:dyDescent="0.3">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H5" s="127"/>
      <c r="AI5" s="128"/>
      <c r="AJ5" s="128"/>
      <c r="AK5" s="129"/>
      <c r="AL5" s="128"/>
      <c r="AM5" s="128"/>
      <c r="AN5" s="125"/>
      <c r="AO5" s="130"/>
      <c r="AP5" s="125"/>
      <c r="AQ5" s="125"/>
      <c r="AR5" s="125"/>
      <c r="AS5" s="125"/>
      <c r="AT5" s="125"/>
      <c r="AU5" s="125"/>
      <c r="AV5" s="125"/>
      <c r="AW5" s="125"/>
      <c r="AX5" s="125"/>
      <c r="AY5" s="125"/>
      <c r="AZ5" s="125"/>
    </row>
    <row r="6" spans="1:68" x14ac:dyDescent="0.3">
      <c r="A6" s="132"/>
      <c r="B6" s="132"/>
      <c r="C6" s="157"/>
      <c r="D6" s="134"/>
      <c r="E6" s="134"/>
      <c r="F6" s="134"/>
      <c r="G6" s="134"/>
      <c r="H6" s="134"/>
      <c r="I6" s="134"/>
      <c r="J6" s="134"/>
      <c r="K6" s="155"/>
      <c r="L6" s="134"/>
      <c r="M6" s="125"/>
      <c r="N6" s="125"/>
      <c r="O6" s="125"/>
      <c r="P6" s="134"/>
      <c r="Q6" s="132"/>
      <c r="R6" s="132"/>
      <c r="S6" s="132"/>
      <c r="T6" s="136"/>
      <c r="U6" s="136"/>
      <c r="V6" s="136"/>
      <c r="W6" s="136"/>
      <c r="X6" s="136"/>
      <c r="Y6" s="136"/>
      <c r="Z6" s="136"/>
      <c r="AA6" s="137"/>
      <c r="AB6" s="137"/>
      <c r="AC6" s="137"/>
      <c r="AD6" s="137"/>
      <c r="AE6" s="137"/>
      <c r="AH6" s="138"/>
      <c r="AI6" s="139"/>
      <c r="AJ6" s="139"/>
      <c r="AK6" s="139"/>
      <c r="AL6" s="139"/>
      <c r="AM6" s="139"/>
      <c r="AN6" s="140"/>
      <c r="AO6" s="140"/>
      <c r="AP6" s="140"/>
      <c r="AQ6" s="140"/>
      <c r="AR6" s="137"/>
      <c r="AS6" s="137"/>
      <c r="AT6" s="137"/>
      <c r="AU6" s="137"/>
      <c r="AV6" s="137"/>
      <c r="AW6" s="137"/>
      <c r="AX6" s="137"/>
      <c r="AY6" s="137"/>
      <c r="AZ6" s="137"/>
    </row>
    <row r="7" spans="1:68" ht="27.95" customHeight="1" x14ac:dyDescent="0.3">
      <c r="A7" s="144"/>
      <c r="B7" s="144"/>
      <c r="C7" s="125"/>
      <c r="D7" s="125"/>
      <c r="E7" s="125"/>
      <c r="F7" s="125"/>
      <c r="G7" s="125"/>
      <c r="H7" s="125"/>
      <c r="I7" s="125"/>
      <c r="J7" s="125"/>
      <c r="L7" s="125"/>
      <c r="M7" s="125"/>
      <c r="N7" s="349" t="s">
        <v>75</v>
      </c>
      <c r="O7" s="349"/>
      <c r="P7" s="349"/>
      <c r="Q7" s="349"/>
      <c r="R7" s="349"/>
      <c r="S7" s="349"/>
      <c r="T7" s="126"/>
      <c r="U7" s="126"/>
      <c r="V7" s="126"/>
      <c r="W7" s="126"/>
      <c r="X7" s="126"/>
      <c r="Y7" s="126"/>
      <c r="Z7" s="126"/>
      <c r="AA7" s="141"/>
      <c r="AB7" s="141"/>
      <c r="AC7" s="141"/>
      <c r="AD7" s="141"/>
      <c r="AE7" s="141"/>
      <c r="AF7" s="141"/>
      <c r="AG7" s="141"/>
      <c r="AH7" s="127"/>
      <c r="AI7" s="128"/>
      <c r="AJ7" s="128"/>
      <c r="AK7" s="128"/>
      <c r="AL7" s="128"/>
      <c r="AM7" s="128"/>
      <c r="AN7" s="142">
        <v>0</v>
      </c>
      <c r="AO7" s="143"/>
      <c r="AP7" s="142"/>
      <c r="AQ7" s="142"/>
      <c r="AR7" s="125"/>
      <c r="AS7" s="125"/>
      <c r="AT7" s="125"/>
      <c r="AU7" s="125"/>
      <c r="AV7" s="125"/>
      <c r="AW7" s="125"/>
      <c r="AX7" s="125"/>
      <c r="AY7" s="125"/>
      <c r="AZ7" s="125"/>
    </row>
    <row r="8" spans="1:68" ht="16.5" customHeight="1" x14ac:dyDescent="0.3">
      <c r="A8" s="144"/>
      <c r="B8" s="144"/>
      <c r="C8" s="125"/>
      <c r="D8" s="125"/>
      <c r="E8" s="125"/>
      <c r="F8" s="125"/>
      <c r="G8" s="125"/>
      <c r="H8" s="125"/>
      <c r="I8" s="125"/>
      <c r="J8" s="125"/>
      <c r="L8" s="125"/>
      <c r="M8" s="125"/>
      <c r="N8" s="156" t="s">
        <v>76</v>
      </c>
      <c r="O8" s="156" t="s">
        <v>77</v>
      </c>
      <c r="P8" s="351" t="s">
        <v>78</v>
      </c>
      <c r="Q8" s="352"/>
      <c r="R8" s="352"/>
      <c r="S8" s="353"/>
      <c r="T8" s="126"/>
      <c r="U8" s="126"/>
      <c r="V8" s="126"/>
      <c r="W8" s="126"/>
      <c r="X8" s="126"/>
      <c r="Y8" s="126"/>
      <c r="Z8" s="126"/>
      <c r="AA8" s="141"/>
      <c r="AB8" s="141"/>
      <c r="AC8" s="141"/>
      <c r="AD8" s="141"/>
      <c r="AE8" s="141"/>
      <c r="AF8" s="141"/>
      <c r="AG8" s="141"/>
      <c r="AH8" s="127"/>
      <c r="AI8" s="128"/>
      <c r="AJ8" s="128"/>
      <c r="AK8" s="128"/>
      <c r="AL8" s="128"/>
      <c r="AM8" s="128"/>
      <c r="AN8" s="142">
        <v>0</v>
      </c>
      <c r="AO8" s="143"/>
      <c r="AP8" s="142"/>
      <c r="AQ8" s="142"/>
      <c r="AR8" s="125"/>
      <c r="AS8" s="125"/>
      <c r="AT8" s="125"/>
      <c r="AU8" s="125"/>
      <c r="AV8" s="125"/>
      <c r="AW8" s="125"/>
      <c r="AX8" s="125"/>
      <c r="AY8" s="125"/>
      <c r="AZ8" s="125"/>
    </row>
    <row r="9" spans="1:68" x14ac:dyDescent="0.3">
      <c r="A9" s="144"/>
      <c r="B9" s="144"/>
      <c r="C9" s="125"/>
      <c r="D9" s="125"/>
      <c r="E9" s="125"/>
      <c r="F9" s="125"/>
      <c r="G9" s="125"/>
      <c r="H9" s="125"/>
      <c r="I9" s="125"/>
      <c r="J9" s="125"/>
      <c r="L9" s="125"/>
      <c r="M9" s="125"/>
      <c r="N9" s="159">
        <v>1</v>
      </c>
      <c r="O9" s="161">
        <v>43000</v>
      </c>
      <c r="P9" s="354" t="s">
        <v>79</v>
      </c>
      <c r="Q9" s="355"/>
      <c r="R9" s="355"/>
      <c r="S9" s="356"/>
      <c r="T9" s="126"/>
      <c r="U9" s="126"/>
      <c r="V9" s="126"/>
      <c r="W9" s="350"/>
      <c r="X9" s="350"/>
      <c r="Y9" s="350"/>
      <c r="Z9" s="350"/>
      <c r="AA9" s="350"/>
      <c r="AB9" s="350"/>
      <c r="AC9" s="150"/>
      <c r="AD9" s="150"/>
      <c r="AE9" s="150"/>
      <c r="AF9" s="125"/>
      <c r="AG9" s="125"/>
      <c r="AH9" s="127"/>
      <c r="AI9" s="128"/>
      <c r="AJ9" s="128"/>
      <c r="AK9" s="128"/>
      <c r="AL9" s="128"/>
      <c r="AM9" s="128"/>
      <c r="AN9" s="142">
        <v>0</v>
      </c>
      <c r="AO9" s="143"/>
      <c r="AP9" s="142"/>
      <c r="AQ9" s="142"/>
      <c r="AR9" s="125"/>
      <c r="AS9" s="125"/>
      <c r="AT9" s="125"/>
      <c r="AU9" s="125"/>
      <c r="AV9" s="125"/>
      <c r="AW9" s="125"/>
      <c r="AX9" s="125"/>
      <c r="AY9" s="125"/>
      <c r="AZ9" s="125"/>
    </row>
    <row r="10" spans="1:68" ht="105.75" customHeight="1" x14ac:dyDescent="0.3">
      <c r="A10" s="144"/>
      <c r="B10" s="144"/>
      <c r="C10" s="125"/>
      <c r="D10" s="125"/>
      <c r="E10" s="125"/>
      <c r="F10" s="125"/>
      <c r="G10" s="125"/>
      <c r="H10" s="125"/>
      <c r="I10" s="125"/>
      <c r="J10" s="125"/>
      <c r="L10" s="126"/>
      <c r="M10" s="126"/>
      <c r="N10" s="159">
        <v>2</v>
      </c>
      <c r="O10" s="161">
        <v>43759</v>
      </c>
      <c r="P10" s="354" t="s">
        <v>80</v>
      </c>
      <c r="Q10" s="355"/>
      <c r="R10" s="355"/>
      <c r="S10" s="356"/>
      <c r="T10" s="126"/>
      <c r="U10" s="126"/>
      <c r="V10" s="126"/>
      <c r="W10" s="346"/>
      <c r="X10" s="346"/>
      <c r="Y10" s="346"/>
      <c r="Z10" s="346"/>
      <c r="AA10" s="346"/>
      <c r="AB10" s="346"/>
      <c r="AC10" s="151"/>
      <c r="AD10" s="151"/>
      <c r="AE10" s="152"/>
      <c r="AF10" s="125"/>
      <c r="AG10" s="125"/>
      <c r="AH10" s="127"/>
      <c r="AI10" s="128"/>
      <c r="AJ10" s="128"/>
      <c r="AK10" s="128"/>
      <c r="AL10" s="128"/>
      <c r="AM10" s="128"/>
      <c r="AN10" s="142">
        <v>0</v>
      </c>
      <c r="AO10" s="143"/>
      <c r="AP10" s="142"/>
      <c r="AQ10" s="142"/>
      <c r="AR10" s="125"/>
      <c r="AS10" s="125"/>
      <c r="AT10" s="125"/>
      <c r="AU10" s="125"/>
      <c r="AV10" s="125"/>
      <c r="AW10" s="125"/>
      <c r="AX10" s="125"/>
      <c r="AY10" s="125"/>
      <c r="AZ10" s="125"/>
    </row>
    <row r="11" spans="1:68" ht="63" customHeight="1" x14ac:dyDescent="0.3">
      <c r="A11" s="144"/>
      <c r="B11" s="144"/>
      <c r="C11" s="125"/>
      <c r="D11" s="125"/>
      <c r="E11" s="125"/>
      <c r="F11" s="125"/>
      <c r="G11" s="125"/>
      <c r="H11" s="125"/>
      <c r="I11" s="125"/>
      <c r="J11" s="125"/>
      <c r="L11" s="126"/>
      <c r="M11" s="126"/>
      <c r="N11" s="159">
        <v>3</v>
      </c>
      <c r="O11" s="161">
        <v>44201</v>
      </c>
      <c r="P11" s="354" t="s">
        <v>81</v>
      </c>
      <c r="Q11" s="355"/>
      <c r="R11" s="355"/>
      <c r="S11" s="356"/>
      <c r="T11" s="126"/>
      <c r="U11" s="126"/>
      <c r="V11" s="126"/>
      <c r="W11" s="151"/>
      <c r="X11" s="151"/>
      <c r="Y11" s="151"/>
      <c r="Z11" s="151"/>
      <c r="AA11" s="151"/>
      <c r="AB11" s="151"/>
      <c r="AC11" s="151"/>
      <c r="AD11" s="151"/>
      <c r="AE11" s="152"/>
      <c r="AF11" s="125"/>
      <c r="AG11" s="125"/>
      <c r="AH11" s="127"/>
      <c r="AI11" s="128"/>
      <c r="AJ11" s="128"/>
      <c r="AK11" s="128"/>
      <c r="AL11" s="128"/>
      <c r="AM11" s="128"/>
      <c r="AN11" s="142"/>
      <c r="AO11" s="143"/>
      <c r="AP11" s="142"/>
      <c r="AQ11" s="142"/>
      <c r="AR11" s="125"/>
      <c r="AS11" s="125"/>
      <c r="AT11" s="125"/>
      <c r="AU11" s="125"/>
      <c r="AV11" s="125"/>
      <c r="AW11" s="125"/>
      <c r="AX11" s="125"/>
      <c r="AY11" s="125"/>
      <c r="AZ11" s="125"/>
    </row>
    <row r="12" spans="1:68" ht="67.5" customHeight="1" x14ac:dyDescent="0.3">
      <c r="A12" s="144"/>
      <c r="B12" s="144"/>
      <c r="C12" s="125"/>
      <c r="D12" s="125"/>
      <c r="E12" s="125"/>
      <c r="F12" s="125"/>
      <c r="G12" s="125"/>
      <c r="H12" s="125"/>
      <c r="I12" s="125"/>
      <c r="J12" s="125"/>
      <c r="L12" s="126"/>
      <c r="M12" s="126"/>
      <c r="N12" s="159">
        <v>4</v>
      </c>
      <c r="O12" s="161">
        <v>44225</v>
      </c>
      <c r="P12" s="354" t="s">
        <v>82</v>
      </c>
      <c r="Q12" s="355"/>
      <c r="R12" s="355"/>
      <c r="S12" s="356"/>
      <c r="T12" s="126"/>
      <c r="U12" s="126"/>
      <c r="V12" s="126"/>
      <c r="W12" s="151"/>
      <c r="X12" s="151"/>
      <c r="Y12" s="151"/>
      <c r="Z12" s="151"/>
      <c r="AA12" s="151"/>
      <c r="AB12" s="151"/>
      <c r="AC12" s="151"/>
      <c r="AD12" s="151"/>
      <c r="AE12" s="152"/>
      <c r="AF12" s="125"/>
      <c r="AG12" s="125"/>
      <c r="AH12" s="127"/>
      <c r="AI12" s="128"/>
      <c r="AJ12" s="128"/>
      <c r="AK12" s="128"/>
      <c r="AL12" s="128"/>
      <c r="AM12" s="128"/>
      <c r="AN12" s="142"/>
      <c r="AO12" s="143"/>
      <c r="AP12" s="142"/>
      <c r="AQ12" s="142"/>
      <c r="AR12" s="125"/>
      <c r="AS12" s="125"/>
      <c r="AT12" s="125"/>
      <c r="AU12" s="125"/>
      <c r="AV12" s="125"/>
      <c r="AW12" s="125"/>
      <c r="AX12" s="125"/>
      <c r="AY12" s="125"/>
      <c r="AZ12" s="125"/>
    </row>
    <row r="13" spans="1:68" ht="67.5" customHeight="1" x14ac:dyDescent="0.3">
      <c r="A13" s="144"/>
      <c r="B13" s="144"/>
      <c r="C13" s="125"/>
      <c r="D13" s="125"/>
      <c r="E13" s="125"/>
      <c r="F13" s="125"/>
      <c r="G13" s="125"/>
      <c r="H13" s="125"/>
      <c r="I13" s="125"/>
      <c r="J13" s="125"/>
      <c r="L13" s="126"/>
      <c r="M13" s="126"/>
      <c r="N13" s="159">
        <v>5</v>
      </c>
      <c r="O13" s="162">
        <v>44648</v>
      </c>
      <c r="P13" s="354" t="s">
        <v>83</v>
      </c>
      <c r="Q13" s="355"/>
      <c r="R13" s="355"/>
      <c r="S13" s="356"/>
      <c r="T13" s="126"/>
      <c r="U13" s="126"/>
      <c r="V13" s="126"/>
      <c r="W13" s="151"/>
      <c r="X13" s="151"/>
      <c r="Y13" s="151"/>
      <c r="Z13" s="151"/>
      <c r="AA13" s="151"/>
      <c r="AB13" s="151"/>
      <c r="AC13" s="151"/>
      <c r="AD13" s="151"/>
      <c r="AE13" s="152"/>
      <c r="AF13" s="125"/>
      <c r="AG13" s="125"/>
      <c r="AH13" s="127"/>
      <c r="AI13" s="128"/>
      <c r="AJ13" s="128"/>
      <c r="AK13" s="128"/>
      <c r="AL13" s="128"/>
      <c r="AM13" s="128"/>
      <c r="AN13" s="142"/>
      <c r="AO13" s="143"/>
      <c r="AP13" s="142"/>
      <c r="AQ13" s="142"/>
      <c r="AR13" s="125"/>
      <c r="AS13" s="125"/>
      <c r="AT13" s="125"/>
      <c r="AU13" s="125"/>
      <c r="AV13" s="125"/>
      <c r="AW13" s="125"/>
      <c r="AX13" s="125"/>
      <c r="AY13" s="125"/>
      <c r="AZ13" s="125"/>
    </row>
    <row r="14" spans="1:68" ht="42" customHeight="1" x14ac:dyDescent="0.3">
      <c r="A14" s="144"/>
      <c r="B14" s="144"/>
      <c r="C14" s="144"/>
      <c r="D14" s="144"/>
      <c r="E14" s="144"/>
      <c r="F14" s="125"/>
      <c r="G14" s="125"/>
      <c r="H14" s="125"/>
      <c r="I14" s="146"/>
      <c r="J14" s="146"/>
      <c r="K14" s="126"/>
      <c r="L14" s="126"/>
      <c r="M14" s="126"/>
      <c r="N14" s="200">
        <v>6</v>
      </c>
      <c r="O14" s="162">
        <v>45201</v>
      </c>
      <c r="P14" s="357" t="s">
        <v>262</v>
      </c>
      <c r="Q14" s="358"/>
      <c r="R14" s="358"/>
      <c r="S14" s="359"/>
      <c r="T14" s="126"/>
      <c r="U14" s="126"/>
      <c r="V14" s="126"/>
      <c r="W14" s="347"/>
      <c r="X14" s="347"/>
      <c r="Y14" s="347"/>
      <c r="Z14" s="347"/>
      <c r="AA14" s="347"/>
      <c r="AB14" s="347"/>
      <c r="AC14" s="153"/>
      <c r="AD14" s="153"/>
      <c r="AE14" s="154"/>
      <c r="AF14" s="147"/>
      <c r="AG14" s="141"/>
      <c r="AH14" s="127"/>
      <c r="AI14" s="128"/>
      <c r="AJ14" s="128"/>
      <c r="AK14" s="128"/>
      <c r="AL14" s="128"/>
      <c r="AM14" s="128"/>
      <c r="AN14" s="142">
        <v>0</v>
      </c>
      <c r="AO14" s="143"/>
      <c r="AP14" s="142"/>
      <c r="AQ14" s="142"/>
      <c r="AR14" s="125"/>
      <c r="AS14" s="125"/>
      <c r="AT14" s="125"/>
      <c r="AU14" s="125"/>
      <c r="AV14" s="125"/>
      <c r="AW14" s="125"/>
      <c r="AX14" s="125"/>
      <c r="AY14" s="125"/>
      <c r="AZ14" s="125"/>
    </row>
    <row r="15" spans="1:68" ht="18.75" x14ac:dyDescent="0.3">
      <c r="A15" s="348" t="s">
        <v>84</v>
      </c>
      <c r="B15" s="348"/>
      <c r="C15" s="348"/>
      <c r="D15" s="348"/>
      <c r="E15" s="348"/>
      <c r="F15" s="348"/>
      <c r="G15" s="348"/>
      <c r="H15" s="348"/>
      <c r="I15" s="348"/>
      <c r="J15" s="348"/>
      <c r="K15" s="126"/>
      <c r="L15" s="126"/>
      <c r="M15" s="126"/>
      <c r="N15" s="126"/>
      <c r="O15" s="145"/>
      <c r="P15" s="126"/>
      <c r="Q15" s="126"/>
      <c r="R15" s="126"/>
      <c r="S15" s="126"/>
      <c r="T15" s="126"/>
      <c r="U15" s="126"/>
      <c r="V15" s="126"/>
      <c r="W15" s="141"/>
      <c r="X15" s="141"/>
      <c r="Y15" s="141"/>
      <c r="Z15" s="141"/>
      <c r="AA15" s="141"/>
      <c r="AB15" s="148"/>
      <c r="AC15" s="148"/>
      <c r="AD15" s="148"/>
      <c r="AE15" s="148"/>
      <c r="AF15" s="149"/>
      <c r="AG15" s="149"/>
      <c r="AH15" s="128"/>
      <c r="AI15" s="128"/>
      <c r="AJ15" s="128"/>
      <c r="AK15" s="128"/>
      <c r="AL15" s="128"/>
      <c r="AM15" s="129"/>
      <c r="AN15" s="142"/>
      <c r="AO15" s="142"/>
      <c r="AP15" s="125"/>
      <c r="AQ15" s="125"/>
      <c r="AR15" s="125"/>
      <c r="AS15" s="125"/>
      <c r="AT15" s="125"/>
      <c r="AU15" s="125"/>
      <c r="AV15" s="125"/>
      <c r="AW15" s="125"/>
      <c r="AX15" s="125"/>
      <c r="AY15" s="125"/>
      <c r="AZ15" s="125"/>
    </row>
    <row r="16" spans="1:68" ht="16.5" customHeight="1" x14ac:dyDescent="0.3">
      <c r="A16" s="296"/>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8"/>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24" customHeight="1" x14ac:dyDescent="0.3">
      <c r="A17" s="299"/>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1"/>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x14ac:dyDescent="0.3">
      <c r="A18" s="27"/>
      <c r="B18" s="28"/>
      <c r="C18" s="27"/>
      <c r="D18" s="27"/>
      <c r="E18" s="7"/>
      <c r="F18" s="26"/>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26.25" customHeight="1" x14ac:dyDescent="0.3">
      <c r="A19" s="330" t="s">
        <v>85</v>
      </c>
      <c r="B19" s="331"/>
      <c r="C19" s="292" t="s">
        <v>86</v>
      </c>
      <c r="D19" s="293"/>
      <c r="E19" s="293"/>
      <c r="F19" s="293"/>
      <c r="G19" s="293"/>
      <c r="H19" s="293"/>
      <c r="I19" s="293"/>
      <c r="J19" s="293"/>
      <c r="K19" s="293"/>
      <c r="L19" s="293"/>
      <c r="M19" s="293"/>
      <c r="N19" s="294"/>
      <c r="O19" s="295"/>
      <c r="P19" s="295"/>
      <c r="Q19" s="295"/>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38.25" customHeight="1" x14ac:dyDescent="0.3">
      <c r="A20" s="330" t="s">
        <v>87</v>
      </c>
      <c r="B20" s="331"/>
      <c r="C20" s="337" t="s">
        <v>88</v>
      </c>
      <c r="D20" s="338"/>
      <c r="E20" s="338"/>
      <c r="F20" s="338"/>
      <c r="G20" s="338"/>
      <c r="H20" s="338"/>
      <c r="I20" s="338"/>
      <c r="J20" s="338"/>
      <c r="K20" s="338"/>
      <c r="L20" s="338"/>
      <c r="M20" s="338"/>
      <c r="N20" s="339"/>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49.5" customHeight="1" x14ac:dyDescent="0.3">
      <c r="A21" s="330" t="s">
        <v>89</v>
      </c>
      <c r="B21" s="331"/>
      <c r="C21" s="337" t="s">
        <v>90</v>
      </c>
      <c r="D21" s="338"/>
      <c r="E21" s="338"/>
      <c r="F21" s="338"/>
      <c r="G21" s="338"/>
      <c r="H21" s="338"/>
      <c r="I21" s="338"/>
      <c r="J21" s="338"/>
      <c r="K21" s="338"/>
      <c r="L21" s="338"/>
      <c r="M21" s="338"/>
      <c r="N21" s="339"/>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x14ac:dyDescent="0.3">
      <c r="A22" s="302" t="s">
        <v>91</v>
      </c>
      <c r="B22" s="303"/>
      <c r="C22" s="303"/>
      <c r="D22" s="303"/>
      <c r="E22" s="303"/>
      <c r="F22" s="303"/>
      <c r="G22" s="304"/>
      <c r="H22" s="302" t="s">
        <v>92</v>
      </c>
      <c r="I22" s="303"/>
      <c r="J22" s="303"/>
      <c r="K22" s="303"/>
      <c r="L22" s="303"/>
      <c r="M22" s="303"/>
      <c r="N22" s="304"/>
      <c r="O22" s="302" t="s">
        <v>93</v>
      </c>
      <c r="P22" s="303"/>
      <c r="Q22" s="303"/>
      <c r="R22" s="303"/>
      <c r="S22" s="303"/>
      <c r="T22" s="303"/>
      <c r="U22" s="303"/>
      <c r="V22" s="303"/>
      <c r="W22" s="304"/>
      <c r="X22" s="302" t="s">
        <v>94</v>
      </c>
      <c r="Y22" s="303"/>
      <c r="Z22" s="303"/>
      <c r="AA22" s="303"/>
      <c r="AB22" s="303"/>
      <c r="AC22" s="303"/>
      <c r="AD22" s="304"/>
      <c r="AE22" s="302" t="s">
        <v>95</v>
      </c>
      <c r="AF22" s="303"/>
      <c r="AG22" s="303"/>
      <c r="AH22" s="303"/>
      <c r="AI22" s="303"/>
      <c r="AJ22" s="304"/>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16.5" customHeight="1" x14ac:dyDescent="0.3">
      <c r="A23" s="332" t="s">
        <v>96</v>
      </c>
      <c r="B23" s="327" t="s">
        <v>15</v>
      </c>
      <c r="C23" s="328" t="s">
        <v>17</v>
      </c>
      <c r="D23" s="328" t="s">
        <v>19</v>
      </c>
      <c r="E23" s="334" t="s">
        <v>21</v>
      </c>
      <c r="F23" s="329" t="s">
        <v>23</v>
      </c>
      <c r="G23" s="328" t="s">
        <v>97</v>
      </c>
      <c r="H23" s="341" t="s">
        <v>98</v>
      </c>
      <c r="I23" s="342" t="s">
        <v>99</v>
      </c>
      <c r="J23" s="329" t="s">
        <v>100</v>
      </c>
      <c r="K23" s="329" t="s">
        <v>101</v>
      </c>
      <c r="L23" s="344" t="s">
        <v>102</v>
      </c>
      <c r="M23" s="342" t="s">
        <v>99</v>
      </c>
      <c r="N23" s="328" t="s">
        <v>29</v>
      </c>
      <c r="O23" s="335" t="s">
        <v>103</v>
      </c>
      <c r="P23" s="326" t="s">
        <v>31</v>
      </c>
      <c r="Q23" s="329" t="s">
        <v>33</v>
      </c>
      <c r="R23" s="326" t="s">
        <v>104</v>
      </c>
      <c r="S23" s="326"/>
      <c r="T23" s="326"/>
      <c r="U23" s="326"/>
      <c r="V23" s="326"/>
      <c r="W23" s="326"/>
      <c r="X23" s="340" t="s">
        <v>105</v>
      </c>
      <c r="Y23" s="340" t="s">
        <v>106</v>
      </c>
      <c r="Z23" s="340" t="s">
        <v>99</v>
      </c>
      <c r="AA23" s="340" t="s">
        <v>107</v>
      </c>
      <c r="AB23" s="340" t="s">
        <v>99</v>
      </c>
      <c r="AC23" s="340" t="s">
        <v>108</v>
      </c>
      <c r="AD23" s="335" t="s">
        <v>49</v>
      </c>
      <c r="AE23" s="326" t="s">
        <v>95</v>
      </c>
      <c r="AF23" s="326" t="s">
        <v>109</v>
      </c>
      <c r="AG23" s="326" t="s">
        <v>110</v>
      </c>
      <c r="AH23" s="326" t="s">
        <v>111</v>
      </c>
      <c r="AI23" s="326" t="s">
        <v>112</v>
      </c>
      <c r="AJ23" s="326" t="s">
        <v>53</v>
      </c>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4" customFormat="1" ht="94.5" customHeight="1" x14ac:dyDescent="0.25">
      <c r="A24" s="333"/>
      <c r="B24" s="327"/>
      <c r="C24" s="326"/>
      <c r="D24" s="326"/>
      <c r="E24" s="327"/>
      <c r="F24" s="328"/>
      <c r="G24" s="326"/>
      <c r="H24" s="328"/>
      <c r="I24" s="343"/>
      <c r="J24" s="328"/>
      <c r="K24" s="328"/>
      <c r="L24" s="343"/>
      <c r="M24" s="343"/>
      <c r="N24" s="326"/>
      <c r="O24" s="336"/>
      <c r="P24" s="326"/>
      <c r="Q24" s="328"/>
      <c r="R24" s="6" t="s">
        <v>113</v>
      </c>
      <c r="S24" s="6" t="s">
        <v>114</v>
      </c>
      <c r="T24" s="6" t="s">
        <v>115</v>
      </c>
      <c r="U24" s="6" t="s">
        <v>116</v>
      </c>
      <c r="V24" s="6" t="s">
        <v>117</v>
      </c>
      <c r="W24" s="6" t="s">
        <v>118</v>
      </c>
      <c r="X24" s="340"/>
      <c r="Y24" s="340"/>
      <c r="Z24" s="340"/>
      <c r="AA24" s="340"/>
      <c r="AB24" s="340"/>
      <c r="AC24" s="340"/>
      <c r="AD24" s="336"/>
      <c r="AE24" s="326"/>
      <c r="AF24" s="326"/>
      <c r="AG24" s="326"/>
      <c r="AH24" s="326"/>
      <c r="AI24" s="326"/>
      <c r="AJ24" s="326"/>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row>
    <row r="25" spans="1:68" s="3" customFormat="1" ht="170.25" customHeight="1" x14ac:dyDescent="0.25">
      <c r="A25" s="289">
        <v>1</v>
      </c>
      <c r="B25" s="253" t="s">
        <v>119</v>
      </c>
      <c r="C25" s="241" t="s">
        <v>120</v>
      </c>
      <c r="D25" s="320" t="s">
        <v>121</v>
      </c>
      <c r="E25" s="320" t="s">
        <v>122</v>
      </c>
      <c r="F25" s="253" t="s">
        <v>123</v>
      </c>
      <c r="G25" s="256">
        <v>4</v>
      </c>
      <c r="H25" s="259" t="str">
        <f>IF(G25&lt;=0,"",IF(G25&lt;=2,"Muy Baja",IF(G25&lt;=24,"Baja",IF(G25&lt;=500,"Media",IF(G25&lt;=5000,"Alta","Muy Alta")))))</f>
        <v>Baja</v>
      </c>
      <c r="I25" s="262">
        <f>IF(H25="","",IF(H25="Muy Baja",0.2,IF(H25="Baja",0.4,IF(H25="Media",0.6,IF(H25="Alta",0.8,IF(H25="Muy Alta",1,))))))</f>
        <v>0.4</v>
      </c>
      <c r="J25" s="323" t="s">
        <v>124</v>
      </c>
      <c r="K25" s="262" t="str">
        <f>IF(NOT(ISERROR(MATCH(J25,'Tabla Impacto'!$B$221:$B$223,0))),'Tabla Impacto'!$F$223&amp;"Por favor no seleccionar los criterios de impacto(Afectación Económica o presupuestal y Pérdida Reputacional)",J25)</f>
        <v xml:space="preserve">     El riesgo afecta la imagen de la entidad con algunos usuarios de relevancia frente al logro de los objetivos</v>
      </c>
      <c r="L25" s="259" t="str">
        <f>IF(OR(K25='Tabla Impacto'!$C$11,K25='Tabla Impacto'!$D$11),"Leve",IF(OR(K25='Tabla Impacto'!$C$12,K25='Tabla Impacto'!$D$12),"Menor",IF(OR(K25='Tabla Impacto'!$C$13,K25='Tabla Impacto'!$D$13),"Moderado",IF(OR(K25='Tabla Impacto'!$C$14,K25='Tabla Impacto'!$D$14),"Mayor",IF(OR(K25='Tabla Impacto'!$C$15,K25='Tabla Impacto'!$D$15),"Catastrófico","")))))</f>
        <v>Moderado</v>
      </c>
      <c r="M25" s="262">
        <f>IF(L25="","",IF(L25="Leve",0.2,IF(L25="Menor",0.4,IF(L25="Moderado",0.6,IF(L25="Mayor",0.8,IF(L25="Catastrófico",1,))))))</f>
        <v>0.6</v>
      </c>
      <c r="N25" s="265"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Moderado</v>
      </c>
      <c r="O25" s="163">
        <v>1</v>
      </c>
      <c r="P25" s="164" t="s">
        <v>125</v>
      </c>
      <c r="Q25" s="165" t="str">
        <f>IF(OR(R25="Preventivo",R25="Detectivo"),"Probabilidad",IF(R25="Correctivo","Impacto",""))</f>
        <v>Probabilidad</v>
      </c>
      <c r="R25" s="166" t="s">
        <v>126</v>
      </c>
      <c r="S25" s="166" t="s">
        <v>127</v>
      </c>
      <c r="T25" s="167" t="str">
        <f>IF(AND(R25="Preventivo",S25="Automático"),"50%",IF(AND(R25="Preventivo",S25="Manual"),"40%",IF(AND(R25="Detectivo",S25="Automático"),"40%",IF(AND(R25="Detectivo",S25="Manual"),"30%",IF(AND(R25="Correctivo",S25="Automático"),"35%",IF(AND(R25="Correctivo",S25="Manual"),"25%",""))))))</f>
        <v>30%</v>
      </c>
      <c r="U25" s="166" t="s">
        <v>128</v>
      </c>
      <c r="V25" s="166" t="s">
        <v>129</v>
      </c>
      <c r="W25" s="166" t="s">
        <v>130</v>
      </c>
      <c r="X25" s="168">
        <f>IFERROR(IF(Q25="Probabilidad",(I25-(+I25*T25)),IF(Q25="Impacto",I25,"")),"")</f>
        <v>0.28000000000000003</v>
      </c>
      <c r="Y25" s="169" t="str">
        <f>IFERROR(IF(X25="","",IF(X25&lt;=0.2,"Muy Baja",IF(X25&lt;=0.4,"Baja",IF(X25&lt;=0.6,"Media",IF(X25&lt;=0.8,"Alta","Muy Alta"))))),"")</f>
        <v>Baja</v>
      </c>
      <c r="Z25" s="170">
        <f>+X25</f>
        <v>0.28000000000000003</v>
      </c>
      <c r="AA25" s="169" t="str">
        <f>IFERROR(IF(AB25="","",IF(AB25&lt;=0.2,"Leve",IF(AB25&lt;=0.4,"Menor",IF(AB25&lt;=0.6,"Moderado",IF(AB25&lt;=0.8,"Mayor","Catastrófico"))))),"")</f>
        <v>Moderado</v>
      </c>
      <c r="AB25" s="170">
        <f>IFERROR(IF(Q25="Impacto",(M25-(+M25*T25)),IF(Q25="Probabilidad",M25,"")),"")</f>
        <v>0.6</v>
      </c>
      <c r="AC25" s="17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247" t="s">
        <v>131</v>
      </c>
      <c r="AE25" s="173"/>
      <c r="AF25" s="174"/>
      <c r="AG25" s="175"/>
      <c r="AH25" s="175"/>
      <c r="AI25" s="176"/>
      <c r="AJ25" s="177"/>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row>
    <row r="26" spans="1:68" ht="51.75" customHeight="1" x14ac:dyDescent="0.3">
      <c r="A26" s="290"/>
      <c r="B26" s="254"/>
      <c r="C26" s="242"/>
      <c r="D26" s="321"/>
      <c r="E26" s="321"/>
      <c r="F26" s="254"/>
      <c r="G26" s="257"/>
      <c r="H26" s="260"/>
      <c r="I26" s="263"/>
      <c r="J26" s="324"/>
      <c r="K26" s="263">
        <f>IF(NOT(ISERROR(MATCH(J26,_xlfn.ANCHORARRAY(E37),0))),I39&amp;"Por favor no seleccionar los criterios de impacto",J26)</f>
        <v>0</v>
      </c>
      <c r="L26" s="260"/>
      <c r="M26" s="263"/>
      <c r="N26" s="266"/>
      <c r="O26" s="289">
        <v>2</v>
      </c>
      <c r="P26" s="241" t="s">
        <v>132</v>
      </c>
      <c r="Q26" s="244" t="str">
        <f>IF(OR(R26="Preventivo",R26="Detectivo"),"Probabilidad",IF(R26="Correctivo","Impacto",""))</f>
        <v>Probabilidad</v>
      </c>
      <c r="R26" s="247" t="s">
        <v>133</v>
      </c>
      <c r="S26" s="247" t="s">
        <v>127</v>
      </c>
      <c r="T26" s="250" t="str">
        <f t="shared" ref="T26" si="0">IF(AND(R26="Preventivo",S26="Automático"),"50%",IF(AND(R26="Preventivo",S26="Manual"),"40%",IF(AND(R26="Detectivo",S26="Automático"),"40%",IF(AND(R26="Detectivo",S26="Manual"),"30%",IF(AND(R26="Correctivo",S26="Automático"),"35%",IF(AND(R26="Correctivo",S26="Manual"),"25%",""))))))</f>
        <v>40%</v>
      </c>
      <c r="U26" s="247" t="s">
        <v>128</v>
      </c>
      <c r="V26" s="247" t="s">
        <v>129</v>
      </c>
      <c r="W26" s="247" t="s">
        <v>130</v>
      </c>
      <c r="X26" s="168">
        <f>IFERROR(IF(AND(Q25="Probabilidad",Q26="Probabilidad"),(Z25-(+Z25*T26)),IF(Q26="Probabilidad",(I25-(+I25*T26)),IF(Q26="Impacto",Z25,""))),"")</f>
        <v>0.16800000000000001</v>
      </c>
      <c r="Y26" s="277" t="str">
        <f t="shared" ref="Y26:Y84" si="1">IFERROR(IF(X26="","",IF(X26&lt;=0.2,"Muy Baja",IF(X26&lt;=0.4,"Baja",IF(X26&lt;=0.6,"Media",IF(X26&lt;=0.8,"Alta","Muy Alta"))))),"")</f>
        <v>Muy Baja</v>
      </c>
      <c r="Z26" s="250">
        <f>+X25</f>
        <v>0.28000000000000003</v>
      </c>
      <c r="AA26" s="277" t="str">
        <f t="shared" ref="AA26:AA84" si="2">IFERROR(IF(AB26="","",IF(AB26&lt;=0.2,"Leve",IF(AB26&lt;=0.4,"Menor",IF(AB26&lt;=0.6,"Moderado",IF(AB26&lt;=0.8,"Mayor","Catastrófico"))))),"")</f>
        <v>Moderado</v>
      </c>
      <c r="AB26" s="250">
        <f>IFERROR(IF(AND(Q25="Impacto",Q26="Impacto"),(AB25-(+AB25*T26)),IF(Q26="Impacto",(M25-(+M25*T26)),IF(Q26="Probabilidad",AB25,""))),"")</f>
        <v>0.6</v>
      </c>
      <c r="AC26" s="286" t="str">
        <f t="shared" ref="AC26" si="3">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248"/>
      <c r="AE26" s="271"/>
      <c r="AF26" s="274"/>
      <c r="AG26" s="268"/>
      <c r="AH26" s="268"/>
      <c r="AI26" s="271"/>
      <c r="AJ26" s="274"/>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x14ac:dyDescent="0.3">
      <c r="A27" s="290"/>
      <c r="B27" s="254"/>
      <c r="C27" s="242"/>
      <c r="D27" s="321"/>
      <c r="E27" s="321"/>
      <c r="F27" s="254"/>
      <c r="G27" s="257"/>
      <c r="H27" s="260"/>
      <c r="I27" s="263"/>
      <c r="J27" s="324"/>
      <c r="K27" s="263">
        <f>IF(NOT(ISERROR(MATCH(J27,_xlfn.ANCHORARRAY(E38),0))),I40&amp;"Por favor no seleccionar los criterios de impacto",J27)</f>
        <v>0</v>
      </c>
      <c r="L27" s="260"/>
      <c r="M27" s="263"/>
      <c r="N27" s="266"/>
      <c r="O27" s="290"/>
      <c r="P27" s="242"/>
      <c r="Q27" s="245"/>
      <c r="R27" s="248"/>
      <c r="S27" s="248"/>
      <c r="T27" s="251"/>
      <c r="U27" s="248"/>
      <c r="V27" s="248"/>
      <c r="W27" s="248"/>
      <c r="X27" s="168" t="str">
        <f>IFERROR(IF(AND(Q26="Probabilidad",Q27="Probabilidad"),(Z26-(+Z26*T27)),IF(AND(Q26="Impacto",Q27="Probabilidad"),(Z25-(+Z25*T27)),IF(Q27="Impacto",Z26,""))),"")</f>
        <v/>
      </c>
      <c r="Y27" s="278"/>
      <c r="Z27" s="251"/>
      <c r="AA27" s="278"/>
      <c r="AB27" s="251"/>
      <c r="AC27" s="287"/>
      <c r="AD27" s="248"/>
      <c r="AE27" s="272"/>
      <c r="AF27" s="275"/>
      <c r="AG27" s="269"/>
      <c r="AH27" s="269"/>
      <c r="AI27" s="272"/>
      <c r="AJ27" s="275"/>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x14ac:dyDescent="0.3">
      <c r="A28" s="290"/>
      <c r="B28" s="254"/>
      <c r="C28" s="242"/>
      <c r="D28" s="321"/>
      <c r="E28" s="321"/>
      <c r="F28" s="254"/>
      <c r="G28" s="257"/>
      <c r="H28" s="260"/>
      <c r="I28" s="263"/>
      <c r="J28" s="324"/>
      <c r="K28" s="263">
        <f>IF(NOT(ISERROR(MATCH(J28,_xlfn.ANCHORARRAY(E39),0))),I41&amp;"Por favor no seleccionar los criterios de impacto",J28)</f>
        <v>0</v>
      </c>
      <c r="L28" s="260"/>
      <c r="M28" s="263"/>
      <c r="N28" s="266"/>
      <c r="O28" s="290"/>
      <c r="P28" s="242"/>
      <c r="Q28" s="245"/>
      <c r="R28" s="248"/>
      <c r="S28" s="248"/>
      <c r="T28" s="251"/>
      <c r="U28" s="248"/>
      <c r="V28" s="248"/>
      <c r="W28" s="248"/>
      <c r="X28" s="168" t="str">
        <f t="shared" ref="X28:X30" si="4">IFERROR(IF(AND(Q27="Probabilidad",Q28="Probabilidad"),(Z27-(+Z27*T28)),IF(AND(Q27="Impacto",Q28="Probabilidad"),(Z26-(+Z26*T28)),IF(Q28="Impacto",Z27,""))),"")</f>
        <v/>
      </c>
      <c r="Y28" s="278"/>
      <c r="Z28" s="251"/>
      <c r="AA28" s="278"/>
      <c r="AB28" s="251"/>
      <c r="AC28" s="287"/>
      <c r="AD28" s="248"/>
      <c r="AE28" s="272"/>
      <c r="AF28" s="275"/>
      <c r="AG28" s="269"/>
      <c r="AH28" s="269"/>
      <c r="AI28" s="272"/>
      <c r="AJ28" s="275"/>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x14ac:dyDescent="0.3">
      <c r="A29" s="290"/>
      <c r="B29" s="254"/>
      <c r="C29" s="242"/>
      <c r="D29" s="321"/>
      <c r="E29" s="321"/>
      <c r="F29" s="254"/>
      <c r="G29" s="257"/>
      <c r="H29" s="260"/>
      <c r="I29" s="263"/>
      <c r="J29" s="324"/>
      <c r="K29" s="263">
        <f>IF(NOT(ISERROR(MATCH(J29,_xlfn.ANCHORARRAY(E40),0))),I42&amp;"Por favor no seleccionar los criterios de impacto",J29)</f>
        <v>0</v>
      </c>
      <c r="L29" s="260"/>
      <c r="M29" s="263"/>
      <c r="N29" s="266"/>
      <c r="O29" s="290"/>
      <c r="P29" s="242"/>
      <c r="Q29" s="245"/>
      <c r="R29" s="248"/>
      <c r="S29" s="248"/>
      <c r="T29" s="251"/>
      <c r="U29" s="248"/>
      <c r="V29" s="248"/>
      <c r="W29" s="248"/>
      <c r="X29" s="168" t="str">
        <f t="shared" si="4"/>
        <v/>
      </c>
      <c r="Y29" s="278"/>
      <c r="Z29" s="251"/>
      <c r="AA29" s="278"/>
      <c r="AB29" s="251"/>
      <c r="AC29" s="287"/>
      <c r="AD29" s="248"/>
      <c r="AE29" s="272"/>
      <c r="AF29" s="275"/>
      <c r="AG29" s="269"/>
      <c r="AH29" s="269"/>
      <c r="AI29" s="272"/>
      <c r="AJ29" s="275"/>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x14ac:dyDescent="0.3">
      <c r="A30" s="291"/>
      <c r="B30" s="255"/>
      <c r="C30" s="243"/>
      <c r="D30" s="322"/>
      <c r="E30" s="322"/>
      <c r="F30" s="255"/>
      <c r="G30" s="258"/>
      <c r="H30" s="261"/>
      <c r="I30" s="264"/>
      <c r="J30" s="325"/>
      <c r="K30" s="264">
        <f>IF(NOT(ISERROR(MATCH(J30,_xlfn.ANCHORARRAY(E41),0))),I43&amp;"Por favor no seleccionar los criterios de impacto",J30)</f>
        <v>0</v>
      </c>
      <c r="L30" s="261"/>
      <c r="M30" s="264"/>
      <c r="N30" s="267"/>
      <c r="O30" s="291"/>
      <c r="P30" s="243"/>
      <c r="Q30" s="246"/>
      <c r="R30" s="249"/>
      <c r="S30" s="249"/>
      <c r="T30" s="252"/>
      <c r="U30" s="249"/>
      <c r="V30" s="249"/>
      <c r="W30" s="249"/>
      <c r="X30" s="168" t="str">
        <f t="shared" si="4"/>
        <v/>
      </c>
      <c r="Y30" s="279"/>
      <c r="Z30" s="252"/>
      <c r="AA30" s="279"/>
      <c r="AB30" s="252"/>
      <c r="AC30" s="288"/>
      <c r="AD30" s="249"/>
      <c r="AE30" s="273"/>
      <c r="AF30" s="276"/>
      <c r="AG30" s="270"/>
      <c r="AH30" s="270"/>
      <c r="AI30" s="273"/>
      <c r="AJ30" s="276"/>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135" customHeight="1" x14ac:dyDescent="0.3">
      <c r="A31" s="289">
        <v>2</v>
      </c>
      <c r="B31" s="253" t="s">
        <v>119</v>
      </c>
      <c r="C31" s="241" t="s">
        <v>134</v>
      </c>
      <c r="D31" s="320" t="s">
        <v>135</v>
      </c>
      <c r="E31" s="320" t="s">
        <v>136</v>
      </c>
      <c r="F31" s="253" t="s">
        <v>123</v>
      </c>
      <c r="G31" s="256">
        <v>4</v>
      </c>
      <c r="H31" s="259" t="str">
        <f>IF(G31&lt;=0,"",IF(G31&lt;=2,"Muy Baja",IF(G31&lt;=24,"Baja",IF(G31&lt;=500,"Media",IF(G31&lt;=5000,"Alta","Muy Alta")))))</f>
        <v>Baja</v>
      </c>
      <c r="I31" s="262">
        <f>IF(H31="","",IF(H31="Muy Baja",0.2,IF(H31="Baja",0.4,IF(H31="Media",0.6,IF(H31="Alta",0.8,IF(H31="Muy Alta",1,))))))</f>
        <v>0.4</v>
      </c>
      <c r="J31" s="323" t="s">
        <v>137</v>
      </c>
      <c r="K31" s="262" t="str">
        <f>IF(NOT(ISERROR(MATCH(J31,'Tabla Impacto'!$B$221:$B$223,0))),'Tabla Impacto'!$F$223&amp;"Por favor no seleccionar los criterios de impacto(Afectación Económica o presupuestal y Pérdida Reputacional)",J31)</f>
        <v xml:space="preserve">     El riesgo afecta la imagen de de la entidad con efecto publicitario sostenido a nivel de sector administrativo, nivel departamental o municipal</v>
      </c>
      <c r="L31" s="259" t="str">
        <f>IF(OR(K31='Tabla Impacto'!$C$11,K31='Tabla Impacto'!$D$11),"Leve",IF(OR(K31='Tabla Impacto'!$C$12,K31='Tabla Impacto'!$D$12),"Menor",IF(OR(K31='Tabla Impacto'!$C$13,K31='Tabla Impacto'!$D$13),"Moderado",IF(OR(K31='Tabla Impacto'!$C$14,K31='Tabla Impacto'!$D$14),"Mayor",IF(OR(K31='Tabla Impacto'!$C$15,K31='Tabla Impacto'!$D$15),"Catastrófico","")))))</f>
        <v>Mayor</v>
      </c>
      <c r="M31" s="262">
        <f>IF(L31="","",IF(L31="Leve",0.2,IF(L31="Menor",0.4,IF(L31="Moderado",0.6,IF(L31="Mayor",0.8,IF(L31="Catastrófico",1,))))))</f>
        <v>0.8</v>
      </c>
      <c r="N31" s="265" t="str">
        <f>IF(OR(AND(H31="Muy Baja",L31="Leve"),AND(H31="Muy Baja",L31="Menor"),AND(H31="Baja",L31="Leve")),"Bajo",IF(OR(AND(H31="Muy baja",L31="Moderado"),AND(H31="Baja",L31="Menor"),AND(H31="Baja",L31="Moderado"),AND(H31="Media",L31="Leve"),AND(H31="Media",L31="Menor"),AND(H31="Media",L31="Moderado"),AND(H31="Alta",L31="Leve"),AND(H31="Alta",L31="Menor")),"Moderado",IF(OR(AND(H31="Muy Baja",L31="Mayor"),AND(H31="Baja",L31="Mayor"),AND(H31="Media",L31="Mayor"),AND(H31="Alta",L31="Moderado"),AND(H31="Alta",L31="Mayor"),AND(H31="Muy Alta",L31="Leve"),AND(H31="Muy Alta",L31="Menor"),AND(H31="Muy Alta",L31="Moderado"),AND(H31="Muy Alta",L31="Mayor")),"Alto",IF(OR(AND(H31="Muy Baja",L31="Catastrófico"),AND(H31="Baja",L31="Catastrófico"),AND(H31="Media",L31="Catastrófico"),AND(H31="Alta",L31="Catastrófico"),AND(H31="Muy Alta",L31="Catastrófico")),"Extremo",""))))</f>
        <v>Alto</v>
      </c>
      <c r="O31" s="289">
        <v>1</v>
      </c>
      <c r="P31" s="164" t="s">
        <v>138</v>
      </c>
      <c r="Q31" s="180" t="str">
        <f>IF(OR(R31="Preventivo",R31="Detectivo"),"Probabilidad",IF(R31="Correctivo","Impacto",""))</f>
        <v>Probabilidad</v>
      </c>
      <c r="R31" s="172" t="s">
        <v>133</v>
      </c>
      <c r="S31" s="172" t="s">
        <v>127</v>
      </c>
      <c r="T31" s="170" t="str">
        <f>IF(AND(R31="Preventivo",S31="Automático"),"50%",IF(AND(R31="Preventivo",S31="Manual"),"40%",IF(AND(R31="Detectivo",S31="Automático"),"40%",IF(AND(R31="Detectivo",S31="Manual"),"30%",IF(AND(R31="Correctivo",S31="Automático"),"35%",IF(AND(R31="Correctivo",S31="Manual"),"25%",""))))))</f>
        <v>40%</v>
      </c>
      <c r="U31" s="172" t="s">
        <v>128</v>
      </c>
      <c r="V31" s="172" t="s">
        <v>129</v>
      </c>
      <c r="W31" s="172" t="s">
        <v>130</v>
      </c>
      <c r="X31" s="181">
        <f>IFERROR(IF(Q31="Probabilidad",(I31-(+I31*T31)),IF(Q31="Impacto",I31,"")),"")</f>
        <v>0.24</v>
      </c>
      <c r="Y31" s="178" t="str">
        <f>IFERROR(IF(X31="","",IF(X31&lt;=0.2,"Muy Baja",IF(X31&lt;=0.4,"Baja",IF(X31&lt;=0.6,"Media",IF(X31&lt;=0.8,"Alta","Muy Alta"))))),"")</f>
        <v>Baja</v>
      </c>
      <c r="Z31" s="182">
        <f>+X31</f>
        <v>0.24</v>
      </c>
      <c r="AA31" s="178" t="str">
        <f>IFERROR(IF(AB31="","",IF(AB31&lt;=0.2,"Leve",IF(AB31&lt;=0.4,"Menor",IF(AB31&lt;=0.6,"Moderado",IF(AB31&lt;=0.8,"Mayor","Catastrófico"))))),"")</f>
        <v>Mayor</v>
      </c>
      <c r="AB31" s="182">
        <f>IFERROR(IF(Q31="Impacto",(M31-(+M31*T31)),IF(Q31="Probabilidad",M31,"")),"")</f>
        <v>0.8</v>
      </c>
      <c r="AC31" s="179"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Alto</v>
      </c>
      <c r="AD31" s="247" t="s">
        <v>131</v>
      </c>
      <c r="AE31" s="271"/>
      <c r="AF31" s="274"/>
      <c r="AG31" s="268"/>
      <c r="AH31" s="268"/>
      <c r="AI31" s="271"/>
      <c r="AJ31" s="274"/>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36.75" customHeight="1" x14ac:dyDescent="0.3">
      <c r="A32" s="290"/>
      <c r="B32" s="254"/>
      <c r="C32" s="242"/>
      <c r="D32" s="321"/>
      <c r="E32" s="321"/>
      <c r="F32" s="254"/>
      <c r="G32" s="257"/>
      <c r="H32" s="260"/>
      <c r="I32" s="263"/>
      <c r="J32" s="324"/>
      <c r="K32" s="263">
        <f>IF(NOT(ISERROR(MATCH(J32,_xlfn.ANCHORARRAY(E43),0))),I45&amp;"Por favor no seleccionar los criterios de impacto",J32)</f>
        <v>0</v>
      </c>
      <c r="L32" s="260"/>
      <c r="M32" s="263"/>
      <c r="N32" s="266"/>
      <c r="O32" s="290"/>
      <c r="P32" s="241" t="s">
        <v>139</v>
      </c>
      <c r="Q32" s="244" t="str">
        <f>IF(OR(R32="Preventivo",R32="Detectivo"),"Probabilidad",IF(R32="Correctivo","Impacto",""))</f>
        <v>Probabilidad</v>
      </c>
      <c r="R32" s="247" t="s">
        <v>133</v>
      </c>
      <c r="S32" s="247" t="s">
        <v>127</v>
      </c>
      <c r="T32" s="250" t="str">
        <f t="shared" ref="T32" si="5">IF(AND(R32="Preventivo",S32="Automático"),"50%",IF(AND(R32="Preventivo",S32="Manual"),"40%",IF(AND(R32="Detectivo",S32="Automático"),"40%",IF(AND(R32="Detectivo",S32="Manual"),"30%",IF(AND(R32="Correctivo",S32="Automático"),"35%",IF(AND(R32="Correctivo",S32="Manual"),"25%",""))))))</f>
        <v>40%</v>
      </c>
      <c r="U32" s="247" t="s">
        <v>128</v>
      </c>
      <c r="V32" s="247" t="s">
        <v>129</v>
      </c>
      <c r="W32" s="247" t="s">
        <v>130</v>
      </c>
      <c r="X32" s="181">
        <f>IFERROR(IF(AND(Q31="Probabilidad",Q32="Probabilidad"),(Z31-(+Z31*T32)),IF(Q32="Probabilidad",(I31-(+I31*T32)),IF(Q32="Impacto",Z31,""))),"")</f>
        <v>0.14399999999999999</v>
      </c>
      <c r="Y32" s="277" t="str">
        <f t="shared" ref="Y32" si="6">IFERROR(IF(X32="","",IF(X32&lt;=0.2,"Muy Baja",IF(X32&lt;=0.4,"Baja",IF(X32&lt;=0.6,"Media",IF(X32&lt;=0.8,"Alta","Muy Alta"))))),"")</f>
        <v>Muy Baja</v>
      </c>
      <c r="Z32" s="280">
        <f>+X31</f>
        <v>0.24</v>
      </c>
      <c r="AA32" s="277" t="str">
        <f t="shared" ref="AA32" si="7">IFERROR(IF(AB32="","",IF(AB32&lt;=0.2,"Leve",IF(AB32&lt;=0.4,"Menor",IF(AB32&lt;=0.6,"Moderado",IF(AB32&lt;=0.8,"Mayor","Catastrófico"))))),"")</f>
        <v>Leve</v>
      </c>
      <c r="AB32" s="283">
        <f t="shared" ref="AB32" si="8">IFERROR(IF(Q32="Impacto",(M32-(+M32*T32)),IF(Q32="Probabilidad",M32,"")),"")</f>
        <v>0</v>
      </c>
      <c r="AC32" s="286" t="str">
        <f t="shared" ref="AC32" si="9">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Bajo</v>
      </c>
      <c r="AD32" s="248"/>
      <c r="AE32" s="272"/>
      <c r="AF32" s="275"/>
      <c r="AG32" s="269"/>
      <c r="AH32" s="269"/>
      <c r="AI32" s="272"/>
      <c r="AJ32" s="275"/>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30.75" customHeight="1" x14ac:dyDescent="0.3">
      <c r="A33" s="290"/>
      <c r="B33" s="254"/>
      <c r="C33" s="242"/>
      <c r="D33" s="321"/>
      <c r="E33" s="321"/>
      <c r="F33" s="254"/>
      <c r="G33" s="257"/>
      <c r="H33" s="260"/>
      <c r="I33" s="263"/>
      <c r="J33" s="324"/>
      <c r="K33" s="263">
        <f>IF(NOT(ISERROR(MATCH(J33,_xlfn.ANCHORARRAY(E44),0))),I46&amp;"Por favor no seleccionar los criterios de impacto",J33)</f>
        <v>0</v>
      </c>
      <c r="L33" s="260"/>
      <c r="M33" s="263"/>
      <c r="N33" s="266"/>
      <c r="O33" s="290"/>
      <c r="P33" s="242"/>
      <c r="Q33" s="245"/>
      <c r="R33" s="248"/>
      <c r="S33" s="248"/>
      <c r="T33" s="251"/>
      <c r="U33" s="248"/>
      <c r="V33" s="248"/>
      <c r="W33" s="248"/>
      <c r="X33" s="181" t="str">
        <f>IFERROR(IF(AND(Q32="Probabilidad",Q33="Probabilidad"),(Z32-(+Z32*T33)),IF(AND(Q32="Impacto",Q33="Probabilidad"),(Z31-(+Z31*T33)),IF(Q33="Impacto",Z32,""))),"")</f>
        <v/>
      </c>
      <c r="Y33" s="278"/>
      <c r="Z33" s="281"/>
      <c r="AA33" s="278"/>
      <c r="AB33" s="284"/>
      <c r="AC33" s="287"/>
      <c r="AD33" s="248"/>
      <c r="AE33" s="272"/>
      <c r="AF33" s="275"/>
      <c r="AG33" s="269"/>
      <c r="AH33" s="269"/>
      <c r="AI33" s="272"/>
      <c r="AJ33" s="275"/>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21" customHeight="1" x14ac:dyDescent="0.3">
      <c r="A34" s="290"/>
      <c r="B34" s="254"/>
      <c r="C34" s="242"/>
      <c r="D34" s="321"/>
      <c r="E34" s="321"/>
      <c r="F34" s="254"/>
      <c r="G34" s="257"/>
      <c r="H34" s="260"/>
      <c r="I34" s="263"/>
      <c r="J34" s="324"/>
      <c r="K34" s="263">
        <f>IF(NOT(ISERROR(MATCH(J34,_xlfn.ANCHORARRAY(E45),0))),I47&amp;"Por favor no seleccionar los criterios de impacto",J34)</f>
        <v>0</v>
      </c>
      <c r="L34" s="260"/>
      <c r="M34" s="263"/>
      <c r="N34" s="266"/>
      <c r="O34" s="290"/>
      <c r="P34" s="242"/>
      <c r="Q34" s="245"/>
      <c r="R34" s="248"/>
      <c r="S34" s="248"/>
      <c r="T34" s="251"/>
      <c r="U34" s="248"/>
      <c r="V34" s="248"/>
      <c r="W34" s="248"/>
      <c r="X34" s="181" t="str">
        <f t="shared" ref="X34:X36" si="10">IFERROR(IF(AND(Q33="Probabilidad",Q34="Probabilidad"),(Z33-(+Z33*T34)),IF(AND(Q33="Impacto",Q34="Probabilidad"),(Z32-(+Z32*T34)),IF(Q34="Impacto",Z33,""))),"")</f>
        <v/>
      </c>
      <c r="Y34" s="278"/>
      <c r="Z34" s="281"/>
      <c r="AA34" s="278"/>
      <c r="AB34" s="284"/>
      <c r="AC34" s="287"/>
      <c r="AD34" s="248"/>
      <c r="AE34" s="272"/>
      <c r="AF34" s="275"/>
      <c r="AG34" s="269"/>
      <c r="AH34" s="269"/>
      <c r="AI34" s="272"/>
      <c r="AJ34" s="27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21" customHeight="1" x14ac:dyDescent="0.3">
      <c r="A35" s="290"/>
      <c r="B35" s="254"/>
      <c r="C35" s="242"/>
      <c r="D35" s="321"/>
      <c r="E35" s="321"/>
      <c r="F35" s="254"/>
      <c r="G35" s="257"/>
      <c r="H35" s="260"/>
      <c r="I35" s="263"/>
      <c r="J35" s="324"/>
      <c r="K35" s="263">
        <f>IF(NOT(ISERROR(MATCH(J35,_xlfn.ANCHORARRAY(E46),0))),I48&amp;"Por favor no seleccionar los criterios de impacto",J35)</f>
        <v>0</v>
      </c>
      <c r="L35" s="260"/>
      <c r="M35" s="263"/>
      <c r="N35" s="266"/>
      <c r="O35" s="290"/>
      <c r="P35" s="242"/>
      <c r="Q35" s="245"/>
      <c r="R35" s="248"/>
      <c r="S35" s="248"/>
      <c r="T35" s="251"/>
      <c r="U35" s="248"/>
      <c r="V35" s="248"/>
      <c r="W35" s="248"/>
      <c r="X35" s="181" t="str">
        <f t="shared" si="10"/>
        <v/>
      </c>
      <c r="Y35" s="278"/>
      <c r="Z35" s="281"/>
      <c r="AA35" s="278"/>
      <c r="AB35" s="284"/>
      <c r="AC35" s="287"/>
      <c r="AD35" s="248"/>
      <c r="AE35" s="272"/>
      <c r="AF35" s="275"/>
      <c r="AG35" s="269"/>
      <c r="AH35" s="269"/>
      <c r="AI35" s="272"/>
      <c r="AJ35" s="27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21" customHeight="1" x14ac:dyDescent="0.3">
      <c r="A36" s="291"/>
      <c r="B36" s="255"/>
      <c r="C36" s="243"/>
      <c r="D36" s="322"/>
      <c r="E36" s="322"/>
      <c r="F36" s="255"/>
      <c r="G36" s="258"/>
      <c r="H36" s="261"/>
      <c r="I36" s="264"/>
      <c r="J36" s="325"/>
      <c r="K36" s="264">
        <f>IF(NOT(ISERROR(MATCH(J36,_xlfn.ANCHORARRAY(E47),0))),I49&amp;"Por favor no seleccionar los criterios de impacto",J36)</f>
        <v>0</v>
      </c>
      <c r="L36" s="261"/>
      <c r="M36" s="264"/>
      <c r="N36" s="267"/>
      <c r="O36" s="291"/>
      <c r="P36" s="243"/>
      <c r="Q36" s="246"/>
      <c r="R36" s="249"/>
      <c r="S36" s="249"/>
      <c r="T36" s="252"/>
      <c r="U36" s="249"/>
      <c r="V36" s="249"/>
      <c r="W36" s="249"/>
      <c r="X36" s="181" t="str">
        <f t="shared" si="10"/>
        <v/>
      </c>
      <c r="Y36" s="279"/>
      <c r="Z36" s="282"/>
      <c r="AA36" s="279"/>
      <c r="AB36" s="285"/>
      <c r="AC36" s="288"/>
      <c r="AD36" s="249"/>
      <c r="AE36" s="273"/>
      <c r="AF36" s="276"/>
      <c r="AG36" s="270"/>
      <c r="AH36" s="270"/>
      <c r="AI36" s="273"/>
      <c r="AJ36" s="276"/>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21" customHeight="1" x14ac:dyDescent="0.3">
      <c r="A37" s="289">
        <v>3</v>
      </c>
      <c r="B37" s="253" t="s">
        <v>140</v>
      </c>
      <c r="C37" s="320" t="s">
        <v>141</v>
      </c>
      <c r="D37" s="320" t="s">
        <v>142</v>
      </c>
      <c r="E37" s="320" t="s">
        <v>143</v>
      </c>
      <c r="F37" s="253" t="s">
        <v>123</v>
      </c>
      <c r="G37" s="256">
        <v>4</v>
      </c>
      <c r="H37" s="259" t="str">
        <f>IF(G37&lt;=0,"",IF(G37&lt;=2,"Muy Baja",IF(G37&lt;=24,"Baja",IF(G37&lt;=500,"Media",IF(G37&lt;=5000,"Alta","Muy Alta")))))</f>
        <v>Baja</v>
      </c>
      <c r="I37" s="262">
        <f>IF(H37="","",IF(H37="Muy Baja",0.2,IF(H37="Baja",0.4,IF(H37="Media",0.6,IF(H37="Alta",0.8,IF(H37="Muy Alta",1,))))))</f>
        <v>0.4</v>
      </c>
      <c r="J37" s="323" t="s">
        <v>137</v>
      </c>
      <c r="K37" s="262" t="str">
        <f>IF(NOT(ISERROR(MATCH(J37,'Tabla Impacto'!$B$221:$B$223,0))),'Tabla Impacto'!$F$223&amp;"Por favor no seleccionar los criterios de impacto(Afectación Económica o presupuestal y Pérdida Reputacional)",J37)</f>
        <v xml:space="preserve">     El riesgo afecta la imagen de de la entidad con efecto publicitario sostenido a nivel de sector administrativo, nivel departamental o municipal</v>
      </c>
      <c r="L37" s="259" t="str">
        <f>IF(OR(K37='Tabla Impacto'!$C$11,K37='Tabla Impacto'!$D$11),"Leve",IF(OR(K37='Tabla Impacto'!$C$12,K37='Tabla Impacto'!$D$12),"Menor",IF(OR(K37='Tabla Impacto'!$C$13,K37='Tabla Impacto'!$D$13),"Moderado",IF(OR(K37='Tabla Impacto'!$C$14,K37='Tabla Impacto'!$D$14),"Mayor",IF(OR(K37='Tabla Impacto'!$C$15,K37='Tabla Impacto'!$D$15),"Catastrófico","")))))</f>
        <v>Mayor</v>
      </c>
      <c r="M37" s="262">
        <f>IF(L37="","",IF(L37="Leve",0.2,IF(L37="Menor",0.4,IF(L37="Moderado",0.6,IF(L37="Mayor",0.8,IF(L37="Catastrófico",1,))))))</f>
        <v>0.8</v>
      </c>
      <c r="N37" s="265"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289">
        <v>1</v>
      </c>
      <c r="P37" s="241" t="s">
        <v>144</v>
      </c>
      <c r="Q37" s="244" t="str">
        <f>IF(OR(R37="Preventivo",R37="Detectivo"),"Probabilidad",IF(R37="Correctivo","Impacto",""))</f>
        <v>Probabilidad</v>
      </c>
      <c r="R37" s="247" t="s">
        <v>126</v>
      </c>
      <c r="S37" s="247" t="s">
        <v>127</v>
      </c>
      <c r="T37" s="250" t="str">
        <f>IF(AND(R37="Preventivo",S37="Automático"),"50%",IF(AND(R37="Preventivo",S37="Manual"),"40%",IF(AND(R37="Detectivo",S37="Automático"),"40%",IF(AND(R37="Detectivo",S37="Manual"),"30%",IF(AND(R37="Correctivo",S37="Automático"),"35%",IF(AND(R37="Correctivo",S37="Manual"),"25%",""))))))</f>
        <v>30%</v>
      </c>
      <c r="U37" s="247" t="s">
        <v>128</v>
      </c>
      <c r="V37" s="247" t="s">
        <v>129</v>
      </c>
      <c r="W37" s="247" t="s">
        <v>130</v>
      </c>
      <c r="X37" s="181">
        <f>IFERROR(IF(Q37="Probabilidad",(I37-(+I37*T37)),IF(Q37="Impacto",I37,"")),"")</f>
        <v>0.28000000000000003</v>
      </c>
      <c r="Y37" s="277" t="str">
        <f>IFERROR(IF(X37="","",IF(X37&lt;=0.2,"Muy Baja",IF(X37&lt;=0.4,"Baja",IF(X37&lt;=0.6,"Media",IF(X37&lt;=0.8,"Alta","Muy Alta"))))),"")</f>
        <v>Baja</v>
      </c>
      <c r="Z37" s="250">
        <f>+X37</f>
        <v>0.28000000000000003</v>
      </c>
      <c r="AA37" s="277" t="str">
        <f>IFERROR(IF(AB37="","",IF(AB37&lt;=0.2,"Leve",IF(AB37&lt;=0.4,"Menor",IF(AB37&lt;=0.6,"Moderado",IF(AB37&lt;=0.8,"Mayor","Catastrófico"))))),"")</f>
        <v>Mayor</v>
      </c>
      <c r="AB37" s="250">
        <f>IFERROR(IF(Q37="Impacto",(M37-(+M37*T37)),IF(Q37="Probabilidad",M37,"")),"")</f>
        <v>0.8</v>
      </c>
      <c r="AC37" s="286"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Alto</v>
      </c>
      <c r="AD37" s="247" t="s">
        <v>131</v>
      </c>
      <c r="AE37" s="271"/>
      <c r="AF37" s="274"/>
      <c r="AG37" s="268"/>
      <c r="AH37" s="268"/>
      <c r="AI37" s="271"/>
      <c r="AJ37" s="274"/>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21" customHeight="1" x14ac:dyDescent="0.3">
      <c r="A38" s="290"/>
      <c r="B38" s="254"/>
      <c r="C38" s="321"/>
      <c r="D38" s="321"/>
      <c r="E38" s="321"/>
      <c r="F38" s="254"/>
      <c r="G38" s="257"/>
      <c r="H38" s="260"/>
      <c r="I38" s="263"/>
      <c r="J38" s="324"/>
      <c r="K38" s="263">
        <f t="shared" ref="K38:K42" si="11">IF(NOT(ISERROR(MATCH(J38,_xlfn.ANCHORARRAY(E49),0))),I51&amp;"Por favor no seleccionar los criterios de impacto",J38)</f>
        <v>0</v>
      </c>
      <c r="L38" s="260"/>
      <c r="M38" s="263"/>
      <c r="N38" s="266"/>
      <c r="O38" s="290"/>
      <c r="P38" s="242"/>
      <c r="Q38" s="245"/>
      <c r="R38" s="248"/>
      <c r="S38" s="248"/>
      <c r="T38" s="251"/>
      <c r="U38" s="248"/>
      <c r="V38" s="248"/>
      <c r="W38" s="248"/>
      <c r="X38" s="183" t="str">
        <f>IFERROR(IF(AND(Q37="Probabilidad",Q38="Probabilidad"),(Z37-(+Z37*T38)),IF(Q38="Probabilidad",(I37-(+I37*T38)),IF(Q38="Impacto",Z37,""))),"")</f>
        <v/>
      </c>
      <c r="Y38" s="278"/>
      <c r="Z38" s="251"/>
      <c r="AA38" s="278"/>
      <c r="AB38" s="251"/>
      <c r="AC38" s="287"/>
      <c r="AD38" s="248"/>
      <c r="AE38" s="272"/>
      <c r="AF38" s="275"/>
      <c r="AG38" s="269"/>
      <c r="AH38" s="269"/>
      <c r="AI38" s="272"/>
      <c r="AJ38" s="27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21" customHeight="1" x14ac:dyDescent="0.3">
      <c r="A39" s="290"/>
      <c r="B39" s="254"/>
      <c r="C39" s="321"/>
      <c r="D39" s="321"/>
      <c r="E39" s="321"/>
      <c r="F39" s="254"/>
      <c r="G39" s="257"/>
      <c r="H39" s="260"/>
      <c r="I39" s="263"/>
      <c r="J39" s="324"/>
      <c r="K39" s="263">
        <f t="shared" si="11"/>
        <v>0</v>
      </c>
      <c r="L39" s="260"/>
      <c r="M39" s="263"/>
      <c r="N39" s="266"/>
      <c r="O39" s="290"/>
      <c r="P39" s="242"/>
      <c r="Q39" s="245"/>
      <c r="R39" s="248"/>
      <c r="S39" s="248"/>
      <c r="T39" s="251"/>
      <c r="U39" s="248"/>
      <c r="V39" s="248"/>
      <c r="W39" s="248"/>
      <c r="X39" s="181" t="str">
        <f>IFERROR(IF(AND(Q38="Probabilidad",Q39="Probabilidad"),(Z38-(+Z38*T39)),IF(AND(Q38="Impacto",Q39="Probabilidad"),(Z37-(+Z37*T39)),IF(Q39="Impacto",Z38,""))),"")</f>
        <v/>
      </c>
      <c r="Y39" s="278"/>
      <c r="Z39" s="251"/>
      <c r="AA39" s="278"/>
      <c r="AB39" s="251"/>
      <c r="AC39" s="287"/>
      <c r="AD39" s="248"/>
      <c r="AE39" s="272"/>
      <c r="AF39" s="275"/>
      <c r="AG39" s="269"/>
      <c r="AH39" s="269"/>
      <c r="AI39" s="272"/>
      <c r="AJ39" s="27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31.5" customHeight="1" x14ac:dyDescent="0.3">
      <c r="A40" s="290"/>
      <c r="B40" s="254"/>
      <c r="C40" s="321"/>
      <c r="D40" s="321"/>
      <c r="E40" s="321"/>
      <c r="F40" s="254"/>
      <c r="G40" s="257"/>
      <c r="H40" s="260"/>
      <c r="I40" s="263"/>
      <c r="J40" s="324"/>
      <c r="K40" s="263">
        <f t="shared" si="11"/>
        <v>0</v>
      </c>
      <c r="L40" s="260"/>
      <c r="M40" s="263"/>
      <c r="N40" s="266"/>
      <c r="O40" s="290"/>
      <c r="P40" s="242"/>
      <c r="Q40" s="245"/>
      <c r="R40" s="248"/>
      <c r="S40" s="248"/>
      <c r="T40" s="251"/>
      <c r="U40" s="248"/>
      <c r="V40" s="248"/>
      <c r="W40" s="248"/>
      <c r="X40" s="181" t="str">
        <f t="shared" ref="X40:X42" si="12">IFERROR(IF(AND(Q39="Probabilidad",Q40="Probabilidad"),(Z39-(+Z39*T40)),IF(AND(Q39="Impacto",Q40="Probabilidad"),(Z38-(+Z38*T40)),IF(Q40="Impacto",Z39,""))),"")</f>
        <v/>
      </c>
      <c r="Y40" s="278"/>
      <c r="Z40" s="251"/>
      <c r="AA40" s="278"/>
      <c r="AB40" s="251"/>
      <c r="AC40" s="287"/>
      <c r="AD40" s="248"/>
      <c r="AE40" s="272"/>
      <c r="AF40" s="275"/>
      <c r="AG40" s="269"/>
      <c r="AH40" s="269"/>
      <c r="AI40" s="272"/>
      <c r="AJ40" s="27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42.75" customHeight="1" x14ac:dyDescent="0.3">
      <c r="A41" s="290"/>
      <c r="B41" s="254"/>
      <c r="C41" s="321"/>
      <c r="D41" s="321"/>
      <c r="E41" s="321"/>
      <c r="F41" s="254"/>
      <c r="G41" s="257"/>
      <c r="H41" s="260"/>
      <c r="I41" s="263"/>
      <c r="J41" s="324"/>
      <c r="K41" s="263">
        <f t="shared" si="11"/>
        <v>0</v>
      </c>
      <c r="L41" s="260"/>
      <c r="M41" s="263"/>
      <c r="N41" s="266"/>
      <c r="O41" s="290"/>
      <c r="P41" s="242"/>
      <c r="Q41" s="245"/>
      <c r="R41" s="248"/>
      <c r="S41" s="248"/>
      <c r="T41" s="251"/>
      <c r="U41" s="248"/>
      <c r="V41" s="248"/>
      <c r="W41" s="248"/>
      <c r="X41" s="181" t="str">
        <f t="shared" si="12"/>
        <v/>
      </c>
      <c r="Y41" s="278"/>
      <c r="Z41" s="251"/>
      <c r="AA41" s="278"/>
      <c r="AB41" s="251"/>
      <c r="AC41" s="287"/>
      <c r="AD41" s="248"/>
      <c r="AE41" s="272"/>
      <c r="AF41" s="275"/>
      <c r="AG41" s="269"/>
      <c r="AH41" s="269"/>
      <c r="AI41" s="272"/>
      <c r="AJ41" s="27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34.5" customHeight="1" x14ac:dyDescent="0.3">
      <c r="A42" s="291"/>
      <c r="B42" s="255"/>
      <c r="C42" s="322"/>
      <c r="D42" s="322"/>
      <c r="E42" s="322"/>
      <c r="F42" s="255"/>
      <c r="G42" s="258"/>
      <c r="H42" s="261"/>
      <c r="I42" s="264"/>
      <c r="J42" s="325"/>
      <c r="K42" s="264">
        <f t="shared" si="11"/>
        <v>0</v>
      </c>
      <c r="L42" s="261"/>
      <c r="M42" s="264"/>
      <c r="N42" s="267"/>
      <c r="O42" s="291"/>
      <c r="P42" s="243"/>
      <c r="Q42" s="246"/>
      <c r="R42" s="249"/>
      <c r="S42" s="249"/>
      <c r="T42" s="252"/>
      <c r="U42" s="249"/>
      <c r="V42" s="249"/>
      <c r="W42" s="249"/>
      <c r="X42" s="181" t="str">
        <f t="shared" si="12"/>
        <v/>
      </c>
      <c r="Y42" s="279"/>
      <c r="Z42" s="252"/>
      <c r="AA42" s="279"/>
      <c r="AB42" s="252"/>
      <c r="AC42" s="288"/>
      <c r="AD42" s="249"/>
      <c r="AE42" s="273"/>
      <c r="AF42" s="276"/>
      <c r="AG42" s="270"/>
      <c r="AH42" s="270"/>
      <c r="AI42" s="273"/>
      <c r="AJ42" s="276"/>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21" hidden="1" customHeight="1" x14ac:dyDescent="0.3">
      <c r="A43" s="289">
        <v>4</v>
      </c>
      <c r="B43" s="271"/>
      <c r="C43" s="271"/>
      <c r="D43" s="271"/>
      <c r="E43" s="271"/>
      <c r="F43" s="271"/>
      <c r="G43" s="274"/>
      <c r="H43" s="314" t="str">
        <f>IF(G43&lt;=0,"",IF(G43&lt;=2,"Muy Baja",IF(G43&lt;=24,"Baja",IF(G43&lt;=500,"Media",IF(G43&lt;=5000,"Alta","Muy Alta")))))</f>
        <v/>
      </c>
      <c r="I43" s="308" t="str">
        <f>IF(H43="","",IF(H43="Muy Baja",0.2,IF(H43="Baja",0.4,IF(H43="Media",0.6,IF(H43="Alta",0.8,IF(H43="Muy Alta",1,))))))</f>
        <v/>
      </c>
      <c r="J43" s="317"/>
      <c r="K43" s="308">
        <f>IF(NOT(ISERROR(MATCH(J43,'Tabla Impacto'!$B$221:$B$223,0))),'Tabla Impacto'!$F$223&amp;"Por favor no seleccionar los criterios de impacto(Afectación Económica o presupuestal y Pérdida Reputacional)",J43)</f>
        <v>0</v>
      </c>
      <c r="L43" s="314" t="str">
        <f>IF(OR(K43='Tabla Impacto'!$C$11,K43='Tabla Impacto'!$D$11),"Leve",IF(OR(K43='Tabla Impacto'!$C$12,K43='Tabla Impacto'!$D$12),"Menor",IF(OR(K43='Tabla Impacto'!$C$13,K43='Tabla Impacto'!$D$13),"Moderado",IF(OR(K43='Tabla Impacto'!$C$14,K43='Tabla Impacto'!$D$14),"Mayor",IF(OR(K43='Tabla Impacto'!$C$15,K43='Tabla Impacto'!$D$15),"Catastrófico","")))))</f>
        <v/>
      </c>
      <c r="M43" s="308" t="str">
        <f>IF(L43="","",IF(L43="Leve",0.2,IF(L43="Menor",0.4,IF(L43="Moderado",0.6,IF(L43="Mayor",0.8,IF(L43="Catastrófico",1,))))))</f>
        <v/>
      </c>
      <c r="N43" s="311"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
      </c>
      <c r="O43" s="184">
        <v>1</v>
      </c>
      <c r="P43" s="164"/>
      <c r="Q43" s="185" t="str">
        <f>IF(OR(R43="Preventivo",R43="Detectivo"),"Probabilidad",IF(R43="Correctivo","Impacto",""))</f>
        <v/>
      </c>
      <c r="R43" s="186"/>
      <c r="S43" s="186"/>
      <c r="T43" s="187" t="str">
        <f>IF(AND(R43="Preventivo",S43="Automático"),"50%",IF(AND(R43="Preventivo",S43="Manual"),"40%",IF(AND(R43="Detectivo",S43="Automático"),"40%",IF(AND(R43="Detectivo",S43="Manual"),"30%",IF(AND(R43="Correctivo",S43="Automático"),"35%",IF(AND(R43="Correctivo",S43="Manual"),"25%",""))))))</f>
        <v/>
      </c>
      <c r="U43" s="186"/>
      <c r="V43" s="186"/>
      <c r="W43" s="186"/>
      <c r="X43" s="181" t="str">
        <f>IFERROR(IF(Q43="Probabilidad",(I43-(+I43*T43)),IF(Q43="Impacto",I43,"")),"")</f>
        <v/>
      </c>
      <c r="Y43" s="188" t="str">
        <f>IFERROR(IF(X43="","",IF(X43&lt;=0.2,"Muy Baja",IF(X43&lt;=0.4,"Baja",IF(X43&lt;=0.6,"Media",IF(X43&lt;=0.8,"Alta","Muy Alta"))))),"")</f>
        <v/>
      </c>
      <c r="Z43" s="189" t="str">
        <f>+X43</f>
        <v/>
      </c>
      <c r="AA43" s="188" t="str">
        <f>IFERROR(IF(AB43="","",IF(AB43&lt;=0.2,"Leve",IF(AB43&lt;=0.4,"Menor",IF(AB43&lt;=0.6,"Moderado",IF(AB43&lt;=0.8,"Mayor","Catastrófico"))))),"")</f>
        <v/>
      </c>
      <c r="AB43" s="189" t="str">
        <f>IFERROR(IF(Q43="Impacto",(M43-(+M43*T43)),IF(Q43="Probabilidad",M43,"")),"")</f>
        <v/>
      </c>
      <c r="AC43" s="190"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91"/>
      <c r="AE43" s="176"/>
      <c r="AF43" s="177"/>
      <c r="AG43" s="192"/>
      <c r="AH43" s="192"/>
      <c r="AI43" s="176"/>
      <c r="AJ43" s="17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21" hidden="1" customHeight="1" x14ac:dyDescent="0.3">
      <c r="A44" s="290"/>
      <c r="B44" s="272"/>
      <c r="C44" s="272"/>
      <c r="D44" s="272"/>
      <c r="E44" s="272"/>
      <c r="F44" s="272"/>
      <c r="G44" s="275"/>
      <c r="H44" s="315"/>
      <c r="I44" s="309"/>
      <c r="J44" s="318"/>
      <c r="K44" s="309">
        <f t="shared" ref="K44:K48" si="13">IF(NOT(ISERROR(MATCH(J44,_xlfn.ANCHORARRAY(E55),0))),I57&amp;"Por favor no seleccionar los criterios de impacto",J44)</f>
        <v>0</v>
      </c>
      <c r="L44" s="315"/>
      <c r="M44" s="309"/>
      <c r="N44" s="312"/>
      <c r="O44" s="184">
        <v>2</v>
      </c>
      <c r="P44" s="164"/>
      <c r="Q44" s="185" t="str">
        <f>IF(OR(R44="Preventivo",R44="Detectivo"),"Probabilidad",IF(R44="Correctivo","Impacto",""))</f>
        <v/>
      </c>
      <c r="R44" s="186"/>
      <c r="S44" s="186"/>
      <c r="T44" s="187" t="str">
        <f t="shared" ref="T44:T48" si="14">IF(AND(R44="Preventivo",S44="Automático"),"50%",IF(AND(R44="Preventivo",S44="Manual"),"40%",IF(AND(R44="Detectivo",S44="Automático"),"40%",IF(AND(R44="Detectivo",S44="Manual"),"30%",IF(AND(R44="Correctivo",S44="Automático"),"35%",IF(AND(R44="Correctivo",S44="Manual"),"25%",""))))))</f>
        <v/>
      </c>
      <c r="U44" s="186"/>
      <c r="V44" s="186"/>
      <c r="W44" s="186"/>
      <c r="X44" s="181" t="str">
        <f>IFERROR(IF(AND(Q43="Probabilidad",Q44="Probabilidad"),(Z43-(+Z43*T44)),IF(Q44="Probabilidad",(I43-(+I43*T44)),IF(Q44="Impacto",Z43,""))),"")</f>
        <v/>
      </c>
      <c r="Y44" s="188" t="str">
        <f t="shared" si="1"/>
        <v/>
      </c>
      <c r="Z44" s="189" t="str">
        <f t="shared" ref="Z44:Z48" si="15">+X44</f>
        <v/>
      </c>
      <c r="AA44" s="188" t="str">
        <f t="shared" si="2"/>
        <v/>
      </c>
      <c r="AB44" s="189" t="str">
        <f>IFERROR(IF(AND(Q43="Impacto",Q44="Impacto"),(AB43-(+AB43*T44)),IF(Q44="Impacto",(M43-(+M43*T44)),IF(Q44="Probabilidad",AB43,""))),"")</f>
        <v/>
      </c>
      <c r="AC44" s="190" t="str">
        <f t="shared" ref="AC44:AC45" si="1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91"/>
      <c r="AE44" s="176"/>
      <c r="AF44" s="177"/>
      <c r="AG44" s="192"/>
      <c r="AH44" s="192"/>
      <c r="AI44" s="176"/>
      <c r="AJ44" s="17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21" hidden="1" customHeight="1" x14ac:dyDescent="0.3">
      <c r="A45" s="290"/>
      <c r="B45" s="272"/>
      <c r="C45" s="272"/>
      <c r="D45" s="272"/>
      <c r="E45" s="272"/>
      <c r="F45" s="272"/>
      <c r="G45" s="275"/>
      <c r="H45" s="315"/>
      <c r="I45" s="309"/>
      <c r="J45" s="318"/>
      <c r="K45" s="309">
        <f t="shared" si="13"/>
        <v>0</v>
      </c>
      <c r="L45" s="315"/>
      <c r="M45" s="309"/>
      <c r="N45" s="312"/>
      <c r="O45" s="184">
        <v>3</v>
      </c>
      <c r="P45" s="193"/>
      <c r="Q45" s="185" t="str">
        <f>IF(OR(R45="Preventivo",R45="Detectivo"),"Probabilidad",IF(R45="Correctivo","Impacto",""))</f>
        <v/>
      </c>
      <c r="R45" s="186"/>
      <c r="S45" s="186"/>
      <c r="T45" s="187" t="str">
        <f t="shared" si="14"/>
        <v/>
      </c>
      <c r="U45" s="186"/>
      <c r="V45" s="186"/>
      <c r="W45" s="186"/>
      <c r="X45" s="181" t="str">
        <f>IFERROR(IF(AND(Q44="Probabilidad",Q45="Probabilidad"),(Z44-(+Z44*T45)),IF(AND(Q44="Impacto",Q45="Probabilidad"),(Z43-(+Z43*T45)),IF(Q45="Impacto",Z44,""))),"")</f>
        <v/>
      </c>
      <c r="Y45" s="188" t="str">
        <f t="shared" si="1"/>
        <v/>
      </c>
      <c r="Z45" s="189" t="str">
        <f t="shared" si="15"/>
        <v/>
      </c>
      <c r="AA45" s="188" t="str">
        <f t="shared" si="2"/>
        <v/>
      </c>
      <c r="AB45" s="189" t="str">
        <f>IFERROR(IF(AND(Q44="Impacto",Q45="Impacto"),(AB44-(+AB44*T45)),IF(AND(Q44="Probabilidad",Q45="Impacto"),(AB43-(+AB43*T45)),IF(Q45="Probabilidad",AB44,""))),"")</f>
        <v/>
      </c>
      <c r="AC45" s="190" t="str">
        <f t="shared" si="16"/>
        <v/>
      </c>
      <c r="AD45" s="191"/>
      <c r="AE45" s="176"/>
      <c r="AF45" s="177"/>
      <c r="AG45" s="192"/>
      <c r="AH45" s="192"/>
      <c r="AI45" s="176"/>
      <c r="AJ45" s="17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21" hidden="1" customHeight="1" x14ac:dyDescent="0.3">
      <c r="A46" s="290"/>
      <c r="B46" s="272"/>
      <c r="C46" s="272"/>
      <c r="D46" s="272"/>
      <c r="E46" s="272"/>
      <c r="F46" s="272"/>
      <c r="G46" s="275"/>
      <c r="H46" s="315"/>
      <c r="I46" s="309"/>
      <c r="J46" s="318"/>
      <c r="K46" s="309">
        <f t="shared" si="13"/>
        <v>0</v>
      </c>
      <c r="L46" s="315"/>
      <c r="M46" s="309"/>
      <c r="N46" s="312"/>
      <c r="O46" s="184">
        <v>4</v>
      </c>
      <c r="P46" s="164"/>
      <c r="Q46" s="185" t="str">
        <f t="shared" ref="Q46:Q48" si="17">IF(OR(R46="Preventivo",R46="Detectivo"),"Probabilidad",IF(R46="Correctivo","Impacto",""))</f>
        <v/>
      </c>
      <c r="R46" s="186"/>
      <c r="S46" s="186"/>
      <c r="T46" s="187" t="str">
        <f t="shared" si="14"/>
        <v/>
      </c>
      <c r="U46" s="186"/>
      <c r="V46" s="186"/>
      <c r="W46" s="186"/>
      <c r="X46" s="181" t="str">
        <f t="shared" ref="X46:X48" si="18">IFERROR(IF(AND(Q45="Probabilidad",Q46="Probabilidad"),(Z45-(+Z45*T46)),IF(AND(Q45="Impacto",Q46="Probabilidad"),(Z44-(+Z44*T46)),IF(Q46="Impacto",Z45,""))),"")</f>
        <v/>
      </c>
      <c r="Y46" s="188" t="str">
        <f t="shared" si="1"/>
        <v/>
      </c>
      <c r="Z46" s="189" t="str">
        <f t="shared" si="15"/>
        <v/>
      </c>
      <c r="AA46" s="188" t="str">
        <f t="shared" si="2"/>
        <v/>
      </c>
      <c r="AB46" s="189" t="str">
        <f t="shared" ref="AB46:AB48" si="19">IFERROR(IF(AND(Q45="Impacto",Q46="Impacto"),(AB45-(+AB45*T46)),IF(AND(Q45="Probabilidad",Q46="Impacto"),(AB44-(+AB44*T46)),IF(Q46="Probabilidad",AB45,""))),"")</f>
        <v/>
      </c>
      <c r="AC46" s="19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91"/>
      <c r="AE46" s="176"/>
      <c r="AF46" s="177"/>
      <c r="AG46" s="192"/>
      <c r="AH46" s="192"/>
      <c r="AI46" s="176"/>
      <c r="AJ46" s="17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21" hidden="1" customHeight="1" x14ac:dyDescent="0.3">
      <c r="A47" s="290"/>
      <c r="B47" s="272"/>
      <c r="C47" s="272"/>
      <c r="D47" s="272"/>
      <c r="E47" s="272"/>
      <c r="F47" s="272"/>
      <c r="G47" s="275"/>
      <c r="H47" s="315"/>
      <c r="I47" s="309"/>
      <c r="J47" s="318"/>
      <c r="K47" s="309">
        <f t="shared" si="13"/>
        <v>0</v>
      </c>
      <c r="L47" s="315"/>
      <c r="M47" s="309"/>
      <c r="N47" s="312"/>
      <c r="O47" s="184">
        <v>5</v>
      </c>
      <c r="P47" s="164"/>
      <c r="Q47" s="185" t="str">
        <f t="shared" si="17"/>
        <v/>
      </c>
      <c r="R47" s="186"/>
      <c r="S47" s="186"/>
      <c r="T47" s="187" t="str">
        <f t="shared" si="14"/>
        <v/>
      </c>
      <c r="U47" s="186"/>
      <c r="V47" s="186"/>
      <c r="W47" s="186"/>
      <c r="X47" s="183" t="str">
        <f t="shared" si="18"/>
        <v/>
      </c>
      <c r="Y47" s="188" t="str">
        <f>IFERROR(IF(X47="","",IF(X47&lt;=0.2,"Muy Baja",IF(X47&lt;=0.4,"Baja",IF(X47&lt;=0.6,"Media",IF(X47&lt;=0.8,"Alta","Muy Alta"))))),"")</f>
        <v/>
      </c>
      <c r="Z47" s="189" t="str">
        <f t="shared" si="15"/>
        <v/>
      </c>
      <c r="AA47" s="188" t="str">
        <f t="shared" si="2"/>
        <v/>
      </c>
      <c r="AB47" s="189" t="str">
        <f t="shared" si="19"/>
        <v/>
      </c>
      <c r="AC47" s="190" t="str">
        <f t="shared" ref="AC47:AC48" si="2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91"/>
      <c r="AE47" s="176"/>
      <c r="AF47" s="177"/>
      <c r="AG47" s="192"/>
      <c r="AH47" s="192"/>
      <c r="AI47" s="176"/>
      <c r="AJ47" s="17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21" hidden="1" customHeight="1" x14ac:dyDescent="0.3">
      <c r="A48" s="291"/>
      <c r="B48" s="273"/>
      <c r="C48" s="273"/>
      <c r="D48" s="273"/>
      <c r="E48" s="273"/>
      <c r="F48" s="273"/>
      <c r="G48" s="276"/>
      <c r="H48" s="316"/>
      <c r="I48" s="310"/>
      <c r="J48" s="319"/>
      <c r="K48" s="310">
        <f t="shared" si="13"/>
        <v>0</v>
      </c>
      <c r="L48" s="316"/>
      <c r="M48" s="310"/>
      <c r="N48" s="313"/>
      <c r="O48" s="184">
        <v>6</v>
      </c>
      <c r="P48" s="164"/>
      <c r="Q48" s="185" t="str">
        <f t="shared" si="17"/>
        <v/>
      </c>
      <c r="R48" s="186"/>
      <c r="S48" s="186"/>
      <c r="T48" s="187" t="str">
        <f t="shared" si="14"/>
        <v/>
      </c>
      <c r="U48" s="186"/>
      <c r="V48" s="186"/>
      <c r="W48" s="186"/>
      <c r="X48" s="181" t="str">
        <f t="shared" si="18"/>
        <v/>
      </c>
      <c r="Y48" s="188" t="str">
        <f t="shared" si="1"/>
        <v/>
      </c>
      <c r="Z48" s="189" t="str">
        <f t="shared" si="15"/>
        <v/>
      </c>
      <c r="AA48" s="188" t="str">
        <f t="shared" si="2"/>
        <v/>
      </c>
      <c r="AB48" s="189" t="str">
        <f t="shared" si="19"/>
        <v/>
      </c>
      <c r="AC48" s="190" t="str">
        <f t="shared" si="20"/>
        <v/>
      </c>
      <c r="AD48" s="191"/>
      <c r="AE48" s="176"/>
      <c r="AF48" s="177"/>
      <c r="AG48" s="192"/>
      <c r="AH48" s="192"/>
      <c r="AI48" s="176"/>
      <c r="AJ48" s="17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21" hidden="1" customHeight="1" x14ac:dyDescent="0.3">
      <c r="A49" s="289">
        <v>5</v>
      </c>
      <c r="B49" s="271"/>
      <c r="C49" s="271"/>
      <c r="D49" s="271"/>
      <c r="E49" s="271"/>
      <c r="F49" s="271"/>
      <c r="G49" s="274"/>
      <c r="H49" s="314" t="str">
        <f>IF(G49&lt;=0,"",IF(G49&lt;=2,"Muy Baja",IF(G49&lt;=24,"Baja",IF(G49&lt;=500,"Media",IF(G49&lt;=5000,"Alta","Muy Alta")))))</f>
        <v/>
      </c>
      <c r="I49" s="308" t="str">
        <f>IF(H49="","",IF(H49="Muy Baja",0.2,IF(H49="Baja",0.4,IF(H49="Media",0.6,IF(H49="Alta",0.8,IF(H49="Muy Alta",1,))))))</f>
        <v/>
      </c>
      <c r="J49" s="317"/>
      <c r="K49" s="308">
        <f>IF(NOT(ISERROR(MATCH(J49,'Tabla Impacto'!$B$221:$B$223,0))),'Tabla Impacto'!$F$223&amp;"Por favor no seleccionar los criterios de impacto(Afectación Económica o presupuestal y Pérdida Reputacional)",J49)</f>
        <v>0</v>
      </c>
      <c r="L49" s="314" t="str">
        <f>IF(OR(K49='Tabla Impacto'!$C$11,K49='Tabla Impacto'!$D$11),"Leve",IF(OR(K49='Tabla Impacto'!$C$12,K49='Tabla Impacto'!$D$12),"Menor",IF(OR(K49='Tabla Impacto'!$C$13,K49='Tabla Impacto'!$D$13),"Moderado",IF(OR(K49='Tabla Impacto'!$C$14,K49='Tabla Impacto'!$D$14),"Mayor",IF(OR(K49='Tabla Impacto'!$C$15,K49='Tabla Impacto'!$D$15),"Catastrófico","")))))</f>
        <v/>
      </c>
      <c r="M49" s="308" t="str">
        <f>IF(L49="","",IF(L49="Leve",0.2,IF(L49="Menor",0.4,IF(L49="Moderado",0.6,IF(L49="Mayor",0.8,IF(L49="Catastrófico",1,))))))</f>
        <v/>
      </c>
      <c r="N49" s="311"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
      </c>
      <c r="O49" s="184">
        <v>1</v>
      </c>
      <c r="P49" s="164"/>
      <c r="Q49" s="185" t="str">
        <f>IF(OR(R49="Preventivo",R49="Detectivo"),"Probabilidad",IF(R49="Correctivo","Impacto",""))</f>
        <v/>
      </c>
      <c r="R49" s="186"/>
      <c r="S49" s="186"/>
      <c r="T49" s="187" t="str">
        <f>IF(AND(R49="Preventivo",S49="Automático"),"50%",IF(AND(R49="Preventivo",S49="Manual"),"40%",IF(AND(R49="Detectivo",S49="Automático"),"40%",IF(AND(R49="Detectivo",S49="Manual"),"30%",IF(AND(R49="Correctivo",S49="Automático"),"35%",IF(AND(R49="Correctivo",S49="Manual"),"25%",""))))))</f>
        <v/>
      </c>
      <c r="U49" s="186"/>
      <c r="V49" s="186"/>
      <c r="W49" s="186"/>
      <c r="X49" s="181" t="str">
        <f>IFERROR(IF(Q49="Probabilidad",(I49-(+I49*T49)),IF(Q49="Impacto",I49,"")),"")</f>
        <v/>
      </c>
      <c r="Y49" s="188" t="str">
        <f>IFERROR(IF(X49="","",IF(X49&lt;=0.2,"Muy Baja",IF(X49&lt;=0.4,"Baja",IF(X49&lt;=0.6,"Media",IF(X49&lt;=0.8,"Alta","Muy Alta"))))),"")</f>
        <v/>
      </c>
      <c r="Z49" s="189" t="str">
        <f>+X49</f>
        <v/>
      </c>
      <c r="AA49" s="188" t="str">
        <f>IFERROR(IF(AB49="","",IF(AB49&lt;=0.2,"Leve",IF(AB49&lt;=0.4,"Menor",IF(AB49&lt;=0.6,"Moderado",IF(AB49&lt;=0.8,"Mayor","Catastrófico"))))),"")</f>
        <v/>
      </c>
      <c r="AB49" s="189" t="str">
        <f>IFERROR(IF(Q49="Impacto",(M49-(+M49*T49)),IF(Q49="Probabilidad",M49,"")),"")</f>
        <v/>
      </c>
      <c r="AC49" s="190"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91"/>
      <c r="AE49" s="176"/>
      <c r="AF49" s="177"/>
      <c r="AG49" s="192"/>
      <c r="AH49" s="192"/>
      <c r="AI49" s="176"/>
      <c r="AJ49" s="17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21" hidden="1" customHeight="1" x14ac:dyDescent="0.3">
      <c r="A50" s="290"/>
      <c r="B50" s="272"/>
      <c r="C50" s="272"/>
      <c r="D50" s="272"/>
      <c r="E50" s="272"/>
      <c r="F50" s="272"/>
      <c r="G50" s="275"/>
      <c r="H50" s="315"/>
      <c r="I50" s="309"/>
      <c r="J50" s="318"/>
      <c r="K50" s="309">
        <f t="shared" ref="K50:K54" si="21">IF(NOT(ISERROR(MATCH(J50,_xlfn.ANCHORARRAY(E61),0))),I63&amp;"Por favor no seleccionar los criterios de impacto",J50)</f>
        <v>0</v>
      </c>
      <c r="L50" s="315"/>
      <c r="M50" s="309"/>
      <c r="N50" s="312"/>
      <c r="O50" s="184">
        <v>2</v>
      </c>
      <c r="P50" s="164"/>
      <c r="Q50" s="185" t="str">
        <f>IF(OR(R50="Preventivo",R50="Detectivo"),"Probabilidad",IF(R50="Correctivo","Impacto",""))</f>
        <v/>
      </c>
      <c r="R50" s="186"/>
      <c r="S50" s="186"/>
      <c r="T50" s="187" t="str">
        <f t="shared" ref="T50:T54" si="22">IF(AND(R50="Preventivo",S50="Automático"),"50%",IF(AND(R50="Preventivo",S50="Manual"),"40%",IF(AND(R50="Detectivo",S50="Automático"),"40%",IF(AND(R50="Detectivo",S50="Manual"),"30%",IF(AND(R50="Correctivo",S50="Automático"),"35%",IF(AND(R50="Correctivo",S50="Manual"),"25%",""))))))</f>
        <v/>
      </c>
      <c r="U50" s="186"/>
      <c r="V50" s="186"/>
      <c r="W50" s="186"/>
      <c r="X50" s="181" t="str">
        <f>IFERROR(IF(AND(Q49="Probabilidad",Q50="Probabilidad"),(Z49-(+Z49*T50)),IF(Q50="Probabilidad",(I49-(+I49*T50)),IF(Q50="Impacto",Z49,""))),"")</f>
        <v/>
      </c>
      <c r="Y50" s="188" t="str">
        <f t="shared" si="1"/>
        <v/>
      </c>
      <c r="Z50" s="189" t="str">
        <f t="shared" ref="Z50:Z54" si="23">+X50</f>
        <v/>
      </c>
      <c r="AA50" s="188" t="str">
        <f t="shared" si="2"/>
        <v/>
      </c>
      <c r="AB50" s="189" t="str">
        <f>IFERROR(IF(AND(Q49="Impacto",Q50="Impacto"),(AB49-(+AB49*T50)),IF(Q50="Impacto",(M49-(+M49*T50)),IF(Q50="Probabilidad",AB49,""))),"")</f>
        <v/>
      </c>
      <c r="AC50" s="190" t="str">
        <f t="shared" ref="AC50:AC51" si="2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91"/>
      <c r="AE50" s="176"/>
      <c r="AF50" s="177"/>
      <c r="AG50" s="192"/>
      <c r="AH50" s="192"/>
      <c r="AI50" s="176"/>
      <c r="AJ50" s="17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21" hidden="1" customHeight="1" x14ac:dyDescent="0.3">
      <c r="A51" s="290"/>
      <c r="B51" s="272"/>
      <c r="C51" s="272"/>
      <c r="D51" s="272"/>
      <c r="E51" s="272"/>
      <c r="F51" s="272"/>
      <c r="G51" s="275"/>
      <c r="H51" s="315"/>
      <c r="I51" s="309"/>
      <c r="J51" s="318"/>
      <c r="K51" s="309">
        <f t="shared" si="21"/>
        <v>0</v>
      </c>
      <c r="L51" s="315"/>
      <c r="M51" s="309"/>
      <c r="N51" s="312"/>
      <c r="O51" s="184">
        <v>3</v>
      </c>
      <c r="P51" s="193"/>
      <c r="Q51" s="185" t="str">
        <f>IF(OR(R51="Preventivo",R51="Detectivo"),"Probabilidad",IF(R51="Correctivo","Impacto",""))</f>
        <v/>
      </c>
      <c r="R51" s="186"/>
      <c r="S51" s="186"/>
      <c r="T51" s="187" t="str">
        <f t="shared" si="22"/>
        <v/>
      </c>
      <c r="U51" s="186"/>
      <c r="V51" s="186"/>
      <c r="W51" s="186"/>
      <c r="X51" s="181" t="str">
        <f>IFERROR(IF(AND(Q50="Probabilidad",Q51="Probabilidad"),(Z50-(+Z50*T51)),IF(AND(Q50="Impacto",Q51="Probabilidad"),(Z49-(+Z49*T51)),IF(Q51="Impacto",Z50,""))),"")</f>
        <v/>
      </c>
      <c r="Y51" s="188" t="str">
        <f t="shared" si="1"/>
        <v/>
      </c>
      <c r="Z51" s="189" t="str">
        <f t="shared" si="23"/>
        <v/>
      </c>
      <c r="AA51" s="188" t="str">
        <f t="shared" si="2"/>
        <v/>
      </c>
      <c r="AB51" s="189" t="str">
        <f>IFERROR(IF(AND(Q50="Impacto",Q51="Impacto"),(AB50-(+AB50*T51)),IF(AND(Q50="Probabilidad",Q51="Impacto"),(AB49-(+AB49*T51)),IF(Q51="Probabilidad",AB50,""))),"")</f>
        <v/>
      </c>
      <c r="AC51" s="190" t="str">
        <f t="shared" si="24"/>
        <v/>
      </c>
      <c r="AD51" s="191"/>
      <c r="AE51" s="176"/>
      <c r="AF51" s="177"/>
      <c r="AG51" s="192"/>
      <c r="AH51" s="192"/>
      <c r="AI51" s="176"/>
      <c r="AJ51" s="17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21" hidden="1" customHeight="1" x14ac:dyDescent="0.3">
      <c r="A52" s="290"/>
      <c r="B52" s="272"/>
      <c r="C52" s="272"/>
      <c r="D52" s="272"/>
      <c r="E52" s="272"/>
      <c r="F52" s="272"/>
      <c r="G52" s="275"/>
      <c r="H52" s="315"/>
      <c r="I52" s="309"/>
      <c r="J52" s="318"/>
      <c r="K52" s="309">
        <f t="shared" si="21"/>
        <v>0</v>
      </c>
      <c r="L52" s="315"/>
      <c r="M52" s="309"/>
      <c r="N52" s="312"/>
      <c r="O52" s="184">
        <v>4</v>
      </c>
      <c r="P52" s="164"/>
      <c r="Q52" s="185" t="str">
        <f t="shared" ref="Q52:Q54" si="25">IF(OR(R52="Preventivo",R52="Detectivo"),"Probabilidad",IF(R52="Correctivo","Impacto",""))</f>
        <v/>
      </c>
      <c r="R52" s="186"/>
      <c r="S52" s="186"/>
      <c r="T52" s="187" t="str">
        <f t="shared" si="22"/>
        <v/>
      </c>
      <c r="U52" s="186"/>
      <c r="V52" s="186"/>
      <c r="W52" s="186"/>
      <c r="X52" s="181" t="str">
        <f t="shared" ref="X52:X54" si="26">IFERROR(IF(AND(Q51="Probabilidad",Q52="Probabilidad"),(Z51-(+Z51*T52)),IF(AND(Q51="Impacto",Q52="Probabilidad"),(Z50-(+Z50*T52)),IF(Q52="Impacto",Z51,""))),"")</f>
        <v/>
      </c>
      <c r="Y52" s="188" t="str">
        <f t="shared" si="1"/>
        <v/>
      </c>
      <c r="Z52" s="189" t="str">
        <f t="shared" si="23"/>
        <v/>
      </c>
      <c r="AA52" s="188" t="str">
        <f t="shared" si="2"/>
        <v/>
      </c>
      <c r="AB52" s="189" t="str">
        <f t="shared" ref="AB52:AB54" si="27">IFERROR(IF(AND(Q51="Impacto",Q52="Impacto"),(AB51-(+AB51*T52)),IF(AND(Q51="Probabilidad",Q52="Impacto"),(AB50-(+AB50*T52)),IF(Q52="Probabilidad",AB51,""))),"")</f>
        <v/>
      </c>
      <c r="AC52" s="190"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91"/>
      <c r="AE52" s="176"/>
      <c r="AF52" s="177"/>
      <c r="AG52" s="192"/>
      <c r="AH52" s="192"/>
      <c r="AI52" s="176"/>
      <c r="AJ52" s="17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21" hidden="1" customHeight="1" x14ac:dyDescent="0.3">
      <c r="A53" s="290"/>
      <c r="B53" s="272"/>
      <c r="C53" s="272"/>
      <c r="D53" s="272"/>
      <c r="E53" s="272"/>
      <c r="F53" s="272"/>
      <c r="G53" s="275"/>
      <c r="H53" s="315"/>
      <c r="I53" s="309"/>
      <c r="J53" s="318"/>
      <c r="K53" s="309">
        <f t="shared" si="21"/>
        <v>0</v>
      </c>
      <c r="L53" s="315"/>
      <c r="M53" s="309"/>
      <c r="N53" s="312"/>
      <c r="O53" s="184">
        <v>5</v>
      </c>
      <c r="P53" s="164"/>
      <c r="Q53" s="185" t="str">
        <f t="shared" si="25"/>
        <v/>
      </c>
      <c r="R53" s="186"/>
      <c r="S53" s="186"/>
      <c r="T53" s="187" t="str">
        <f t="shared" si="22"/>
        <v/>
      </c>
      <c r="U53" s="186"/>
      <c r="V53" s="186"/>
      <c r="W53" s="186"/>
      <c r="X53" s="181" t="str">
        <f t="shared" si="26"/>
        <v/>
      </c>
      <c r="Y53" s="188" t="str">
        <f t="shared" si="1"/>
        <v/>
      </c>
      <c r="Z53" s="189" t="str">
        <f t="shared" si="23"/>
        <v/>
      </c>
      <c r="AA53" s="188" t="str">
        <f t="shared" si="2"/>
        <v/>
      </c>
      <c r="AB53" s="189" t="str">
        <f t="shared" si="27"/>
        <v/>
      </c>
      <c r="AC53" s="190" t="str">
        <f t="shared" ref="AC53:AC54" si="28">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91"/>
      <c r="AE53" s="176"/>
      <c r="AF53" s="177"/>
      <c r="AG53" s="192"/>
      <c r="AH53" s="192"/>
      <c r="AI53" s="176"/>
      <c r="AJ53" s="17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row>
    <row r="54" spans="1:68" ht="21" hidden="1" customHeight="1" x14ac:dyDescent="0.3">
      <c r="A54" s="291"/>
      <c r="B54" s="273"/>
      <c r="C54" s="273"/>
      <c r="D54" s="273"/>
      <c r="E54" s="273"/>
      <c r="F54" s="273"/>
      <c r="G54" s="276"/>
      <c r="H54" s="316"/>
      <c r="I54" s="310"/>
      <c r="J54" s="319"/>
      <c r="K54" s="310">
        <f t="shared" si="21"/>
        <v>0</v>
      </c>
      <c r="L54" s="316"/>
      <c r="M54" s="310"/>
      <c r="N54" s="313"/>
      <c r="O54" s="184">
        <v>6</v>
      </c>
      <c r="P54" s="164"/>
      <c r="Q54" s="185" t="str">
        <f t="shared" si="25"/>
        <v/>
      </c>
      <c r="R54" s="186"/>
      <c r="S54" s="186"/>
      <c r="T54" s="187" t="str">
        <f t="shared" si="22"/>
        <v/>
      </c>
      <c r="U54" s="186"/>
      <c r="V54" s="186"/>
      <c r="W54" s="186"/>
      <c r="X54" s="181" t="str">
        <f t="shared" si="26"/>
        <v/>
      </c>
      <c r="Y54" s="188" t="str">
        <f t="shared" si="1"/>
        <v/>
      </c>
      <c r="Z54" s="189" t="str">
        <f t="shared" si="23"/>
        <v/>
      </c>
      <c r="AA54" s="188" t="str">
        <f t="shared" si="2"/>
        <v/>
      </c>
      <c r="AB54" s="189" t="str">
        <f t="shared" si="27"/>
        <v/>
      </c>
      <c r="AC54" s="190" t="str">
        <f t="shared" si="28"/>
        <v/>
      </c>
      <c r="AD54" s="191"/>
      <c r="AE54" s="176"/>
      <c r="AF54" s="177"/>
      <c r="AG54" s="192"/>
      <c r="AH54" s="192"/>
      <c r="AI54" s="176"/>
      <c r="AJ54" s="17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row>
    <row r="55" spans="1:68" ht="21" hidden="1" customHeight="1" x14ac:dyDescent="0.3">
      <c r="A55" s="289">
        <v>6</v>
      </c>
      <c r="B55" s="271"/>
      <c r="C55" s="271"/>
      <c r="D55" s="271"/>
      <c r="E55" s="271"/>
      <c r="F55" s="271"/>
      <c r="G55" s="274"/>
      <c r="H55" s="314" t="str">
        <f>IF(G55&lt;=0,"",IF(G55&lt;=2,"Muy Baja",IF(G55&lt;=24,"Baja",IF(G55&lt;=500,"Media",IF(G55&lt;=5000,"Alta","Muy Alta")))))</f>
        <v/>
      </c>
      <c r="I55" s="308" t="str">
        <f>IF(H55="","",IF(H55="Muy Baja",0.2,IF(H55="Baja",0.4,IF(H55="Media",0.6,IF(H55="Alta",0.8,IF(H55="Muy Alta",1,))))))</f>
        <v/>
      </c>
      <c r="J55" s="317"/>
      <c r="K55" s="308">
        <f>IF(NOT(ISERROR(MATCH(J55,'Tabla Impacto'!$B$221:$B$223,0))),'Tabla Impacto'!$F$223&amp;"Por favor no seleccionar los criterios de impacto(Afectación Económica o presupuestal y Pérdida Reputacional)",J55)</f>
        <v>0</v>
      </c>
      <c r="L55" s="314" t="str">
        <f>IF(OR(K55='Tabla Impacto'!$C$11,K55='Tabla Impacto'!$D$11),"Leve",IF(OR(K55='Tabla Impacto'!$C$12,K55='Tabla Impacto'!$D$12),"Menor",IF(OR(K55='Tabla Impacto'!$C$13,K55='Tabla Impacto'!$D$13),"Moderado",IF(OR(K55='Tabla Impacto'!$C$14,K55='Tabla Impacto'!$D$14),"Mayor",IF(OR(K55='Tabla Impacto'!$C$15,K55='Tabla Impacto'!$D$15),"Catastrófico","")))))</f>
        <v/>
      </c>
      <c r="M55" s="308" t="str">
        <f>IF(L55="","",IF(L55="Leve",0.2,IF(L55="Menor",0.4,IF(L55="Moderado",0.6,IF(L55="Mayor",0.8,IF(L55="Catastrófico",1,))))))</f>
        <v/>
      </c>
      <c r="N55" s="311"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184">
        <v>1</v>
      </c>
      <c r="P55" s="164"/>
      <c r="Q55" s="185" t="str">
        <f>IF(OR(R55="Preventivo",R55="Detectivo"),"Probabilidad",IF(R55="Correctivo","Impacto",""))</f>
        <v/>
      </c>
      <c r="R55" s="186"/>
      <c r="S55" s="186"/>
      <c r="T55" s="187" t="str">
        <f>IF(AND(R55="Preventivo",S55="Automático"),"50%",IF(AND(R55="Preventivo",S55="Manual"),"40%",IF(AND(R55="Detectivo",S55="Automático"),"40%",IF(AND(R55="Detectivo",S55="Manual"),"30%",IF(AND(R55="Correctivo",S55="Automático"),"35%",IF(AND(R55="Correctivo",S55="Manual"),"25%",""))))))</f>
        <v/>
      </c>
      <c r="U55" s="186"/>
      <c r="V55" s="186"/>
      <c r="W55" s="186"/>
      <c r="X55" s="181" t="str">
        <f>IFERROR(IF(Q55="Probabilidad",(I55-(+I55*T55)),IF(Q55="Impacto",I55,"")),"")</f>
        <v/>
      </c>
      <c r="Y55" s="188" t="str">
        <f>IFERROR(IF(X55="","",IF(X55&lt;=0.2,"Muy Baja",IF(X55&lt;=0.4,"Baja",IF(X55&lt;=0.6,"Media",IF(X55&lt;=0.8,"Alta","Muy Alta"))))),"")</f>
        <v/>
      </c>
      <c r="Z55" s="189" t="str">
        <f>+X55</f>
        <v/>
      </c>
      <c r="AA55" s="188" t="str">
        <f>IFERROR(IF(AB55="","",IF(AB55&lt;=0.2,"Leve",IF(AB55&lt;=0.4,"Menor",IF(AB55&lt;=0.6,"Moderado",IF(AB55&lt;=0.8,"Mayor","Catastrófico"))))),"")</f>
        <v/>
      </c>
      <c r="AB55" s="189" t="str">
        <f>IFERROR(IF(Q55="Impacto",(M55-(+M55*T55)),IF(Q55="Probabilidad",M55,"")),"")</f>
        <v/>
      </c>
      <c r="AC55" s="190"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91"/>
      <c r="AE55" s="176"/>
      <c r="AF55" s="177"/>
      <c r="AG55" s="192"/>
      <c r="AH55" s="192"/>
      <c r="AI55" s="176"/>
      <c r="AJ55" s="17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row>
    <row r="56" spans="1:68" ht="21" hidden="1" customHeight="1" x14ac:dyDescent="0.3">
      <c r="A56" s="290"/>
      <c r="B56" s="272"/>
      <c r="C56" s="272"/>
      <c r="D56" s="272"/>
      <c r="E56" s="272"/>
      <c r="F56" s="272"/>
      <c r="G56" s="275"/>
      <c r="H56" s="315"/>
      <c r="I56" s="309"/>
      <c r="J56" s="318"/>
      <c r="K56" s="309">
        <f t="shared" ref="K56:K60" si="29">IF(NOT(ISERROR(MATCH(J56,_xlfn.ANCHORARRAY(E67),0))),I69&amp;"Por favor no seleccionar los criterios de impacto",J56)</f>
        <v>0</v>
      </c>
      <c r="L56" s="315"/>
      <c r="M56" s="309"/>
      <c r="N56" s="312"/>
      <c r="O56" s="184">
        <v>2</v>
      </c>
      <c r="P56" s="164"/>
      <c r="Q56" s="185" t="str">
        <f>IF(OR(R56="Preventivo",R56="Detectivo"),"Probabilidad",IF(R56="Correctivo","Impacto",""))</f>
        <v/>
      </c>
      <c r="R56" s="186"/>
      <c r="S56" s="186"/>
      <c r="T56" s="187" t="str">
        <f t="shared" ref="T56:T60" si="30">IF(AND(R56="Preventivo",S56="Automático"),"50%",IF(AND(R56="Preventivo",S56="Manual"),"40%",IF(AND(R56="Detectivo",S56="Automático"),"40%",IF(AND(R56="Detectivo",S56="Manual"),"30%",IF(AND(R56="Correctivo",S56="Automático"),"35%",IF(AND(R56="Correctivo",S56="Manual"),"25%",""))))))</f>
        <v/>
      </c>
      <c r="U56" s="186"/>
      <c r="V56" s="186"/>
      <c r="W56" s="186"/>
      <c r="X56" s="181" t="str">
        <f>IFERROR(IF(AND(Q55="Probabilidad",Q56="Probabilidad"),(Z55-(+Z55*T56)),IF(Q56="Probabilidad",(I55-(+I55*T56)),IF(Q56="Impacto",Z55,""))),"")</f>
        <v/>
      </c>
      <c r="Y56" s="188" t="str">
        <f t="shared" si="1"/>
        <v/>
      </c>
      <c r="Z56" s="189" t="str">
        <f t="shared" ref="Z56:Z60" si="31">+X56</f>
        <v/>
      </c>
      <c r="AA56" s="188" t="str">
        <f t="shared" si="2"/>
        <v/>
      </c>
      <c r="AB56" s="189" t="str">
        <f>IFERROR(IF(AND(Q55="Impacto",Q56="Impacto"),(AB55-(+AB55*T56)),IF(Q56="Impacto",(M55-(+M55*T56)),IF(Q56="Probabilidad",AB55,""))),"")</f>
        <v/>
      </c>
      <c r="AC56" s="190" t="str">
        <f t="shared" ref="AC56:AC57" si="32">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91"/>
      <c r="AE56" s="176"/>
      <c r="AF56" s="177"/>
      <c r="AG56" s="192"/>
      <c r="AH56" s="192"/>
      <c r="AI56" s="176"/>
      <c r="AJ56" s="17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row>
    <row r="57" spans="1:68" ht="21" hidden="1" customHeight="1" x14ac:dyDescent="0.3">
      <c r="A57" s="290"/>
      <c r="B57" s="272"/>
      <c r="C57" s="272"/>
      <c r="D57" s="272"/>
      <c r="E57" s="272"/>
      <c r="F57" s="272"/>
      <c r="G57" s="275"/>
      <c r="H57" s="315"/>
      <c r="I57" s="309"/>
      <c r="J57" s="318"/>
      <c r="K57" s="309">
        <f t="shared" si="29"/>
        <v>0</v>
      </c>
      <c r="L57" s="315"/>
      <c r="M57" s="309"/>
      <c r="N57" s="312"/>
      <c r="O57" s="184">
        <v>3</v>
      </c>
      <c r="P57" s="193"/>
      <c r="Q57" s="185" t="str">
        <f>IF(OR(R57="Preventivo",R57="Detectivo"),"Probabilidad",IF(R57="Correctivo","Impacto",""))</f>
        <v/>
      </c>
      <c r="R57" s="186"/>
      <c r="S57" s="186"/>
      <c r="T57" s="187" t="str">
        <f t="shared" si="30"/>
        <v/>
      </c>
      <c r="U57" s="186"/>
      <c r="V57" s="186"/>
      <c r="W57" s="186"/>
      <c r="X57" s="181" t="str">
        <f>IFERROR(IF(AND(Q56="Probabilidad",Q57="Probabilidad"),(Z56-(+Z56*T57)),IF(AND(Q56="Impacto",Q57="Probabilidad"),(Z55-(+Z55*T57)),IF(Q57="Impacto",Z56,""))),"")</f>
        <v/>
      </c>
      <c r="Y57" s="188" t="str">
        <f t="shared" si="1"/>
        <v/>
      </c>
      <c r="Z57" s="189" t="str">
        <f t="shared" si="31"/>
        <v/>
      </c>
      <c r="AA57" s="188" t="str">
        <f t="shared" si="2"/>
        <v/>
      </c>
      <c r="AB57" s="189" t="str">
        <f>IFERROR(IF(AND(Q56="Impacto",Q57="Impacto"),(AB56-(+AB56*T57)),IF(AND(Q56="Probabilidad",Q57="Impacto"),(AB55-(+AB55*T57)),IF(Q57="Probabilidad",AB56,""))),"")</f>
        <v/>
      </c>
      <c r="AC57" s="190" t="str">
        <f t="shared" si="32"/>
        <v/>
      </c>
      <c r="AD57" s="191"/>
      <c r="AE57" s="176"/>
      <c r="AF57" s="177"/>
      <c r="AG57" s="192"/>
      <c r="AH57" s="192"/>
      <c r="AI57" s="176"/>
      <c r="AJ57" s="17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1:68" ht="21" hidden="1" customHeight="1" x14ac:dyDescent="0.3">
      <c r="A58" s="290"/>
      <c r="B58" s="272"/>
      <c r="C58" s="272"/>
      <c r="D58" s="272"/>
      <c r="E58" s="272"/>
      <c r="F58" s="272"/>
      <c r="G58" s="275"/>
      <c r="H58" s="315"/>
      <c r="I58" s="309"/>
      <c r="J58" s="318"/>
      <c r="K58" s="309">
        <f t="shared" si="29"/>
        <v>0</v>
      </c>
      <c r="L58" s="315"/>
      <c r="M58" s="309"/>
      <c r="N58" s="312"/>
      <c r="O58" s="184">
        <v>4</v>
      </c>
      <c r="P58" s="164"/>
      <c r="Q58" s="185" t="str">
        <f t="shared" ref="Q58:Q60" si="33">IF(OR(R58="Preventivo",R58="Detectivo"),"Probabilidad",IF(R58="Correctivo","Impacto",""))</f>
        <v/>
      </c>
      <c r="R58" s="186"/>
      <c r="S58" s="186"/>
      <c r="T58" s="187" t="str">
        <f t="shared" si="30"/>
        <v/>
      </c>
      <c r="U58" s="186"/>
      <c r="V58" s="186"/>
      <c r="W58" s="186"/>
      <c r="X58" s="181" t="str">
        <f t="shared" ref="X58:X60" si="34">IFERROR(IF(AND(Q57="Probabilidad",Q58="Probabilidad"),(Z57-(+Z57*T58)),IF(AND(Q57="Impacto",Q58="Probabilidad"),(Z56-(+Z56*T58)),IF(Q58="Impacto",Z57,""))),"")</f>
        <v/>
      </c>
      <c r="Y58" s="188" t="str">
        <f t="shared" si="1"/>
        <v/>
      </c>
      <c r="Z58" s="189" t="str">
        <f t="shared" si="31"/>
        <v/>
      </c>
      <c r="AA58" s="188" t="str">
        <f t="shared" si="2"/>
        <v/>
      </c>
      <c r="AB58" s="189" t="str">
        <f t="shared" ref="AB58:AB60" si="35">IFERROR(IF(AND(Q57="Impacto",Q58="Impacto"),(AB57-(+AB57*T58)),IF(AND(Q57="Probabilidad",Q58="Impacto"),(AB56-(+AB56*T58)),IF(Q58="Probabilidad",AB57,""))),"")</f>
        <v/>
      </c>
      <c r="AC58" s="190"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91"/>
      <c r="AE58" s="176"/>
      <c r="AF58" s="177"/>
      <c r="AG58" s="192"/>
      <c r="AH58" s="192"/>
      <c r="AI58" s="176"/>
      <c r="AJ58" s="17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row>
    <row r="59" spans="1:68" ht="21" hidden="1" customHeight="1" x14ac:dyDescent="0.3">
      <c r="A59" s="290"/>
      <c r="B59" s="272"/>
      <c r="C59" s="272"/>
      <c r="D59" s="272"/>
      <c r="E59" s="272"/>
      <c r="F59" s="272"/>
      <c r="G59" s="275"/>
      <c r="H59" s="315"/>
      <c r="I59" s="309"/>
      <c r="J59" s="318"/>
      <c r="K59" s="309">
        <f t="shared" si="29"/>
        <v>0</v>
      </c>
      <c r="L59" s="315"/>
      <c r="M59" s="309"/>
      <c r="N59" s="312"/>
      <c r="O59" s="184">
        <v>5</v>
      </c>
      <c r="P59" s="164"/>
      <c r="Q59" s="185" t="str">
        <f t="shared" si="33"/>
        <v/>
      </c>
      <c r="R59" s="186"/>
      <c r="S59" s="186"/>
      <c r="T59" s="187" t="str">
        <f t="shared" si="30"/>
        <v/>
      </c>
      <c r="U59" s="186"/>
      <c r="V59" s="186"/>
      <c r="W59" s="186"/>
      <c r="X59" s="181" t="str">
        <f t="shared" si="34"/>
        <v/>
      </c>
      <c r="Y59" s="188" t="str">
        <f t="shared" si="1"/>
        <v/>
      </c>
      <c r="Z59" s="189" t="str">
        <f t="shared" si="31"/>
        <v/>
      </c>
      <c r="AA59" s="188" t="str">
        <f t="shared" si="2"/>
        <v/>
      </c>
      <c r="AB59" s="189" t="str">
        <f t="shared" si="35"/>
        <v/>
      </c>
      <c r="AC59" s="190" t="str">
        <f t="shared" ref="AC59" si="3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91"/>
      <c r="AE59" s="176"/>
      <c r="AF59" s="177"/>
      <c r="AG59" s="192"/>
      <c r="AH59" s="192"/>
      <c r="AI59" s="176"/>
      <c r="AJ59" s="17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1:68" ht="21" hidden="1" customHeight="1" x14ac:dyDescent="0.3">
      <c r="A60" s="291"/>
      <c r="B60" s="273"/>
      <c r="C60" s="273"/>
      <c r="D60" s="273"/>
      <c r="E60" s="273"/>
      <c r="F60" s="273"/>
      <c r="G60" s="276"/>
      <c r="H60" s="316"/>
      <c r="I60" s="310"/>
      <c r="J60" s="319"/>
      <c r="K60" s="310">
        <f t="shared" si="29"/>
        <v>0</v>
      </c>
      <c r="L60" s="316"/>
      <c r="M60" s="310"/>
      <c r="N60" s="313"/>
      <c r="O60" s="184">
        <v>6</v>
      </c>
      <c r="P60" s="164"/>
      <c r="Q60" s="185" t="str">
        <f t="shared" si="33"/>
        <v/>
      </c>
      <c r="R60" s="186"/>
      <c r="S60" s="186"/>
      <c r="T60" s="187" t="str">
        <f t="shared" si="30"/>
        <v/>
      </c>
      <c r="U60" s="186"/>
      <c r="V60" s="186"/>
      <c r="W60" s="186"/>
      <c r="X60" s="181" t="str">
        <f t="shared" si="34"/>
        <v/>
      </c>
      <c r="Y60" s="188" t="str">
        <f t="shared" si="1"/>
        <v/>
      </c>
      <c r="Z60" s="189" t="str">
        <f t="shared" si="31"/>
        <v/>
      </c>
      <c r="AA60" s="188" t="str">
        <f>IFERROR(IF(AB60="","",IF(AB60&lt;=0.2,"Leve",IF(AB60&lt;=0.4,"Menor",IF(AB60&lt;=0.6,"Moderado",IF(AB60&lt;=0.8,"Mayor","Catastrófico"))))),"")</f>
        <v/>
      </c>
      <c r="AB60" s="189" t="str">
        <f t="shared" si="35"/>
        <v/>
      </c>
      <c r="AC60" s="190"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91"/>
      <c r="AE60" s="176"/>
      <c r="AF60" s="177"/>
      <c r="AG60" s="192"/>
      <c r="AH60" s="192"/>
      <c r="AI60" s="176"/>
      <c r="AJ60" s="17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1:68" ht="21" hidden="1" customHeight="1" x14ac:dyDescent="0.3">
      <c r="A61" s="289">
        <v>7</v>
      </c>
      <c r="B61" s="271"/>
      <c r="C61" s="271"/>
      <c r="D61" s="271"/>
      <c r="E61" s="271"/>
      <c r="F61" s="271"/>
      <c r="G61" s="274"/>
      <c r="H61" s="314" t="str">
        <f>IF(G61&lt;=0,"",IF(G61&lt;=2,"Muy Baja",IF(G61&lt;=24,"Baja",IF(G61&lt;=500,"Media",IF(G61&lt;=5000,"Alta","Muy Alta")))))</f>
        <v/>
      </c>
      <c r="I61" s="308" t="str">
        <f>IF(H61="","",IF(H61="Muy Baja",0.2,IF(H61="Baja",0.4,IF(H61="Media",0.6,IF(H61="Alta",0.8,IF(H61="Muy Alta",1,))))))</f>
        <v/>
      </c>
      <c r="J61" s="317"/>
      <c r="K61" s="308">
        <f>IF(NOT(ISERROR(MATCH(J61,'Tabla Impacto'!$B$221:$B$223,0))),'Tabla Impacto'!$F$223&amp;"Por favor no seleccionar los criterios de impacto(Afectación Económica o presupuestal y Pérdida Reputacional)",J61)</f>
        <v>0</v>
      </c>
      <c r="L61" s="314" t="str">
        <f>IF(OR(K61='Tabla Impacto'!$C$11,K61='Tabla Impacto'!$D$11),"Leve",IF(OR(K61='Tabla Impacto'!$C$12,K61='Tabla Impacto'!$D$12),"Menor",IF(OR(K61='Tabla Impacto'!$C$13,K61='Tabla Impacto'!$D$13),"Moderado",IF(OR(K61='Tabla Impacto'!$C$14,K61='Tabla Impacto'!$D$14),"Mayor",IF(OR(K61='Tabla Impacto'!$C$15,K61='Tabla Impacto'!$D$15),"Catastrófico","")))))</f>
        <v/>
      </c>
      <c r="M61" s="308" t="str">
        <f>IF(L61="","",IF(L61="Leve",0.2,IF(L61="Menor",0.4,IF(L61="Moderado",0.6,IF(L61="Mayor",0.8,IF(L61="Catastrófico",1,))))))</f>
        <v/>
      </c>
      <c r="N61" s="311"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84">
        <v>1</v>
      </c>
      <c r="P61" s="164"/>
      <c r="Q61" s="185" t="str">
        <f>IF(OR(R61="Preventivo",R61="Detectivo"),"Probabilidad",IF(R61="Correctivo","Impacto",""))</f>
        <v/>
      </c>
      <c r="R61" s="186"/>
      <c r="S61" s="186"/>
      <c r="T61" s="187" t="str">
        <f>IF(AND(R61="Preventivo",S61="Automático"),"50%",IF(AND(R61="Preventivo",S61="Manual"),"40%",IF(AND(R61="Detectivo",S61="Automático"),"40%",IF(AND(R61="Detectivo",S61="Manual"),"30%",IF(AND(R61="Correctivo",S61="Automático"),"35%",IF(AND(R61="Correctivo",S61="Manual"),"25%",""))))))</f>
        <v/>
      </c>
      <c r="U61" s="186"/>
      <c r="V61" s="186"/>
      <c r="W61" s="186"/>
      <c r="X61" s="181" t="str">
        <f>IFERROR(IF(Q61="Probabilidad",(I61-(+I61*T61)),IF(Q61="Impacto",I61,"")),"")</f>
        <v/>
      </c>
      <c r="Y61" s="188" t="str">
        <f>IFERROR(IF(X61="","",IF(X61&lt;=0.2,"Muy Baja",IF(X61&lt;=0.4,"Baja",IF(X61&lt;=0.6,"Media",IF(X61&lt;=0.8,"Alta","Muy Alta"))))),"")</f>
        <v/>
      </c>
      <c r="Z61" s="189" t="str">
        <f>+X61</f>
        <v/>
      </c>
      <c r="AA61" s="188" t="str">
        <f>IFERROR(IF(AB61="","",IF(AB61&lt;=0.2,"Leve",IF(AB61&lt;=0.4,"Menor",IF(AB61&lt;=0.6,"Moderado",IF(AB61&lt;=0.8,"Mayor","Catastrófico"))))),"")</f>
        <v/>
      </c>
      <c r="AB61" s="189" t="str">
        <f>IFERROR(IF(Q61="Impacto",(M61-(+M61*T61)),IF(Q61="Probabilidad",M61,"")),"")</f>
        <v/>
      </c>
      <c r="AC61" s="190"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91"/>
      <c r="AE61" s="176"/>
      <c r="AF61" s="177"/>
      <c r="AG61" s="192"/>
      <c r="AH61" s="192"/>
      <c r="AI61" s="176"/>
      <c r="AJ61" s="17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1:68" ht="21" hidden="1" customHeight="1" x14ac:dyDescent="0.3">
      <c r="A62" s="290"/>
      <c r="B62" s="272"/>
      <c r="C62" s="272"/>
      <c r="D62" s="272"/>
      <c r="E62" s="272"/>
      <c r="F62" s="272"/>
      <c r="G62" s="275"/>
      <c r="H62" s="315"/>
      <c r="I62" s="309"/>
      <c r="J62" s="318"/>
      <c r="K62" s="309">
        <f t="shared" ref="K62:K66" si="37">IF(NOT(ISERROR(MATCH(J62,_xlfn.ANCHORARRAY(E73),0))),I75&amp;"Por favor no seleccionar los criterios de impacto",J62)</f>
        <v>0</v>
      </c>
      <c r="L62" s="315"/>
      <c r="M62" s="309"/>
      <c r="N62" s="312"/>
      <c r="O62" s="184">
        <v>2</v>
      </c>
      <c r="P62" s="164"/>
      <c r="Q62" s="185" t="str">
        <f>IF(OR(R62="Preventivo",R62="Detectivo"),"Probabilidad",IF(R62="Correctivo","Impacto",""))</f>
        <v/>
      </c>
      <c r="R62" s="186"/>
      <c r="S62" s="186"/>
      <c r="T62" s="187" t="str">
        <f t="shared" ref="T62:T66" si="38">IF(AND(R62="Preventivo",S62="Automático"),"50%",IF(AND(R62="Preventivo",S62="Manual"),"40%",IF(AND(R62="Detectivo",S62="Automático"),"40%",IF(AND(R62="Detectivo",S62="Manual"),"30%",IF(AND(R62="Correctivo",S62="Automático"),"35%",IF(AND(R62="Correctivo",S62="Manual"),"25%",""))))))</f>
        <v/>
      </c>
      <c r="U62" s="186"/>
      <c r="V62" s="186"/>
      <c r="W62" s="186"/>
      <c r="X62" s="181" t="str">
        <f>IFERROR(IF(AND(Q61="Probabilidad",Q62="Probabilidad"),(Z61-(+Z61*T62)),IF(Q62="Probabilidad",(I61-(+I61*T62)),IF(Q62="Impacto",Z61,""))),"")</f>
        <v/>
      </c>
      <c r="Y62" s="188" t="str">
        <f t="shared" si="1"/>
        <v/>
      </c>
      <c r="Z62" s="189" t="str">
        <f t="shared" ref="Z62:Z66" si="39">+X62</f>
        <v/>
      </c>
      <c r="AA62" s="188" t="str">
        <f t="shared" si="2"/>
        <v/>
      </c>
      <c r="AB62" s="189" t="str">
        <f>IFERROR(IF(AND(Q61="Impacto",Q62="Impacto"),(AB61-(+AB61*T62)),IF(Q62="Impacto",(M61-(+M61*T62)),IF(Q62="Probabilidad",AB61,""))),"")</f>
        <v/>
      </c>
      <c r="AC62" s="190" t="str">
        <f t="shared" ref="AC62:AC63" si="40">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91"/>
      <c r="AE62" s="176"/>
      <c r="AF62" s="177"/>
      <c r="AG62" s="192"/>
      <c r="AH62" s="192"/>
      <c r="AI62" s="176"/>
      <c r="AJ62" s="17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1:68" ht="21" hidden="1" customHeight="1" x14ac:dyDescent="0.3">
      <c r="A63" s="290"/>
      <c r="B63" s="272"/>
      <c r="C63" s="272"/>
      <c r="D63" s="272"/>
      <c r="E63" s="272"/>
      <c r="F63" s="272"/>
      <c r="G63" s="275"/>
      <c r="H63" s="315"/>
      <c r="I63" s="309"/>
      <c r="J63" s="318"/>
      <c r="K63" s="309">
        <f t="shared" si="37"/>
        <v>0</v>
      </c>
      <c r="L63" s="315"/>
      <c r="M63" s="309"/>
      <c r="N63" s="312"/>
      <c r="O63" s="184">
        <v>3</v>
      </c>
      <c r="P63" s="193"/>
      <c r="Q63" s="185" t="str">
        <f>IF(OR(R63="Preventivo",R63="Detectivo"),"Probabilidad",IF(R63="Correctivo","Impacto",""))</f>
        <v/>
      </c>
      <c r="R63" s="186"/>
      <c r="S63" s="186"/>
      <c r="T63" s="187" t="str">
        <f t="shared" si="38"/>
        <v/>
      </c>
      <c r="U63" s="186"/>
      <c r="V63" s="186"/>
      <c r="W63" s="186"/>
      <c r="X63" s="181" t="str">
        <f>IFERROR(IF(AND(Q62="Probabilidad",Q63="Probabilidad"),(Z62-(+Z62*T63)),IF(AND(Q62="Impacto",Q63="Probabilidad"),(Z61-(+Z61*T63)),IF(Q63="Impacto",Z62,""))),"")</f>
        <v/>
      </c>
      <c r="Y63" s="188" t="str">
        <f t="shared" si="1"/>
        <v/>
      </c>
      <c r="Z63" s="189" t="str">
        <f t="shared" si="39"/>
        <v/>
      </c>
      <c r="AA63" s="188" t="str">
        <f t="shared" si="2"/>
        <v/>
      </c>
      <c r="AB63" s="189" t="str">
        <f>IFERROR(IF(AND(Q62="Impacto",Q63="Impacto"),(AB62-(+AB62*T63)),IF(AND(Q62="Probabilidad",Q63="Impacto"),(AB61-(+AB61*T63)),IF(Q63="Probabilidad",AB62,""))),"")</f>
        <v/>
      </c>
      <c r="AC63" s="190" t="str">
        <f t="shared" si="40"/>
        <v/>
      </c>
      <c r="AD63" s="191"/>
      <c r="AE63" s="176"/>
      <c r="AF63" s="177"/>
      <c r="AG63" s="192"/>
      <c r="AH63" s="192"/>
      <c r="AI63" s="176"/>
      <c r="AJ63" s="17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1:68" ht="21" hidden="1" customHeight="1" x14ac:dyDescent="0.3">
      <c r="A64" s="290"/>
      <c r="B64" s="272"/>
      <c r="C64" s="272"/>
      <c r="D64" s="272"/>
      <c r="E64" s="272"/>
      <c r="F64" s="272"/>
      <c r="G64" s="275"/>
      <c r="H64" s="315"/>
      <c r="I64" s="309"/>
      <c r="J64" s="318"/>
      <c r="K64" s="309">
        <f t="shared" si="37"/>
        <v>0</v>
      </c>
      <c r="L64" s="315"/>
      <c r="M64" s="309"/>
      <c r="N64" s="312"/>
      <c r="O64" s="184">
        <v>4</v>
      </c>
      <c r="P64" s="164"/>
      <c r="Q64" s="185" t="str">
        <f t="shared" ref="Q64:Q66" si="41">IF(OR(R64="Preventivo",R64="Detectivo"),"Probabilidad",IF(R64="Correctivo","Impacto",""))</f>
        <v/>
      </c>
      <c r="R64" s="186"/>
      <c r="S64" s="186"/>
      <c r="T64" s="187" t="str">
        <f t="shared" si="38"/>
        <v/>
      </c>
      <c r="U64" s="186"/>
      <c r="V64" s="186"/>
      <c r="W64" s="186"/>
      <c r="X64" s="181" t="str">
        <f t="shared" ref="X64:X66" si="42">IFERROR(IF(AND(Q63="Probabilidad",Q64="Probabilidad"),(Z63-(+Z63*T64)),IF(AND(Q63="Impacto",Q64="Probabilidad"),(Z62-(+Z62*T64)),IF(Q64="Impacto",Z63,""))),"")</f>
        <v/>
      </c>
      <c r="Y64" s="188" t="str">
        <f t="shared" si="1"/>
        <v/>
      </c>
      <c r="Z64" s="189" t="str">
        <f t="shared" si="39"/>
        <v/>
      </c>
      <c r="AA64" s="188" t="str">
        <f t="shared" si="2"/>
        <v/>
      </c>
      <c r="AB64" s="189" t="str">
        <f t="shared" ref="AB64:AB66" si="43">IFERROR(IF(AND(Q63="Impacto",Q64="Impacto"),(AB63-(+AB63*T64)),IF(AND(Q63="Probabilidad",Q64="Impacto"),(AB62-(+AB62*T64)),IF(Q64="Probabilidad",AB63,""))),"")</f>
        <v/>
      </c>
      <c r="AC64" s="19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91"/>
      <c r="AE64" s="176"/>
      <c r="AF64" s="177"/>
      <c r="AG64" s="192"/>
      <c r="AH64" s="192"/>
      <c r="AI64" s="176"/>
      <c r="AJ64" s="17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68" ht="21" hidden="1" customHeight="1" x14ac:dyDescent="0.3">
      <c r="A65" s="290"/>
      <c r="B65" s="272"/>
      <c r="C65" s="272"/>
      <c r="D65" s="272"/>
      <c r="E65" s="272"/>
      <c r="F65" s="272"/>
      <c r="G65" s="275"/>
      <c r="H65" s="315"/>
      <c r="I65" s="309"/>
      <c r="J65" s="318"/>
      <c r="K65" s="309">
        <f t="shared" si="37"/>
        <v>0</v>
      </c>
      <c r="L65" s="315"/>
      <c r="M65" s="309"/>
      <c r="N65" s="312"/>
      <c r="O65" s="184">
        <v>5</v>
      </c>
      <c r="P65" s="164"/>
      <c r="Q65" s="185" t="str">
        <f t="shared" si="41"/>
        <v/>
      </c>
      <c r="R65" s="186"/>
      <c r="S65" s="186"/>
      <c r="T65" s="187" t="str">
        <f t="shared" si="38"/>
        <v/>
      </c>
      <c r="U65" s="186"/>
      <c r="V65" s="186"/>
      <c r="W65" s="186"/>
      <c r="X65" s="181" t="str">
        <f t="shared" si="42"/>
        <v/>
      </c>
      <c r="Y65" s="188" t="str">
        <f t="shared" si="1"/>
        <v/>
      </c>
      <c r="Z65" s="189" t="str">
        <f t="shared" si="39"/>
        <v/>
      </c>
      <c r="AA65" s="188" t="str">
        <f t="shared" si="2"/>
        <v/>
      </c>
      <c r="AB65" s="189" t="str">
        <f t="shared" si="43"/>
        <v/>
      </c>
      <c r="AC65" s="190" t="str">
        <f t="shared" ref="AC65:AC66" si="44">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91"/>
      <c r="AE65" s="176"/>
      <c r="AF65" s="177"/>
      <c r="AG65" s="192"/>
      <c r="AH65" s="192"/>
      <c r="AI65" s="176"/>
      <c r="AJ65" s="17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row>
    <row r="66" spans="1:68" ht="21" hidden="1" customHeight="1" x14ac:dyDescent="0.3">
      <c r="A66" s="291"/>
      <c r="B66" s="273"/>
      <c r="C66" s="273"/>
      <c r="D66" s="273"/>
      <c r="E66" s="273"/>
      <c r="F66" s="273"/>
      <c r="G66" s="276"/>
      <c r="H66" s="316"/>
      <c r="I66" s="310"/>
      <c r="J66" s="319"/>
      <c r="K66" s="310">
        <f t="shared" si="37"/>
        <v>0</v>
      </c>
      <c r="L66" s="316"/>
      <c r="M66" s="310"/>
      <c r="N66" s="313"/>
      <c r="O66" s="184">
        <v>6</v>
      </c>
      <c r="P66" s="164"/>
      <c r="Q66" s="185" t="str">
        <f t="shared" si="41"/>
        <v/>
      </c>
      <c r="R66" s="186"/>
      <c r="S66" s="186"/>
      <c r="T66" s="187" t="str">
        <f t="shared" si="38"/>
        <v/>
      </c>
      <c r="U66" s="186"/>
      <c r="V66" s="186"/>
      <c r="W66" s="186"/>
      <c r="X66" s="181" t="str">
        <f t="shared" si="42"/>
        <v/>
      </c>
      <c r="Y66" s="188" t="str">
        <f t="shared" si="1"/>
        <v/>
      </c>
      <c r="Z66" s="189" t="str">
        <f t="shared" si="39"/>
        <v/>
      </c>
      <c r="AA66" s="188" t="str">
        <f t="shared" si="2"/>
        <v/>
      </c>
      <c r="AB66" s="189" t="str">
        <f t="shared" si="43"/>
        <v/>
      </c>
      <c r="AC66" s="190" t="str">
        <f t="shared" si="44"/>
        <v/>
      </c>
      <c r="AD66" s="191"/>
      <c r="AE66" s="176"/>
      <c r="AF66" s="177"/>
      <c r="AG66" s="192"/>
      <c r="AH66" s="192"/>
      <c r="AI66" s="176"/>
      <c r="AJ66" s="17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row>
    <row r="67" spans="1:68" ht="21" hidden="1" customHeight="1" x14ac:dyDescent="0.3">
      <c r="A67" s="289">
        <v>8</v>
      </c>
      <c r="B67" s="271"/>
      <c r="C67" s="271"/>
      <c r="D67" s="271"/>
      <c r="E67" s="271"/>
      <c r="F67" s="271"/>
      <c r="G67" s="274"/>
      <c r="H67" s="314" t="str">
        <f>IF(G67&lt;=0,"",IF(G67&lt;=2,"Muy Baja",IF(G67&lt;=24,"Baja",IF(G67&lt;=500,"Media",IF(G67&lt;=5000,"Alta","Muy Alta")))))</f>
        <v/>
      </c>
      <c r="I67" s="308" t="str">
        <f>IF(H67="","",IF(H67="Muy Baja",0.2,IF(H67="Baja",0.4,IF(H67="Media",0.6,IF(H67="Alta",0.8,IF(H67="Muy Alta",1,))))))</f>
        <v/>
      </c>
      <c r="J67" s="317"/>
      <c r="K67" s="308">
        <f>IF(NOT(ISERROR(MATCH(J67,'Tabla Impacto'!$B$221:$B$223,0))),'Tabla Impacto'!$F$223&amp;"Por favor no seleccionar los criterios de impacto(Afectación Económica o presupuestal y Pérdida Reputacional)",J67)</f>
        <v>0</v>
      </c>
      <c r="L67" s="314" t="str">
        <f>IF(OR(K67='Tabla Impacto'!$C$11,K67='Tabla Impacto'!$D$11),"Leve",IF(OR(K67='Tabla Impacto'!$C$12,K67='Tabla Impacto'!$D$12),"Menor",IF(OR(K67='Tabla Impacto'!$C$13,K67='Tabla Impacto'!$D$13),"Moderado",IF(OR(K67='Tabla Impacto'!$C$14,K67='Tabla Impacto'!$D$14),"Mayor",IF(OR(K67='Tabla Impacto'!$C$15,K67='Tabla Impacto'!$D$15),"Catastrófico","")))))</f>
        <v/>
      </c>
      <c r="M67" s="308" t="str">
        <f>IF(L67="","",IF(L67="Leve",0.2,IF(L67="Menor",0.4,IF(L67="Moderado",0.6,IF(L67="Mayor",0.8,IF(L67="Catastrófico",1,))))))</f>
        <v/>
      </c>
      <c r="N67" s="311"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184">
        <v>1</v>
      </c>
      <c r="P67" s="164"/>
      <c r="Q67" s="185" t="str">
        <f>IF(OR(R67="Preventivo",R67="Detectivo"),"Probabilidad",IF(R67="Correctivo","Impacto",""))</f>
        <v/>
      </c>
      <c r="R67" s="186"/>
      <c r="S67" s="186"/>
      <c r="T67" s="187" t="str">
        <f>IF(AND(R67="Preventivo",S67="Automático"),"50%",IF(AND(R67="Preventivo",S67="Manual"),"40%",IF(AND(R67="Detectivo",S67="Automático"),"40%",IF(AND(R67="Detectivo",S67="Manual"),"30%",IF(AND(R67="Correctivo",S67="Automático"),"35%",IF(AND(R67="Correctivo",S67="Manual"),"25%",""))))))</f>
        <v/>
      </c>
      <c r="U67" s="186"/>
      <c r="V67" s="186"/>
      <c r="W67" s="186"/>
      <c r="X67" s="181" t="str">
        <f>IFERROR(IF(Q67="Probabilidad",(I67-(+I67*T67)),IF(Q67="Impacto",I67,"")),"")</f>
        <v/>
      </c>
      <c r="Y67" s="188" t="str">
        <f>IFERROR(IF(X67="","",IF(X67&lt;=0.2,"Muy Baja",IF(X67&lt;=0.4,"Baja",IF(X67&lt;=0.6,"Media",IF(X67&lt;=0.8,"Alta","Muy Alta"))))),"")</f>
        <v/>
      </c>
      <c r="Z67" s="189" t="str">
        <f>+X67</f>
        <v/>
      </c>
      <c r="AA67" s="188" t="str">
        <f>IFERROR(IF(AB67="","",IF(AB67&lt;=0.2,"Leve",IF(AB67&lt;=0.4,"Menor",IF(AB67&lt;=0.6,"Moderado",IF(AB67&lt;=0.8,"Mayor","Catastrófico"))))),"")</f>
        <v/>
      </c>
      <c r="AB67" s="189" t="str">
        <f>IFERROR(IF(Q67="Impacto",(M67-(+M67*T67)),IF(Q67="Probabilidad",M67,"")),"")</f>
        <v/>
      </c>
      <c r="AC67" s="190"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91"/>
      <c r="AE67" s="176"/>
      <c r="AF67" s="177"/>
      <c r="AG67" s="192"/>
      <c r="AH67" s="192"/>
      <c r="AI67" s="176"/>
      <c r="AJ67" s="17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row>
    <row r="68" spans="1:68" ht="21" hidden="1" customHeight="1" x14ac:dyDescent="0.3">
      <c r="A68" s="290"/>
      <c r="B68" s="272"/>
      <c r="C68" s="272"/>
      <c r="D68" s="272"/>
      <c r="E68" s="272"/>
      <c r="F68" s="272"/>
      <c r="G68" s="275"/>
      <c r="H68" s="315"/>
      <c r="I68" s="309"/>
      <c r="J68" s="318"/>
      <c r="K68" s="309">
        <f>IF(NOT(ISERROR(MATCH(J68,_xlfn.ANCHORARRAY(E79),0))),I81&amp;"Por favor no seleccionar los criterios de impacto",J68)</f>
        <v>0</v>
      </c>
      <c r="L68" s="315"/>
      <c r="M68" s="309"/>
      <c r="N68" s="312"/>
      <c r="O68" s="184">
        <v>2</v>
      </c>
      <c r="P68" s="164"/>
      <c r="Q68" s="185" t="str">
        <f>IF(OR(R68="Preventivo",R68="Detectivo"),"Probabilidad",IF(R68="Correctivo","Impacto",""))</f>
        <v/>
      </c>
      <c r="R68" s="186"/>
      <c r="S68" s="186"/>
      <c r="T68" s="187" t="str">
        <f t="shared" ref="T68:T72" si="45">IF(AND(R68="Preventivo",S68="Automático"),"50%",IF(AND(R68="Preventivo",S68="Manual"),"40%",IF(AND(R68="Detectivo",S68="Automático"),"40%",IF(AND(R68="Detectivo",S68="Manual"),"30%",IF(AND(R68="Correctivo",S68="Automático"),"35%",IF(AND(R68="Correctivo",S68="Manual"),"25%",""))))))</f>
        <v/>
      </c>
      <c r="U68" s="186"/>
      <c r="V68" s="186"/>
      <c r="W68" s="186"/>
      <c r="X68" s="181" t="str">
        <f>IFERROR(IF(AND(Q67="Probabilidad",Q68="Probabilidad"),(Z67-(+Z67*T68)),IF(Q68="Probabilidad",(I67-(+I67*T68)),IF(Q68="Impacto",Z67,""))),"")</f>
        <v/>
      </c>
      <c r="Y68" s="188" t="str">
        <f t="shared" si="1"/>
        <v/>
      </c>
      <c r="Z68" s="189" t="str">
        <f t="shared" ref="Z68:Z72" si="46">+X68</f>
        <v/>
      </c>
      <c r="AA68" s="188" t="str">
        <f t="shared" si="2"/>
        <v/>
      </c>
      <c r="AB68" s="189" t="str">
        <f>IFERROR(IF(AND(Q67="Impacto",Q68="Impacto"),(AB67-(+AB67*T68)),IF(Q68="Impacto",(M67-(+M67*T68)),IF(Q68="Probabilidad",AB67,""))),"")</f>
        <v/>
      </c>
      <c r="AC68" s="190" t="str">
        <f t="shared" ref="AC68:AC69" si="47">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91"/>
      <c r="AE68" s="176"/>
      <c r="AF68" s="177"/>
      <c r="AG68" s="192"/>
      <c r="AH68" s="192"/>
      <c r="AI68" s="176"/>
      <c r="AJ68" s="17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row>
    <row r="69" spans="1:68" ht="21" hidden="1" customHeight="1" x14ac:dyDescent="0.3">
      <c r="A69" s="290"/>
      <c r="B69" s="272"/>
      <c r="C69" s="272"/>
      <c r="D69" s="272"/>
      <c r="E69" s="272"/>
      <c r="F69" s="272"/>
      <c r="G69" s="275"/>
      <c r="H69" s="315"/>
      <c r="I69" s="309"/>
      <c r="J69" s="318"/>
      <c r="K69" s="309">
        <f>IF(NOT(ISERROR(MATCH(J69,_xlfn.ANCHORARRAY(E80),0))),I82&amp;"Por favor no seleccionar los criterios de impacto",J69)</f>
        <v>0</v>
      </c>
      <c r="L69" s="315"/>
      <c r="M69" s="309"/>
      <c r="N69" s="312"/>
      <c r="O69" s="184">
        <v>3</v>
      </c>
      <c r="P69" s="193"/>
      <c r="Q69" s="185" t="str">
        <f>IF(OR(R69="Preventivo",R69="Detectivo"),"Probabilidad",IF(R69="Correctivo","Impacto",""))</f>
        <v/>
      </c>
      <c r="R69" s="186"/>
      <c r="S69" s="186"/>
      <c r="T69" s="187" t="str">
        <f t="shared" si="45"/>
        <v/>
      </c>
      <c r="U69" s="186"/>
      <c r="V69" s="186"/>
      <c r="W69" s="186"/>
      <c r="X69" s="181" t="str">
        <f>IFERROR(IF(AND(Q68="Probabilidad",Q69="Probabilidad"),(Z68-(+Z68*T69)),IF(AND(Q68="Impacto",Q69="Probabilidad"),(Z67-(+Z67*T69)),IF(Q69="Impacto",Z68,""))),"")</f>
        <v/>
      </c>
      <c r="Y69" s="188" t="str">
        <f t="shared" si="1"/>
        <v/>
      </c>
      <c r="Z69" s="189" t="str">
        <f t="shared" si="46"/>
        <v/>
      </c>
      <c r="AA69" s="188" t="str">
        <f t="shared" si="2"/>
        <v/>
      </c>
      <c r="AB69" s="189" t="str">
        <f>IFERROR(IF(AND(Q68="Impacto",Q69="Impacto"),(AB68-(+AB68*T69)),IF(AND(Q68="Probabilidad",Q69="Impacto"),(AB67-(+AB67*T69)),IF(Q69="Probabilidad",AB68,""))),"")</f>
        <v/>
      </c>
      <c r="AC69" s="190" t="str">
        <f t="shared" si="47"/>
        <v/>
      </c>
      <c r="AD69" s="191"/>
      <c r="AE69" s="176"/>
      <c r="AF69" s="177"/>
      <c r="AG69" s="192"/>
      <c r="AH69" s="192"/>
      <c r="AI69" s="176"/>
      <c r="AJ69" s="17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row>
    <row r="70" spans="1:68" ht="21" hidden="1" customHeight="1" x14ac:dyDescent="0.3">
      <c r="A70" s="290"/>
      <c r="B70" s="272"/>
      <c r="C70" s="272"/>
      <c r="D70" s="272"/>
      <c r="E70" s="272"/>
      <c r="F70" s="272"/>
      <c r="G70" s="275"/>
      <c r="H70" s="315"/>
      <c r="I70" s="309"/>
      <c r="J70" s="318"/>
      <c r="K70" s="309">
        <f>IF(NOT(ISERROR(MATCH(J70,_xlfn.ANCHORARRAY(E81),0))),I83&amp;"Por favor no seleccionar los criterios de impacto",J70)</f>
        <v>0</v>
      </c>
      <c r="L70" s="315"/>
      <c r="M70" s="309"/>
      <c r="N70" s="312"/>
      <c r="O70" s="184">
        <v>4</v>
      </c>
      <c r="P70" s="164"/>
      <c r="Q70" s="185" t="str">
        <f t="shared" ref="Q70:Q72" si="48">IF(OR(R70="Preventivo",R70="Detectivo"),"Probabilidad",IF(R70="Correctivo","Impacto",""))</f>
        <v/>
      </c>
      <c r="R70" s="186"/>
      <c r="S70" s="186"/>
      <c r="T70" s="187" t="str">
        <f t="shared" si="45"/>
        <v/>
      </c>
      <c r="U70" s="186"/>
      <c r="V70" s="186"/>
      <c r="W70" s="186"/>
      <c r="X70" s="181" t="str">
        <f t="shared" ref="X70:X72" si="49">IFERROR(IF(AND(Q69="Probabilidad",Q70="Probabilidad"),(Z69-(+Z69*T70)),IF(AND(Q69="Impacto",Q70="Probabilidad"),(Z68-(+Z68*T70)),IF(Q70="Impacto",Z69,""))),"")</f>
        <v/>
      </c>
      <c r="Y70" s="188" t="str">
        <f t="shared" si="1"/>
        <v/>
      </c>
      <c r="Z70" s="189" t="str">
        <f t="shared" si="46"/>
        <v/>
      </c>
      <c r="AA70" s="188" t="str">
        <f t="shared" si="2"/>
        <v/>
      </c>
      <c r="AB70" s="189" t="str">
        <f t="shared" ref="AB70:AB72" si="50">IFERROR(IF(AND(Q69="Impacto",Q70="Impacto"),(AB69-(+AB69*T70)),IF(AND(Q69="Probabilidad",Q70="Impacto"),(AB68-(+AB68*T70)),IF(Q70="Probabilidad",AB69,""))),"")</f>
        <v/>
      </c>
      <c r="AC70" s="190"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91"/>
      <c r="AE70" s="176"/>
      <c r="AF70" s="177"/>
      <c r="AG70" s="192"/>
      <c r="AH70" s="192"/>
      <c r="AI70" s="176"/>
      <c r="AJ70" s="17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row>
    <row r="71" spans="1:68" ht="21" hidden="1" customHeight="1" x14ac:dyDescent="0.3">
      <c r="A71" s="290"/>
      <c r="B71" s="272"/>
      <c r="C71" s="272"/>
      <c r="D71" s="272"/>
      <c r="E71" s="272"/>
      <c r="F71" s="272"/>
      <c r="G71" s="275"/>
      <c r="H71" s="315"/>
      <c r="I71" s="309"/>
      <c r="J71" s="318"/>
      <c r="K71" s="309">
        <f>IF(NOT(ISERROR(MATCH(J71,_xlfn.ANCHORARRAY(E82),0))),I84&amp;"Por favor no seleccionar los criterios de impacto",J71)</f>
        <v>0</v>
      </c>
      <c r="L71" s="315"/>
      <c r="M71" s="309"/>
      <c r="N71" s="312"/>
      <c r="O71" s="184">
        <v>5</v>
      </c>
      <c r="P71" s="164"/>
      <c r="Q71" s="185" t="str">
        <f t="shared" si="48"/>
        <v/>
      </c>
      <c r="R71" s="186"/>
      <c r="S71" s="186"/>
      <c r="T71" s="187" t="str">
        <f t="shared" si="45"/>
        <v/>
      </c>
      <c r="U71" s="186"/>
      <c r="V71" s="186"/>
      <c r="W71" s="186"/>
      <c r="X71" s="181" t="str">
        <f t="shared" si="49"/>
        <v/>
      </c>
      <c r="Y71" s="188" t="str">
        <f t="shared" si="1"/>
        <v/>
      </c>
      <c r="Z71" s="189" t="str">
        <f t="shared" si="46"/>
        <v/>
      </c>
      <c r="AA71" s="188" t="str">
        <f t="shared" si="2"/>
        <v/>
      </c>
      <c r="AB71" s="189" t="str">
        <f t="shared" si="50"/>
        <v/>
      </c>
      <c r="AC71" s="190" t="str">
        <f t="shared" ref="AC71:AC72" si="51">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91"/>
      <c r="AE71" s="176"/>
      <c r="AF71" s="177"/>
      <c r="AG71" s="192"/>
      <c r="AH71" s="192"/>
      <c r="AI71" s="176"/>
      <c r="AJ71" s="17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row>
    <row r="72" spans="1:68" ht="21" hidden="1" customHeight="1" x14ac:dyDescent="0.3">
      <c r="A72" s="291"/>
      <c r="B72" s="273"/>
      <c r="C72" s="273"/>
      <c r="D72" s="273"/>
      <c r="E72" s="273"/>
      <c r="F72" s="273"/>
      <c r="G72" s="276"/>
      <c r="H72" s="316"/>
      <c r="I72" s="310"/>
      <c r="J72" s="319"/>
      <c r="K72" s="310">
        <f>IF(NOT(ISERROR(MATCH(J72,_xlfn.ANCHORARRAY(E83),0))),I85&amp;"Por favor no seleccionar los criterios de impacto",J72)</f>
        <v>0</v>
      </c>
      <c r="L72" s="316"/>
      <c r="M72" s="310"/>
      <c r="N72" s="313"/>
      <c r="O72" s="184">
        <v>6</v>
      </c>
      <c r="P72" s="164"/>
      <c r="Q72" s="185" t="str">
        <f t="shared" si="48"/>
        <v/>
      </c>
      <c r="R72" s="186"/>
      <c r="S72" s="186"/>
      <c r="T72" s="187" t="str">
        <f t="shared" si="45"/>
        <v/>
      </c>
      <c r="U72" s="186"/>
      <c r="V72" s="186"/>
      <c r="W72" s="186"/>
      <c r="X72" s="181" t="str">
        <f t="shared" si="49"/>
        <v/>
      </c>
      <c r="Y72" s="188" t="str">
        <f t="shared" si="1"/>
        <v/>
      </c>
      <c r="Z72" s="189" t="str">
        <f t="shared" si="46"/>
        <v/>
      </c>
      <c r="AA72" s="188" t="str">
        <f t="shared" si="2"/>
        <v/>
      </c>
      <c r="AB72" s="189" t="str">
        <f t="shared" si="50"/>
        <v/>
      </c>
      <c r="AC72" s="190" t="str">
        <f t="shared" si="51"/>
        <v/>
      </c>
      <c r="AD72" s="191"/>
      <c r="AE72" s="176"/>
      <c r="AF72" s="177"/>
      <c r="AG72" s="192"/>
      <c r="AH72" s="192"/>
      <c r="AI72" s="176"/>
      <c r="AJ72" s="17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row>
    <row r="73" spans="1:68" ht="21" hidden="1" customHeight="1" x14ac:dyDescent="0.3">
      <c r="A73" s="289">
        <v>9</v>
      </c>
      <c r="B73" s="271"/>
      <c r="C73" s="271"/>
      <c r="D73" s="271"/>
      <c r="E73" s="271"/>
      <c r="F73" s="271"/>
      <c r="G73" s="274"/>
      <c r="H73" s="314" t="str">
        <f>IF(G73&lt;=0,"",IF(G73&lt;=2,"Muy Baja",IF(G73&lt;=24,"Baja",IF(G73&lt;=500,"Media",IF(G73&lt;=5000,"Alta","Muy Alta")))))</f>
        <v/>
      </c>
      <c r="I73" s="308" t="str">
        <f>IF(H73="","",IF(H73="Muy Baja",0.2,IF(H73="Baja",0.4,IF(H73="Media",0.6,IF(H73="Alta",0.8,IF(H73="Muy Alta",1,))))))</f>
        <v/>
      </c>
      <c r="J73" s="317"/>
      <c r="K73" s="308">
        <f>IF(NOT(ISERROR(MATCH(J73,'Tabla Impacto'!$B$221:$B$223,0))),'Tabla Impacto'!$F$223&amp;"Por favor no seleccionar los criterios de impacto(Afectación Económica o presupuestal y Pérdida Reputacional)",J73)</f>
        <v>0</v>
      </c>
      <c r="L73" s="314" t="str">
        <f>IF(OR(K73='Tabla Impacto'!$C$11,K73='Tabla Impacto'!$D$11),"Leve",IF(OR(K73='Tabla Impacto'!$C$12,K73='Tabla Impacto'!$D$12),"Menor",IF(OR(K73='Tabla Impacto'!$C$13,K73='Tabla Impacto'!$D$13),"Moderado",IF(OR(K73='Tabla Impacto'!$C$14,K73='Tabla Impacto'!$D$14),"Mayor",IF(OR(K73='Tabla Impacto'!$C$15,K73='Tabla Impacto'!$D$15),"Catastrófico","")))))</f>
        <v/>
      </c>
      <c r="M73" s="308" t="str">
        <f>IF(L73="","",IF(L73="Leve",0.2,IF(L73="Menor",0.4,IF(L73="Moderado",0.6,IF(L73="Mayor",0.8,IF(L73="Catastrófico",1,))))))</f>
        <v/>
      </c>
      <c r="N73" s="311" t="str">
        <f>IF(OR(AND(H73="Muy Baja",L73="Leve"),AND(H73="Muy Baja",L73="Menor"),AND(H73="Baja",L73="Leve")),"Bajo",IF(OR(AND(H73="Muy baja",L73="Moderado"),AND(H73="Baja",L73="Menor"),AND(H73="Baja",L73="Moderado"),AND(H73="Media",L73="Leve"),AND(H73="Media",L73="Menor"),AND(H73="Media",L73="Moderado"),AND(H73="Alta",L73="Leve"),AND(H73="Alta",L73="Menor")),"Moderado",IF(OR(AND(H73="Muy Baja",L73="Mayor"),AND(H73="Baja",L73="Mayor"),AND(H73="Media",L73="Mayor"),AND(H73="Alta",L73="Moderado"),AND(H73="Alta",L73="Mayor"),AND(H73="Muy Alta",L73="Leve"),AND(H73="Muy Alta",L73="Menor"),AND(H73="Muy Alta",L73="Moderado"),AND(H73="Muy Alta",L73="Mayor")),"Alto",IF(OR(AND(H73="Muy Baja",L73="Catastrófico"),AND(H73="Baja",L73="Catastrófico"),AND(H73="Media",L73="Catastrófico"),AND(H73="Alta",L73="Catastrófico"),AND(H73="Muy Alta",L73="Catastrófico")),"Extremo",""))))</f>
        <v/>
      </c>
      <c r="O73" s="184">
        <v>1</v>
      </c>
      <c r="P73" s="164"/>
      <c r="Q73" s="185" t="str">
        <f>IF(OR(R73="Preventivo",R73="Detectivo"),"Probabilidad",IF(R73="Correctivo","Impacto",""))</f>
        <v/>
      </c>
      <c r="R73" s="186"/>
      <c r="S73" s="186"/>
      <c r="T73" s="187" t="str">
        <f>IF(AND(R73="Preventivo",S73="Automático"),"50%",IF(AND(R73="Preventivo",S73="Manual"),"40%",IF(AND(R73="Detectivo",S73="Automático"),"40%",IF(AND(R73="Detectivo",S73="Manual"),"30%",IF(AND(R73="Correctivo",S73="Automático"),"35%",IF(AND(R73="Correctivo",S73="Manual"),"25%",""))))))</f>
        <v/>
      </c>
      <c r="U73" s="186"/>
      <c r="V73" s="186"/>
      <c r="W73" s="186"/>
      <c r="X73" s="181" t="str">
        <f>IFERROR(IF(Q73="Probabilidad",(I73-(+I73*T73)),IF(Q73="Impacto",I73,"")),"")</f>
        <v/>
      </c>
      <c r="Y73" s="188" t="str">
        <f>IFERROR(IF(X73="","",IF(X73&lt;=0.2,"Muy Baja",IF(X73&lt;=0.4,"Baja",IF(X73&lt;=0.6,"Media",IF(X73&lt;=0.8,"Alta","Muy Alta"))))),"")</f>
        <v/>
      </c>
      <c r="Z73" s="189" t="str">
        <f>+X73</f>
        <v/>
      </c>
      <c r="AA73" s="188" t="str">
        <f>IFERROR(IF(AB73="","",IF(AB73&lt;=0.2,"Leve",IF(AB73&lt;=0.4,"Menor",IF(AB73&lt;=0.6,"Moderado",IF(AB73&lt;=0.8,"Mayor","Catastrófico"))))),"")</f>
        <v/>
      </c>
      <c r="AB73" s="189" t="str">
        <f>IFERROR(IF(Q73="Impacto",(M73-(+M73*T73)),IF(Q73="Probabilidad",M73,"")),"")</f>
        <v/>
      </c>
      <c r="AC73" s="190" t="str">
        <f>IFERROR(IF(OR(AND(Y73="Muy Baja",AA73="Leve"),AND(Y73="Muy Baja",AA73="Menor"),AND(Y73="Baja",AA73="Leve")),"Bajo",IF(OR(AND(Y73="Muy baja",AA73="Moderado"),AND(Y73="Baja",AA73="Menor"),AND(Y73="Baja",AA73="Moderado"),AND(Y73="Media",AA73="Leve"),AND(Y73="Media",AA73="Menor"),AND(Y73="Media",AA73="Moderado"),AND(Y73="Alta",AA73="Leve"),AND(Y73="Alta",AA73="Menor")),"Moderado",IF(OR(AND(Y73="Muy Baja",AA73="Mayor"),AND(Y73="Baja",AA73="Mayor"),AND(Y73="Media",AA73="Mayor"),AND(Y73="Alta",AA73="Moderado"),AND(Y73="Alta",AA73="Mayor"),AND(Y73="Muy Alta",AA73="Leve"),AND(Y73="Muy Alta",AA73="Menor"),AND(Y73="Muy Alta",AA73="Moderado"),AND(Y73="Muy Alta",AA73="Mayor")),"Alto",IF(OR(AND(Y73="Muy Baja",AA73="Catastrófico"),AND(Y73="Baja",AA73="Catastrófico"),AND(Y73="Media",AA73="Catastrófico"),AND(Y73="Alta",AA73="Catastrófico"),AND(Y73="Muy Alta",AA73="Catastrófico")),"Extremo","")))),"")</f>
        <v/>
      </c>
      <c r="AD73" s="191"/>
      <c r="AE73" s="176"/>
      <c r="AF73" s="177"/>
      <c r="AG73" s="192"/>
      <c r="AH73" s="192"/>
      <c r="AI73" s="176"/>
      <c r="AJ73" s="17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row>
    <row r="74" spans="1:68" ht="21" hidden="1" customHeight="1" x14ac:dyDescent="0.3">
      <c r="A74" s="290"/>
      <c r="B74" s="272"/>
      <c r="C74" s="272"/>
      <c r="D74" s="272"/>
      <c r="E74" s="272"/>
      <c r="F74" s="272"/>
      <c r="G74" s="275"/>
      <c r="H74" s="315"/>
      <c r="I74" s="309"/>
      <c r="J74" s="318"/>
      <c r="K74" s="309">
        <f>IF(NOT(ISERROR(MATCH(J74,_xlfn.ANCHORARRAY(E85),0))),I87&amp;"Por favor no seleccionar los criterios de impacto",J74)</f>
        <v>0</v>
      </c>
      <c r="L74" s="315"/>
      <c r="M74" s="309"/>
      <c r="N74" s="312"/>
      <c r="O74" s="184">
        <v>2</v>
      </c>
      <c r="P74" s="164"/>
      <c r="Q74" s="185" t="str">
        <f>IF(OR(R74="Preventivo",R74="Detectivo"),"Probabilidad",IF(R74="Correctivo","Impacto",""))</f>
        <v/>
      </c>
      <c r="R74" s="186"/>
      <c r="S74" s="186"/>
      <c r="T74" s="187" t="str">
        <f t="shared" ref="T74:T78" si="52">IF(AND(R74="Preventivo",S74="Automático"),"50%",IF(AND(R74="Preventivo",S74="Manual"),"40%",IF(AND(R74="Detectivo",S74="Automático"),"40%",IF(AND(R74="Detectivo",S74="Manual"),"30%",IF(AND(R74="Correctivo",S74="Automático"),"35%",IF(AND(R74="Correctivo",S74="Manual"),"25%",""))))))</f>
        <v/>
      </c>
      <c r="U74" s="186"/>
      <c r="V74" s="186"/>
      <c r="W74" s="186"/>
      <c r="X74" s="181" t="str">
        <f>IFERROR(IF(AND(Q73="Probabilidad",Q74="Probabilidad"),(Z73-(+Z73*T74)),IF(Q74="Probabilidad",(I73-(+I73*T74)),IF(Q74="Impacto",Z73,""))),"")</f>
        <v/>
      </c>
      <c r="Y74" s="188" t="str">
        <f t="shared" si="1"/>
        <v/>
      </c>
      <c r="Z74" s="189" t="str">
        <f t="shared" ref="Z74:Z78" si="53">+X74</f>
        <v/>
      </c>
      <c r="AA74" s="188" t="str">
        <f t="shared" si="2"/>
        <v/>
      </c>
      <c r="AB74" s="189" t="str">
        <f>IFERROR(IF(AND(Q73="Impacto",Q74="Impacto"),(AB73-(+AB73*T74)),IF(Q74="Impacto",(M73-(+M73*T74)),IF(Q74="Probabilidad",AB73,""))),"")</f>
        <v/>
      </c>
      <c r="AC74" s="190" t="str">
        <f t="shared" ref="AC74:AC75" si="54">IFERROR(IF(OR(AND(Y74="Muy Baja",AA74="Leve"),AND(Y74="Muy Baja",AA74="Menor"),AND(Y74="Baja",AA74="Leve")),"Bajo",IF(OR(AND(Y74="Muy baja",AA74="Moderado"),AND(Y74="Baja",AA74="Menor"),AND(Y74="Baja",AA74="Moderado"),AND(Y74="Media",AA74="Leve"),AND(Y74="Media",AA74="Menor"),AND(Y74="Media",AA74="Moderado"),AND(Y74="Alta",AA74="Leve"),AND(Y74="Alta",AA74="Menor")),"Moderado",IF(OR(AND(Y74="Muy Baja",AA74="Mayor"),AND(Y74="Baja",AA74="Mayor"),AND(Y74="Media",AA74="Mayor"),AND(Y74="Alta",AA74="Moderado"),AND(Y74="Alta",AA74="Mayor"),AND(Y74="Muy Alta",AA74="Leve"),AND(Y74="Muy Alta",AA74="Menor"),AND(Y74="Muy Alta",AA74="Moderado"),AND(Y74="Muy Alta",AA74="Mayor")),"Alto",IF(OR(AND(Y74="Muy Baja",AA74="Catastrófico"),AND(Y74="Baja",AA74="Catastrófico"),AND(Y74="Media",AA74="Catastrófico"),AND(Y74="Alta",AA74="Catastrófico"),AND(Y74="Muy Alta",AA74="Catastrófico")),"Extremo","")))),"")</f>
        <v/>
      </c>
      <c r="AD74" s="191"/>
      <c r="AE74" s="176"/>
      <c r="AF74" s="177"/>
      <c r="AG74" s="192"/>
      <c r="AH74" s="192"/>
      <c r="AI74" s="176"/>
      <c r="AJ74" s="17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row>
    <row r="75" spans="1:68" ht="21" hidden="1" customHeight="1" x14ac:dyDescent="0.3">
      <c r="A75" s="290"/>
      <c r="B75" s="272"/>
      <c r="C75" s="272"/>
      <c r="D75" s="272"/>
      <c r="E75" s="272"/>
      <c r="F75" s="272"/>
      <c r="G75" s="275"/>
      <c r="H75" s="315"/>
      <c r="I75" s="309"/>
      <c r="J75" s="318"/>
      <c r="K75" s="309">
        <f>IF(NOT(ISERROR(MATCH(J75,_xlfn.ANCHORARRAY(E86),0))),I88&amp;"Por favor no seleccionar los criterios de impacto",J75)</f>
        <v>0</v>
      </c>
      <c r="L75" s="315"/>
      <c r="M75" s="309"/>
      <c r="N75" s="312"/>
      <c r="O75" s="184">
        <v>3</v>
      </c>
      <c r="P75" s="193"/>
      <c r="Q75" s="185" t="str">
        <f>IF(OR(R75="Preventivo",R75="Detectivo"),"Probabilidad",IF(R75="Correctivo","Impacto",""))</f>
        <v/>
      </c>
      <c r="R75" s="186"/>
      <c r="S75" s="186"/>
      <c r="T75" s="187" t="str">
        <f t="shared" si="52"/>
        <v/>
      </c>
      <c r="U75" s="186"/>
      <c r="V75" s="186"/>
      <c r="W75" s="186"/>
      <c r="X75" s="181" t="str">
        <f>IFERROR(IF(AND(Q74="Probabilidad",Q75="Probabilidad"),(Z74-(+Z74*T75)),IF(AND(Q74="Impacto",Q75="Probabilidad"),(Z73-(+Z73*T75)),IF(Q75="Impacto",Z74,""))),"")</f>
        <v/>
      </c>
      <c r="Y75" s="188" t="str">
        <f t="shared" si="1"/>
        <v/>
      </c>
      <c r="Z75" s="189" t="str">
        <f t="shared" si="53"/>
        <v/>
      </c>
      <c r="AA75" s="188" t="str">
        <f t="shared" si="2"/>
        <v/>
      </c>
      <c r="AB75" s="189" t="str">
        <f>IFERROR(IF(AND(Q74="Impacto",Q75="Impacto"),(AB74-(+AB74*T75)),IF(AND(Q74="Probabilidad",Q75="Impacto"),(AB73-(+AB73*T75)),IF(Q75="Probabilidad",AB74,""))),"")</f>
        <v/>
      </c>
      <c r="AC75" s="190" t="str">
        <f t="shared" si="54"/>
        <v/>
      </c>
      <c r="AD75" s="191"/>
      <c r="AE75" s="176"/>
      <c r="AF75" s="177"/>
      <c r="AG75" s="192"/>
      <c r="AH75" s="192"/>
      <c r="AI75" s="176"/>
      <c r="AJ75" s="17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row>
    <row r="76" spans="1:68" ht="21" hidden="1" customHeight="1" x14ac:dyDescent="0.3">
      <c r="A76" s="290"/>
      <c r="B76" s="272"/>
      <c r="C76" s="272"/>
      <c r="D76" s="272"/>
      <c r="E76" s="272"/>
      <c r="F76" s="272"/>
      <c r="G76" s="275"/>
      <c r="H76" s="315"/>
      <c r="I76" s="309"/>
      <c r="J76" s="318"/>
      <c r="K76" s="309">
        <f>IF(NOT(ISERROR(MATCH(J76,_xlfn.ANCHORARRAY(E87),0))),I89&amp;"Por favor no seleccionar los criterios de impacto",J76)</f>
        <v>0</v>
      </c>
      <c r="L76" s="315"/>
      <c r="M76" s="309"/>
      <c r="N76" s="312"/>
      <c r="O76" s="184">
        <v>4</v>
      </c>
      <c r="P76" s="164"/>
      <c r="Q76" s="185" t="str">
        <f t="shared" ref="Q76:Q78" si="55">IF(OR(R76="Preventivo",R76="Detectivo"),"Probabilidad",IF(R76="Correctivo","Impacto",""))</f>
        <v/>
      </c>
      <c r="R76" s="186"/>
      <c r="S76" s="186"/>
      <c r="T76" s="187" t="str">
        <f t="shared" si="52"/>
        <v/>
      </c>
      <c r="U76" s="186"/>
      <c r="V76" s="186"/>
      <c r="W76" s="186"/>
      <c r="X76" s="181" t="str">
        <f t="shared" ref="X76:X78" si="56">IFERROR(IF(AND(Q75="Probabilidad",Q76="Probabilidad"),(Z75-(+Z75*T76)),IF(AND(Q75="Impacto",Q76="Probabilidad"),(Z74-(+Z74*T76)),IF(Q76="Impacto",Z75,""))),"")</f>
        <v/>
      </c>
      <c r="Y76" s="188" t="str">
        <f t="shared" si="1"/>
        <v/>
      </c>
      <c r="Z76" s="189" t="str">
        <f t="shared" si="53"/>
        <v/>
      </c>
      <c r="AA76" s="188" t="str">
        <f t="shared" si="2"/>
        <v/>
      </c>
      <c r="AB76" s="189" t="str">
        <f t="shared" ref="AB76:AB78" si="57">IFERROR(IF(AND(Q75="Impacto",Q76="Impacto"),(AB75-(+AB75*T76)),IF(AND(Q75="Probabilidad",Q76="Impacto"),(AB74-(+AB74*T76)),IF(Q76="Probabilidad",AB75,""))),"")</f>
        <v/>
      </c>
      <c r="AC76" s="190" t="str">
        <f>IFERROR(IF(OR(AND(Y76="Muy Baja",AA76="Leve"),AND(Y76="Muy Baja",AA76="Menor"),AND(Y76="Baja",AA76="Leve")),"Bajo",IF(OR(AND(Y76="Muy baja",AA76="Moderado"),AND(Y76="Baja",AA76="Menor"),AND(Y76="Baja",AA76="Moderado"),AND(Y76="Media",AA76="Leve"),AND(Y76="Media",AA76="Menor"),AND(Y76="Media",AA76="Moderado"),AND(Y76="Alta",AA76="Leve"),AND(Y76="Alta",AA76="Menor")),"Moderado",IF(OR(AND(Y76="Muy Baja",AA76="Mayor"),AND(Y76="Baja",AA76="Mayor"),AND(Y76="Media",AA76="Mayor"),AND(Y76="Alta",AA76="Moderado"),AND(Y76="Alta",AA76="Mayor"),AND(Y76="Muy Alta",AA76="Leve"),AND(Y76="Muy Alta",AA76="Menor"),AND(Y76="Muy Alta",AA76="Moderado"),AND(Y76="Muy Alta",AA76="Mayor")),"Alto",IF(OR(AND(Y76="Muy Baja",AA76="Catastrófico"),AND(Y76="Baja",AA76="Catastrófico"),AND(Y76="Media",AA76="Catastrófico"),AND(Y76="Alta",AA76="Catastrófico"),AND(Y76="Muy Alta",AA76="Catastrófico")),"Extremo","")))),"")</f>
        <v/>
      </c>
      <c r="AD76" s="191"/>
      <c r="AE76" s="176"/>
      <c r="AF76" s="177"/>
      <c r="AG76" s="192"/>
      <c r="AH76" s="192"/>
      <c r="AI76" s="176"/>
      <c r="AJ76" s="17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row>
    <row r="77" spans="1:68" ht="21" hidden="1" customHeight="1" x14ac:dyDescent="0.3">
      <c r="A77" s="290"/>
      <c r="B77" s="272"/>
      <c r="C77" s="272"/>
      <c r="D77" s="272"/>
      <c r="E77" s="272"/>
      <c r="F77" s="272"/>
      <c r="G77" s="275"/>
      <c r="H77" s="315"/>
      <c r="I77" s="309"/>
      <c r="J77" s="318"/>
      <c r="K77" s="309">
        <f>IF(NOT(ISERROR(MATCH(J77,_xlfn.ANCHORARRAY(E88),0))),I90&amp;"Por favor no seleccionar los criterios de impacto",J77)</f>
        <v>0</v>
      </c>
      <c r="L77" s="315"/>
      <c r="M77" s="309"/>
      <c r="N77" s="312"/>
      <c r="O77" s="184">
        <v>5</v>
      </c>
      <c r="P77" s="164"/>
      <c r="Q77" s="185" t="str">
        <f t="shared" si="55"/>
        <v/>
      </c>
      <c r="R77" s="186"/>
      <c r="S77" s="186"/>
      <c r="T77" s="187" t="str">
        <f t="shared" si="52"/>
        <v/>
      </c>
      <c r="U77" s="186"/>
      <c r="V77" s="186"/>
      <c r="W77" s="186"/>
      <c r="X77" s="181" t="str">
        <f t="shared" si="56"/>
        <v/>
      </c>
      <c r="Y77" s="188" t="str">
        <f t="shared" si="1"/>
        <v/>
      </c>
      <c r="Z77" s="189" t="str">
        <f t="shared" si="53"/>
        <v/>
      </c>
      <c r="AA77" s="188" t="str">
        <f t="shared" si="2"/>
        <v/>
      </c>
      <c r="AB77" s="189" t="str">
        <f t="shared" si="57"/>
        <v/>
      </c>
      <c r="AC77" s="190" t="str">
        <f t="shared" ref="AC77:AC78" si="58">IFERROR(IF(OR(AND(Y77="Muy Baja",AA77="Leve"),AND(Y77="Muy Baja",AA77="Menor"),AND(Y77="Baja",AA77="Leve")),"Bajo",IF(OR(AND(Y77="Muy baja",AA77="Moderado"),AND(Y77="Baja",AA77="Menor"),AND(Y77="Baja",AA77="Moderado"),AND(Y77="Media",AA77="Leve"),AND(Y77="Media",AA77="Menor"),AND(Y77="Media",AA77="Moderado"),AND(Y77="Alta",AA77="Leve"),AND(Y77="Alta",AA77="Menor")),"Moderado",IF(OR(AND(Y77="Muy Baja",AA77="Mayor"),AND(Y77="Baja",AA77="Mayor"),AND(Y77="Media",AA77="Mayor"),AND(Y77="Alta",AA77="Moderado"),AND(Y77="Alta",AA77="Mayor"),AND(Y77="Muy Alta",AA77="Leve"),AND(Y77="Muy Alta",AA77="Menor"),AND(Y77="Muy Alta",AA77="Moderado"),AND(Y77="Muy Alta",AA77="Mayor")),"Alto",IF(OR(AND(Y77="Muy Baja",AA77="Catastrófico"),AND(Y77="Baja",AA77="Catastrófico"),AND(Y77="Media",AA77="Catastrófico"),AND(Y77="Alta",AA77="Catastrófico"),AND(Y77="Muy Alta",AA77="Catastrófico")),"Extremo","")))),"")</f>
        <v/>
      </c>
      <c r="AD77" s="191"/>
      <c r="AE77" s="176"/>
      <c r="AF77" s="177"/>
      <c r="AG77" s="192"/>
      <c r="AH77" s="192"/>
      <c r="AI77" s="176"/>
      <c r="AJ77" s="17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row>
    <row r="78" spans="1:68" ht="21" hidden="1" customHeight="1" x14ac:dyDescent="0.3">
      <c r="A78" s="291"/>
      <c r="B78" s="273"/>
      <c r="C78" s="273"/>
      <c r="D78" s="273"/>
      <c r="E78" s="273"/>
      <c r="F78" s="273"/>
      <c r="G78" s="276"/>
      <c r="H78" s="316"/>
      <c r="I78" s="310"/>
      <c r="J78" s="319"/>
      <c r="K78" s="310">
        <f>IF(NOT(ISERROR(MATCH(J78,_xlfn.ANCHORARRAY(E89),0))),I91&amp;"Por favor no seleccionar los criterios de impacto",J78)</f>
        <v>0</v>
      </c>
      <c r="L78" s="316"/>
      <c r="M78" s="310"/>
      <c r="N78" s="313"/>
      <c r="O78" s="184">
        <v>6</v>
      </c>
      <c r="P78" s="164"/>
      <c r="Q78" s="185" t="str">
        <f t="shared" si="55"/>
        <v/>
      </c>
      <c r="R78" s="186"/>
      <c r="S78" s="186"/>
      <c r="T78" s="187" t="str">
        <f t="shared" si="52"/>
        <v/>
      </c>
      <c r="U78" s="186"/>
      <c r="V78" s="186"/>
      <c r="W78" s="186"/>
      <c r="X78" s="181" t="str">
        <f t="shared" si="56"/>
        <v/>
      </c>
      <c r="Y78" s="188" t="str">
        <f t="shared" si="1"/>
        <v/>
      </c>
      <c r="Z78" s="189" t="str">
        <f t="shared" si="53"/>
        <v/>
      </c>
      <c r="AA78" s="188" t="str">
        <f t="shared" si="2"/>
        <v/>
      </c>
      <c r="AB78" s="189" t="str">
        <f t="shared" si="57"/>
        <v/>
      </c>
      <c r="AC78" s="190" t="str">
        <f t="shared" si="58"/>
        <v/>
      </c>
      <c r="AD78" s="191"/>
      <c r="AE78" s="176"/>
      <c r="AF78" s="177"/>
      <c r="AG78" s="192"/>
      <c r="AH78" s="192"/>
      <c r="AI78" s="176"/>
      <c r="AJ78" s="17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row>
    <row r="79" spans="1:68" ht="21" hidden="1" customHeight="1" x14ac:dyDescent="0.3">
      <c r="A79" s="289">
        <v>10</v>
      </c>
      <c r="B79" s="271"/>
      <c r="C79" s="271"/>
      <c r="D79" s="271"/>
      <c r="E79" s="271"/>
      <c r="F79" s="271"/>
      <c r="G79" s="274"/>
      <c r="H79" s="314" t="str">
        <f>IF(G79&lt;=0,"",IF(G79&lt;=2,"Muy Baja",IF(G79&lt;=24,"Baja",IF(G79&lt;=500,"Media",IF(G79&lt;=5000,"Alta","Muy Alta")))))</f>
        <v/>
      </c>
      <c r="I79" s="308" t="str">
        <f>IF(H79="","",IF(H79="Muy Baja",0.2,IF(H79="Baja",0.4,IF(H79="Media",0.6,IF(H79="Alta",0.8,IF(H79="Muy Alta",1,))))))</f>
        <v/>
      </c>
      <c r="J79" s="317"/>
      <c r="K79" s="308">
        <f>IF(NOT(ISERROR(MATCH(J79,'Tabla Impacto'!$B$221:$B$223,0))),'Tabla Impacto'!$F$223&amp;"Por favor no seleccionar los criterios de impacto(Afectación Económica o presupuestal y Pérdida Reputacional)",J79)</f>
        <v>0</v>
      </c>
      <c r="L79" s="314" t="str">
        <f>IF(OR(K79='Tabla Impacto'!$C$11,K79='Tabla Impacto'!$D$11),"Leve",IF(OR(K79='Tabla Impacto'!$C$12,K79='Tabla Impacto'!$D$12),"Menor",IF(OR(K79='Tabla Impacto'!$C$13,K79='Tabla Impacto'!$D$13),"Moderado",IF(OR(K79='Tabla Impacto'!$C$14,K79='Tabla Impacto'!$D$14),"Mayor",IF(OR(K79='Tabla Impacto'!$C$15,K79='Tabla Impacto'!$D$15),"Catastrófico","")))))</f>
        <v/>
      </c>
      <c r="M79" s="308" t="str">
        <f>IF(L79="","",IF(L79="Leve",0.2,IF(L79="Menor",0.4,IF(L79="Moderado",0.6,IF(L79="Mayor",0.8,IF(L79="Catastrófico",1,))))))</f>
        <v/>
      </c>
      <c r="N79" s="311" t="str">
        <f>IF(OR(AND(H79="Muy Baja",L79="Leve"),AND(H79="Muy Baja",L79="Menor"),AND(H79="Baja",L79="Leve")),"Bajo",IF(OR(AND(H79="Muy baja",L79="Moderado"),AND(H79="Baja",L79="Menor"),AND(H79="Baja",L79="Moderado"),AND(H79="Media",L79="Leve"),AND(H79="Media",L79="Menor"),AND(H79="Media",L79="Moderado"),AND(H79="Alta",L79="Leve"),AND(H79="Alta",L79="Menor")),"Moderado",IF(OR(AND(H79="Muy Baja",L79="Mayor"),AND(H79="Baja",L79="Mayor"),AND(H79="Media",L79="Mayor"),AND(H79="Alta",L79="Moderado"),AND(H79="Alta",L79="Mayor"),AND(H79="Muy Alta",L79="Leve"),AND(H79="Muy Alta",L79="Menor"),AND(H79="Muy Alta",L79="Moderado"),AND(H79="Muy Alta",L79="Mayor")),"Alto",IF(OR(AND(H79="Muy Baja",L79="Catastrófico"),AND(H79="Baja",L79="Catastrófico"),AND(H79="Media",L79="Catastrófico"),AND(H79="Alta",L79="Catastrófico"),AND(H79="Muy Alta",L79="Catastrófico")),"Extremo",""))))</f>
        <v/>
      </c>
      <c r="O79" s="184">
        <v>1</v>
      </c>
      <c r="P79" s="164"/>
      <c r="Q79" s="185" t="str">
        <f>IF(OR(R79="Preventivo",R79="Detectivo"),"Probabilidad",IF(R79="Correctivo","Impacto",""))</f>
        <v/>
      </c>
      <c r="R79" s="186"/>
      <c r="S79" s="186"/>
      <c r="T79" s="187" t="str">
        <f>IF(AND(R79="Preventivo",S79="Automático"),"50%",IF(AND(R79="Preventivo",S79="Manual"),"40%",IF(AND(R79="Detectivo",S79="Automático"),"40%",IF(AND(R79="Detectivo",S79="Manual"),"30%",IF(AND(R79="Correctivo",S79="Automático"),"35%",IF(AND(R79="Correctivo",S79="Manual"),"25%",""))))))</f>
        <v/>
      </c>
      <c r="U79" s="186"/>
      <c r="V79" s="186"/>
      <c r="W79" s="186"/>
      <c r="X79" s="181" t="str">
        <f>IFERROR(IF(Q79="Probabilidad",(I79-(+I79*T79)),IF(Q79="Impacto",I79,"")),"")</f>
        <v/>
      </c>
      <c r="Y79" s="188" t="str">
        <f>IFERROR(IF(X79="","",IF(X79&lt;=0.2,"Muy Baja",IF(X79&lt;=0.4,"Baja",IF(X79&lt;=0.6,"Media",IF(X79&lt;=0.8,"Alta","Muy Alta"))))),"")</f>
        <v/>
      </c>
      <c r="Z79" s="189" t="str">
        <f>+X79</f>
        <v/>
      </c>
      <c r="AA79" s="188" t="str">
        <f>IFERROR(IF(AB79="","",IF(AB79&lt;=0.2,"Leve",IF(AB79&lt;=0.4,"Menor",IF(AB79&lt;=0.6,"Moderado",IF(AB79&lt;=0.8,"Mayor","Catastrófico"))))),"")</f>
        <v/>
      </c>
      <c r="AB79" s="189" t="str">
        <f>IFERROR(IF(Q79="Impacto",(M79-(+M79*T79)),IF(Q79="Probabilidad",M79,"")),"")</f>
        <v/>
      </c>
      <c r="AC79" s="190" t="str">
        <f>IFERROR(IF(OR(AND(Y79="Muy Baja",AA79="Leve"),AND(Y79="Muy Baja",AA79="Menor"),AND(Y79="Baja",AA79="Leve")),"Bajo",IF(OR(AND(Y79="Muy baja",AA79="Moderado"),AND(Y79="Baja",AA79="Menor"),AND(Y79="Baja",AA79="Moderado"),AND(Y79="Media",AA79="Leve"),AND(Y79="Media",AA79="Menor"),AND(Y79="Media",AA79="Moderado"),AND(Y79="Alta",AA79="Leve"),AND(Y79="Alta",AA79="Menor")),"Moderado",IF(OR(AND(Y79="Muy Baja",AA79="Mayor"),AND(Y79="Baja",AA79="Mayor"),AND(Y79="Media",AA79="Mayor"),AND(Y79="Alta",AA79="Moderado"),AND(Y79="Alta",AA79="Mayor"),AND(Y79="Muy Alta",AA79="Leve"),AND(Y79="Muy Alta",AA79="Menor"),AND(Y79="Muy Alta",AA79="Moderado"),AND(Y79="Muy Alta",AA79="Mayor")),"Alto",IF(OR(AND(Y79="Muy Baja",AA79="Catastrófico"),AND(Y79="Baja",AA79="Catastrófico"),AND(Y79="Media",AA79="Catastrófico"),AND(Y79="Alta",AA79="Catastrófico"),AND(Y79="Muy Alta",AA79="Catastrófico")),"Extremo","")))),"")</f>
        <v/>
      </c>
      <c r="AD79" s="191"/>
      <c r="AE79" s="176"/>
      <c r="AF79" s="177"/>
      <c r="AG79" s="192"/>
      <c r="AH79" s="192"/>
      <c r="AI79" s="176"/>
      <c r="AJ79" s="17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row>
    <row r="80" spans="1:68" ht="21" hidden="1" customHeight="1" x14ac:dyDescent="0.3">
      <c r="A80" s="290"/>
      <c r="B80" s="272"/>
      <c r="C80" s="272"/>
      <c r="D80" s="272"/>
      <c r="E80" s="272"/>
      <c r="F80" s="272"/>
      <c r="G80" s="275"/>
      <c r="H80" s="315"/>
      <c r="I80" s="309"/>
      <c r="J80" s="318"/>
      <c r="K80" s="309">
        <f>IF(NOT(ISERROR(MATCH(J80,_xlfn.ANCHORARRAY(E91),0))),I93&amp;"Por favor no seleccionar los criterios de impacto",J80)</f>
        <v>0</v>
      </c>
      <c r="L80" s="315"/>
      <c r="M80" s="309"/>
      <c r="N80" s="312"/>
      <c r="O80" s="184">
        <v>2</v>
      </c>
      <c r="P80" s="164"/>
      <c r="Q80" s="185" t="str">
        <f>IF(OR(R80="Preventivo",R80="Detectivo"),"Probabilidad",IF(R80="Correctivo","Impacto",""))</f>
        <v/>
      </c>
      <c r="R80" s="186"/>
      <c r="S80" s="186"/>
      <c r="T80" s="187" t="str">
        <f t="shared" ref="T80:T84" si="59">IF(AND(R80="Preventivo",S80="Automático"),"50%",IF(AND(R80="Preventivo",S80="Manual"),"40%",IF(AND(R80="Detectivo",S80="Automático"),"40%",IF(AND(R80="Detectivo",S80="Manual"),"30%",IF(AND(R80="Correctivo",S80="Automático"),"35%",IF(AND(R80="Correctivo",S80="Manual"),"25%",""))))))</f>
        <v/>
      </c>
      <c r="U80" s="186"/>
      <c r="V80" s="186"/>
      <c r="W80" s="186"/>
      <c r="X80" s="181" t="str">
        <f>IFERROR(IF(AND(Q79="Probabilidad",Q80="Probabilidad"),(Z79-(+Z79*T80)),IF(Q80="Probabilidad",(I79-(+I79*T80)),IF(Q80="Impacto",Z79,""))),"")</f>
        <v/>
      </c>
      <c r="Y80" s="188" t="str">
        <f t="shared" si="1"/>
        <v/>
      </c>
      <c r="Z80" s="189" t="str">
        <f t="shared" ref="Z80:Z84" si="60">+X80</f>
        <v/>
      </c>
      <c r="AA80" s="188" t="str">
        <f t="shared" si="2"/>
        <v/>
      </c>
      <c r="AB80" s="189" t="str">
        <f>IFERROR(IF(AND(Q79="Impacto",Q80="Impacto"),(AB79-(+AB79*T80)),IF(Q80="Impacto",(M79-(+M79*T80)),IF(Q80="Probabilidad",AB79,""))),"")</f>
        <v/>
      </c>
      <c r="AC80" s="190" t="str">
        <f t="shared" ref="AC80:AC81" si="61">IFERROR(IF(OR(AND(Y80="Muy Baja",AA80="Leve"),AND(Y80="Muy Baja",AA80="Menor"),AND(Y80="Baja",AA80="Leve")),"Bajo",IF(OR(AND(Y80="Muy baja",AA80="Moderado"),AND(Y80="Baja",AA80="Menor"),AND(Y80="Baja",AA80="Moderado"),AND(Y80="Media",AA80="Leve"),AND(Y80="Media",AA80="Menor"),AND(Y80="Media",AA80="Moderado"),AND(Y80="Alta",AA80="Leve"),AND(Y80="Alta",AA80="Menor")),"Moderado",IF(OR(AND(Y80="Muy Baja",AA80="Mayor"),AND(Y80="Baja",AA80="Mayor"),AND(Y80="Media",AA80="Mayor"),AND(Y80="Alta",AA80="Moderado"),AND(Y80="Alta",AA80="Mayor"),AND(Y80="Muy Alta",AA80="Leve"),AND(Y80="Muy Alta",AA80="Menor"),AND(Y80="Muy Alta",AA80="Moderado"),AND(Y80="Muy Alta",AA80="Mayor")),"Alto",IF(OR(AND(Y80="Muy Baja",AA80="Catastrófico"),AND(Y80="Baja",AA80="Catastrófico"),AND(Y80="Media",AA80="Catastrófico"),AND(Y80="Alta",AA80="Catastrófico"),AND(Y80="Muy Alta",AA80="Catastrófico")),"Extremo","")))),"")</f>
        <v/>
      </c>
      <c r="AD80" s="191"/>
      <c r="AE80" s="176"/>
      <c r="AF80" s="177"/>
      <c r="AG80" s="192"/>
      <c r="AH80" s="192"/>
      <c r="AI80" s="176"/>
      <c r="AJ80" s="177"/>
    </row>
    <row r="81" spans="1:36" ht="21" hidden="1" customHeight="1" x14ac:dyDescent="0.3">
      <c r="A81" s="290"/>
      <c r="B81" s="272"/>
      <c r="C81" s="272"/>
      <c r="D81" s="272"/>
      <c r="E81" s="272"/>
      <c r="F81" s="272"/>
      <c r="G81" s="275"/>
      <c r="H81" s="315"/>
      <c r="I81" s="309"/>
      <c r="J81" s="318"/>
      <c r="K81" s="309">
        <f>IF(NOT(ISERROR(MATCH(J81,_xlfn.ANCHORARRAY(E92),0))),I94&amp;"Por favor no seleccionar los criterios de impacto",J81)</f>
        <v>0</v>
      </c>
      <c r="L81" s="315"/>
      <c r="M81" s="309"/>
      <c r="N81" s="312"/>
      <c r="O81" s="184">
        <v>3</v>
      </c>
      <c r="P81" s="193"/>
      <c r="Q81" s="185" t="str">
        <f>IF(OR(R81="Preventivo",R81="Detectivo"),"Probabilidad",IF(R81="Correctivo","Impacto",""))</f>
        <v/>
      </c>
      <c r="R81" s="186"/>
      <c r="S81" s="186"/>
      <c r="T81" s="187" t="str">
        <f t="shared" si="59"/>
        <v/>
      </c>
      <c r="U81" s="186"/>
      <c r="V81" s="186"/>
      <c r="W81" s="186"/>
      <c r="X81" s="181" t="str">
        <f>IFERROR(IF(AND(Q80="Probabilidad",Q81="Probabilidad"),(Z80-(+Z80*T81)),IF(AND(Q80="Impacto",Q81="Probabilidad"),(Z79-(+Z79*T81)),IF(Q81="Impacto",Z80,""))),"")</f>
        <v/>
      </c>
      <c r="Y81" s="188" t="str">
        <f t="shared" si="1"/>
        <v/>
      </c>
      <c r="Z81" s="189" t="str">
        <f t="shared" si="60"/>
        <v/>
      </c>
      <c r="AA81" s="188" t="str">
        <f t="shared" si="2"/>
        <v/>
      </c>
      <c r="AB81" s="189" t="str">
        <f>IFERROR(IF(AND(Q80="Impacto",Q81="Impacto"),(AB80-(+AB80*T81)),IF(AND(Q80="Probabilidad",Q81="Impacto"),(AB79-(+AB79*T81)),IF(Q81="Probabilidad",AB80,""))),"")</f>
        <v/>
      </c>
      <c r="AC81" s="190" t="str">
        <f t="shared" si="61"/>
        <v/>
      </c>
      <c r="AD81" s="191"/>
      <c r="AE81" s="176"/>
      <c r="AF81" s="177"/>
      <c r="AG81" s="192"/>
      <c r="AH81" s="192"/>
      <c r="AI81" s="176"/>
      <c r="AJ81" s="177"/>
    </row>
    <row r="82" spans="1:36" ht="21" hidden="1" customHeight="1" x14ac:dyDescent="0.3">
      <c r="A82" s="290"/>
      <c r="B82" s="272"/>
      <c r="C82" s="272"/>
      <c r="D82" s="272"/>
      <c r="E82" s="272"/>
      <c r="F82" s="272"/>
      <c r="G82" s="275"/>
      <c r="H82" s="315"/>
      <c r="I82" s="309"/>
      <c r="J82" s="318"/>
      <c r="K82" s="309">
        <f>IF(NOT(ISERROR(MATCH(J82,_xlfn.ANCHORARRAY(E93),0))),I95&amp;"Por favor no seleccionar los criterios de impacto",J82)</f>
        <v>0</v>
      </c>
      <c r="L82" s="315"/>
      <c r="M82" s="309"/>
      <c r="N82" s="312"/>
      <c r="O82" s="184">
        <v>4</v>
      </c>
      <c r="P82" s="164"/>
      <c r="Q82" s="185" t="str">
        <f t="shared" ref="Q82:Q84" si="62">IF(OR(R82="Preventivo",R82="Detectivo"),"Probabilidad",IF(R82="Correctivo","Impacto",""))</f>
        <v/>
      </c>
      <c r="R82" s="186"/>
      <c r="S82" s="186"/>
      <c r="T82" s="187" t="str">
        <f t="shared" si="59"/>
        <v/>
      </c>
      <c r="U82" s="186"/>
      <c r="V82" s="186"/>
      <c r="W82" s="186"/>
      <c r="X82" s="181" t="str">
        <f t="shared" ref="X82:X84" si="63">IFERROR(IF(AND(Q81="Probabilidad",Q82="Probabilidad"),(Z81-(+Z81*T82)),IF(AND(Q81="Impacto",Q82="Probabilidad"),(Z80-(+Z80*T82)),IF(Q82="Impacto",Z81,""))),"")</f>
        <v/>
      </c>
      <c r="Y82" s="188" t="str">
        <f t="shared" si="1"/>
        <v/>
      </c>
      <c r="Z82" s="189" t="str">
        <f t="shared" si="60"/>
        <v/>
      </c>
      <c r="AA82" s="188" t="str">
        <f t="shared" si="2"/>
        <v/>
      </c>
      <c r="AB82" s="189" t="str">
        <f t="shared" ref="AB82:AB84" si="64">IFERROR(IF(AND(Q81="Impacto",Q82="Impacto"),(AB81-(+AB81*T82)),IF(AND(Q81="Probabilidad",Q82="Impacto"),(AB80-(+AB80*T82)),IF(Q82="Probabilidad",AB81,""))),"")</f>
        <v/>
      </c>
      <c r="AC82" s="190" t="str">
        <f>IFERROR(IF(OR(AND(Y82="Muy Baja",AA82="Leve"),AND(Y82="Muy Baja",AA82="Menor"),AND(Y82="Baja",AA82="Leve")),"Bajo",IF(OR(AND(Y82="Muy baja",AA82="Moderado"),AND(Y82="Baja",AA82="Menor"),AND(Y82="Baja",AA82="Moderado"),AND(Y82="Media",AA82="Leve"),AND(Y82="Media",AA82="Menor"),AND(Y82="Media",AA82="Moderado"),AND(Y82="Alta",AA82="Leve"),AND(Y82="Alta",AA82="Menor")),"Moderado",IF(OR(AND(Y82="Muy Baja",AA82="Mayor"),AND(Y82="Baja",AA82="Mayor"),AND(Y82="Media",AA82="Mayor"),AND(Y82="Alta",AA82="Moderado"),AND(Y82="Alta",AA82="Mayor"),AND(Y82="Muy Alta",AA82="Leve"),AND(Y82="Muy Alta",AA82="Menor"),AND(Y82="Muy Alta",AA82="Moderado"),AND(Y82="Muy Alta",AA82="Mayor")),"Alto",IF(OR(AND(Y82="Muy Baja",AA82="Catastrófico"),AND(Y82="Baja",AA82="Catastrófico"),AND(Y82="Media",AA82="Catastrófico"),AND(Y82="Alta",AA82="Catastrófico"),AND(Y82="Muy Alta",AA82="Catastrófico")),"Extremo","")))),"")</f>
        <v/>
      </c>
      <c r="AD82" s="191"/>
      <c r="AE82" s="176"/>
      <c r="AF82" s="177"/>
      <c r="AG82" s="192"/>
      <c r="AH82" s="192"/>
      <c r="AI82" s="176"/>
      <c r="AJ82" s="177"/>
    </row>
    <row r="83" spans="1:36" ht="21" hidden="1" customHeight="1" x14ac:dyDescent="0.3">
      <c r="A83" s="290"/>
      <c r="B83" s="272"/>
      <c r="C83" s="272"/>
      <c r="D83" s="272"/>
      <c r="E83" s="272"/>
      <c r="F83" s="272"/>
      <c r="G83" s="275"/>
      <c r="H83" s="315"/>
      <c r="I83" s="309"/>
      <c r="J83" s="318"/>
      <c r="K83" s="309">
        <f>IF(NOT(ISERROR(MATCH(J83,_xlfn.ANCHORARRAY(E94),0))),I96&amp;"Por favor no seleccionar los criterios de impacto",J83)</f>
        <v>0</v>
      </c>
      <c r="L83" s="315"/>
      <c r="M83" s="309"/>
      <c r="N83" s="312"/>
      <c r="O83" s="184">
        <v>5</v>
      </c>
      <c r="P83" s="164"/>
      <c r="Q83" s="185" t="str">
        <f t="shared" si="62"/>
        <v/>
      </c>
      <c r="R83" s="186"/>
      <c r="S83" s="186"/>
      <c r="T83" s="187" t="str">
        <f t="shared" si="59"/>
        <v/>
      </c>
      <c r="U83" s="186"/>
      <c r="V83" s="186"/>
      <c r="W83" s="186"/>
      <c r="X83" s="181" t="str">
        <f t="shared" si="63"/>
        <v/>
      </c>
      <c r="Y83" s="188" t="str">
        <f t="shared" si="1"/>
        <v/>
      </c>
      <c r="Z83" s="189" t="str">
        <f t="shared" si="60"/>
        <v/>
      </c>
      <c r="AA83" s="188" t="str">
        <f t="shared" si="2"/>
        <v/>
      </c>
      <c r="AB83" s="189" t="str">
        <f t="shared" si="64"/>
        <v/>
      </c>
      <c r="AC83" s="190" t="str">
        <f t="shared" ref="AC83:AC84" si="65">IFERROR(IF(OR(AND(Y83="Muy Baja",AA83="Leve"),AND(Y83="Muy Baja",AA83="Menor"),AND(Y83="Baja",AA83="Leve")),"Bajo",IF(OR(AND(Y83="Muy baja",AA83="Moderado"),AND(Y83="Baja",AA83="Menor"),AND(Y83="Baja",AA83="Moderado"),AND(Y83="Media",AA83="Leve"),AND(Y83="Media",AA83="Menor"),AND(Y83="Media",AA83="Moderado"),AND(Y83="Alta",AA83="Leve"),AND(Y83="Alta",AA83="Menor")),"Moderado",IF(OR(AND(Y83="Muy Baja",AA83="Mayor"),AND(Y83="Baja",AA83="Mayor"),AND(Y83="Media",AA83="Mayor"),AND(Y83="Alta",AA83="Moderado"),AND(Y83="Alta",AA83="Mayor"),AND(Y83="Muy Alta",AA83="Leve"),AND(Y83="Muy Alta",AA83="Menor"),AND(Y83="Muy Alta",AA83="Moderado"),AND(Y83="Muy Alta",AA83="Mayor")),"Alto",IF(OR(AND(Y83="Muy Baja",AA83="Catastrófico"),AND(Y83="Baja",AA83="Catastrófico"),AND(Y83="Media",AA83="Catastrófico"),AND(Y83="Alta",AA83="Catastrófico"),AND(Y83="Muy Alta",AA83="Catastrófico")),"Extremo","")))),"")</f>
        <v/>
      </c>
      <c r="AD83" s="191"/>
      <c r="AE83" s="176"/>
      <c r="AF83" s="177"/>
      <c r="AG83" s="192"/>
      <c r="AH83" s="192"/>
      <c r="AI83" s="176"/>
      <c r="AJ83" s="177"/>
    </row>
    <row r="84" spans="1:36" ht="21" hidden="1" customHeight="1" x14ac:dyDescent="0.3">
      <c r="A84" s="291"/>
      <c r="B84" s="273"/>
      <c r="C84" s="273"/>
      <c r="D84" s="273"/>
      <c r="E84" s="273"/>
      <c r="F84" s="273"/>
      <c r="G84" s="276"/>
      <c r="H84" s="316"/>
      <c r="I84" s="310"/>
      <c r="J84" s="319"/>
      <c r="K84" s="310">
        <f>IF(NOT(ISERROR(MATCH(J84,_xlfn.ANCHORARRAY(E95),0))),I97&amp;"Por favor no seleccionar los criterios de impacto",J84)</f>
        <v>0</v>
      </c>
      <c r="L84" s="316"/>
      <c r="M84" s="310"/>
      <c r="N84" s="313"/>
      <c r="O84" s="184">
        <v>6</v>
      </c>
      <c r="P84" s="164"/>
      <c r="Q84" s="185" t="str">
        <f t="shared" si="62"/>
        <v/>
      </c>
      <c r="R84" s="186"/>
      <c r="S84" s="186"/>
      <c r="T84" s="187" t="str">
        <f t="shared" si="59"/>
        <v/>
      </c>
      <c r="U84" s="186"/>
      <c r="V84" s="186"/>
      <c r="W84" s="186"/>
      <c r="X84" s="181" t="str">
        <f t="shared" si="63"/>
        <v/>
      </c>
      <c r="Y84" s="188" t="str">
        <f t="shared" si="1"/>
        <v/>
      </c>
      <c r="Z84" s="189" t="str">
        <f t="shared" si="60"/>
        <v/>
      </c>
      <c r="AA84" s="188" t="str">
        <f t="shared" si="2"/>
        <v/>
      </c>
      <c r="AB84" s="189" t="str">
        <f t="shared" si="64"/>
        <v/>
      </c>
      <c r="AC84" s="190" t="str">
        <f t="shared" si="65"/>
        <v/>
      </c>
      <c r="AD84" s="191"/>
      <c r="AE84" s="176"/>
      <c r="AF84" s="177"/>
      <c r="AG84" s="192"/>
      <c r="AH84" s="192"/>
      <c r="AI84" s="176"/>
      <c r="AJ84" s="177"/>
    </row>
    <row r="85" spans="1:36" ht="21" customHeight="1" x14ac:dyDescent="0.3">
      <c r="A85" s="163"/>
      <c r="B85" s="305" t="s">
        <v>145</v>
      </c>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7"/>
    </row>
    <row r="87" spans="1:36" x14ac:dyDescent="0.3">
      <c r="A87" s="3"/>
      <c r="B87" s="23"/>
      <c r="C87" s="1"/>
      <c r="D87" s="1"/>
      <c r="F87" s="1"/>
    </row>
  </sheetData>
  <dataConsolidate/>
  <mergeCells count="261">
    <mergeCell ref="A1:AE5"/>
    <mergeCell ref="W10:AB10"/>
    <mergeCell ref="W14:AB14"/>
    <mergeCell ref="A15:J15"/>
    <mergeCell ref="N7:S7"/>
    <mergeCell ref="W9:AB9"/>
    <mergeCell ref="P8:S8"/>
    <mergeCell ref="P9:S9"/>
    <mergeCell ref="P10:S10"/>
    <mergeCell ref="P11:S11"/>
    <mergeCell ref="P12:S12"/>
    <mergeCell ref="P14:S14"/>
    <mergeCell ref="P13:S13"/>
    <mergeCell ref="A19:B19"/>
    <mergeCell ref="A20:B20"/>
    <mergeCell ref="A21:B21"/>
    <mergeCell ref="A23:A24"/>
    <mergeCell ref="F23:F24"/>
    <mergeCell ref="E23:E24"/>
    <mergeCell ref="D23:D24"/>
    <mergeCell ref="C23:C24"/>
    <mergeCell ref="AD23:AD24"/>
    <mergeCell ref="C20:N20"/>
    <mergeCell ref="C21:N21"/>
    <mergeCell ref="O23:O24"/>
    <mergeCell ref="AC23:AC24"/>
    <mergeCell ref="AB23:AB24"/>
    <mergeCell ref="X23:X24"/>
    <mergeCell ref="P23:P24"/>
    <mergeCell ref="AA23:AA24"/>
    <mergeCell ref="Y23:Y24"/>
    <mergeCell ref="Z23:Z24"/>
    <mergeCell ref="G23:G24"/>
    <mergeCell ref="H23:H24"/>
    <mergeCell ref="I23:I24"/>
    <mergeCell ref="L23:L24"/>
    <mergeCell ref="M23:M24"/>
    <mergeCell ref="A31:A36"/>
    <mergeCell ref="B31:B36"/>
    <mergeCell ref="D31:D36"/>
    <mergeCell ref="E31:E36"/>
    <mergeCell ref="AE23:AE24"/>
    <mergeCell ref="AJ23:AJ24"/>
    <mergeCell ref="AI23:AI24"/>
    <mergeCell ref="AH23:AH24"/>
    <mergeCell ref="AG23:AG24"/>
    <mergeCell ref="AF23:AF24"/>
    <mergeCell ref="B23:B24"/>
    <mergeCell ref="N23:N24"/>
    <mergeCell ref="J23:J24"/>
    <mergeCell ref="K23:K24"/>
    <mergeCell ref="Q23:Q24"/>
    <mergeCell ref="R23:W23"/>
    <mergeCell ref="A25:A30"/>
    <mergeCell ref="B25:B30"/>
    <mergeCell ref="D25:D30"/>
    <mergeCell ref="E25:E30"/>
    <mergeCell ref="N25:N30"/>
    <mergeCell ref="I25:I30"/>
    <mergeCell ref="J25:J30"/>
    <mergeCell ref="K25:K30"/>
    <mergeCell ref="I37:I42"/>
    <mergeCell ref="J37:J42"/>
    <mergeCell ref="K37:K42"/>
    <mergeCell ref="L37:L42"/>
    <mergeCell ref="F31:F36"/>
    <mergeCell ref="G31:G36"/>
    <mergeCell ref="H31:H36"/>
    <mergeCell ref="I31:I36"/>
    <mergeCell ref="J31:J36"/>
    <mergeCell ref="N37:N42"/>
    <mergeCell ref="A43:A48"/>
    <mergeCell ref="B43:B48"/>
    <mergeCell ref="C43:C48"/>
    <mergeCell ref="D43:D48"/>
    <mergeCell ref="E43:E48"/>
    <mergeCell ref="F43:F48"/>
    <mergeCell ref="G43:G48"/>
    <mergeCell ref="H43:H48"/>
    <mergeCell ref="I43:I48"/>
    <mergeCell ref="J43:J48"/>
    <mergeCell ref="K43:K48"/>
    <mergeCell ref="L43:L48"/>
    <mergeCell ref="M43:M48"/>
    <mergeCell ref="N43:N48"/>
    <mergeCell ref="M37:M42"/>
    <mergeCell ref="A37:A42"/>
    <mergeCell ref="B37:B42"/>
    <mergeCell ref="C37:C42"/>
    <mergeCell ref="D37:D42"/>
    <mergeCell ref="E37:E42"/>
    <mergeCell ref="F37:F42"/>
    <mergeCell ref="G37:G42"/>
    <mergeCell ref="H37:H42"/>
    <mergeCell ref="M49:M54"/>
    <mergeCell ref="N49:N54"/>
    <mergeCell ref="M55:M60"/>
    <mergeCell ref="N55:N60"/>
    <mergeCell ref="J61:J66"/>
    <mergeCell ref="K61:K66"/>
    <mergeCell ref="L61:L66"/>
    <mergeCell ref="A49:A54"/>
    <mergeCell ref="B49:B54"/>
    <mergeCell ref="C49:C54"/>
    <mergeCell ref="A55:A60"/>
    <mergeCell ref="B55:B60"/>
    <mergeCell ref="C55:C60"/>
    <mergeCell ref="D55:D60"/>
    <mergeCell ref="E55:E60"/>
    <mergeCell ref="F55:F60"/>
    <mergeCell ref="D49:D54"/>
    <mergeCell ref="E49:E54"/>
    <mergeCell ref="J55:J60"/>
    <mergeCell ref="K55:K60"/>
    <mergeCell ref="L55:L60"/>
    <mergeCell ref="F49:F54"/>
    <mergeCell ref="G49:G54"/>
    <mergeCell ref="H49:H54"/>
    <mergeCell ref="I49:I54"/>
    <mergeCell ref="J49:J54"/>
    <mergeCell ref="G55:G60"/>
    <mergeCell ref="H55:H60"/>
    <mergeCell ref="I55:I60"/>
    <mergeCell ref="K49:K54"/>
    <mergeCell ref="L49:L54"/>
    <mergeCell ref="A67:A72"/>
    <mergeCell ref="B67:B72"/>
    <mergeCell ref="C67:C72"/>
    <mergeCell ref="D67:D72"/>
    <mergeCell ref="E67:E72"/>
    <mergeCell ref="A61:A66"/>
    <mergeCell ref="B61:B66"/>
    <mergeCell ref="C61:C66"/>
    <mergeCell ref="D61:D66"/>
    <mergeCell ref="E61:E66"/>
    <mergeCell ref="M61:M66"/>
    <mergeCell ref="N61:N66"/>
    <mergeCell ref="F67:F72"/>
    <mergeCell ref="G67:G72"/>
    <mergeCell ref="H67:H72"/>
    <mergeCell ref="I67:I72"/>
    <mergeCell ref="J67:J72"/>
    <mergeCell ref="F61:F66"/>
    <mergeCell ref="G61:G66"/>
    <mergeCell ref="H61:H66"/>
    <mergeCell ref="I61:I66"/>
    <mergeCell ref="K67:K72"/>
    <mergeCell ref="L67:L72"/>
    <mergeCell ref="M67:M72"/>
    <mergeCell ref="N67:N72"/>
    <mergeCell ref="N79:N84"/>
    <mergeCell ref="J73:J78"/>
    <mergeCell ref="K73:K78"/>
    <mergeCell ref="L73:L78"/>
    <mergeCell ref="A73:A78"/>
    <mergeCell ref="B73:B78"/>
    <mergeCell ref="C73:C78"/>
    <mergeCell ref="D73:D78"/>
    <mergeCell ref="E73:E78"/>
    <mergeCell ref="F73:F78"/>
    <mergeCell ref="G73:G78"/>
    <mergeCell ref="H73:H78"/>
    <mergeCell ref="I73:I78"/>
    <mergeCell ref="C19:N19"/>
    <mergeCell ref="O19:Q19"/>
    <mergeCell ref="A16:AJ17"/>
    <mergeCell ref="A22:G22"/>
    <mergeCell ref="H22:N22"/>
    <mergeCell ref="O22:W22"/>
    <mergeCell ref="X22:AD22"/>
    <mergeCell ref="AE22:AJ22"/>
    <mergeCell ref="B85:AJ85"/>
    <mergeCell ref="M73:M78"/>
    <mergeCell ref="N73:N78"/>
    <mergeCell ref="A79:A84"/>
    <mergeCell ref="B79:B84"/>
    <mergeCell ref="C79:C84"/>
    <mergeCell ref="D79:D84"/>
    <mergeCell ref="E79:E84"/>
    <mergeCell ref="F79:F84"/>
    <mergeCell ref="G79:G84"/>
    <mergeCell ref="H79:H84"/>
    <mergeCell ref="I79:I84"/>
    <mergeCell ref="J79:J84"/>
    <mergeCell ref="K79:K84"/>
    <mergeCell ref="L79:L84"/>
    <mergeCell ref="M79:M84"/>
    <mergeCell ref="AJ26:AJ30"/>
    <mergeCell ref="O31:O36"/>
    <mergeCell ref="AD31:AD36"/>
    <mergeCell ref="AE31:AE36"/>
    <mergeCell ref="AF31:AF36"/>
    <mergeCell ref="AG31:AG36"/>
    <mergeCell ref="AH31:AH36"/>
    <mergeCell ref="AI31:AI36"/>
    <mergeCell ref="W26:W30"/>
    <mergeCell ref="Y26:Y30"/>
    <mergeCell ref="Z26:Z30"/>
    <mergeCell ref="AA26:AA30"/>
    <mergeCell ref="AB26:AB30"/>
    <mergeCell ref="AC26:AC30"/>
    <mergeCell ref="AE26:AE30"/>
    <mergeCell ref="AF26:AF30"/>
    <mergeCell ref="O26:O30"/>
    <mergeCell ref="P26:P30"/>
    <mergeCell ref="Q26:Q30"/>
    <mergeCell ref="R26:R30"/>
    <mergeCell ref="AJ31:AJ36"/>
    <mergeCell ref="P37:P42"/>
    <mergeCell ref="O37:O42"/>
    <mergeCell ref="Q37:Q42"/>
    <mergeCell ref="R37:R42"/>
    <mergeCell ref="S37:S42"/>
    <mergeCell ref="T37:T42"/>
    <mergeCell ref="U37:U42"/>
    <mergeCell ref="V37:V42"/>
    <mergeCell ref="W37:W42"/>
    <mergeCell ref="AH37:AH42"/>
    <mergeCell ref="AI37:AI42"/>
    <mergeCell ref="AJ37:AJ42"/>
    <mergeCell ref="AD25:AD30"/>
    <mergeCell ref="V32:V36"/>
    <mergeCell ref="W32:W36"/>
    <mergeCell ref="Y32:Y36"/>
    <mergeCell ref="Z32:Z36"/>
    <mergeCell ref="AA32:AA36"/>
    <mergeCell ref="AB32:AB36"/>
    <mergeCell ref="AC32:AC36"/>
    <mergeCell ref="V26:V30"/>
    <mergeCell ref="Y37:Y42"/>
    <mergeCell ref="Z37:Z42"/>
    <mergeCell ref="AA37:AA42"/>
    <mergeCell ref="AB37:AB42"/>
    <mergeCell ref="AC37:AC42"/>
    <mergeCell ref="AD37:AD42"/>
    <mergeCell ref="AE37:AE42"/>
    <mergeCell ref="AF37:AF42"/>
    <mergeCell ref="AG37:AG42"/>
    <mergeCell ref="AG26:AG30"/>
    <mergeCell ref="AH26:AH30"/>
    <mergeCell ref="AI26:AI30"/>
    <mergeCell ref="C31:C36"/>
    <mergeCell ref="P32:P36"/>
    <mergeCell ref="Q32:Q36"/>
    <mergeCell ref="R32:R36"/>
    <mergeCell ref="S32:S36"/>
    <mergeCell ref="T32:T36"/>
    <mergeCell ref="U32:U36"/>
    <mergeCell ref="S26:S30"/>
    <mergeCell ref="T26:T30"/>
    <mergeCell ref="U26:U30"/>
    <mergeCell ref="F25:F30"/>
    <mergeCell ref="G25:G30"/>
    <mergeCell ref="H25:H30"/>
    <mergeCell ref="C25:C30"/>
    <mergeCell ref="K31:K36"/>
    <mergeCell ref="L31:L36"/>
    <mergeCell ref="M31:M36"/>
    <mergeCell ref="N31:N36"/>
    <mergeCell ref="L25:L30"/>
    <mergeCell ref="M25:M30"/>
  </mergeCells>
  <conditionalFormatting sqref="H25 H31">
    <cfRule type="cellIs" dxfId="146" priority="319" operator="equal">
      <formula>"Muy Alta"</formula>
    </cfRule>
    <cfRule type="cellIs" dxfId="145" priority="320" operator="equal">
      <formula>"Alta"</formula>
    </cfRule>
    <cfRule type="cellIs" dxfId="144" priority="321" operator="equal">
      <formula>"Media"</formula>
    </cfRule>
    <cfRule type="cellIs" dxfId="143" priority="322" operator="equal">
      <formula>"Baja"</formula>
    </cfRule>
    <cfRule type="cellIs" dxfId="142" priority="323" operator="equal">
      <formula>"Muy Baja"</formula>
    </cfRule>
  </conditionalFormatting>
  <conditionalFormatting sqref="H37">
    <cfRule type="cellIs" dxfId="141" priority="221" operator="equal">
      <formula>"Muy Alta"</formula>
    </cfRule>
    <cfRule type="cellIs" dxfId="140" priority="222" operator="equal">
      <formula>"Alta"</formula>
    </cfRule>
    <cfRule type="cellIs" dxfId="139" priority="223" operator="equal">
      <formula>"Media"</formula>
    </cfRule>
    <cfRule type="cellIs" dxfId="138" priority="224" operator="equal">
      <formula>"Baja"</formula>
    </cfRule>
    <cfRule type="cellIs" dxfId="137" priority="225" operator="equal">
      <formula>"Muy Baja"</formula>
    </cfRule>
  </conditionalFormatting>
  <conditionalFormatting sqref="H43">
    <cfRule type="cellIs" dxfId="136" priority="193" operator="equal">
      <formula>"Muy Alta"</formula>
    </cfRule>
    <cfRule type="cellIs" dxfId="135" priority="194" operator="equal">
      <formula>"Alta"</formula>
    </cfRule>
    <cfRule type="cellIs" dxfId="134" priority="195" operator="equal">
      <formula>"Media"</formula>
    </cfRule>
    <cfRule type="cellIs" dxfId="133" priority="196" operator="equal">
      <formula>"Baja"</formula>
    </cfRule>
    <cfRule type="cellIs" dxfId="132" priority="197" operator="equal">
      <formula>"Muy Baja"</formula>
    </cfRule>
  </conditionalFormatting>
  <conditionalFormatting sqref="H49">
    <cfRule type="cellIs" dxfId="131" priority="165" operator="equal">
      <formula>"Muy Alta"</formula>
    </cfRule>
    <cfRule type="cellIs" dxfId="130" priority="166" operator="equal">
      <formula>"Alta"</formula>
    </cfRule>
    <cfRule type="cellIs" dxfId="129" priority="167" operator="equal">
      <formula>"Media"</formula>
    </cfRule>
    <cfRule type="cellIs" dxfId="128" priority="168" operator="equal">
      <formula>"Baja"</formula>
    </cfRule>
    <cfRule type="cellIs" dxfId="127" priority="169" operator="equal">
      <formula>"Muy Baja"</formula>
    </cfRule>
  </conditionalFormatting>
  <conditionalFormatting sqref="H55">
    <cfRule type="cellIs" dxfId="126" priority="137" operator="equal">
      <formula>"Muy Alta"</formula>
    </cfRule>
    <cfRule type="cellIs" dxfId="125" priority="138" operator="equal">
      <formula>"Alta"</formula>
    </cfRule>
    <cfRule type="cellIs" dxfId="124" priority="139" operator="equal">
      <formula>"Media"</formula>
    </cfRule>
    <cfRule type="cellIs" dxfId="123" priority="140" operator="equal">
      <formula>"Baja"</formula>
    </cfRule>
    <cfRule type="cellIs" dxfId="122" priority="141" operator="equal">
      <formula>"Muy Baja"</formula>
    </cfRule>
  </conditionalFormatting>
  <conditionalFormatting sqref="H61">
    <cfRule type="cellIs" dxfId="121" priority="109" operator="equal">
      <formula>"Muy Alta"</formula>
    </cfRule>
    <cfRule type="cellIs" dxfId="120" priority="110" operator="equal">
      <formula>"Alta"</formula>
    </cfRule>
    <cfRule type="cellIs" dxfId="119" priority="111" operator="equal">
      <formula>"Media"</formula>
    </cfRule>
    <cfRule type="cellIs" dxfId="118" priority="112" operator="equal">
      <formula>"Baja"</formula>
    </cfRule>
    <cfRule type="cellIs" dxfId="117" priority="113" operator="equal">
      <formula>"Muy Baja"</formula>
    </cfRule>
  </conditionalFormatting>
  <conditionalFormatting sqref="H67">
    <cfRule type="cellIs" dxfId="116" priority="81" operator="equal">
      <formula>"Muy Alta"</formula>
    </cfRule>
    <cfRule type="cellIs" dxfId="115" priority="82" operator="equal">
      <formula>"Alta"</formula>
    </cfRule>
    <cfRule type="cellIs" dxfId="114" priority="83" operator="equal">
      <formula>"Media"</formula>
    </cfRule>
    <cfRule type="cellIs" dxfId="113" priority="84" operator="equal">
      <formula>"Baja"</formula>
    </cfRule>
    <cfRule type="cellIs" dxfId="112" priority="85" operator="equal">
      <formula>"Muy Baja"</formula>
    </cfRule>
  </conditionalFormatting>
  <conditionalFormatting sqref="H73">
    <cfRule type="cellIs" dxfId="111" priority="53" operator="equal">
      <formula>"Muy Alta"</formula>
    </cfRule>
    <cfRule type="cellIs" dxfId="110" priority="54" operator="equal">
      <formula>"Alta"</formula>
    </cfRule>
    <cfRule type="cellIs" dxfId="109" priority="55" operator="equal">
      <formula>"Media"</formula>
    </cfRule>
    <cfRule type="cellIs" dxfId="108" priority="56" operator="equal">
      <formula>"Baja"</formula>
    </cfRule>
    <cfRule type="cellIs" dxfId="107" priority="57" operator="equal">
      <formula>"Muy Baja"</formula>
    </cfRule>
  </conditionalFormatting>
  <conditionalFormatting sqref="H79">
    <cfRule type="cellIs" dxfId="106" priority="25" operator="equal">
      <formula>"Muy Alta"</formula>
    </cfRule>
    <cfRule type="cellIs" dxfId="105" priority="26" operator="equal">
      <formula>"Alta"</formula>
    </cfRule>
    <cfRule type="cellIs" dxfId="104" priority="27" operator="equal">
      <formula>"Media"</formula>
    </cfRule>
    <cfRule type="cellIs" dxfId="103" priority="28" operator="equal">
      <formula>"Baja"</formula>
    </cfRule>
    <cfRule type="cellIs" dxfId="102" priority="29" operator="equal">
      <formula>"Muy Baja"</formula>
    </cfRule>
  </conditionalFormatting>
  <conditionalFormatting sqref="K25:K84">
    <cfRule type="containsText" dxfId="101" priority="1" operator="containsText" text="❌">
      <formula>NOT(ISERROR(SEARCH("❌",K25)))</formula>
    </cfRule>
  </conditionalFormatting>
  <conditionalFormatting sqref="L25 L31 L37 L43 L49 L55 L61 L67 L73 L79">
    <cfRule type="cellIs" dxfId="100" priority="314" operator="equal">
      <formula>"Catastrófico"</formula>
    </cfRule>
    <cfRule type="cellIs" dxfId="99" priority="315" operator="equal">
      <formula>"Mayor"</formula>
    </cfRule>
    <cfRule type="cellIs" dxfId="98" priority="316" operator="equal">
      <formula>"Moderado"</formula>
    </cfRule>
    <cfRule type="cellIs" dxfId="97" priority="317" operator="equal">
      <formula>"Menor"</formula>
    </cfRule>
    <cfRule type="cellIs" dxfId="96" priority="318" operator="equal">
      <formula>"Leve"</formula>
    </cfRule>
  </conditionalFormatting>
  <conditionalFormatting sqref="N25">
    <cfRule type="cellIs" dxfId="95" priority="310" operator="equal">
      <formula>"Extremo"</formula>
    </cfRule>
    <cfRule type="cellIs" dxfId="94" priority="311" operator="equal">
      <formula>"Alto"</formula>
    </cfRule>
    <cfRule type="cellIs" dxfId="93" priority="312" operator="equal">
      <formula>"Moderado"</formula>
    </cfRule>
    <cfRule type="cellIs" dxfId="92" priority="313" operator="equal">
      <formula>"Bajo"</formula>
    </cfRule>
  </conditionalFormatting>
  <conditionalFormatting sqref="N31">
    <cfRule type="cellIs" dxfId="91" priority="240" operator="equal">
      <formula>"Extremo"</formula>
    </cfRule>
    <cfRule type="cellIs" dxfId="90" priority="241" operator="equal">
      <formula>"Alto"</formula>
    </cfRule>
    <cfRule type="cellIs" dxfId="89" priority="242" operator="equal">
      <formula>"Moderado"</formula>
    </cfRule>
    <cfRule type="cellIs" dxfId="88" priority="243" operator="equal">
      <formula>"Bajo"</formula>
    </cfRule>
  </conditionalFormatting>
  <conditionalFormatting sqref="N37">
    <cfRule type="cellIs" dxfId="87" priority="212" operator="equal">
      <formula>"Extremo"</formula>
    </cfRule>
    <cfRule type="cellIs" dxfId="86" priority="213" operator="equal">
      <formula>"Alto"</formula>
    </cfRule>
    <cfRule type="cellIs" dxfId="85" priority="214" operator="equal">
      <formula>"Moderado"</formula>
    </cfRule>
    <cfRule type="cellIs" dxfId="84" priority="215" operator="equal">
      <formula>"Bajo"</formula>
    </cfRule>
  </conditionalFormatting>
  <conditionalFormatting sqref="N43">
    <cfRule type="cellIs" dxfId="83" priority="184" operator="equal">
      <formula>"Extremo"</formula>
    </cfRule>
    <cfRule type="cellIs" dxfId="82" priority="185" operator="equal">
      <formula>"Alto"</formula>
    </cfRule>
    <cfRule type="cellIs" dxfId="81" priority="186" operator="equal">
      <formula>"Moderado"</formula>
    </cfRule>
    <cfRule type="cellIs" dxfId="80" priority="187" operator="equal">
      <formula>"Bajo"</formula>
    </cfRule>
  </conditionalFormatting>
  <conditionalFormatting sqref="N49">
    <cfRule type="cellIs" dxfId="79" priority="156" operator="equal">
      <formula>"Extremo"</formula>
    </cfRule>
    <cfRule type="cellIs" dxfId="78" priority="157" operator="equal">
      <formula>"Alto"</formula>
    </cfRule>
    <cfRule type="cellIs" dxfId="77" priority="158" operator="equal">
      <formula>"Moderado"</formula>
    </cfRule>
    <cfRule type="cellIs" dxfId="76" priority="159" operator="equal">
      <formula>"Bajo"</formula>
    </cfRule>
  </conditionalFormatting>
  <conditionalFormatting sqref="N55">
    <cfRule type="cellIs" dxfId="75" priority="128" operator="equal">
      <formula>"Extremo"</formula>
    </cfRule>
    <cfRule type="cellIs" dxfId="74" priority="129" operator="equal">
      <formula>"Alto"</formula>
    </cfRule>
    <cfRule type="cellIs" dxfId="73" priority="130" operator="equal">
      <formula>"Moderado"</formula>
    </cfRule>
    <cfRule type="cellIs" dxfId="72" priority="131" operator="equal">
      <formula>"Bajo"</formula>
    </cfRule>
  </conditionalFormatting>
  <conditionalFormatting sqref="N61">
    <cfRule type="cellIs" dxfId="71" priority="100" operator="equal">
      <formula>"Extremo"</formula>
    </cfRule>
    <cfRule type="cellIs" dxfId="70" priority="101" operator="equal">
      <formula>"Alto"</formula>
    </cfRule>
    <cfRule type="cellIs" dxfId="69" priority="102" operator="equal">
      <formula>"Moderado"</formula>
    </cfRule>
    <cfRule type="cellIs" dxfId="68" priority="103" operator="equal">
      <formula>"Bajo"</formula>
    </cfRule>
  </conditionalFormatting>
  <conditionalFormatting sqref="N67">
    <cfRule type="cellIs" dxfId="67" priority="72" operator="equal">
      <formula>"Extremo"</formula>
    </cfRule>
    <cfRule type="cellIs" dxfId="66" priority="73" operator="equal">
      <formula>"Alto"</formula>
    </cfRule>
    <cfRule type="cellIs" dxfId="65" priority="74" operator="equal">
      <formula>"Moderado"</formula>
    </cfRule>
    <cfRule type="cellIs" dxfId="64" priority="75" operator="equal">
      <formula>"Bajo"</formula>
    </cfRule>
  </conditionalFormatting>
  <conditionalFormatting sqref="N73">
    <cfRule type="cellIs" dxfId="63" priority="44" operator="equal">
      <formula>"Extremo"</formula>
    </cfRule>
    <cfRule type="cellIs" dxfId="62" priority="45" operator="equal">
      <formula>"Alto"</formula>
    </cfRule>
    <cfRule type="cellIs" dxfId="61" priority="46" operator="equal">
      <formula>"Moderado"</formula>
    </cfRule>
    <cfRule type="cellIs" dxfId="60" priority="47" operator="equal">
      <formula>"Bajo"</formula>
    </cfRule>
  </conditionalFormatting>
  <conditionalFormatting sqref="N79">
    <cfRule type="cellIs" dxfId="59" priority="16" operator="equal">
      <formula>"Extremo"</formula>
    </cfRule>
    <cfRule type="cellIs" dxfId="58" priority="17" operator="equal">
      <formula>"Alto"</formula>
    </cfRule>
    <cfRule type="cellIs" dxfId="57" priority="18" operator="equal">
      <formula>"Moderado"</formula>
    </cfRule>
    <cfRule type="cellIs" dxfId="56" priority="19" operator="equal">
      <formula>"Bajo"</formula>
    </cfRule>
  </conditionalFormatting>
  <conditionalFormatting sqref="Y25:Y26">
    <cfRule type="cellIs" dxfId="55" priority="305" operator="equal">
      <formula>"Muy Alta"</formula>
    </cfRule>
    <cfRule type="cellIs" dxfId="54" priority="306" operator="equal">
      <formula>"Alta"</formula>
    </cfRule>
    <cfRule type="cellIs" dxfId="53" priority="307" operator="equal">
      <formula>"Media"</formula>
    </cfRule>
    <cfRule type="cellIs" dxfId="52" priority="308" operator="equal">
      <formula>"Baja"</formula>
    </cfRule>
    <cfRule type="cellIs" dxfId="51" priority="309" operator="equal">
      <formula>"Muy Baja"</formula>
    </cfRule>
  </conditionalFormatting>
  <conditionalFormatting sqref="Y31:Y32">
    <cfRule type="cellIs" dxfId="50" priority="235" operator="equal">
      <formula>"Muy Alta"</formula>
    </cfRule>
    <cfRule type="cellIs" dxfId="49" priority="236" operator="equal">
      <formula>"Alta"</formula>
    </cfRule>
    <cfRule type="cellIs" dxfId="48" priority="237" operator="equal">
      <formula>"Media"</formula>
    </cfRule>
    <cfRule type="cellIs" dxfId="47" priority="238" operator="equal">
      <formula>"Baja"</formula>
    </cfRule>
    <cfRule type="cellIs" dxfId="46" priority="239" operator="equal">
      <formula>"Muy Baja"</formula>
    </cfRule>
  </conditionalFormatting>
  <conditionalFormatting sqref="Y37">
    <cfRule type="cellIs" dxfId="45" priority="207" operator="equal">
      <formula>"Muy Alta"</formula>
    </cfRule>
    <cfRule type="cellIs" dxfId="44" priority="208" operator="equal">
      <formula>"Alta"</formula>
    </cfRule>
    <cfRule type="cellIs" dxfId="43" priority="209" operator="equal">
      <formula>"Media"</formula>
    </cfRule>
    <cfRule type="cellIs" dxfId="42" priority="210" operator="equal">
      <formula>"Baja"</formula>
    </cfRule>
    <cfRule type="cellIs" dxfId="41" priority="211" operator="equal">
      <formula>"Muy Baja"</formula>
    </cfRule>
  </conditionalFormatting>
  <conditionalFormatting sqref="Y43:Y84">
    <cfRule type="cellIs" dxfId="40" priority="11" operator="equal">
      <formula>"Muy Alta"</formula>
    </cfRule>
    <cfRule type="cellIs" dxfId="39" priority="12" operator="equal">
      <formula>"Alta"</formula>
    </cfRule>
    <cfRule type="cellIs" dxfId="38" priority="13" operator="equal">
      <formula>"Media"</formula>
    </cfRule>
    <cfRule type="cellIs" dxfId="37" priority="14" operator="equal">
      <formula>"Baja"</formula>
    </cfRule>
    <cfRule type="cellIs" dxfId="36" priority="15" operator="equal">
      <formula>"Muy Baja"</formula>
    </cfRule>
  </conditionalFormatting>
  <conditionalFormatting sqref="AA25:AA26">
    <cfRule type="cellIs" dxfId="35" priority="300" operator="equal">
      <formula>"Catastrófico"</formula>
    </cfRule>
    <cfRule type="cellIs" dxfId="34" priority="301" operator="equal">
      <formula>"Mayor"</formula>
    </cfRule>
    <cfRule type="cellIs" dxfId="33" priority="302" operator="equal">
      <formula>"Moderado"</formula>
    </cfRule>
    <cfRule type="cellIs" dxfId="32" priority="303" operator="equal">
      <formula>"Menor"</formula>
    </cfRule>
    <cfRule type="cellIs" dxfId="31" priority="304" operator="equal">
      <formula>"Leve"</formula>
    </cfRule>
  </conditionalFormatting>
  <conditionalFormatting sqref="AA31:AA32">
    <cfRule type="cellIs" dxfId="30" priority="230" operator="equal">
      <formula>"Catastrófico"</formula>
    </cfRule>
    <cfRule type="cellIs" dxfId="29" priority="231" operator="equal">
      <formula>"Mayor"</formula>
    </cfRule>
    <cfRule type="cellIs" dxfId="28" priority="232" operator="equal">
      <formula>"Moderado"</formula>
    </cfRule>
    <cfRule type="cellIs" dxfId="27" priority="233" operator="equal">
      <formula>"Menor"</formula>
    </cfRule>
    <cfRule type="cellIs" dxfId="26" priority="234" operator="equal">
      <formula>"Leve"</formula>
    </cfRule>
  </conditionalFormatting>
  <conditionalFormatting sqref="AA37">
    <cfRule type="cellIs" dxfId="25" priority="202" operator="equal">
      <formula>"Catastrófico"</formula>
    </cfRule>
    <cfRule type="cellIs" dxfId="24" priority="203" operator="equal">
      <formula>"Mayor"</formula>
    </cfRule>
    <cfRule type="cellIs" dxfId="23" priority="204" operator="equal">
      <formula>"Moderado"</formula>
    </cfRule>
    <cfRule type="cellIs" dxfId="22" priority="205" operator="equal">
      <formula>"Menor"</formula>
    </cfRule>
    <cfRule type="cellIs" dxfId="21" priority="206" operator="equal">
      <formula>"Leve"</formula>
    </cfRule>
  </conditionalFormatting>
  <conditionalFormatting sqref="AA43:AA84">
    <cfRule type="cellIs" dxfId="20" priority="6" operator="equal">
      <formula>"Catastrófico"</formula>
    </cfRule>
    <cfRule type="cellIs" dxfId="19" priority="7" operator="equal">
      <formula>"Mayor"</formula>
    </cfRule>
    <cfRule type="cellIs" dxfId="18" priority="8" operator="equal">
      <formula>"Moderado"</formula>
    </cfRule>
    <cfRule type="cellIs" dxfId="17" priority="9" operator="equal">
      <formula>"Menor"</formula>
    </cfRule>
    <cfRule type="cellIs" dxfId="16" priority="10" operator="equal">
      <formula>"Leve"</formula>
    </cfRule>
  </conditionalFormatting>
  <conditionalFormatting sqref="AC25:AC26">
    <cfRule type="cellIs" dxfId="15" priority="296" operator="equal">
      <formula>"Extremo"</formula>
    </cfRule>
    <cfRule type="cellIs" dxfId="14" priority="297" operator="equal">
      <formula>"Alto"</formula>
    </cfRule>
    <cfRule type="cellIs" dxfId="13" priority="298" operator="equal">
      <formula>"Moderado"</formula>
    </cfRule>
    <cfRule type="cellIs" dxfId="12" priority="299" operator="equal">
      <formula>"Bajo"</formula>
    </cfRule>
  </conditionalFormatting>
  <conditionalFormatting sqref="AC31:AC32">
    <cfRule type="cellIs" dxfId="11" priority="226" operator="equal">
      <formula>"Extremo"</formula>
    </cfRule>
    <cfRule type="cellIs" dxfId="10" priority="227" operator="equal">
      <formula>"Alto"</formula>
    </cfRule>
    <cfRule type="cellIs" dxfId="9" priority="228" operator="equal">
      <formula>"Moderado"</formula>
    </cfRule>
    <cfRule type="cellIs" dxfId="8" priority="229" operator="equal">
      <formula>"Bajo"</formula>
    </cfRule>
  </conditionalFormatting>
  <conditionalFormatting sqref="AC37">
    <cfRule type="cellIs" dxfId="7" priority="198" operator="equal">
      <formula>"Extremo"</formula>
    </cfRule>
    <cfRule type="cellIs" dxfId="6" priority="199" operator="equal">
      <formula>"Alto"</formula>
    </cfRule>
    <cfRule type="cellIs" dxfId="5" priority="200" operator="equal">
      <formula>"Moderado"</formula>
    </cfRule>
    <cfRule type="cellIs" dxfId="4" priority="201" operator="equal">
      <formula>"Bajo"</formula>
    </cfRule>
  </conditionalFormatting>
  <conditionalFormatting sqref="AC43:AC84">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pageMargins left="0.7" right="0.7" top="0.75" bottom="0.75" header="0.3" footer="0.3"/>
  <pageSetup orientation="portrait" r:id="rId1"/>
  <ignoredErrors>
    <ignoredError sqref="Z31:Z32 Q31 AB31:AB32" unlocked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R25:R26 R43:R84 R31:R32 R37</xm:sqref>
        </x14:dataValidation>
        <x14:dataValidation type="list" allowBlank="1" showInputMessage="1" showErrorMessage="1" xr:uid="{00000000-0002-0000-0100-000001000000}">
          <x14:formula1>
            <xm:f>'Tabla Valoración controles'!$D$7:$D$8</xm:f>
          </x14:formula1>
          <xm:sqref>S25:S26 S43:S84 S31:S32 S37</xm:sqref>
        </x14:dataValidation>
        <x14:dataValidation type="list" allowBlank="1" showInputMessage="1" showErrorMessage="1" xr:uid="{00000000-0002-0000-0100-000002000000}">
          <x14:formula1>
            <xm:f>'Tabla Valoración controles'!$D$9:$D$10</xm:f>
          </x14:formula1>
          <xm:sqref>U25:U26 U43:U84 U31:U32 U37</xm:sqref>
        </x14:dataValidation>
        <x14:dataValidation type="list" allowBlank="1" showInputMessage="1" showErrorMessage="1" xr:uid="{00000000-0002-0000-0100-000003000000}">
          <x14:formula1>
            <xm:f>'Tabla Valoración controles'!$D$11:$D$12</xm:f>
          </x14:formula1>
          <xm:sqref>V25:V26 V43:V84 V31:V32 V37</xm:sqref>
        </x14:dataValidation>
        <x14:dataValidation type="list" allowBlank="1" showInputMessage="1" showErrorMessage="1" xr:uid="{00000000-0002-0000-0100-000004000000}">
          <x14:formula1>
            <xm:f>'Opciones Tratamiento'!$B$9:$B$10</xm:f>
          </x14:formula1>
          <xm:sqref>AJ25:AJ26 AJ82:AJ83 AJ76:AJ77 AJ79:AJ80 AJ73:AJ74 AJ31 AJ43:AJ44 AJ46:AJ47 AJ49:AJ50 AJ52:AJ53 AJ55:AJ56 AJ58:AJ59 AJ61:AJ62 AJ64:AJ65 AJ67:AJ68 AJ70:AJ71 AJ37</xm:sqref>
        </x14:dataValidation>
        <x14:dataValidation type="list" allowBlank="1" showInputMessage="1" showErrorMessage="1" xr:uid="{00000000-0002-0000-0100-000005000000}">
          <x14:formula1>
            <xm:f>'Tabla Valoración controles'!$D$13:$D$14</xm:f>
          </x14:formula1>
          <xm:sqref>W25:W26 W43:W84 W31:W32 W37</xm:sqref>
        </x14:dataValidation>
        <x14:dataValidation type="list" allowBlank="1" showInputMessage="1" showErrorMessage="1" xr:uid="{00000000-0002-0000-0100-000006000000}">
          <x14:formula1>
            <xm:f>'Opciones Tratamiento'!$B$13:$B$19</xm:f>
          </x14:formula1>
          <xm:sqref>F25:F84</xm:sqref>
        </x14:dataValidation>
        <x14:dataValidation type="list" allowBlank="1" showInputMessage="1" showErrorMessage="1" xr:uid="{00000000-0002-0000-0100-000007000000}">
          <x14:formula1>
            <xm:f>'Opciones Tratamiento'!$E$2:$E$4</xm:f>
          </x14:formula1>
          <xm:sqref>B25:B84</xm:sqref>
        </x14:dataValidation>
        <x14:dataValidation type="list" allowBlank="1" showInputMessage="1" showErrorMessage="1" xr:uid="{00000000-0002-0000-0100-000008000000}">
          <x14:formula1>
            <xm:f>'Opciones Tratamiento'!$B$2:$B$5</xm:f>
          </x14:formula1>
          <xm:sqref>AD43:AD84 AD31 AD37 AD25</xm:sqref>
        </x14:dataValidation>
        <x14:dataValidation type="list" allowBlank="1" showInputMessage="1" showErrorMessage="1" xr:uid="{00000000-0002-0000-0100-000009000000}">
          <x14:formula1>
            <xm:f>'Tabla Impacto'!$F$210:$F$221</xm:f>
          </x14:formula1>
          <xm:sqref>J25:J84</xm:sqref>
        </x14:dataValidation>
        <x14:dataValidation type="custom" allowBlank="1" showInputMessage="1" showErrorMessage="1" error="Recuerde que las acciones se generan bajo la medida de mitigar el riesgo" xr:uid="{00000000-0002-0000-0100-00000A000000}">
          <x14:formula1>
            <xm:f>IF(OR(AD25='Opciones Tratamiento'!$B$2,AD25='Opciones Tratamiento'!$B$3,AD25='Opciones Tratamiento'!$B$4),ISBLANK(AD25),ISTEXT(AD25))</xm:f>
          </x14:formula1>
          <xm:sqref>AE25:AE26 AE31 AE37 AE43:AE84</xm:sqref>
        </x14:dataValidation>
        <x14:dataValidation type="custom" allowBlank="1" showInputMessage="1" showErrorMessage="1" error="Recuerde que las acciones se generan bajo la medida de mitigar el riesgo" xr:uid="{00000000-0002-0000-0100-00000B000000}">
          <x14:formula1>
            <xm:f>IF(OR(AD25='Opciones Tratamiento'!$B$2,AD25='Opciones Tratamiento'!$B$3,AD25='Opciones Tratamiento'!$B$4),ISBLANK(AD25),ISTEXT(AD25))</xm:f>
          </x14:formula1>
          <xm:sqref>AF25:AF26 AF31 AF37 AF43:AF84</xm:sqref>
        </x14:dataValidation>
        <x14:dataValidation type="custom" allowBlank="1" showInputMessage="1" showErrorMessage="1" error="Recuerde que las acciones se generan bajo la medida de mitigar el riesgo" xr:uid="{00000000-0002-0000-0100-00000C000000}">
          <x14:formula1>
            <xm:f>IF(OR(AD25='Opciones Tratamiento'!$B$2,AD25='Opciones Tratamiento'!$B$3,AD25='Opciones Tratamiento'!$B$4),ISBLANK(AD25),ISTEXT(AD25))</xm:f>
          </x14:formula1>
          <xm:sqref>AG25:AG26 AG31 AG37 AG43:AG84</xm:sqref>
        </x14:dataValidation>
        <x14:dataValidation type="custom" allowBlank="1" showInputMessage="1" showErrorMessage="1" error="Recuerde que las acciones se generan bajo la medida de mitigar el riesgo" xr:uid="{00000000-0002-0000-0100-00000D000000}">
          <x14:formula1>
            <xm:f>IF(OR(AD25='Opciones Tratamiento'!$B$2,AD25='Opciones Tratamiento'!$B$3,AD25='Opciones Tratamiento'!$B$4),ISBLANK(AD25),ISTEXT(AD25))</xm:f>
          </x14:formula1>
          <xm:sqref>AH25:AH26 AH31 AH37 AH43:AH84</xm:sqref>
        </x14:dataValidation>
        <x14:dataValidation type="custom" allowBlank="1" showInputMessage="1" showErrorMessage="1" error="Recuerde que las acciones se generan bajo la medida de mitigar el riesgo" xr:uid="{00000000-0002-0000-0100-00000E000000}">
          <x14:formula1>
            <xm:f>IF(OR(AD25='Opciones Tratamiento'!$B$2,AD25='Opciones Tratamiento'!$B$3,AD25='Opciones Tratamiento'!$B$4),ISBLANK(AD25),ISTEXT(AD25))</xm:f>
          </x14:formula1>
          <xm:sqref>AI25:AI26 AI31 AI37 AI43:AI84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7" zoomScale="50" zoomScaleNormal="50" workbookViewId="0">
      <selection activeCell="L12" sqref="L12:M13"/>
    </sheetView>
  </sheetViews>
  <sheetFormatPr baseColWidth="10" defaultColWidth="11.42578125" defaultRowHeight="15" x14ac:dyDescent="0.25"/>
  <cols>
    <col min="2" max="39" width="5.7109375" customWidth="1"/>
    <col min="41" max="46" width="5.710937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445" t="s">
        <v>146</v>
      </c>
      <c r="C2" s="445"/>
      <c r="D2" s="445"/>
      <c r="E2" s="445"/>
      <c r="F2" s="445"/>
      <c r="G2" s="445"/>
      <c r="H2" s="445"/>
      <c r="I2" s="445"/>
      <c r="J2" s="413" t="s">
        <v>15</v>
      </c>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445"/>
      <c r="C3" s="445"/>
      <c r="D3" s="445"/>
      <c r="E3" s="445"/>
      <c r="F3" s="445"/>
      <c r="G3" s="445"/>
      <c r="H3" s="445"/>
      <c r="I3" s="445"/>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445"/>
      <c r="C4" s="445"/>
      <c r="D4" s="445"/>
      <c r="E4" s="445"/>
      <c r="F4" s="445"/>
      <c r="G4" s="445"/>
      <c r="H4" s="445"/>
      <c r="I4" s="445"/>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360" t="s">
        <v>147</v>
      </c>
      <c r="C6" s="360"/>
      <c r="D6" s="361"/>
      <c r="E6" s="398" t="s">
        <v>148</v>
      </c>
      <c r="F6" s="399"/>
      <c r="G6" s="399"/>
      <c r="H6" s="399"/>
      <c r="I6" s="400"/>
      <c r="J6" s="409" t="str">
        <f>IF(AND('Mapa final'!$H$25="Muy Alta",'Mapa final'!$L$25="Leve"),CONCATENATE("R",'Mapa final'!$A$25),"")</f>
        <v/>
      </c>
      <c r="K6" s="410"/>
      <c r="L6" s="410" t="str">
        <f>IF(AND('Mapa final'!$H$31="Muy Alta",'Mapa final'!$L$31="Leve"),CONCATENATE("R",'Mapa final'!$A$31),"")</f>
        <v/>
      </c>
      <c r="M6" s="410"/>
      <c r="N6" s="410" t="str">
        <f>IF(AND('Mapa final'!$H$37="Muy Alta",'Mapa final'!$L$37="Leve"),CONCATENATE("R",'Mapa final'!$A$37),"")</f>
        <v/>
      </c>
      <c r="O6" s="412"/>
      <c r="P6" s="409" t="str">
        <f>IF(AND('Mapa final'!$H$25="Muy Alta",'Mapa final'!$L$25="Menor"),CONCATENATE("R",'Mapa final'!$A$25),"")</f>
        <v/>
      </c>
      <c r="Q6" s="410"/>
      <c r="R6" s="410" t="str">
        <f>IF(AND('Mapa final'!$H$31="Muy Alta",'Mapa final'!$L$31="Menor"),CONCATENATE("R",'Mapa final'!$A$31),"")</f>
        <v/>
      </c>
      <c r="S6" s="410"/>
      <c r="T6" s="410" t="str">
        <f>IF(AND('Mapa final'!$H$37="Muy Alta",'Mapa final'!$L$37="Menor"),CONCATENATE("R",'Mapa final'!$A$37),"")</f>
        <v/>
      </c>
      <c r="U6" s="412"/>
      <c r="V6" s="409" t="str">
        <f>IF(AND('Mapa final'!$H$25="Muy Alta",'Mapa final'!$L$25="Moderado"),CONCATENATE("R",'Mapa final'!$A$25),"")</f>
        <v/>
      </c>
      <c r="W6" s="410"/>
      <c r="X6" s="410" t="str">
        <f>IF(AND('Mapa final'!$H$31="Muy Alta",'Mapa final'!$L$31="Moderado"),CONCATENATE("R",'Mapa final'!$A$31),"")</f>
        <v/>
      </c>
      <c r="Y6" s="410"/>
      <c r="Z6" s="410" t="str">
        <f>IF(AND('Mapa final'!$H$37="Muy Alta",'Mapa final'!$L$37="Moderado"),CONCATENATE("R",'Mapa final'!$A$37),"")</f>
        <v/>
      </c>
      <c r="AA6" s="412"/>
      <c r="AB6" s="409" t="str">
        <f>IF(AND('Mapa final'!$H$25="Muy Alta",'Mapa final'!$L$25="Mayor"),CONCATENATE("R",'Mapa final'!$A$25),"")</f>
        <v/>
      </c>
      <c r="AC6" s="410"/>
      <c r="AD6" s="410" t="str">
        <f>IF(AND('Mapa final'!$H$31="Muy Alta",'Mapa final'!$L$31="Mayor"),CONCATENATE("R",'Mapa final'!$A$31),"")</f>
        <v/>
      </c>
      <c r="AE6" s="410"/>
      <c r="AF6" s="410" t="str">
        <f>IF(AND('Mapa final'!$H$37="Muy Alta",'Mapa final'!$L$37="Mayor"),CONCATENATE("R",'Mapa final'!$A$37),"")</f>
        <v/>
      </c>
      <c r="AG6" s="412"/>
      <c r="AH6" s="424" t="str">
        <f>IF(AND('Mapa final'!$H$25="Muy Alta",'Mapa final'!$L$25="Catastrófico"),CONCATENATE("R",'Mapa final'!$A$25),"")</f>
        <v/>
      </c>
      <c r="AI6" s="425"/>
      <c r="AJ6" s="425" t="str">
        <f>IF(AND('Mapa final'!$H$31="Muy Alta",'Mapa final'!$L$31="Catastrófico"),CONCATENATE("R",'Mapa final'!$A$31),"")</f>
        <v/>
      </c>
      <c r="AK6" s="425"/>
      <c r="AL6" s="425" t="str">
        <f>IF(AND('Mapa final'!$H$37="Muy Alta",'Mapa final'!$L$37="Catastrófico"),CONCATENATE("R",'Mapa final'!$A$37),"")</f>
        <v/>
      </c>
      <c r="AM6" s="426"/>
      <c r="AO6" s="362" t="s">
        <v>149</v>
      </c>
      <c r="AP6" s="363"/>
      <c r="AQ6" s="363"/>
      <c r="AR6" s="363"/>
      <c r="AS6" s="363"/>
      <c r="AT6" s="36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360"/>
      <c r="C7" s="360"/>
      <c r="D7" s="361"/>
      <c r="E7" s="401"/>
      <c r="F7" s="402"/>
      <c r="G7" s="402"/>
      <c r="H7" s="402"/>
      <c r="I7" s="403"/>
      <c r="J7" s="411"/>
      <c r="K7" s="407"/>
      <c r="L7" s="407"/>
      <c r="M7" s="407"/>
      <c r="N7" s="407"/>
      <c r="O7" s="408"/>
      <c r="P7" s="411"/>
      <c r="Q7" s="407"/>
      <c r="R7" s="407"/>
      <c r="S7" s="407"/>
      <c r="T7" s="407"/>
      <c r="U7" s="408"/>
      <c r="V7" s="411"/>
      <c r="W7" s="407"/>
      <c r="X7" s="407"/>
      <c r="Y7" s="407"/>
      <c r="Z7" s="407"/>
      <c r="AA7" s="408"/>
      <c r="AB7" s="411"/>
      <c r="AC7" s="407"/>
      <c r="AD7" s="407"/>
      <c r="AE7" s="407"/>
      <c r="AF7" s="407"/>
      <c r="AG7" s="408"/>
      <c r="AH7" s="418"/>
      <c r="AI7" s="419"/>
      <c r="AJ7" s="419"/>
      <c r="AK7" s="419"/>
      <c r="AL7" s="419"/>
      <c r="AM7" s="420"/>
      <c r="AN7" s="82"/>
      <c r="AO7" s="365"/>
      <c r="AP7" s="366"/>
      <c r="AQ7" s="366"/>
      <c r="AR7" s="366"/>
      <c r="AS7" s="366"/>
      <c r="AT7" s="36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360"/>
      <c r="C8" s="360"/>
      <c r="D8" s="361"/>
      <c r="E8" s="401"/>
      <c r="F8" s="402"/>
      <c r="G8" s="402"/>
      <c r="H8" s="402"/>
      <c r="I8" s="403"/>
      <c r="J8" s="411" t="str">
        <f>IF(AND('Mapa final'!$H$43="Muy Alta",'Mapa final'!$L$43="Leve"),CONCATENATE("R",'Mapa final'!$A$43),"")</f>
        <v/>
      </c>
      <c r="K8" s="407"/>
      <c r="L8" s="407" t="str">
        <f>IF(AND('Mapa final'!$H$49="Muy Alta",'Mapa final'!$L$49="Leve"),CONCATENATE("R",'Mapa final'!$A$49),"")</f>
        <v/>
      </c>
      <c r="M8" s="407"/>
      <c r="N8" s="407" t="str">
        <f>IF(AND('Mapa final'!$H$55="Muy Alta",'Mapa final'!$L$55="Leve"),CONCATENATE("R",'Mapa final'!$A$55),"")</f>
        <v/>
      </c>
      <c r="O8" s="408"/>
      <c r="P8" s="411" t="str">
        <f>IF(AND('Mapa final'!$H$43="Muy Alta",'Mapa final'!$L$43="Menor"),CONCATENATE("R",'Mapa final'!$A$43),"")</f>
        <v/>
      </c>
      <c r="Q8" s="407"/>
      <c r="R8" s="407" t="str">
        <f>IF(AND('Mapa final'!$H$49="Muy Alta",'Mapa final'!$L$49="Menor"),CONCATENATE("R",'Mapa final'!$A$49),"")</f>
        <v/>
      </c>
      <c r="S8" s="407"/>
      <c r="T8" s="407" t="str">
        <f>IF(AND('Mapa final'!$H$55="Muy Alta",'Mapa final'!$L$55="Menor"),CONCATENATE("R",'Mapa final'!$A$55),"")</f>
        <v/>
      </c>
      <c r="U8" s="408"/>
      <c r="V8" s="411" t="str">
        <f>IF(AND('Mapa final'!$H$43="Muy Alta",'Mapa final'!$L$43="Moderado"),CONCATENATE("R",'Mapa final'!$A$43),"")</f>
        <v/>
      </c>
      <c r="W8" s="407"/>
      <c r="X8" s="407" t="str">
        <f>IF(AND('Mapa final'!$H$49="Muy Alta",'Mapa final'!$L$49="Moderado"),CONCATENATE("R",'Mapa final'!$A$49),"")</f>
        <v/>
      </c>
      <c r="Y8" s="407"/>
      <c r="Z8" s="407" t="str">
        <f>IF(AND('Mapa final'!$H$55="Muy Alta",'Mapa final'!$L$55="Moderado"),CONCATENATE("R",'Mapa final'!$A$55),"")</f>
        <v/>
      </c>
      <c r="AA8" s="408"/>
      <c r="AB8" s="411" t="str">
        <f>IF(AND('Mapa final'!$H$43="Muy Alta",'Mapa final'!$L$43="Mayor"),CONCATENATE("R",'Mapa final'!$A$43),"")</f>
        <v/>
      </c>
      <c r="AC8" s="407"/>
      <c r="AD8" s="407" t="str">
        <f>IF(AND('Mapa final'!$H$49="Muy Alta",'Mapa final'!$L$49="Mayor"),CONCATENATE("R",'Mapa final'!$A$49),"")</f>
        <v/>
      </c>
      <c r="AE8" s="407"/>
      <c r="AF8" s="407" t="str">
        <f>IF(AND('Mapa final'!$H$55="Muy Alta",'Mapa final'!$L$55="Mayor"),CONCATENATE("R",'Mapa final'!$A$55),"")</f>
        <v/>
      </c>
      <c r="AG8" s="408"/>
      <c r="AH8" s="418" t="str">
        <f>IF(AND('Mapa final'!$H$43="Muy Alta",'Mapa final'!$L$43="Catastrófico"),CONCATENATE("R",'Mapa final'!$A$43),"")</f>
        <v/>
      </c>
      <c r="AI8" s="419"/>
      <c r="AJ8" s="419" t="str">
        <f>IF(AND('Mapa final'!$H$49="Muy Alta",'Mapa final'!$L$49="Catastrófico"),CONCATENATE("R",'Mapa final'!$A$49),"")</f>
        <v/>
      </c>
      <c r="AK8" s="419"/>
      <c r="AL8" s="419" t="str">
        <f>IF(AND('Mapa final'!$H$55="Muy Alta",'Mapa final'!$L$55="Catastrófico"),CONCATENATE("R",'Mapa final'!$A$55),"")</f>
        <v/>
      </c>
      <c r="AM8" s="420"/>
      <c r="AN8" s="82"/>
      <c r="AO8" s="365"/>
      <c r="AP8" s="366"/>
      <c r="AQ8" s="366"/>
      <c r="AR8" s="366"/>
      <c r="AS8" s="366"/>
      <c r="AT8" s="36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360"/>
      <c r="C9" s="360"/>
      <c r="D9" s="361"/>
      <c r="E9" s="401"/>
      <c r="F9" s="402"/>
      <c r="G9" s="402"/>
      <c r="H9" s="402"/>
      <c r="I9" s="403"/>
      <c r="J9" s="411"/>
      <c r="K9" s="407"/>
      <c r="L9" s="407"/>
      <c r="M9" s="407"/>
      <c r="N9" s="407"/>
      <c r="O9" s="408"/>
      <c r="P9" s="411"/>
      <c r="Q9" s="407"/>
      <c r="R9" s="407"/>
      <c r="S9" s="407"/>
      <c r="T9" s="407"/>
      <c r="U9" s="408"/>
      <c r="V9" s="411"/>
      <c r="W9" s="407"/>
      <c r="X9" s="407"/>
      <c r="Y9" s="407"/>
      <c r="Z9" s="407"/>
      <c r="AA9" s="408"/>
      <c r="AB9" s="411"/>
      <c r="AC9" s="407"/>
      <c r="AD9" s="407"/>
      <c r="AE9" s="407"/>
      <c r="AF9" s="407"/>
      <c r="AG9" s="408"/>
      <c r="AH9" s="418"/>
      <c r="AI9" s="419"/>
      <c r="AJ9" s="419"/>
      <c r="AK9" s="419"/>
      <c r="AL9" s="419"/>
      <c r="AM9" s="420"/>
      <c r="AN9" s="82"/>
      <c r="AO9" s="365"/>
      <c r="AP9" s="366"/>
      <c r="AQ9" s="366"/>
      <c r="AR9" s="366"/>
      <c r="AS9" s="366"/>
      <c r="AT9" s="36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360"/>
      <c r="C10" s="360"/>
      <c r="D10" s="361"/>
      <c r="E10" s="401"/>
      <c r="F10" s="402"/>
      <c r="G10" s="402"/>
      <c r="H10" s="402"/>
      <c r="I10" s="403"/>
      <c r="J10" s="411" t="str">
        <f>IF(AND('Mapa final'!$H$61="Muy Alta",'Mapa final'!$L$61="Leve"),CONCATENATE("R",'Mapa final'!$A$61),"")</f>
        <v/>
      </c>
      <c r="K10" s="407"/>
      <c r="L10" s="407" t="str">
        <f>IF(AND('Mapa final'!$H$67="Muy Alta",'Mapa final'!$L$67="Leve"),CONCATENATE("R",'Mapa final'!$A$67),"")</f>
        <v/>
      </c>
      <c r="M10" s="407"/>
      <c r="N10" s="407" t="str">
        <f>IF(AND('Mapa final'!$H$73="Muy Alta",'Mapa final'!$L$73="Leve"),CONCATENATE("R",'Mapa final'!$A$73),"")</f>
        <v/>
      </c>
      <c r="O10" s="408"/>
      <c r="P10" s="411" t="str">
        <f>IF(AND('Mapa final'!$H$61="Muy Alta",'Mapa final'!$L$61="Menor"),CONCATENATE("R",'Mapa final'!$A$61),"")</f>
        <v/>
      </c>
      <c r="Q10" s="407"/>
      <c r="R10" s="407" t="str">
        <f>IF(AND('Mapa final'!$H$67="Muy Alta",'Mapa final'!$L$67="Menor"),CONCATENATE("R",'Mapa final'!$A$67),"")</f>
        <v/>
      </c>
      <c r="S10" s="407"/>
      <c r="T10" s="407" t="str">
        <f>IF(AND('Mapa final'!$H$73="Muy Alta",'Mapa final'!$L$73="Menor"),CONCATENATE("R",'Mapa final'!$A$73),"")</f>
        <v/>
      </c>
      <c r="U10" s="408"/>
      <c r="V10" s="411" t="str">
        <f>IF(AND('Mapa final'!$H$61="Muy Alta",'Mapa final'!$L$61="Moderado"),CONCATENATE("R",'Mapa final'!$A$61),"")</f>
        <v/>
      </c>
      <c r="W10" s="407"/>
      <c r="X10" s="407" t="str">
        <f>IF(AND('Mapa final'!$H$67="Muy Alta",'Mapa final'!$L$67="Moderado"),CONCATENATE("R",'Mapa final'!$A$67),"")</f>
        <v/>
      </c>
      <c r="Y10" s="407"/>
      <c r="Z10" s="407" t="str">
        <f>IF(AND('Mapa final'!$H$73="Muy Alta",'Mapa final'!$L$73="Moderado"),CONCATENATE("R",'Mapa final'!$A$73),"")</f>
        <v/>
      </c>
      <c r="AA10" s="408"/>
      <c r="AB10" s="411" t="str">
        <f>IF(AND('Mapa final'!$H$61="Muy Alta",'Mapa final'!$L$61="Mayor"),CONCATENATE("R",'Mapa final'!$A$61),"")</f>
        <v/>
      </c>
      <c r="AC10" s="407"/>
      <c r="AD10" s="407" t="str">
        <f>IF(AND('Mapa final'!$H$67="Muy Alta",'Mapa final'!$L$67="Mayor"),CONCATENATE("R",'Mapa final'!$A$67),"")</f>
        <v/>
      </c>
      <c r="AE10" s="407"/>
      <c r="AF10" s="407" t="str">
        <f>IF(AND('Mapa final'!$H$73="Muy Alta",'Mapa final'!$L$73="Mayor"),CONCATENATE("R",'Mapa final'!$A$73),"")</f>
        <v/>
      </c>
      <c r="AG10" s="408"/>
      <c r="AH10" s="418" t="str">
        <f>IF(AND('Mapa final'!$H$61="Muy Alta",'Mapa final'!$L$61="Catastrófico"),CONCATENATE("R",'Mapa final'!$A$61),"")</f>
        <v/>
      </c>
      <c r="AI10" s="419"/>
      <c r="AJ10" s="419" t="str">
        <f>IF(AND('Mapa final'!$H$67="Muy Alta",'Mapa final'!$L$67="Catastrófico"),CONCATENATE("R",'Mapa final'!$A$67),"")</f>
        <v/>
      </c>
      <c r="AK10" s="419"/>
      <c r="AL10" s="419" t="str">
        <f>IF(AND('Mapa final'!$H$73="Muy Alta",'Mapa final'!$L$73="Catastrófico"),CONCATENATE("R",'Mapa final'!$A$73),"")</f>
        <v/>
      </c>
      <c r="AM10" s="420"/>
      <c r="AN10" s="82"/>
      <c r="AO10" s="365"/>
      <c r="AP10" s="366"/>
      <c r="AQ10" s="366"/>
      <c r="AR10" s="366"/>
      <c r="AS10" s="366"/>
      <c r="AT10" s="36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360"/>
      <c r="C11" s="360"/>
      <c r="D11" s="361"/>
      <c r="E11" s="401"/>
      <c r="F11" s="402"/>
      <c r="G11" s="402"/>
      <c r="H11" s="402"/>
      <c r="I11" s="403"/>
      <c r="J11" s="411"/>
      <c r="K11" s="407"/>
      <c r="L11" s="407"/>
      <c r="M11" s="407"/>
      <c r="N11" s="407"/>
      <c r="O11" s="408"/>
      <c r="P11" s="411"/>
      <c r="Q11" s="407"/>
      <c r="R11" s="407"/>
      <c r="S11" s="407"/>
      <c r="T11" s="407"/>
      <c r="U11" s="408"/>
      <c r="V11" s="411"/>
      <c r="W11" s="407"/>
      <c r="X11" s="407"/>
      <c r="Y11" s="407"/>
      <c r="Z11" s="407"/>
      <c r="AA11" s="408"/>
      <c r="AB11" s="411"/>
      <c r="AC11" s="407"/>
      <c r="AD11" s="407"/>
      <c r="AE11" s="407"/>
      <c r="AF11" s="407"/>
      <c r="AG11" s="408"/>
      <c r="AH11" s="418"/>
      <c r="AI11" s="419"/>
      <c r="AJ11" s="419"/>
      <c r="AK11" s="419"/>
      <c r="AL11" s="419"/>
      <c r="AM11" s="420"/>
      <c r="AN11" s="82"/>
      <c r="AO11" s="365"/>
      <c r="AP11" s="366"/>
      <c r="AQ11" s="366"/>
      <c r="AR11" s="366"/>
      <c r="AS11" s="366"/>
      <c r="AT11" s="36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360"/>
      <c r="C12" s="360"/>
      <c r="D12" s="361"/>
      <c r="E12" s="401"/>
      <c r="F12" s="402"/>
      <c r="G12" s="402"/>
      <c r="H12" s="402"/>
      <c r="I12" s="403"/>
      <c r="J12" s="411" t="str">
        <f>IF(AND('Mapa final'!$H$79="Muy Alta",'Mapa final'!$L$79="Leve"),CONCATENATE("R",'Mapa final'!$A$79),"")</f>
        <v/>
      </c>
      <c r="K12" s="407"/>
      <c r="L12" s="407" t="str">
        <f>IF(AND('Mapa final'!$H$85="Muy Alta",'Mapa final'!$L$85="Leve"),CONCATENATE("R",'Mapa final'!$A$85),"")</f>
        <v/>
      </c>
      <c r="M12" s="407"/>
      <c r="N12" s="407" t="str">
        <f>IF(AND('Mapa final'!$H$91="Muy Alta",'Mapa final'!$L$91="Leve"),CONCATENATE("R",'Mapa final'!$A$91),"")</f>
        <v/>
      </c>
      <c r="O12" s="408"/>
      <c r="P12" s="411" t="str">
        <f>IF(AND('Mapa final'!$H$79="Muy Alta",'Mapa final'!$L$79="Menor"),CONCATENATE("R",'Mapa final'!$A$79),"")</f>
        <v/>
      </c>
      <c r="Q12" s="407"/>
      <c r="R12" s="407" t="str">
        <f>IF(AND('Mapa final'!$H$85="Muy Alta",'Mapa final'!$L$85="Menor"),CONCATENATE("R",'Mapa final'!$A$85),"")</f>
        <v/>
      </c>
      <c r="S12" s="407"/>
      <c r="T12" s="407" t="str">
        <f>IF(AND('Mapa final'!$H$91="Muy Alta",'Mapa final'!$L$91="Menor"),CONCATENATE("R",'Mapa final'!$A$91),"")</f>
        <v/>
      </c>
      <c r="U12" s="408"/>
      <c r="V12" s="411" t="str">
        <f>IF(AND('Mapa final'!$H$79="Muy Alta",'Mapa final'!$L$79="Moderado"),CONCATENATE("R",'Mapa final'!$A$79),"")</f>
        <v/>
      </c>
      <c r="W12" s="407"/>
      <c r="X12" s="407" t="str">
        <f>IF(AND('Mapa final'!$H$85="Muy Alta",'Mapa final'!$L$85="Moderado"),CONCATENATE("R",'Mapa final'!$A$85),"")</f>
        <v/>
      </c>
      <c r="Y12" s="407"/>
      <c r="Z12" s="407" t="str">
        <f>IF(AND('Mapa final'!$H$91="Muy Alta",'Mapa final'!$L$91="Moderado"),CONCATENATE("R",'Mapa final'!$A$91),"")</f>
        <v/>
      </c>
      <c r="AA12" s="408"/>
      <c r="AB12" s="411" t="str">
        <f>IF(AND('Mapa final'!$H$79="Muy Alta",'Mapa final'!$L$79="Mayor"),CONCATENATE("R",'Mapa final'!$A$79),"")</f>
        <v/>
      </c>
      <c r="AC12" s="407"/>
      <c r="AD12" s="407" t="str">
        <f>IF(AND('Mapa final'!$H$85="Muy Alta",'Mapa final'!$L$85="Mayor"),CONCATENATE("R",'Mapa final'!$A$85),"")</f>
        <v/>
      </c>
      <c r="AE12" s="407"/>
      <c r="AF12" s="407" t="str">
        <f>IF(AND('Mapa final'!$H$91="Muy Alta",'Mapa final'!$L$91="Mayor"),CONCATENATE("R",'Mapa final'!$A$91),"")</f>
        <v/>
      </c>
      <c r="AG12" s="408"/>
      <c r="AH12" s="418" t="str">
        <f>IF(AND('Mapa final'!$H$79="Muy Alta",'Mapa final'!$L$79="Catastrófico"),CONCATENATE("R",'Mapa final'!$A$79),"")</f>
        <v/>
      </c>
      <c r="AI12" s="419"/>
      <c r="AJ12" s="419" t="str">
        <f>IF(AND('Mapa final'!$H$85="Muy Alta",'Mapa final'!$L$85="Catastrófico"),CONCATENATE("R",'Mapa final'!$A$85),"")</f>
        <v/>
      </c>
      <c r="AK12" s="419"/>
      <c r="AL12" s="419" t="str">
        <f>IF(AND('Mapa final'!$H$91="Muy Alta",'Mapa final'!$L$91="Catastrófico"),CONCATENATE("R",'Mapa final'!$A$91),"")</f>
        <v/>
      </c>
      <c r="AM12" s="420"/>
      <c r="AN12" s="82"/>
      <c r="AO12" s="365"/>
      <c r="AP12" s="366"/>
      <c r="AQ12" s="366"/>
      <c r="AR12" s="366"/>
      <c r="AS12" s="366"/>
      <c r="AT12" s="36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360"/>
      <c r="C13" s="360"/>
      <c r="D13" s="361"/>
      <c r="E13" s="404"/>
      <c r="F13" s="405"/>
      <c r="G13" s="405"/>
      <c r="H13" s="405"/>
      <c r="I13" s="406"/>
      <c r="J13" s="411"/>
      <c r="K13" s="407"/>
      <c r="L13" s="407"/>
      <c r="M13" s="407"/>
      <c r="N13" s="407"/>
      <c r="O13" s="408"/>
      <c r="P13" s="411"/>
      <c r="Q13" s="407"/>
      <c r="R13" s="407"/>
      <c r="S13" s="407"/>
      <c r="T13" s="407"/>
      <c r="U13" s="408"/>
      <c r="V13" s="411"/>
      <c r="W13" s="407"/>
      <c r="X13" s="407"/>
      <c r="Y13" s="407"/>
      <c r="Z13" s="407"/>
      <c r="AA13" s="408"/>
      <c r="AB13" s="411"/>
      <c r="AC13" s="407"/>
      <c r="AD13" s="407"/>
      <c r="AE13" s="407"/>
      <c r="AF13" s="407"/>
      <c r="AG13" s="408"/>
      <c r="AH13" s="421"/>
      <c r="AI13" s="422"/>
      <c r="AJ13" s="422"/>
      <c r="AK13" s="422"/>
      <c r="AL13" s="422"/>
      <c r="AM13" s="423"/>
      <c r="AN13" s="82"/>
      <c r="AO13" s="368"/>
      <c r="AP13" s="369"/>
      <c r="AQ13" s="369"/>
      <c r="AR13" s="369"/>
      <c r="AS13" s="369"/>
      <c r="AT13" s="370"/>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360"/>
      <c r="C14" s="360"/>
      <c r="D14" s="361"/>
      <c r="E14" s="398" t="s">
        <v>150</v>
      </c>
      <c r="F14" s="399"/>
      <c r="G14" s="399"/>
      <c r="H14" s="399"/>
      <c r="I14" s="399"/>
      <c r="J14" s="433" t="str">
        <f>IF(AND('Mapa final'!$H$25="Alta",'Mapa final'!$L$25="Leve"),CONCATENATE("R",'Mapa final'!$A$25),"")</f>
        <v/>
      </c>
      <c r="K14" s="434"/>
      <c r="L14" s="434" t="str">
        <f>IF(AND('Mapa final'!$H$31="Alta",'Mapa final'!$L$31="Leve"),CONCATENATE("R",'Mapa final'!$A$31),"")</f>
        <v/>
      </c>
      <c r="M14" s="434"/>
      <c r="N14" s="434" t="str">
        <f>IF(AND('Mapa final'!$H$37="Alta",'Mapa final'!$L$37="Leve"),CONCATENATE("R",'Mapa final'!$A$37),"")</f>
        <v/>
      </c>
      <c r="O14" s="435"/>
      <c r="P14" s="433" t="str">
        <f>IF(AND('Mapa final'!$H$25="Alta",'Mapa final'!$L$25="Menor"),CONCATENATE("R",'Mapa final'!$A$25),"")</f>
        <v/>
      </c>
      <c r="Q14" s="434"/>
      <c r="R14" s="434" t="str">
        <f>IF(AND('Mapa final'!$H$31="Alta",'Mapa final'!$L$31="Menor"),CONCATENATE("R",'Mapa final'!$A$31),"")</f>
        <v/>
      </c>
      <c r="S14" s="434"/>
      <c r="T14" s="434" t="str">
        <f>IF(AND('Mapa final'!$H$37="Alta",'Mapa final'!$L$37="Menor"),CONCATENATE("R",'Mapa final'!$A$37),"")</f>
        <v/>
      </c>
      <c r="U14" s="435"/>
      <c r="V14" s="409" t="str">
        <f>IF(AND('Mapa final'!$H$25="Alta",'Mapa final'!$L$25="Moderado"),CONCATENATE("R",'Mapa final'!$A$25),"")</f>
        <v/>
      </c>
      <c r="W14" s="410"/>
      <c r="X14" s="410" t="str">
        <f>IF(AND('Mapa final'!$H$31="Alta",'Mapa final'!$L$31="Moderado"),CONCATENATE("R",'Mapa final'!$A$31),"")</f>
        <v/>
      </c>
      <c r="Y14" s="410"/>
      <c r="Z14" s="410" t="str">
        <f>IF(AND('Mapa final'!$H$37="Alta",'Mapa final'!$L$37="Moderado"),CONCATENATE("R",'Mapa final'!$A$37),"")</f>
        <v/>
      </c>
      <c r="AA14" s="412"/>
      <c r="AB14" s="409" t="str">
        <f>IF(AND('Mapa final'!$H$25="Alta",'Mapa final'!$L$25="Mayor"),CONCATENATE("R",'Mapa final'!$A$25),"")</f>
        <v/>
      </c>
      <c r="AC14" s="410"/>
      <c r="AD14" s="410" t="str">
        <f>IF(AND('Mapa final'!$H$31="Alta",'Mapa final'!$L$31="Mayor"),CONCATENATE("R",'Mapa final'!$A$31),"")</f>
        <v/>
      </c>
      <c r="AE14" s="410"/>
      <c r="AF14" s="410" t="str">
        <f>IF(AND('Mapa final'!$H$37="Alta",'Mapa final'!$L$37="Mayor"),CONCATENATE("R",'Mapa final'!$A$37),"")</f>
        <v/>
      </c>
      <c r="AG14" s="412"/>
      <c r="AH14" s="424" t="str">
        <f>IF(AND('Mapa final'!$H$25="Alta",'Mapa final'!$L$25="Catastrófico"),CONCATENATE("R",'Mapa final'!$A$25),"")</f>
        <v/>
      </c>
      <c r="AI14" s="425"/>
      <c r="AJ14" s="425" t="str">
        <f>IF(AND('Mapa final'!$H$31="Alta",'Mapa final'!$L$31="Catastrófico"),CONCATENATE("R",'Mapa final'!$A$31),"")</f>
        <v/>
      </c>
      <c r="AK14" s="425"/>
      <c r="AL14" s="425" t="str">
        <f>IF(AND('Mapa final'!$H$37="Alta",'Mapa final'!$L$37="Catastrófico"),CONCATENATE("R",'Mapa final'!$A$37),"")</f>
        <v/>
      </c>
      <c r="AM14" s="426"/>
      <c r="AN14" s="82"/>
      <c r="AO14" s="371" t="s">
        <v>151</v>
      </c>
      <c r="AP14" s="372"/>
      <c r="AQ14" s="372"/>
      <c r="AR14" s="372"/>
      <c r="AS14" s="372"/>
      <c r="AT14" s="373"/>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360"/>
      <c r="C15" s="360"/>
      <c r="D15" s="361"/>
      <c r="E15" s="401"/>
      <c r="F15" s="402"/>
      <c r="G15" s="402"/>
      <c r="H15" s="402"/>
      <c r="I15" s="402"/>
      <c r="J15" s="427"/>
      <c r="K15" s="428"/>
      <c r="L15" s="428"/>
      <c r="M15" s="428"/>
      <c r="N15" s="428"/>
      <c r="O15" s="429"/>
      <c r="P15" s="427"/>
      <c r="Q15" s="428"/>
      <c r="R15" s="428"/>
      <c r="S15" s="428"/>
      <c r="T15" s="428"/>
      <c r="U15" s="429"/>
      <c r="V15" s="411"/>
      <c r="W15" s="407"/>
      <c r="X15" s="407"/>
      <c r="Y15" s="407"/>
      <c r="Z15" s="407"/>
      <c r="AA15" s="408"/>
      <c r="AB15" s="411"/>
      <c r="AC15" s="407"/>
      <c r="AD15" s="407"/>
      <c r="AE15" s="407"/>
      <c r="AF15" s="407"/>
      <c r="AG15" s="408"/>
      <c r="AH15" s="418"/>
      <c r="AI15" s="419"/>
      <c r="AJ15" s="419"/>
      <c r="AK15" s="419"/>
      <c r="AL15" s="419"/>
      <c r="AM15" s="420"/>
      <c r="AN15" s="82"/>
      <c r="AO15" s="374"/>
      <c r="AP15" s="375"/>
      <c r="AQ15" s="375"/>
      <c r="AR15" s="375"/>
      <c r="AS15" s="375"/>
      <c r="AT15" s="376"/>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360"/>
      <c r="C16" s="360"/>
      <c r="D16" s="361"/>
      <c r="E16" s="401"/>
      <c r="F16" s="402"/>
      <c r="G16" s="402"/>
      <c r="H16" s="402"/>
      <c r="I16" s="402"/>
      <c r="J16" s="427" t="str">
        <f>IF(AND('Mapa final'!$H$43="Alta",'Mapa final'!$L$43="Leve"),CONCATENATE("R",'Mapa final'!$A$43),"")</f>
        <v/>
      </c>
      <c r="K16" s="428"/>
      <c r="L16" s="428" t="str">
        <f>IF(AND('Mapa final'!$H$49="Alta",'Mapa final'!$L$49="Leve"),CONCATENATE("R",'Mapa final'!$A$49),"")</f>
        <v/>
      </c>
      <c r="M16" s="428"/>
      <c r="N16" s="428" t="str">
        <f>IF(AND('Mapa final'!$H$55="Alta",'Mapa final'!$L$55="Leve"),CONCATENATE("R",'Mapa final'!$A$55),"")</f>
        <v/>
      </c>
      <c r="O16" s="429"/>
      <c r="P16" s="427" t="str">
        <f>IF(AND('Mapa final'!$H$43="Alta",'Mapa final'!$L$43="Menor"),CONCATENATE("R",'Mapa final'!$A$43),"")</f>
        <v/>
      </c>
      <c r="Q16" s="428"/>
      <c r="R16" s="428" t="str">
        <f>IF(AND('Mapa final'!$H$49="Alta",'Mapa final'!$L$49="Menor"),CONCATENATE("R",'Mapa final'!$A$49),"")</f>
        <v/>
      </c>
      <c r="S16" s="428"/>
      <c r="T16" s="428" t="str">
        <f>IF(AND('Mapa final'!$H$55="Alta",'Mapa final'!$L$55="Menor"),CONCATENATE("R",'Mapa final'!$A$55),"")</f>
        <v/>
      </c>
      <c r="U16" s="429"/>
      <c r="V16" s="411" t="str">
        <f>IF(AND('Mapa final'!$H$43="Alta",'Mapa final'!$L$43="Moderado"),CONCATENATE("R",'Mapa final'!$A$43),"")</f>
        <v/>
      </c>
      <c r="W16" s="407"/>
      <c r="X16" s="407" t="str">
        <f>IF(AND('Mapa final'!$H$49="Alta",'Mapa final'!$L$49="Moderado"),CONCATENATE("R",'Mapa final'!$A$49),"")</f>
        <v/>
      </c>
      <c r="Y16" s="407"/>
      <c r="Z16" s="407" t="str">
        <f>IF(AND('Mapa final'!$H$55="Alta",'Mapa final'!$L$55="Moderado"),CONCATENATE("R",'Mapa final'!$A$55),"")</f>
        <v/>
      </c>
      <c r="AA16" s="408"/>
      <c r="AB16" s="411" t="str">
        <f>IF(AND('Mapa final'!$H$43="Alta",'Mapa final'!$L$43="Mayor"),CONCATENATE("R",'Mapa final'!$A$43),"")</f>
        <v/>
      </c>
      <c r="AC16" s="407"/>
      <c r="AD16" s="407" t="str">
        <f>IF(AND('Mapa final'!$H$49="Alta",'Mapa final'!$L$49="Mayor"),CONCATENATE("R",'Mapa final'!$A$49),"")</f>
        <v/>
      </c>
      <c r="AE16" s="407"/>
      <c r="AF16" s="407" t="str">
        <f>IF(AND('Mapa final'!$H$55="Alta",'Mapa final'!$L$55="Mayor"),CONCATENATE("R",'Mapa final'!$A$55),"")</f>
        <v/>
      </c>
      <c r="AG16" s="408"/>
      <c r="AH16" s="418" t="str">
        <f>IF(AND('Mapa final'!$H$43="Alta",'Mapa final'!$L$43="Catastrófico"),CONCATENATE("R",'Mapa final'!$A$43),"")</f>
        <v/>
      </c>
      <c r="AI16" s="419"/>
      <c r="AJ16" s="419" t="str">
        <f>IF(AND('Mapa final'!$H$49="Alta",'Mapa final'!$L$49="Catastrófico"),CONCATENATE("R",'Mapa final'!$A$49),"")</f>
        <v/>
      </c>
      <c r="AK16" s="419"/>
      <c r="AL16" s="419" t="str">
        <f>IF(AND('Mapa final'!$H$55="Alta",'Mapa final'!$L$55="Catastrófico"),CONCATENATE("R",'Mapa final'!$A$55),"")</f>
        <v/>
      </c>
      <c r="AM16" s="420"/>
      <c r="AN16" s="82"/>
      <c r="AO16" s="374"/>
      <c r="AP16" s="375"/>
      <c r="AQ16" s="375"/>
      <c r="AR16" s="375"/>
      <c r="AS16" s="375"/>
      <c r="AT16" s="376"/>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360"/>
      <c r="C17" s="360"/>
      <c r="D17" s="361"/>
      <c r="E17" s="401"/>
      <c r="F17" s="402"/>
      <c r="G17" s="402"/>
      <c r="H17" s="402"/>
      <c r="I17" s="402"/>
      <c r="J17" s="427"/>
      <c r="K17" s="428"/>
      <c r="L17" s="428"/>
      <c r="M17" s="428"/>
      <c r="N17" s="428"/>
      <c r="O17" s="429"/>
      <c r="P17" s="427"/>
      <c r="Q17" s="428"/>
      <c r="R17" s="428"/>
      <c r="S17" s="428"/>
      <c r="T17" s="428"/>
      <c r="U17" s="429"/>
      <c r="V17" s="411"/>
      <c r="W17" s="407"/>
      <c r="X17" s="407"/>
      <c r="Y17" s="407"/>
      <c r="Z17" s="407"/>
      <c r="AA17" s="408"/>
      <c r="AB17" s="411"/>
      <c r="AC17" s="407"/>
      <c r="AD17" s="407"/>
      <c r="AE17" s="407"/>
      <c r="AF17" s="407"/>
      <c r="AG17" s="408"/>
      <c r="AH17" s="418"/>
      <c r="AI17" s="419"/>
      <c r="AJ17" s="419"/>
      <c r="AK17" s="419"/>
      <c r="AL17" s="419"/>
      <c r="AM17" s="420"/>
      <c r="AN17" s="82"/>
      <c r="AO17" s="374"/>
      <c r="AP17" s="375"/>
      <c r="AQ17" s="375"/>
      <c r="AR17" s="375"/>
      <c r="AS17" s="375"/>
      <c r="AT17" s="376"/>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360"/>
      <c r="C18" s="360"/>
      <c r="D18" s="361"/>
      <c r="E18" s="401"/>
      <c r="F18" s="402"/>
      <c r="G18" s="402"/>
      <c r="H18" s="402"/>
      <c r="I18" s="402"/>
      <c r="J18" s="427" t="str">
        <f>IF(AND('Mapa final'!$H$61="Alta",'Mapa final'!$L$61="Leve"),CONCATENATE("R",'Mapa final'!$A$61),"")</f>
        <v/>
      </c>
      <c r="K18" s="428"/>
      <c r="L18" s="428" t="str">
        <f>IF(AND('Mapa final'!$H$67="Alta",'Mapa final'!$L$67="Leve"),CONCATENATE("R",'Mapa final'!$A$67),"")</f>
        <v/>
      </c>
      <c r="M18" s="428"/>
      <c r="N18" s="428" t="str">
        <f>IF(AND('Mapa final'!$H$73="Alta",'Mapa final'!$L$73="Leve"),CONCATENATE("R",'Mapa final'!$A$73),"")</f>
        <v/>
      </c>
      <c r="O18" s="429"/>
      <c r="P18" s="427" t="str">
        <f>IF(AND('Mapa final'!$H$61="Alta",'Mapa final'!$L$61="Menor"),CONCATENATE("R",'Mapa final'!$A$61),"")</f>
        <v/>
      </c>
      <c r="Q18" s="428"/>
      <c r="R18" s="428" t="str">
        <f>IF(AND('Mapa final'!$H$67="Alta",'Mapa final'!$L$67="Menor"),CONCATENATE("R",'Mapa final'!$A$67),"")</f>
        <v/>
      </c>
      <c r="S18" s="428"/>
      <c r="T18" s="428" t="str">
        <f>IF(AND('Mapa final'!$H$73="Alta",'Mapa final'!$L$73="Menor"),CONCATENATE("R",'Mapa final'!$A$73),"")</f>
        <v/>
      </c>
      <c r="U18" s="429"/>
      <c r="V18" s="411" t="str">
        <f>IF(AND('Mapa final'!$H$61="Alta",'Mapa final'!$L$61="Moderado"),CONCATENATE("R",'Mapa final'!$A$61),"")</f>
        <v/>
      </c>
      <c r="W18" s="407"/>
      <c r="X18" s="407" t="str">
        <f>IF(AND('Mapa final'!$H$67="Alta",'Mapa final'!$L$67="Moderado"),CONCATENATE("R",'Mapa final'!$A$67),"")</f>
        <v/>
      </c>
      <c r="Y18" s="407"/>
      <c r="Z18" s="407" t="str">
        <f>IF(AND('Mapa final'!$H$73="Alta",'Mapa final'!$L$73="Moderado"),CONCATENATE("R",'Mapa final'!$A$73),"")</f>
        <v/>
      </c>
      <c r="AA18" s="408"/>
      <c r="AB18" s="411" t="str">
        <f>IF(AND('Mapa final'!$H$61="Alta",'Mapa final'!$L$61="Mayor"),CONCATENATE("R",'Mapa final'!$A$61),"")</f>
        <v/>
      </c>
      <c r="AC18" s="407"/>
      <c r="AD18" s="407" t="str">
        <f>IF(AND('Mapa final'!$H$67="Alta",'Mapa final'!$L$67="Mayor"),CONCATENATE("R",'Mapa final'!$A$67),"")</f>
        <v/>
      </c>
      <c r="AE18" s="407"/>
      <c r="AF18" s="407" t="str">
        <f>IF(AND('Mapa final'!$H$73="Alta",'Mapa final'!$L$73="Mayor"),CONCATENATE("R",'Mapa final'!$A$73),"")</f>
        <v/>
      </c>
      <c r="AG18" s="408"/>
      <c r="AH18" s="418" t="str">
        <f>IF(AND('Mapa final'!$H$61="Alta",'Mapa final'!$L$61="Catastrófico"),CONCATENATE("R",'Mapa final'!$A$61),"")</f>
        <v/>
      </c>
      <c r="AI18" s="419"/>
      <c r="AJ18" s="419" t="str">
        <f>IF(AND('Mapa final'!$H$67="Alta",'Mapa final'!$L$67="Catastrófico"),CONCATENATE("R",'Mapa final'!$A$67),"")</f>
        <v/>
      </c>
      <c r="AK18" s="419"/>
      <c r="AL18" s="419" t="str">
        <f>IF(AND('Mapa final'!$H$73="Alta",'Mapa final'!$L$73="Catastrófico"),CONCATENATE("R",'Mapa final'!$A$73),"")</f>
        <v/>
      </c>
      <c r="AM18" s="420"/>
      <c r="AN18" s="82"/>
      <c r="AO18" s="374"/>
      <c r="AP18" s="375"/>
      <c r="AQ18" s="375"/>
      <c r="AR18" s="375"/>
      <c r="AS18" s="375"/>
      <c r="AT18" s="376"/>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360"/>
      <c r="C19" s="360"/>
      <c r="D19" s="361"/>
      <c r="E19" s="401"/>
      <c r="F19" s="402"/>
      <c r="G19" s="402"/>
      <c r="H19" s="402"/>
      <c r="I19" s="402"/>
      <c r="J19" s="427"/>
      <c r="K19" s="428"/>
      <c r="L19" s="428"/>
      <c r="M19" s="428"/>
      <c r="N19" s="428"/>
      <c r="O19" s="429"/>
      <c r="P19" s="427"/>
      <c r="Q19" s="428"/>
      <c r="R19" s="428"/>
      <c r="S19" s="428"/>
      <c r="T19" s="428"/>
      <c r="U19" s="429"/>
      <c r="V19" s="411"/>
      <c r="W19" s="407"/>
      <c r="X19" s="407"/>
      <c r="Y19" s="407"/>
      <c r="Z19" s="407"/>
      <c r="AA19" s="408"/>
      <c r="AB19" s="411"/>
      <c r="AC19" s="407"/>
      <c r="AD19" s="407"/>
      <c r="AE19" s="407"/>
      <c r="AF19" s="407"/>
      <c r="AG19" s="408"/>
      <c r="AH19" s="418"/>
      <c r="AI19" s="419"/>
      <c r="AJ19" s="419"/>
      <c r="AK19" s="419"/>
      <c r="AL19" s="419"/>
      <c r="AM19" s="420"/>
      <c r="AN19" s="82"/>
      <c r="AO19" s="374"/>
      <c r="AP19" s="375"/>
      <c r="AQ19" s="375"/>
      <c r="AR19" s="375"/>
      <c r="AS19" s="375"/>
      <c r="AT19" s="376"/>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360"/>
      <c r="C20" s="360"/>
      <c r="D20" s="361"/>
      <c r="E20" s="401"/>
      <c r="F20" s="402"/>
      <c r="G20" s="402"/>
      <c r="H20" s="402"/>
      <c r="I20" s="402"/>
      <c r="J20" s="427" t="str">
        <f>IF(AND('Mapa final'!$H$79="Alta",'Mapa final'!$L$79="Leve"),CONCATENATE("R",'Mapa final'!$A$79),"")</f>
        <v/>
      </c>
      <c r="K20" s="428"/>
      <c r="L20" s="428" t="str">
        <f>IF(AND('Mapa final'!$H$85="Alta",'Mapa final'!$L$85="Leve"),CONCATENATE("R",'Mapa final'!$A$85),"")</f>
        <v/>
      </c>
      <c r="M20" s="428"/>
      <c r="N20" s="428" t="str">
        <f>IF(AND('Mapa final'!$H$91="Alta",'Mapa final'!$L$91="Leve"),CONCATENATE("R",'Mapa final'!$A$91),"")</f>
        <v/>
      </c>
      <c r="O20" s="429"/>
      <c r="P20" s="427" t="str">
        <f>IF(AND('Mapa final'!$H$79="Alta",'Mapa final'!$L$79="Menor"),CONCATENATE("R",'Mapa final'!$A$79),"")</f>
        <v/>
      </c>
      <c r="Q20" s="428"/>
      <c r="R20" s="428" t="str">
        <f>IF(AND('Mapa final'!$H$85="Alta",'Mapa final'!$L$85="Menor"),CONCATENATE("R",'Mapa final'!$A$85),"")</f>
        <v/>
      </c>
      <c r="S20" s="428"/>
      <c r="T20" s="428" t="str">
        <f>IF(AND('Mapa final'!$H$91="Alta",'Mapa final'!$L$91="Menor"),CONCATENATE("R",'Mapa final'!$A$91),"")</f>
        <v/>
      </c>
      <c r="U20" s="429"/>
      <c r="V20" s="411" t="str">
        <f>IF(AND('Mapa final'!$H$79="Alta",'Mapa final'!$L$79="Moderado"),CONCATENATE("R",'Mapa final'!$A$79),"")</f>
        <v/>
      </c>
      <c r="W20" s="407"/>
      <c r="X20" s="407" t="str">
        <f>IF(AND('Mapa final'!$H$85="Alta",'Mapa final'!$L$85="Moderado"),CONCATENATE("R",'Mapa final'!$A$85),"")</f>
        <v/>
      </c>
      <c r="Y20" s="407"/>
      <c r="Z20" s="407" t="str">
        <f>IF(AND('Mapa final'!$H$91="Alta",'Mapa final'!$L$91="Moderado"),CONCATENATE("R",'Mapa final'!$A$91),"")</f>
        <v/>
      </c>
      <c r="AA20" s="408"/>
      <c r="AB20" s="411" t="str">
        <f>IF(AND('Mapa final'!$H$79="Alta",'Mapa final'!$L$79="Mayor"),CONCATENATE("R",'Mapa final'!$A$79),"")</f>
        <v/>
      </c>
      <c r="AC20" s="407"/>
      <c r="AD20" s="407" t="str">
        <f>IF(AND('Mapa final'!$H$85="Alta",'Mapa final'!$L$85="Mayor"),CONCATENATE("R",'Mapa final'!$A$85),"")</f>
        <v/>
      </c>
      <c r="AE20" s="407"/>
      <c r="AF20" s="407" t="str">
        <f>IF(AND('Mapa final'!$H$91="Alta",'Mapa final'!$L$91="Mayor"),CONCATENATE("R",'Mapa final'!$A$91),"")</f>
        <v/>
      </c>
      <c r="AG20" s="408"/>
      <c r="AH20" s="418" t="str">
        <f>IF(AND('Mapa final'!$H$79="Alta",'Mapa final'!$L$79="Catastrófico"),CONCATENATE("R",'Mapa final'!$A$79),"")</f>
        <v/>
      </c>
      <c r="AI20" s="419"/>
      <c r="AJ20" s="419" t="str">
        <f>IF(AND('Mapa final'!$H$85="Alta",'Mapa final'!$L$85="Catastrófico"),CONCATENATE("R",'Mapa final'!$A$85),"")</f>
        <v/>
      </c>
      <c r="AK20" s="419"/>
      <c r="AL20" s="419" t="str">
        <f>IF(AND('Mapa final'!$H$91="Alta",'Mapa final'!$L$91="Catastrófico"),CONCATENATE("R",'Mapa final'!$A$91),"")</f>
        <v/>
      </c>
      <c r="AM20" s="420"/>
      <c r="AN20" s="82"/>
      <c r="AO20" s="374"/>
      <c r="AP20" s="375"/>
      <c r="AQ20" s="375"/>
      <c r="AR20" s="375"/>
      <c r="AS20" s="375"/>
      <c r="AT20" s="376"/>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360"/>
      <c r="C21" s="360"/>
      <c r="D21" s="361"/>
      <c r="E21" s="404"/>
      <c r="F21" s="405"/>
      <c r="G21" s="405"/>
      <c r="H21" s="405"/>
      <c r="I21" s="405"/>
      <c r="J21" s="430"/>
      <c r="K21" s="431"/>
      <c r="L21" s="431"/>
      <c r="M21" s="431"/>
      <c r="N21" s="431"/>
      <c r="O21" s="432"/>
      <c r="P21" s="430"/>
      <c r="Q21" s="431"/>
      <c r="R21" s="431"/>
      <c r="S21" s="431"/>
      <c r="T21" s="431"/>
      <c r="U21" s="432"/>
      <c r="V21" s="415"/>
      <c r="W21" s="416"/>
      <c r="X21" s="416"/>
      <c r="Y21" s="416"/>
      <c r="Z21" s="416"/>
      <c r="AA21" s="417"/>
      <c r="AB21" s="415"/>
      <c r="AC21" s="416"/>
      <c r="AD21" s="416"/>
      <c r="AE21" s="416"/>
      <c r="AF21" s="416"/>
      <c r="AG21" s="417"/>
      <c r="AH21" s="421"/>
      <c r="AI21" s="422"/>
      <c r="AJ21" s="422"/>
      <c r="AK21" s="422"/>
      <c r="AL21" s="422"/>
      <c r="AM21" s="423"/>
      <c r="AN21" s="82"/>
      <c r="AO21" s="377"/>
      <c r="AP21" s="378"/>
      <c r="AQ21" s="378"/>
      <c r="AR21" s="378"/>
      <c r="AS21" s="378"/>
      <c r="AT21" s="379"/>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360"/>
      <c r="C22" s="360"/>
      <c r="D22" s="361"/>
      <c r="E22" s="398" t="s">
        <v>152</v>
      </c>
      <c r="F22" s="399"/>
      <c r="G22" s="399"/>
      <c r="H22" s="399"/>
      <c r="I22" s="400"/>
      <c r="J22" s="433" t="str">
        <f>IF(AND('Mapa final'!$H$25="Media",'Mapa final'!$L$25="Leve"),CONCATENATE("R",'Mapa final'!$A$25),"")</f>
        <v/>
      </c>
      <c r="K22" s="434"/>
      <c r="L22" s="434" t="str">
        <f>IF(AND('Mapa final'!$H$31="Media",'Mapa final'!$L$31="Leve"),CONCATENATE("R",'Mapa final'!$A$31),"")</f>
        <v/>
      </c>
      <c r="M22" s="434"/>
      <c r="N22" s="434" t="str">
        <f>IF(AND('Mapa final'!$H$37="Media",'Mapa final'!$L$37="Leve"),CONCATENATE("R",'Mapa final'!$A$37),"")</f>
        <v/>
      </c>
      <c r="O22" s="435"/>
      <c r="P22" s="433" t="str">
        <f>IF(AND('Mapa final'!$H$25="Media",'Mapa final'!$L$25="Menor"),CONCATENATE("R",'Mapa final'!$A$25),"")</f>
        <v/>
      </c>
      <c r="Q22" s="434"/>
      <c r="R22" s="434" t="str">
        <f>IF(AND('Mapa final'!$H$31="Media",'Mapa final'!$L$31="Menor"),CONCATENATE("R",'Mapa final'!$A$31),"")</f>
        <v/>
      </c>
      <c r="S22" s="434"/>
      <c r="T22" s="434" t="str">
        <f>IF(AND('Mapa final'!$H$37="Media",'Mapa final'!$L$37="Menor"),CONCATENATE("R",'Mapa final'!$A$37),"")</f>
        <v/>
      </c>
      <c r="U22" s="435"/>
      <c r="V22" s="433" t="str">
        <f>IF(AND('Mapa final'!$H$25="Media",'Mapa final'!$L$25="Moderado"),CONCATENATE("R",'Mapa final'!$A$25),"")</f>
        <v/>
      </c>
      <c r="W22" s="434"/>
      <c r="X22" s="434" t="str">
        <f>IF(AND('Mapa final'!$H$31="Media",'Mapa final'!$L$31="Moderado"),CONCATENATE("R",'Mapa final'!$A$31),"")</f>
        <v/>
      </c>
      <c r="Y22" s="434"/>
      <c r="Z22" s="434" t="str">
        <f>IF(AND('Mapa final'!$H$37="Media",'Mapa final'!$L$37="Moderado"),CONCATENATE("R",'Mapa final'!$A$37),"")</f>
        <v/>
      </c>
      <c r="AA22" s="435"/>
      <c r="AB22" s="409" t="str">
        <f>IF(AND('Mapa final'!$H$25="Media",'Mapa final'!$L$25="Mayor"),CONCATENATE("R",'Mapa final'!$A$25),"")</f>
        <v/>
      </c>
      <c r="AC22" s="410"/>
      <c r="AD22" s="410" t="str">
        <f>IF(AND('Mapa final'!$H$31="Media",'Mapa final'!$L$31="Mayor"),CONCATENATE("R",'Mapa final'!$A$31),"")</f>
        <v/>
      </c>
      <c r="AE22" s="410"/>
      <c r="AF22" s="410" t="str">
        <f>IF(AND('Mapa final'!$H$37="Media",'Mapa final'!$L$37="Mayor"),CONCATENATE("R",'Mapa final'!$A$37),"")</f>
        <v/>
      </c>
      <c r="AG22" s="412"/>
      <c r="AH22" s="424" t="str">
        <f>IF(AND('Mapa final'!$H$25="Media",'Mapa final'!$L$25="Catastrófico"),CONCATENATE("R",'Mapa final'!$A$25),"")</f>
        <v/>
      </c>
      <c r="AI22" s="425"/>
      <c r="AJ22" s="425" t="str">
        <f>IF(AND('Mapa final'!$H$31="Media",'Mapa final'!$L$31="Catastrófico"),CONCATENATE("R",'Mapa final'!$A$31),"")</f>
        <v/>
      </c>
      <c r="AK22" s="425"/>
      <c r="AL22" s="425" t="str">
        <f>IF(AND('Mapa final'!$H$37="Media",'Mapa final'!$L$37="Catastrófico"),CONCATENATE("R",'Mapa final'!$A$37),"")</f>
        <v/>
      </c>
      <c r="AM22" s="426"/>
      <c r="AN22" s="82"/>
      <c r="AO22" s="380" t="s">
        <v>153</v>
      </c>
      <c r="AP22" s="381"/>
      <c r="AQ22" s="381"/>
      <c r="AR22" s="381"/>
      <c r="AS22" s="381"/>
      <c r="AT22" s="3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360"/>
      <c r="C23" s="360"/>
      <c r="D23" s="361"/>
      <c r="E23" s="401"/>
      <c r="F23" s="402"/>
      <c r="G23" s="402"/>
      <c r="H23" s="402"/>
      <c r="I23" s="403"/>
      <c r="J23" s="427"/>
      <c r="K23" s="428"/>
      <c r="L23" s="428"/>
      <c r="M23" s="428"/>
      <c r="N23" s="428"/>
      <c r="O23" s="429"/>
      <c r="P23" s="427"/>
      <c r="Q23" s="428"/>
      <c r="R23" s="428"/>
      <c r="S23" s="428"/>
      <c r="T23" s="428"/>
      <c r="U23" s="429"/>
      <c r="V23" s="427"/>
      <c r="W23" s="428"/>
      <c r="X23" s="428"/>
      <c r="Y23" s="428"/>
      <c r="Z23" s="428"/>
      <c r="AA23" s="429"/>
      <c r="AB23" s="411"/>
      <c r="AC23" s="407"/>
      <c r="AD23" s="407"/>
      <c r="AE23" s="407"/>
      <c r="AF23" s="407"/>
      <c r="AG23" s="408"/>
      <c r="AH23" s="418"/>
      <c r="AI23" s="419"/>
      <c r="AJ23" s="419"/>
      <c r="AK23" s="419"/>
      <c r="AL23" s="419"/>
      <c r="AM23" s="420"/>
      <c r="AN23" s="82"/>
      <c r="AO23" s="383"/>
      <c r="AP23" s="384"/>
      <c r="AQ23" s="384"/>
      <c r="AR23" s="384"/>
      <c r="AS23" s="384"/>
      <c r="AT23" s="385"/>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360"/>
      <c r="C24" s="360"/>
      <c r="D24" s="361"/>
      <c r="E24" s="401"/>
      <c r="F24" s="402"/>
      <c r="G24" s="402"/>
      <c r="H24" s="402"/>
      <c r="I24" s="403"/>
      <c r="J24" s="427" t="str">
        <f>IF(AND('Mapa final'!$H$43="Media",'Mapa final'!$L$43="Leve"),CONCATENATE("R",'Mapa final'!$A$43),"")</f>
        <v/>
      </c>
      <c r="K24" s="428"/>
      <c r="L24" s="428" t="str">
        <f>IF(AND('Mapa final'!$H$49="Media",'Mapa final'!$L$49="Leve"),CONCATENATE("R",'Mapa final'!$A$49),"")</f>
        <v/>
      </c>
      <c r="M24" s="428"/>
      <c r="N24" s="428" t="str">
        <f>IF(AND('Mapa final'!$H$55="Media",'Mapa final'!$L$55="Leve"),CONCATENATE("R",'Mapa final'!$A$55),"")</f>
        <v/>
      </c>
      <c r="O24" s="429"/>
      <c r="P24" s="427" t="str">
        <f>IF(AND('Mapa final'!$H$43="Media",'Mapa final'!$L$43="Menor"),CONCATENATE("R",'Mapa final'!$A$43),"")</f>
        <v/>
      </c>
      <c r="Q24" s="428"/>
      <c r="R24" s="428" t="str">
        <f>IF(AND('Mapa final'!$H$49="Media",'Mapa final'!$L$49="Menor"),CONCATENATE("R",'Mapa final'!$A$49),"")</f>
        <v/>
      </c>
      <c r="S24" s="428"/>
      <c r="T24" s="428" t="str">
        <f>IF(AND('Mapa final'!$H$55="Media",'Mapa final'!$L$55="Menor"),CONCATENATE("R",'Mapa final'!$A$55),"")</f>
        <v/>
      </c>
      <c r="U24" s="429"/>
      <c r="V24" s="427" t="str">
        <f>IF(AND('Mapa final'!$H$43="Media",'Mapa final'!$L$43="Moderado"),CONCATENATE("R",'Mapa final'!$A$43),"")</f>
        <v/>
      </c>
      <c r="W24" s="428"/>
      <c r="X24" s="428" t="str">
        <f>IF(AND('Mapa final'!$H$49="Media",'Mapa final'!$L$49="Moderado"),CONCATENATE("R",'Mapa final'!$A$49),"")</f>
        <v/>
      </c>
      <c r="Y24" s="428"/>
      <c r="Z24" s="428" t="str">
        <f>IF(AND('Mapa final'!$H$55="Media",'Mapa final'!$L$55="Moderado"),CONCATENATE("R",'Mapa final'!$A$55),"")</f>
        <v/>
      </c>
      <c r="AA24" s="429"/>
      <c r="AB24" s="411" t="str">
        <f>IF(AND('Mapa final'!$H$43="Media",'Mapa final'!$L$43="Mayor"),CONCATENATE("R",'Mapa final'!$A$43),"")</f>
        <v/>
      </c>
      <c r="AC24" s="407"/>
      <c r="AD24" s="407" t="str">
        <f>IF(AND('Mapa final'!$H$49="Media",'Mapa final'!$L$49="Mayor"),CONCATENATE("R",'Mapa final'!$A$49),"")</f>
        <v/>
      </c>
      <c r="AE24" s="407"/>
      <c r="AF24" s="407" t="str">
        <f>IF(AND('Mapa final'!$H$55="Media",'Mapa final'!$L$55="Mayor"),CONCATENATE("R",'Mapa final'!$A$55),"")</f>
        <v/>
      </c>
      <c r="AG24" s="408"/>
      <c r="AH24" s="418" t="str">
        <f>IF(AND('Mapa final'!$H$43="Media",'Mapa final'!$L$43="Catastrófico"),CONCATENATE("R",'Mapa final'!$A$43),"")</f>
        <v/>
      </c>
      <c r="AI24" s="419"/>
      <c r="AJ24" s="419" t="str">
        <f>IF(AND('Mapa final'!$H$49="Media",'Mapa final'!$L$49="Catastrófico"),CONCATENATE("R",'Mapa final'!$A$49),"")</f>
        <v/>
      </c>
      <c r="AK24" s="419"/>
      <c r="AL24" s="419" t="str">
        <f>IF(AND('Mapa final'!$H$55="Media",'Mapa final'!$L$55="Catastrófico"),CONCATENATE("R",'Mapa final'!$A$55),"")</f>
        <v/>
      </c>
      <c r="AM24" s="420"/>
      <c r="AN24" s="82"/>
      <c r="AO24" s="383"/>
      <c r="AP24" s="384"/>
      <c r="AQ24" s="384"/>
      <c r="AR24" s="384"/>
      <c r="AS24" s="384"/>
      <c r="AT24" s="385"/>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360"/>
      <c r="C25" s="360"/>
      <c r="D25" s="361"/>
      <c r="E25" s="401"/>
      <c r="F25" s="402"/>
      <c r="G25" s="402"/>
      <c r="H25" s="402"/>
      <c r="I25" s="403"/>
      <c r="J25" s="427"/>
      <c r="K25" s="428"/>
      <c r="L25" s="428"/>
      <c r="M25" s="428"/>
      <c r="N25" s="428"/>
      <c r="O25" s="429"/>
      <c r="P25" s="427"/>
      <c r="Q25" s="428"/>
      <c r="R25" s="428"/>
      <c r="S25" s="428"/>
      <c r="T25" s="428"/>
      <c r="U25" s="429"/>
      <c r="V25" s="427"/>
      <c r="W25" s="428"/>
      <c r="X25" s="428"/>
      <c r="Y25" s="428"/>
      <c r="Z25" s="428"/>
      <c r="AA25" s="429"/>
      <c r="AB25" s="411"/>
      <c r="AC25" s="407"/>
      <c r="AD25" s="407"/>
      <c r="AE25" s="407"/>
      <c r="AF25" s="407"/>
      <c r="AG25" s="408"/>
      <c r="AH25" s="418"/>
      <c r="AI25" s="419"/>
      <c r="AJ25" s="419"/>
      <c r="AK25" s="419"/>
      <c r="AL25" s="419"/>
      <c r="AM25" s="420"/>
      <c r="AN25" s="82"/>
      <c r="AO25" s="383"/>
      <c r="AP25" s="384"/>
      <c r="AQ25" s="384"/>
      <c r="AR25" s="384"/>
      <c r="AS25" s="384"/>
      <c r="AT25" s="385"/>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360"/>
      <c r="C26" s="360"/>
      <c r="D26" s="361"/>
      <c r="E26" s="401"/>
      <c r="F26" s="402"/>
      <c r="G26" s="402"/>
      <c r="H26" s="402"/>
      <c r="I26" s="403"/>
      <c r="J26" s="427" t="str">
        <f>IF(AND('Mapa final'!$H$61="Media",'Mapa final'!$L$61="Leve"),CONCATENATE("R",'Mapa final'!$A$61),"")</f>
        <v/>
      </c>
      <c r="K26" s="428"/>
      <c r="L26" s="428" t="str">
        <f>IF(AND('Mapa final'!$H$67="Media",'Mapa final'!$L$67="Leve"),CONCATENATE("R",'Mapa final'!$A$67),"")</f>
        <v/>
      </c>
      <c r="M26" s="428"/>
      <c r="N26" s="428" t="str">
        <f>IF(AND('Mapa final'!$H$73="Media",'Mapa final'!$L$73="Leve"),CONCATENATE("R",'Mapa final'!$A$73),"")</f>
        <v/>
      </c>
      <c r="O26" s="429"/>
      <c r="P26" s="427" t="str">
        <f>IF(AND('Mapa final'!$H$61="Media",'Mapa final'!$L$61="Menor"),CONCATENATE("R",'Mapa final'!$A$61),"")</f>
        <v/>
      </c>
      <c r="Q26" s="428"/>
      <c r="R26" s="428" t="str">
        <f>IF(AND('Mapa final'!$H$67="Media",'Mapa final'!$L$67="Menor"),CONCATENATE("R",'Mapa final'!$A$67),"")</f>
        <v/>
      </c>
      <c r="S26" s="428"/>
      <c r="T26" s="428" t="str">
        <f>IF(AND('Mapa final'!$H$73="Media",'Mapa final'!$L$73="Menor"),CONCATENATE("R",'Mapa final'!$A$73),"")</f>
        <v/>
      </c>
      <c r="U26" s="429"/>
      <c r="V26" s="427" t="str">
        <f>IF(AND('Mapa final'!$H$61="Media",'Mapa final'!$L$61="Moderado"),CONCATENATE("R",'Mapa final'!$A$61),"")</f>
        <v/>
      </c>
      <c r="W26" s="428"/>
      <c r="X26" s="428" t="str">
        <f>IF(AND('Mapa final'!$H$67="Media",'Mapa final'!$L$67="Moderado"),CONCATENATE("R",'Mapa final'!$A$67),"")</f>
        <v/>
      </c>
      <c r="Y26" s="428"/>
      <c r="Z26" s="428" t="str">
        <f>IF(AND('Mapa final'!$H$73="Media",'Mapa final'!$L$73="Moderado"),CONCATENATE("R",'Mapa final'!$A$73),"")</f>
        <v/>
      </c>
      <c r="AA26" s="429"/>
      <c r="AB26" s="411" t="str">
        <f>IF(AND('Mapa final'!$H$61="Media",'Mapa final'!$L$61="Mayor"),CONCATENATE("R",'Mapa final'!$A$61),"")</f>
        <v/>
      </c>
      <c r="AC26" s="407"/>
      <c r="AD26" s="407" t="str">
        <f>IF(AND('Mapa final'!$H$67="Media",'Mapa final'!$L$67="Mayor"),CONCATENATE("R",'Mapa final'!$A$67),"")</f>
        <v/>
      </c>
      <c r="AE26" s="407"/>
      <c r="AF26" s="407" t="str">
        <f>IF(AND('Mapa final'!$H$73="Media",'Mapa final'!$L$73="Mayor"),CONCATENATE("R",'Mapa final'!$A$73),"")</f>
        <v/>
      </c>
      <c r="AG26" s="408"/>
      <c r="AH26" s="418" t="str">
        <f>IF(AND('Mapa final'!$H$61="Media",'Mapa final'!$L$61="Catastrófico"),CONCATENATE("R",'Mapa final'!$A$61),"")</f>
        <v/>
      </c>
      <c r="AI26" s="419"/>
      <c r="AJ26" s="419" t="str">
        <f>IF(AND('Mapa final'!$H$67="Media",'Mapa final'!$L$67="Catastrófico"),CONCATENATE("R",'Mapa final'!$A$67),"")</f>
        <v/>
      </c>
      <c r="AK26" s="419"/>
      <c r="AL26" s="419" t="str">
        <f>IF(AND('Mapa final'!$H$73="Media",'Mapa final'!$L$73="Catastrófico"),CONCATENATE("R",'Mapa final'!$A$73),"")</f>
        <v/>
      </c>
      <c r="AM26" s="420"/>
      <c r="AN26" s="82"/>
      <c r="AO26" s="383"/>
      <c r="AP26" s="384"/>
      <c r="AQ26" s="384"/>
      <c r="AR26" s="384"/>
      <c r="AS26" s="384"/>
      <c r="AT26" s="385"/>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360"/>
      <c r="C27" s="360"/>
      <c r="D27" s="361"/>
      <c r="E27" s="401"/>
      <c r="F27" s="402"/>
      <c r="G27" s="402"/>
      <c r="H27" s="402"/>
      <c r="I27" s="403"/>
      <c r="J27" s="427"/>
      <c r="K27" s="428"/>
      <c r="L27" s="428"/>
      <c r="M27" s="428"/>
      <c r="N27" s="428"/>
      <c r="O27" s="429"/>
      <c r="P27" s="427"/>
      <c r="Q27" s="428"/>
      <c r="R27" s="428"/>
      <c r="S27" s="428"/>
      <c r="T27" s="428"/>
      <c r="U27" s="429"/>
      <c r="V27" s="427"/>
      <c r="W27" s="428"/>
      <c r="X27" s="428"/>
      <c r="Y27" s="428"/>
      <c r="Z27" s="428"/>
      <c r="AA27" s="429"/>
      <c r="AB27" s="411"/>
      <c r="AC27" s="407"/>
      <c r="AD27" s="407"/>
      <c r="AE27" s="407"/>
      <c r="AF27" s="407"/>
      <c r="AG27" s="408"/>
      <c r="AH27" s="418"/>
      <c r="AI27" s="419"/>
      <c r="AJ27" s="419"/>
      <c r="AK27" s="419"/>
      <c r="AL27" s="419"/>
      <c r="AM27" s="420"/>
      <c r="AN27" s="82"/>
      <c r="AO27" s="383"/>
      <c r="AP27" s="384"/>
      <c r="AQ27" s="384"/>
      <c r="AR27" s="384"/>
      <c r="AS27" s="384"/>
      <c r="AT27" s="385"/>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360"/>
      <c r="C28" s="360"/>
      <c r="D28" s="361"/>
      <c r="E28" s="401"/>
      <c r="F28" s="402"/>
      <c r="G28" s="402"/>
      <c r="H28" s="402"/>
      <c r="I28" s="403"/>
      <c r="J28" s="427" t="str">
        <f>IF(AND('Mapa final'!$H$79="Media",'Mapa final'!$L$79="Leve"),CONCATENATE("R",'Mapa final'!$A$79),"")</f>
        <v/>
      </c>
      <c r="K28" s="428"/>
      <c r="L28" s="428" t="str">
        <f>IF(AND('Mapa final'!$H$85="Media",'Mapa final'!$L$85="Leve"),CONCATENATE("R",'Mapa final'!$A$85),"")</f>
        <v/>
      </c>
      <c r="M28" s="428"/>
      <c r="N28" s="428" t="str">
        <f>IF(AND('Mapa final'!$H$91="Media",'Mapa final'!$L$91="Leve"),CONCATENATE("R",'Mapa final'!$A$91),"")</f>
        <v/>
      </c>
      <c r="O28" s="429"/>
      <c r="P28" s="427" t="str">
        <f>IF(AND('Mapa final'!$H$79="Media",'Mapa final'!$L$79="Menor"),CONCATENATE("R",'Mapa final'!$A$79),"")</f>
        <v/>
      </c>
      <c r="Q28" s="428"/>
      <c r="R28" s="428" t="str">
        <f>IF(AND('Mapa final'!$H$85="Media",'Mapa final'!$L$85="Menor"),CONCATENATE("R",'Mapa final'!$A$85),"")</f>
        <v/>
      </c>
      <c r="S28" s="428"/>
      <c r="T28" s="428" t="str">
        <f>IF(AND('Mapa final'!$H$91="Media",'Mapa final'!$L$91="Menor"),CONCATENATE("R",'Mapa final'!$A$91),"")</f>
        <v/>
      </c>
      <c r="U28" s="429"/>
      <c r="V28" s="427" t="str">
        <f>IF(AND('Mapa final'!$H$79="Media",'Mapa final'!$L$79="Moderado"),CONCATENATE("R",'Mapa final'!$A$79),"")</f>
        <v/>
      </c>
      <c r="W28" s="428"/>
      <c r="X28" s="428" t="str">
        <f>IF(AND('Mapa final'!$H$85="Media",'Mapa final'!$L$85="Moderado"),CONCATENATE("R",'Mapa final'!$A$85),"")</f>
        <v/>
      </c>
      <c r="Y28" s="428"/>
      <c r="Z28" s="428" t="str">
        <f>IF(AND('Mapa final'!$H$91="Media",'Mapa final'!$L$91="Moderado"),CONCATENATE("R",'Mapa final'!$A$91),"")</f>
        <v/>
      </c>
      <c r="AA28" s="429"/>
      <c r="AB28" s="411" t="str">
        <f>IF(AND('Mapa final'!$H$79="Media",'Mapa final'!$L$79="Mayor"),CONCATENATE("R",'Mapa final'!$A$79),"")</f>
        <v/>
      </c>
      <c r="AC28" s="407"/>
      <c r="AD28" s="407" t="str">
        <f>IF(AND('Mapa final'!$H$85="Media",'Mapa final'!$L$85="Mayor"),CONCATENATE("R",'Mapa final'!$A$85),"")</f>
        <v/>
      </c>
      <c r="AE28" s="407"/>
      <c r="AF28" s="407" t="str">
        <f>IF(AND('Mapa final'!$H$91="Media",'Mapa final'!$L$91="Mayor"),CONCATENATE("R",'Mapa final'!$A$91),"")</f>
        <v/>
      </c>
      <c r="AG28" s="408"/>
      <c r="AH28" s="418" t="str">
        <f>IF(AND('Mapa final'!$H$79="Media",'Mapa final'!$L$79="Catastrófico"),CONCATENATE("R",'Mapa final'!$A$79),"")</f>
        <v/>
      </c>
      <c r="AI28" s="419"/>
      <c r="AJ28" s="419" t="str">
        <f>IF(AND('Mapa final'!$H$85="Media",'Mapa final'!$L$85="Catastrófico"),CONCATENATE("R",'Mapa final'!$A$85),"")</f>
        <v/>
      </c>
      <c r="AK28" s="419"/>
      <c r="AL28" s="419" t="str">
        <f>IF(AND('Mapa final'!$H$91="Media",'Mapa final'!$L$91="Catastrófico"),CONCATENATE("R",'Mapa final'!$A$91),"")</f>
        <v/>
      </c>
      <c r="AM28" s="420"/>
      <c r="AN28" s="82"/>
      <c r="AO28" s="383"/>
      <c r="AP28" s="384"/>
      <c r="AQ28" s="384"/>
      <c r="AR28" s="384"/>
      <c r="AS28" s="384"/>
      <c r="AT28" s="385"/>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360"/>
      <c r="C29" s="360"/>
      <c r="D29" s="361"/>
      <c r="E29" s="404"/>
      <c r="F29" s="405"/>
      <c r="G29" s="405"/>
      <c r="H29" s="405"/>
      <c r="I29" s="406"/>
      <c r="J29" s="427"/>
      <c r="K29" s="428"/>
      <c r="L29" s="428"/>
      <c r="M29" s="428"/>
      <c r="N29" s="428"/>
      <c r="O29" s="429"/>
      <c r="P29" s="430"/>
      <c r="Q29" s="431"/>
      <c r="R29" s="431"/>
      <c r="S29" s="431"/>
      <c r="T29" s="431"/>
      <c r="U29" s="432"/>
      <c r="V29" s="430"/>
      <c r="W29" s="431"/>
      <c r="X29" s="431"/>
      <c r="Y29" s="431"/>
      <c r="Z29" s="431"/>
      <c r="AA29" s="432"/>
      <c r="AB29" s="415"/>
      <c r="AC29" s="416"/>
      <c r="AD29" s="416"/>
      <c r="AE29" s="416"/>
      <c r="AF29" s="416"/>
      <c r="AG29" s="417"/>
      <c r="AH29" s="421"/>
      <c r="AI29" s="422"/>
      <c r="AJ29" s="422"/>
      <c r="AK29" s="422"/>
      <c r="AL29" s="422"/>
      <c r="AM29" s="423"/>
      <c r="AN29" s="82"/>
      <c r="AO29" s="386"/>
      <c r="AP29" s="387"/>
      <c r="AQ29" s="387"/>
      <c r="AR29" s="387"/>
      <c r="AS29" s="387"/>
      <c r="AT29" s="388"/>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360"/>
      <c r="C30" s="360"/>
      <c r="D30" s="361"/>
      <c r="E30" s="398" t="s">
        <v>154</v>
      </c>
      <c r="F30" s="399"/>
      <c r="G30" s="399"/>
      <c r="H30" s="399"/>
      <c r="I30" s="399"/>
      <c r="J30" s="442" t="str">
        <f>IF(AND('Mapa final'!$H$25="Baja",'Mapa final'!$L$25="Leve"),CONCATENATE("R",'Mapa final'!$A$25),"")</f>
        <v/>
      </c>
      <c r="K30" s="443"/>
      <c r="L30" s="443" t="str">
        <f>IF(AND('Mapa final'!$H$31="Baja",'Mapa final'!$L$31="Leve"),CONCATENATE("R",'Mapa final'!$A$31),"")</f>
        <v/>
      </c>
      <c r="M30" s="443"/>
      <c r="N30" s="443" t="str">
        <f>IF(AND('Mapa final'!$H$37="Baja",'Mapa final'!$L$37="Leve"),CONCATENATE("R",'Mapa final'!$A$37),"")</f>
        <v/>
      </c>
      <c r="O30" s="444"/>
      <c r="P30" s="434" t="str">
        <f>IF(AND('Mapa final'!$H$25="Baja",'Mapa final'!$L$25="Menor"),CONCATENATE("R",'Mapa final'!$A$25),"")</f>
        <v/>
      </c>
      <c r="Q30" s="434"/>
      <c r="R30" s="434" t="str">
        <f>IF(AND('Mapa final'!$H$31="Baja",'Mapa final'!$L$31="Menor"),CONCATENATE("R",'Mapa final'!$A$31),"")</f>
        <v/>
      </c>
      <c r="S30" s="434"/>
      <c r="T30" s="434" t="str">
        <f>IF(AND('Mapa final'!$H$37="Baja",'Mapa final'!$L$37="Menor"),CONCATENATE("R",'Mapa final'!$A$37),"")</f>
        <v/>
      </c>
      <c r="U30" s="435"/>
      <c r="V30" s="433" t="str">
        <f>IF(AND('Mapa final'!$H$25="Baja",'Mapa final'!$L$25="Moderado"),CONCATENATE("R",'Mapa final'!$A$25),"")</f>
        <v>R1</v>
      </c>
      <c r="W30" s="434"/>
      <c r="X30" s="434" t="str">
        <f>IF(AND('Mapa final'!$H$31="Baja",'Mapa final'!$L$31="Moderado"),CONCATENATE("R",'Mapa final'!$A$31),"")</f>
        <v/>
      </c>
      <c r="Y30" s="434"/>
      <c r="Z30" s="434" t="str">
        <f>IF(AND('Mapa final'!$H$37="Baja",'Mapa final'!$L$37="Moderado"),CONCATENATE("R",'Mapa final'!$A$37),"")</f>
        <v/>
      </c>
      <c r="AA30" s="435"/>
      <c r="AB30" s="409" t="str">
        <f>IF(AND('Mapa final'!$H$25="Baja",'Mapa final'!$L$25="Mayor"),CONCATENATE("R",'Mapa final'!$A$25),"")</f>
        <v/>
      </c>
      <c r="AC30" s="410"/>
      <c r="AD30" s="410" t="str">
        <f>IF(AND('Mapa final'!$H$31="Baja",'Mapa final'!$L$31="Mayor"),CONCATENATE("R",'Mapa final'!$A$31),"")</f>
        <v>R2</v>
      </c>
      <c r="AE30" s="410"/>
      <c r="AF30" s="410" t="str">
        <f>IF(AND('Mapa final'!$H$37="Baja",'Mapa final'!$L$37="Mayor"),CONCATENATE("R",'Mapa final'!$A$37),"")</f>
        <v>R3</v>
      </c>
      <c r="AG30" s="412"/>
      <c r="AH30" s="424" t="str">
        <f>IF(AND('Mapa final'!$H$25="Baja",'Mapa final'!$L$25="Catastrófico"),CONCATENATE("R",'Mapa final'!$A$25),"")</f>
        <v/>
      </c>
      <c r="AI30" s="425"/>
      <c r="AJ30" s="425" t="str">
        <f>IF(AND('Mapa final'!$H$31="Baja",'Mapa final'!$L$31="Catastrófico"),CONCATENATE("R",'Mapa final'!$A$31),"")</f>
        <v/>
      </c>
      <c r="AK30" s="425"/>
      <c r="AL30" s="425" t="str">
        <f>IF(AND('Mapa final'!$H$37="Baja",'Mapa final'!$L$37="Catastrófico"),CONCATENATE("R",'Mapa final'!$A$37),"")</f>
        <v/>
      </c>
      <c r="AM30" s="426"/>
      <c r="AN30" s="82"/>
      <c r="AO30" s="389" t="s">
        <v>155</v>
      </c>
      <c r="AP30" s="390"/>
      <c r="AQ30" s="390"/>
      <c r="AR30" s="390"/>
      <c r="AS30" s="390"/>
      <c r="AT30" s="391"/>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360"/>
      <c r="C31" s="360"/>
      <c r="D31" s="361"/>
      <c r="E31" s="401"/>
      <c r="F31" s="402"/>
      <c r="G31" s="402"/>
      <c r="H31" s="402"/>
      <c r="I31" s="402"/>
      <c r="J31" s="438"/>
      <c r="K31" s="436"/>
      <c r="L31" s="436"/>
      <c r="M31" s="436"/>
      <c r="N31" s="436"/>
      <c r="O31" s="437"/>
      <c r="P31" s="428"/>
      <c r="Q31" s="428"/>
      <c r="R31" s="428"/>
      <c r="S31" s="428"/>
      <c r="T31" s="428"/>
      <c r="U31" s="429"/>
      <c r="V31" s="427"/>
      <c r="W31" s="428"/>
      <c r="X31" s="428"/>
      <c r="Y31" s="428"/>
      <c r="Z31" s="428"/>
      <c r="AA31" s="429"/>
      <c r="AB31" s="411"/>
      <c r="AC31" s="407"/>
      <c r="AD31" s="407"/>
      <c r="AE31" s="407"/>
      <c r="AF31" s="407"/>
      <c r="AG31" s="408"/>
      <c r="AH31" s="418"/>
      <c r="AI31" s="419"/>
      <c r="AJ31" s="419"/>
      <c r="AK31" s="419"/>
      <c r="AL31" s="419"/>
      <c r="AM31" s="420"/>
      <c r="AN31" s="82"/>
      <c r="AO31" s="392"/>
      <c r="AP31" s="393"/>
      <c r="AQ31" s="393"/>
      <c r="AR31" s="393"/>
      <c r="AS31" s="393"/>
      <c r="AT31" s="394"/>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360"/>
      <c r="C32" s="360"/>
      <c r="D32" s="361"/>
      <c r="E32" s="401"/>
      <c r="F32" s="402"/>
      <c r="G32" s="402"/>
      <c r="H32" s="402"/>
      <c r="I32" s="402"/>
      <c r="J32" s="438" t="str">
        <f>IF(AND('Mapa final'!$H$43="Baja",'Mapa final'!$L$43="Leve"),CONCATENATE("R",'Mapa final'!$A$43),"")</f>
        <v/>
      </c>
      <c r="K32" s="436"/>
      <c r="L32" s="436" t="str">
        <f>IF(AND('Mapa final'!$H$49="Baja",'Mapa final'!$L$49="Leve"),CONCATENATE("R",'Mapa final'!$A$49),"")</f>
        <v/>
      </c>
      <c r="M32" s="436"/>
      <c r="N32" s="436" t="str">
        <f>IF(AND('Mapa final'!$H$55="Baja",'Mapa final'!$L$55="Leve"),CONCATENATE("R",'Mapa final'!$A$55),"")</f>
        <v/>
      </c>
      <c r="O32" s="437"/>
      <c r="P32" s="428" t="str">
        <f>IF(AND('Mapa final'!$H$43="Baja",'Mapa final'!$L$43="Menor"),CONCATENATE("R",'Mapa final'!$A$43),"")</f>
        <v/>
      </c>
      <c r="Q32" s="428"/>
      <c r="R32" s="428" t="str">
        <f>IF(AND('Mapa final'!$H$49="Baja",'Mapa final'!$L$49="Menor"),CONCATENATE("R",'Mapa final'!$A$49),"")</f>
        <v/>
      </c>
      <c r="S32" s="428"/>
      <c r="T32" s="428" t="str">
        <f>IF(AND('Mapa final'!$H$55="Baja",'Mapa final'!$L$55="Menor"),CONCATENATE("R",'Mapa final'!$A$55),"")</f>
        <v/>
      </c>
      <c r="U32" s="429"/>
      <c r="V32" s="427" t="str">
        <f>IF(AND('Mapa final'!$H$43="Baja",'Mapa final'!$L$43="Moderado"),CONCATENATE("R",'Mapa final'!$A$43),"")</f>
        <v/>
      </c>
      <c r="W32" s="428"/>
      <c r="X32" s="428" t="str">
        <f>IF(AND('Mapa final'!$H$49="Baja",'Mapa final'!$L$49="Moderado"),CONCATENATE("R",'Mapa final'!$A$49),"")</f>
        <v/>
      </c>
      <c r="Y32" s="428"/>
      <c r="Z32" s="428" t="str">
        <f>IF(AND('Mapa final'!$H$55="Baja",'Mapa final'!$L$55="Moderado"),CONCATENATE("R",'Mapa final'!$A$55),"")</f>
        <v/>
      </c>
      <c r="AA32" s="429"/>
      <c r="AB32" s="411" t="str">
        <f>IF(AND('Mapa final'!$H$43="Baja",'Mapa final'!$L$43="Mayor"),CONCATENATE("R",'Mapa final'!$A$43),"")</f>
        <v/>
      </c>
      <c r="AC32" s="407"/>
      <c r="AD32" s="407" t="str">
        <f>IF(AND('Mapa final'!$H$49="Baja",'Mapa final'!$L$49="Mayor"),CONCATENATE("R",'Mapa final'!$A$49),"")</f>
        <v/>
      </c>
      <c r="AE32" s="407"/>
      <c r="AF32" s="407" t="str">
        <f>IF(AND('Mapa final'!$H$55="Baja",'Mapa final'!$L$55="Mayor"),CONCATENATE("R",'Mapa final'!$A$55),"")</f>
        <v/>
      </c>
      <c r="AG32" s="408"/>
      <c r="AH32" s="418" t="str">
        <f>IF(AND('Mapa final'!$H$43="Baja",'Mapa final'!$L$43="Catastrófico"),CONCATENATE("R",'Mapa final'!$A$43),"")</f>
        <v/>
      </c>
      <c r="AI32" s="419"/>
      <c r="AJ32" s="419" t="str">
        <f>IF(AND('Mapa final'!$H$49="Baja",'Mapa final'!$L$49="Catastrófico"),CONCATENATE("R",'Mapa final'!$A$49),"")</f>
        <v/>
      </c>
      <c r="AK32" s="419"/>
      <c r="AL32" s="419" t="str">
        <f>IF(AND('Mapa final'!$H$55="Baja",'Mapa final'!$L$55="Catastrófico"),CONCATENATE("R",'Mapa final'!$A$55),"")</f>
        <v/>
      </c>
      <c r="AM32" s="420"/>
      <c r="AN32" s="82"/>
      <c r="AO32" s="392"/>
      <c r="AP32" s="393"/>
      <c r="AQ32" s="393"/>
      <c r="AR32" s="393"/>
      <c r="AS32" s="393"/>
      <c r="AT32" s="394"/>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360"/>
      <c r="C33" s="360"/>
      <c r="D33" s="361"/>
      <c r="E33" s="401"/>
      <c r="F33" s="402"/>
      <c r="G33" s="402"/>
      <c r="H33" s="402"/>
      <c r="I33" s="402"/>
      <c r="J33" s="438"/>
      <c r="K33" s="436"/>
      <c r="L33" s="436"/>
      <c r="M33" s="436"/>
      <c r="N33" s="436"/>
      <c r="O33" s="437"/>
      <c r="P33" s="428"/>
      <c r="Q33" s="428"/>
      <c r="R33" s="428"/>
      <c r="S33" s="428"/>
      <c r="T33" s="428"/>
      <c r="U33" s="429"/>
      <c r="V33" s="427"/>
      <c r="W33" s="428"/>
      <c r="X33" s="428"/>
      <c r="Y33" s="428"/>
      <c r="Z33" s="428"/>
      <c r="AA33" s="429"/>
      <c r="AB33" s="411"/>
      <c r="AC33" s="407"/>
      <c r="AD33" s="407"/>
      <c r="AE33" s="407"/>
      <c r="AF33" s="407"/>
      <c r="AG33" s="408"/>
      <c r="AH33" s="418"/>
      <c r="AI33" s="419"/>
      <c r="AJ33" s="419"/>
      <c r="AK33" s="419"/>
      <c r="AL33" s="419"/>
      <c r="AM33" s="420"/>
      <c r="AN33" s="82"/>
      <c r="AO33" s="392"/>
      <c r="AP33" s="393"/>
      <c r="AQ33" s="393"/>
      <c r="AR33" s="393"/>
      <c r="AS33" s="393"/>
      <c r="AT33" s="394"/>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360"/>
      <c r="C34" s="360"/>
      <c r="D34" s="361"/>
      <c r="E34" s="401"/>
      <c r="F34" s="402"/>
      <c r="G34" s="402"/>
      <c r="H34" s="402"/>
      <c r="I34" s="402"/>
      <c r="J34" s="438" t="str">
        <f>IF(AND('Mapa final'!$H$61="Baja",'Mapa final'!$L$61="Leve"),CONCATENATE("R",'Mapa final'!$A$61),"")</f>
        <v/>
      </c>
      <c r="K34" s="436"/>
      <c r="L34" s="436" t="str">
        <f>IF(AND('Mapa final'!$H$67="Baja",'Mapa final'!$L$67="Leve"),CONCATENATE("R",'Mapa final'!$A$67),"")</f>
        <v/>
      </c>
      <c r="M34" s="436"/>
      <c r="N34" s="436" t="str">
        <f>IF(AND('Mapa final'!$H$73="Baja",'Mapa final'!$L$73="Leve"),CONCATENATE("R",'Mapa final'!$A$73),"")</f>
        <v/>
      </c>
      <c r="O34" s="437"/>
      <c r="P34" s="428" t="str">
        <f>IF(AND('Mapa final'!$H$61="Baja",'Mapa final'!$L$61="Menor"),CONCATENATE("R",'Mapa final'!$A$61),"")</f>
        <v/>
      </c>
      <c r="Q34" s="428"/>
      <c r="R34" s="428" t="str">
        <f>IF(AND('Mapa final'!$H$67="Baja",'Mapa final'!$L$67="Menor"),CONCATENATE("R",'Mapa final'!$A$67),"")</f>
        <v/>
      </c>
      <c r="S34" s="428"/>
      <c r="T34" s="428" t="str">
        <f>IF(AND('Mapa final'!$H$73="Baja",'Mapa final'!$L$73="Menor"),CONCATENATE("R",'Mapa final'!$A$73),"")</f>
        <v/>
      </c>
      <c r="U34" s="429"/>
      <c r="V34" s="427" t="str">
        <f>IF(AND('Mapa final'!$H$61="Baja",'Mapa final'!$L$61="Moderado"),CONCATENATE("R",'Mapa final'!$A$61),"")</f>
        <v/>
      </c>
      <c r="W34" s="428"/>
      <c r="X34" s="428" t="str">
        <f>IF(AND('Mapa final'!$H$67="Baja",'Mapa final'!$L$67="Moderado"),CONCATENATE("R",'Mapa final'!$A$67),"")</f>
        <v/>
      </c>
      <c r="Y34" s="428"/>
      <c r="Z34" s="428" t="str">
        <f>IF(AND('Mapa final'!$H$73="Baja",'Mapa final'!$L$73="Moderado"),CONCATENATE("R",'Mapa final'!$A$73),"")</f>
        <v/>
      </c>
      <c r="AA34" s="429"/>
      <c r="AB34" s="411" t="str">
        <f>IF(AND('Mapa final'!$H$61="Baja",'Mapa final'!$L$61="Mayor"),CONCATENATE("R",'Mapa final'!$A$61),"")</f>
        <v/>
      </c>
      <c r="AC34" s="407"/>
      <c r="AD34" s="407" t="str">
        <f>IF(AND('Mapa final'!$H$67="Baja",'Mapa final'!$L$67="Mayor"),CONCATENATE("R",'Mapa final'!$A$67),"")</f>
        <v/>
      </c>
      <c r="AE34" s="407"/>
      <c r="AF34" s="407" t="str">
        <f>IF(AND('Mapa final'!$H$73="Baja",'Mapa final'!$L$73="Mayor"),CONCATENATE("R",'Mapa final'!$A$73),"")</f>
        <v/>
      </c>
      <c r="AG34" s="408"/>
      <c r="AH34" s="418" t="str">
        <f>IF(AND('Mapa final'!$H$61="Baja",'Mapa final'!$L$61="Catastrófico"),CONCATENATE("R",'Mapa final'!$A$61),"")</f>
        <v/>
      </c>
      <c r="AI34" s="419"/>
      <c r="AJ34" s="419" t="str">
        <f>IF(AND('Mapa final'!$H$67="Baja",'Mapa final'!$L$67="Catastrófico"),CONCATENATE("R",'Mapa final'!$A$67),"")</f>
        <v/>
      </c>
      <c r="AK34" s="419"/>
      <c r="AL34" s="419" t="str">
        <f>IF(AND('Mapa final'!$H$73="Baja",'Mapa final'!$L$73="Catastrófico"),CONCATENATE("R",'Mapa final'!$A$73),"")</f>
        <v/>
      </c>
      <c r="AM34" s="420"/>
      <c r="AN34" s="82"/>
      <c r="AO34" s="392"/>
      <c r="AP34" s="393"/>
      <c r="AQ34" s="393"/>
      <c r="AR34" s="393"/>
      <c r="AS34" s="393"/>
      <c r="AT34" s="394"/>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360"/>
      <c r="C35" s="360"/>
      <c r="D35" s="361"/>
      <c r="E35" s="401"/>
      <c r="F35" s="402"/>
      <c r="G35" s="402"/>
      <c r="H35" s="402"/>
      <c r="I35" s="402"/>
      <c r="J35" s="438"/>
      <c r="K35" s="436"/>
      <c r="L35" s="436"/>
      <c r="M35" s="436"/>
      <c r="N35" s="436"/>
      <c r="O35" s="437"/>
      <c r="P35" s="428"/>
      <c r="Q35" s="428"/>
      <c r="R35" s="428"/>
      <c r="S35" s="428"/>
      <c r="T35" s="428"/>
      <c r="U35" s="429"/>
      <c r="V35" s="427"/>
      <c r="W35" s="428"/>
      <c r="X35" s="428"/>
      <c r="Y35" s="428"/>
      <c r="Z35" s="428"/>
      <c r="AA35" s="429"/>
      <c r="AB35" s="411"/>
      <c r="AC35" s="407"/>
      <c r="AD35" s="407"/>
      <c r="AE35" s="407"/>
      <c r="AF35" s="407"/>
      <c r="AG35" s="408"/>
      <c r="AH35" s="418"/>
      <c r="AI35" s="419"/>
      <c r="AJ35" s="419"/>
      <c r="AK35" s="419"/>
      <c r="AL35" s="419"/>
      <c r="AM35" s="420"/>
      <c r="AN35" s="82"/>
      <c r="AO35" s="392"/>
      <c r="AP35" s="393"/>
      <c r="AQ35" s="393"/>
      <c r="AR35" s="393"/>
      <c r="AS35" s="393"/>
      <c r="AT35" s="394"/>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360"/>
      <c r="C36" s="360"/>
      <c r="D36" s="361"/>
      <c r="E36" s="401"/>
      <c r="F36" s="402"/>
      <c r="G36" s="402"/>
      <c r="H36" s="402"/>
      <c r="I36" s="402"/>
      <c r="J36" s="438" t="str">
        <f>IF(AND('Mapa final'!$H$79="Baja",'Mapa final'!$L$79="Leve"),CONCATENATE("R",'Mapa final'!$A$79),"")</f>
        <v/>
      </c>
      <c r="K36" s="436"/>
      <c r="L36" s="436" t="str">
        <f>IF(AND('Mapa final'!$H$85="Baja",'Mapa final'!$L$85="Leve"),CONCATENATE("R",'Mapa final'!$A$85),"")</f>
        <v/>
      </c>
      <c r="M36" s="436"/>
      <c r="N36" s="436" t="str">
        <f>IF(AND('Mapa final'!$H$91="Baja",'Mapa final'!$L$91="Leve"),CONCATENATE("R",'Mapa final'!$A$91),"")</f>
        <v/>
      </c>
      <c r="O36" s="437"/>
      <c r="P36" s="428" t="str">
        <f>IF(AND('Mapa final'!$H$79="Baja",'Mapa final'!$L$79="Menor"),CONCATENATE("R",'Mapa final'!$A$79),"")</f>
        <v/>
      </c>
      <c r="Q36" s="428"/>
      <c r="R36" s="428" t="str">
        <f>IF(AND('Mapa final'!$H$85="Baja",'Mapa final'!$L$85="Menor"),CONCATENATE("R",'Mapa final'!$A$85),"")</f>
        <v/>
      </c>
      <c r="S36" s="428"/>
      <c r="T36" s="428" t="str">
        <f>IF(AND('Mapa final'!$H$91="Baja",'Mapa final'!$L$91="Menor"),CONCATENATE("R",'Mapa final'!$A$91),"")</f>
        <v/>
      </c>
      <c r="U36" s="429"/>
      <c r="V36" s="427" t="str">
        <f>IF(AND('Mapa final'!$H$79="Baja",'Mapa final'!$L$79="Moderado"),CONCATENATE("R",'Mapa final'!$A$79),"")</f>
        <v/>
      </c>
      <c r="W36" s="428"/>
      <c r="X36" s="428" t="str">
        <f>IF(AND('Mapa final'!$H$85="Baja",'Mapa final'!$L$85="Moderado"),CONCATENATE("R",'Mapa final'!$A$85),"")</f>
        <v/>
      </c>
      <c r="Y36" s="428"/>
      <c r="Z36" s="428" t="str">
        <f>IF(AND('Mapa final'!$H$91="Baja",'Mapa final'!$L$91="Moderado"),CONCATENATE("R",'Mapa final'!$A$91),"")</f>
        <v/>
      </c>
      <c r="AA36" s="429"/>
      <c r="AB36" s="411" t="str">
        <f>IF(AND('Mapa final'!$H$79="Baja",'Mapa final'!$L$79="Mayor"),CONCATENATE("R",'Mapa final'!$A$79),"")</f>
        <v/>
      </c>
      <c r="AC36" s="407"/>
      <c r="AD36" s="407" t="str">
        <f>IF(AND('Mapa final'!$H$85="Baja",'Mapa final'!$L$85="Mayor"),CONCATENATE("R",'Mapa final'!$A$85),"")</f>
        <v/>
      </c>
      <c r="AE36" s="407"/>
      <c r="AF36" s="407" t="str">
        <f>IF(AND('Mapa final'!$H$91="Baja",'Mapa final'!$L$91="Mayor"),CONCATENATE("R",'Mapa final'!$A$91),"")</f>
        <v/>
      </c>
      <c r="AG36" s="408"/>
      <c r="AH36" s="418" t="str">
        <f>IF(AND('Mapa final'!$H$79="Baja",'Mapa final'!$L$79="Catastrófico"),CONCATENATE("R",'Mapa final'!$A$79),"")</f>
        <v/>
      </c>
      <c r="AI36" s="419"/>
      <c r="AJ36" s="419" t="str">
        <f>IF(AND('Mapa final'!$H$85="Baja",'Mapa final'!$L$85="Catastrófico"),CONCATENATE("R",'Mapa final'!$A$85),"")</f>
        <v/>
      </c>
      <c r="AK36" s="419"/>
      <c r="AL36" s="419" t="str">
        <f>IF(AND('Mapa final'!$H$91="Baja",'Mapa final'!$L$91="Catastrófico"),CONCATENATE("R",'Mapa final'!$A$91),"")</f>
        <v/>
      </c>
      <c r="AM36" s="420"/>
      <c r="AN36" s="82"/>
      <c r="AO36" s="392"/>
      <c r="AP36" s="393"/>
      <c r="AQ36" s="393"/>
      <c r="AR36" s="393"/>
      <c r="AS36" s="393"/>
      <c r="AT36" s="394"/>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360"/>
      <c r="C37" s="360"/>
      <c r="D37" s="361"/>
      <c r="E37" s="404"/>
      <c r="F37" s="405"/>
      <c r="G37" s="405"/>
      <c r="H37" s="405"/>
      <c r="I37" s="405"/>
      <c r="J37" s="439"/>
      <c r="K37" s="440"/>
      <c r="L37" s="440"/>
      <c r="M37" s="440"/>
      <c r="N37" s="440"/>
      <c r="O37" s="441"/>
      <c r="P37" s="431"/>
      <c r="Q37" s="431"/>
      <c r="R37" s="431"/>
      <c r="S37" s="431"/>
      <c r="T37" s="431"/>
      <c r="U37" s="432"/>
      <c r="V37" s="430"/>
      <c r="W37" s="431"/>
      <c r="X37" s="431"/>
      <c r="Y37" s="431"/>
      <c r="Z37" s="431"/>
      <c r="AA37" s="432"/>
      <c r="AB37" s="415"/>
      <c r="AC37" s="416"/>
      <c r="AD37" s="416"/>
      <c r="AE37" s="416"/>
      <c r="AF37" s="416"/>
      <c r="AG37" s="417"/>
      <c r="AH37" s="421"/>
      <c r="AI37" s="422"/>
      <c r="AJ37" s="422"/>
      <c r="AK37" s="422"/>
      <c r="AL37" s="422"/>
      <c r="AM37" s="423"/>
      <c r="AN37" s="82"/>
      <c r="AO37" s="395"/>
      <c r="AP37" s="396"/>
      <c r="AQ37" s="396"/>
      <c r="AR37" s="396"/>
      <c r="AS37" s="396"/>
      <c r="AT37" s="397"/>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360"/>
      <c r="C38" s="360"/>
      <c r="D38" s="361"/>
      <c r="E38" s="398" t="s">
        <v>156</v>
      </c>
      <c r="F38" s="399"/>
      <c r="G38" s="399"/>
      <c r="H38" s="399"/>
      <c r="I38" s="400"/>
      <c r="J38" s="442" t="str">
        <f>IF(AND('Mapa final'!$H$25="Muy Baja",'Mapa final'!$L$25="Leve"),CONCATENATE("R",'Mapa final'!$A$25),"")</f>
        <v/>
      </c>
      <c r="K38" s="443"/>
      <c r="L38" s="443" t="str">
        <f>IF(AND('Mapa final'!$H$31="Muy Baja",'Mapa final'!$L$31="Leve"),CONCATENATE("R",'Mapa final'!$A$31),"")</f>
        <v/>
      </c>
      <c r="M38" s="443"/>
      <c r="N38" s="443" t="str">
        <f>IF(AND('Mapa final'!$H$37="Muy Baja",'Mapa final'!$L$37="Leve"),CONCATENATE("R",'Mapa final'!$A$37),"")</f>
        <v/>
      </c>
      <c r="O38" s="444"/>
      <c r="P38" s="442" t="str">
        <f>IF(AND('Mapa final'!$H$25="Muy Baja",'Mapa final'!$L$25="Menor"),CONCATENATE("R",'Mapa final'!$A$25),"")</f>
        <v/>
      </c>
      <c r="Q38" s="443"/>
      <c r="R38" s="443" t="str">
        <f>IF(AND('Mapa final'!$H$31="Muy Baja",'Mapa final'!$L$31="Menor"),CONCATENATE("R",'Mapa final'!$A$31),"")</f>
        <v/>
      </c>
      <c r="S38" s="443"/>
      <c r="T38" s="443" t="str">
        <f>IF(AND('Mapa final'!$H$37="Muy Baja",'Mapa final'!$L$37="Menor"),CONCATENATE("R",'Mapa final'!$A$37),"")</f>
        <v/>
      </c>
      <c r="U38" s="444"/>
      <c r="V38" s="433" t="str">
        <f>IF(AND('Mapa final'!$H$25="Muy Baja",'Mapa final'!$L$25="Moderado"),CONCATENATE("R",'Mapa final'!$A$25),"")</f>
        <v/>
      </c>
      <c r="W38" s="434"/>
      <c r="X38" s="434" t="str">
        <f>IF(AND('Mapa final'!$H$31="Muy Baja",'Mapa final'!$L$31="Moderado"),CONCATENATE("R",'Mapa final'!$A$31),"")</f>
        <v/>
      </c>
      <c r="Y38" s="434"/>
      <c r="Z38" s="434" t="str">
        <f>IF(AND('Mapa final'!$H$37="Muy Baja",'Mapa final'!$L$37="Moderado"),CONCATENATE("R",'Mapa final'!$A$37),"")</f>
        <v/>
      </c>
      <c r="AA38" s="435"/>
      <c r="AB38" s="409" t="str">
        <f>IF(AND('Mapa final'!$H$25="Muy Baja",'Mapa final'!$L$25="Mayor"),CONCATENATE("R",'Mapa final'!$A$25),"")</f>
        <v/>
      </c>
      <c r="AC38" s="410"/>
      <c r="AD38" s="410" t="str">
        <f>IF(AND('Mapa final'!$H$31="Muy Baja",'Mapa final'!$L$31="Mayor"),CONCATENATE("R",'Mapa final'!$A$31),"")</f>
        <v/>
      </c>
      <c r="AE38" s="410"/>
      <c r="AF38" s="410" t="str">
        <f>IF(AND('Mapa final'!$H$37="Muy Baja",'Mapa final'!$L$37="Mayor"),CONCATENATE("R",'Mapa final'!$A$37),"")</f>
        <v/>
      </c>
      <c r="AG38" s="412"/>
      <c r="AH38" s="424" t="str">
        <f>IF(AND('Mapa final'!$H$25="Muy Baja",'Mapa final'!$L$25="Catastrófico"),CONCATENATE("R",'Mapa final'!$A$25),"")</f>
        <v/>
      </c>
      <c r="AI38" s="425"/>
      <c r="AJ38" s="425" t="str">
        <f>IF(AND('Mapa final'!$H$31="Muy Baja",'Mapa final'!$L$31="Catastrófico"),CONCATENATE("R",'Mapa final'!$A$31),"")</f>
        <v/>
      </c>
      <c r="AK38" s="425"/>
      <c r="AL38" s="425" t="str">
        <f>IF(AND('Mapa final'!$H$37="Muy Baja",'Mapa final'!$L$37="Catastrófico"),CONCATENATE("R",'Mapa final'!$A$37),"")</f>
        <v/>
      </c>
      <c r="AM38" s="426"/>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360"/>
      <c r="C39" s="360"/>
      <c r="D39" s="361"/>
      <c r="E39" s="401"/>
      <c r="F39" s="402"/>
      <c r="G39" s="402"/>
      <c r="H39" s="402"/>
      <c r="I39" s="403"/>
      <c r="J39" s="438"/>
      <c r="K39" s="436"/>
      <c r="L39" s="436"/>
      <c r="M39" s="436"/>
      <c r="N39" s="436"/>
      <c r="O39" s="437"/>
      <c r="P39" s="438"/>
      <c r="Q39" s="436"/>
      <c r="R39" s="436"/>
      <c r="S39" s="436"/>
      <c r="T39" s="436"/>
      <c r="U39" s="437"/>
      <c r="V39" s="427"/>
      <c r="W39" s="428"/>
      <c r="X39" s="428"/>
      <c r="Y39" s="428"/>
      <c r="Z39" s="428"/>
      <c r="AA39" s="429"/>
      <c r="AB39" s="411"/>
      <c r="AC39" s="407"/>
      <c r="AD39" s="407"/>
      <c r="AE39" s="407"/>
      <c r="AF39" s="407"/>
      <c r="AG39" s="408"/>
      <c r="AH39" s="418"/>
      <c r="AI39" s="419"/>
      <c r="AJ39" s="419"/>
      <c r="AK39" s="419"/>
      <c r="AL39" s="419"/>
      <c r="AM39" s="420"/>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360"/>
      <c r="C40" s="360"/>
      <c r="D40" s="361"/>
      <c r="E40" s="401"/>
      <c r="F40" s="402"/>
      <c r="G40" s="402"/>
      <c r="H40" s="402"/>
      <c r="I40" s="403"/>
      <c r="J40" s="438" t="str">
        <f>IF(AND('Mapa final'!$H$43="Muy Baja",'Mapa final'!$L$43="Leve"),CONCATENATE("R",'Mapa final'!$A$43),"")</f>
        <v/>
      </c>
      <c r="K40" s="436"/>
      <c r="L40" s="436" t="str">
        <f>IF(AND('Mapa final'!$H$49="Muy Baja",'Mapa final'!$L$49="Leve"),CONCATENATE("R",'Mapa final'!$A$49),"")</f>
        <v/>
      </c>
      <c r="M40" s="436"/>
      <c r="N40" s="436" t="str">
        <f>IF(AND('Mapa final'!$H$55="Muy Baja",'Mapa final'!$L$55="Leve"),CONCATENATE("R",'Mapa final'!$A$55),"")</f>
        <v/>
      </c>
      <c r="O40" s="437"/>
      <c r="P40" s="438" t="str">
        <f>IF(AND('Mapa final'!$H$43="Muy Baja",'Mapa final'!$L$43="Menor"),CONCATENATE("R",'Mapa final'!$A$43),"")</f>
        <v/>
      </c>
      <c r="Q40" s="436"/>
      <c r="R40" s="436" t="str">
        <f>IF(AND('Mapa final'!$H$49="Muy Baja",'Mapa final'!$L$49="Menor"),CONCATENATE("R",'Mapa final'!$A$49),"")</f>
        <v/>
      </c>
      <c r="S40" s="436"/>
      <c r="T40" s="436" t="str">
        <f>IF(AND('Mapa final'!$H$55="Muy Baja",'Mapa final'!$L$55="Menor"),CONCATENATE("R",'Mapa final'!$A$55),"")</f>
        <v/>
      </c>
      <c r="U40" s="437"/>
      <c r="V40" s="427" t="str">
        <f>IF(AND('Mapa final'!$H$43="Muy Baja",'Mapa final'!$L$43="Moderado"),CONCATENATE("R",'Mapa final'!$A$43),"")</f>
        <v/>
      </c>
      <c r="W40" s="428"/>
      <c r="X40" s="428" t="str">
        <f>IF(AND('Mapa final'!$H$49="Muy Baja",'Mapa final'!$L$49="Moderado"),CONCATENATE("R",'Mapa final'!$A$49),"")</f>
        <v/>
      </c>
      <c r="Y40" s="428"/>
      <c r="Z40" s="428" t="str">
        <f>IF(AND('Mapa final'!$H$55="Muy Baja",'Mapa final'!$L$55="Moderado"),CONCATENATE("R",'Mapa final'!$A$55),"")</f>
        <v/>
      </c>
      <c r="AA40" s="429"/>
      <c r="AB40" s="411" t="str">
        <f>IF(AND('Mapa final'!$H$43="Muy Baja",'Mapa final'!$L$43="Mayor"),CONCATENATE("R",'Mapa final'!$A$43),"")</f>
        <v/>
      </c>
      <c r="AC40" s="407"/>
      <c r="AD40" s="407" t="str">
        <f>IF(AND('Mapa final'!$H$49="Muy Baja",'Mapa final'!$L$49="Mayor"),CONCATENATE("R",'Mapa final'!$A$49),"")</f>
        <v/>
      </c>
      <c r="AE40" s="407"/>
      <c r="AF40" s="407" t="str">
        <f>IF(AND('Mapa final'!$H$55="Muy Baja",'Mapa final'!$L$55="Mayor"),CONCATENATE("R",'Mapa final'!$A$55),"")</f>
        <v/>
      </c>
      <c r="AG40" s="408"/>
      <c r="AH40" s="418" t="str">
        <f>IF(AND('Mapa final'!$H$43="Muy Baja",'Mapa final'!$L$43="Catastrófico"),CONCATENATE("R",'Mapa final'!$A$43),"")</f>
        <v/>
      </c>
      <c r="AI40" s="419"/>
      <c r="AJ40" s="419" t="str">
        <f>IF(AND('Mapa final'!$H$49="Muy Baja",'Mapa final'!$L$49="Catastrófico"),CONCATENATE("R",'Mapa final'!$A$49),"")</f>
        <v/>
      </c>
      <c r="AK40" s="419"/>
      <c r="AL40" s="419" t="str">
        <f>IF(AND('Mapa final'!$H$55="Muy Baja",'Mapa final'!$L$55="Catastrófico"),CONCATENATE("R",'Mapa final'!$A$55),"")</f>
        <v/>
      </c>
      <c r="AM40" s="420"/>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360"/>
      <c r="C41" s="360"/>
      <c r="D41" s="361"/>
      <c r="E41" s="401"/>
      <c r="F41" s="402"/>
      <c r="G41" s="402"/>
      <c r="H41" s="402"/>
      <c r="I41" s="403"/>
      <c r="J41" s="438"/>
      <c r="K41" s="436"/>
      <c r="L41" s="436"/>
      <c r="M41" s="436"/>
      <c r="N41" s="436"/>
      <c r="O41" s="437"/>
      <c r="P41" s="438"/>
      <c r="Q41" s="436"/>
      <c r="R41" s="436"/>
      <c r="S41" s="436"/>
      <c r="T41" s="436"/>
      <c r="U41" s="437"/>
      <c r="V41" s="427"/>
      <c r="W41" s="428"/>
      <c r="X41" s="428"/>
      <c r="Y41" s="428"/>
      <c r="Z41" s="428"/>
      <c r="AA41" s="429"/>
      <c r="AB41" s="411"/>
      <c r="AC41" s="407"/>
      <c r="AD41" s="407"/>
      <c r="AE41" s="407"/>
      <c r="AF41" s="407"/>
      <c r="AG41" s="408"/>
      <c r="AH41" s="418"/>
      <c r="AI41" s="419"/>
      <c r="AJ41" s="419"/>
      <c r="AK41" s="419"/>
      <c r="AL41" s="419"/>
      <c r="AM41" s="420"/>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360"/>
      <c r="C42" s="360"/>
      <c r="D42" s="361"/>
      <c r="E42" s="401"/>
      <c r="F42" s="402"/>
      <c r="G42" s="402"/>
      <c r="H42" s="402"/>
      <c r="I42" s="403"/>
      <c r="J42" s="438" t="str">
        <f>IF(AND('Mapa final'!$H$61="Muy Baja",'Mapa final'!$L$61="Leve"),CONCATENATE("R",'Mapa final'!$A$61),"")</f>
        <v/>
      </c>
      <c r="K42" s="436"/>
      <c r="L42" s="436" t="str">
        <f>IF(AND('Mapa final'!$H$67="Muy Baja",'Mapa final'!$L$67="Leve"),CONCATENATE("R",'Mapa final'!$A$67),"")</f>
        <v/>
      </c>
      <c r="M42" s="436"/>
      <c r="N42" s="436" t="str">
        <f>IF(AND('Mapa final'!$H$73="Muy Baja",'Mapa final'!$L$73="Leve"),CONCATENATE("R",'Mapa final'!$A$73),"")</f>
        <v/>
      </c>
      <c r="O42" s="437"/>
      <c r="P42" s="438" t="str">
        <f>IF(AND('Mapa final'!$H$61="Muy Baja",'Mapa final'!$L$61="Menor"),CONCATENATE("R",'Mapa final'!$A$61),"")</f>
        <v/>
      </c>
      <c r="Q42" s="436"/>
      <c r="R42" s="436" t="str">
        <f>IF(AND('Mapa final'!$H$67="Muy Baja",'Mapa final'!$L$67="Menor"),CONCATENATE("R",'Mapa final'!$A$67),"")</f>
        <v/>
      </c>
      <c r="S42" s="436"/>
      <c r="T42" s="436" t="str">
        <f>IF(AND('Mapa final'!$H$73="Muy Baja",'Mapa final'!$L$73="Menor"),CONCATENATE("R",'Mapa final'!$A$73),"")</f>
        <v/>
      </c>
      <c r="U42" s="437"/>
      <c r="V42" s="427" t="str">
        <f>IF(AND('Mapa final'!$H$61="Muy Baja",'Mapa final'!$L$61="Moderado"),CONCATENATE("R",'Mapa final'!$A$61),"")</f>
        <v/>
      </c>
      <c r="W42" s="428"/>
      <c r="X42" s="428" t="str">
        <f>IF(AND('Mapa final'!$H$67="Muy Baja",'Mapa final'!$L$67="Moderado"),CONCATENATE("R",'Mapa final'!$A$67),"")</f>
        <v/>
      </c>
      <c r="Y42" s="428"/>
      <c r="Z42" s="428" t="str">
        <f>IF(AND('Mapa final'!$H$73="Muy Baja",'Mapa final'!$L$73="Moderado"),CONCATENATE("R",'Mapa final'!$A$73),"")</f>
        <v/>
      </c>
      <c r="AA42" s="429"/>
      <c r="AB42" s="411" t="str">
        <f>IF(AND('Mapa final'!$H$61="Muy Baja",'Mapa final'!$L$61="Mayor"),CONCATENATE("R",'Mapa final'!$A$61),"")</f>
        <v/>
      </c>
      <c r="AC42" s="407"/>
      <c r="AD42" s="407" t="str">
        <f>IF(AND('Mapa final'!$H$67="Muy Baja",'Mapa final'!$L$67="Mayor"),CONCATENATE("R",'Mapa final'!$A$67),"")</f>
        <v/>
      </c>
      <c r="AE42" s="407"/>
      <c r="AF42" s="407" t="str">
        <f>IF(AND('Mapa final'!$H$73="Muy Baja",'Mapa final'!$L$73="Mayor"),CONCATENATE("R",'Mapa final'!$A$73),"")</f>
        <v/>
      </c>
      <c r="AG42" s="408"/>
      <c r="AH42" s="418" t="str">
        <f>IF(AND('Mapa final'!$H$61="Muy Baja",'Mapa final'!$L$61="Catastrófico"),CONCATENATE("R",'Mapa final'!$A$61),"")</f>
        <v/>
      </c>
      <c r="AI42" s="419"/>
      <c r="AJ42" s="419" t="str">
        <f>IF(AND('Mapa final'!$H$67="Muy Baja",'Mapa final'!$L$67="Catastrófico"),CONCATENATE("R",'Mapa final'!$A$67),"")</f>
        <v/>
      </c>
      <c r="AK42" s="419"/>
      <c r="AL42" s="419" t="str">
        <f>IF(AND('Mapa final'!$H$73="Muy Baja",'Mapa final'!$L$73="Catastrófico"),CONCATENATE("R",'Mapa final'!$A$73),"")</f>
        <v/>
      </c>
      <c r="AM42" s="420"/>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360"/>
      <c r="C43" s="360"/>
      <c r="D43" s="361"/>
      <c r="E43" s="401"/>
      <c r="F43" s="402"/>
      <c r="G43" s="402"/>
      <c r="H43" s="402"/>
      <c r="I43" s="403"/>
      <c r="J43" s="438"/>
      <c r="K43" s="436"/>
      <c r="L43" s="436"/>
      <c r="M43" s="436"/>
      <c r="N43" s="436"/>
      <c r="O43" s="437"/>
      <c r="P43" s="438"/>
      <c r="Q43" s="436"/>
      <c r="R43" s="436"/>
      <c r="S43" s="436"/>
      <c r="T43" s="436"/>
      <c r="U43" s="437"/>
      <c r="V43" s="427"/>
      <c r="W43" s="428"/>
      <c r="X43" s="428"/>
      <c r="Y43" s="428"/>
      <c r="Z43" s="428"/>
      <c r="AA43" s="429"/>
      <c r="AB43" s="411"/>
      <c r="AC43" s="407"/>
      <c r="AD43" s="407"/>
      <c r="AE43" s="407"/>
      <c r="AF43" s="407"/>
      <c r="AG43" s="408"/>
      <c r="AH43" s="418"/>
      <c r="AI43" s="419"/>
      <c r="AJ43" s="419"/>
      <c r="AK43" s="419"/>
      <c r="AL43" s="419"/>
      <c r="AM43" s="420"/>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360"/>
      <c r="C44" s="360"/>
      <c r="D44" s="361"/>
      <c r="E44" s="401"/>
      <c r="F44" s="402"/>
      <c r="G44" s="402"/>
      <c r="H44" s="402"/>
      <c r="I44" s="403"/>
      <c r="J44" s="438" t="str">
        <f>IF(AND('Mapa final'!$H$79="Muy Baja",'Mapa final'!$L$79="Leve"),CONCATENATE("R",'Mapa final'!$A$79),"")</f>
        <v/>
      </c>
      <c r="K44" s="436"/>
      <c r="L44" s="436" t="str">
        <f>IF(AND('Mapa final'!$H$85="Muy Baja",'Mapa final'!$L$85="Leve"),CONCATENATE("R",'Mapa final'!$A$85),"")</f>
        <v/>
      </c>
      <c r="M44" s="436"/>
      <c r="N44" s="436" t="str">
        <f>IF(AND('Mapa final'!$H$91="Muy Baja",'Mapa final'!$L$91="Leve"),CONCATENATE("R",'Mapa final'!$A$91),"")</f>
        <v/>
      </c>
      <c r="O44" s="437"/>
      <c r="P44" s="438" t="str">
        <f>IF(AND('Mapa final'!$H$79="Muy Baja",'Mapa final'!$L$79="Menor"),CONCATENATE("R",'Mapa final'!$A$79),"")</f>
        <v/>
      </c>
      <c r="Q44" s="436"/>
      <c r="R44" s="436" t="str">
        <f>IF(AND('Mapa final'!$H$85="Muy Baja",'Mapa final'!$L$85="Menor"),CONCATENATE("R",'Mapa final'!$A$85),"")</f>
        <v/>
      </c>
      <c r="S44" s="436"/>
      <c r="T44" s="436" t="str">
        <f>IF(AND('Mapa final'!$H$91="Muy Baja",'Mapa final'!$L$91="Menor"),CONCATENATE("R",'Mapa final'!$A$91),"")</f>
        <v/>
      </c>
      <c r="U44" s="437"/>
      <c r="V44" s="427" t="str">
        <f>IF(AND('Mapa final'!$H$79="Muy Baja",'Mapa final'!$L$79="Moderado"),CONCATENATE("R",'Mapa final'!$A$79),"")</f>
        <v/>
      </c>
      <c r="W44" s="428"/>
      <c r="X44" s="428" t="str">
        <f>IF(AND('Mapa final'!$H$85="Muy Baja",'Mapa final'!$L$85="Moderado"),CONCATENATE("R",'Mapa final'!$A$85),"")</f>
        <v/>
      </c>
      <c r="Y44" s="428"/>
      <c r="Z44" s="428" t="str">
        <f>IF(AND('Mapa final'!$H$91="Muy Baja",'Mapa final'!$L$91="Moderado"),CONCATENATE("R",'Mapa final'!$A$91),"")</f>
        <v/>
      </c>
      <c r="AA44" s="429"/>
      <c r="AB44" s="411" t="str">
        <f>IF(AND('Mapa final'!$H$79="Muy Baja",'Mapa final'!$L$79="Mayor"),CONCATENATE("R",'Mapa final'!$A$79),"")</f>
        <v/>
      </c>
      <c r="AC44" s="407"/>
      <c r="AD44" s="407" t="str">
        <f>IF(AND('Mapa final'!$H$85="Muy Baja",'Mapa final'!$L$85="Mayor"),CONCATENATE("R",'Mapa final'!$A$85),"")</f>
        <v/>
      </c>
      <c r="AE44" s="407"/>
      <c r="AF44" s="407" t="str">
        <f>IF(AND('Mapa final'!$H$91="Muy Baja",'Mapa final'!$L$91="Mayor"),CONCATENATE("R",'Mapa final'!$A$91),"")</f>
        <v/>
      </c>
      <c r="AG44" s="408"/>
      <c r="AH44" s="418" t="str">
        <f>IF(AND('Mapa final'!$H$79="Muy Baja",'Mapa final'!$L$79="Catastrófico"),CONCATENATE("R",'Mapa final'!$A$79),"")</f>
        <v/>
      </c>
      <c r="AI44" s="419"/>
      <c r="AJ44" s="419" t="str">
        <f>IF(AND('Mapa final'!$H$85="Muy Baja",'Mapa final'!$L$85="Catastrófico"),CONCATENATE("R",'Mapa final'!$A$85),"")</f>
        <v/>
      </c>
      <c r="AK44" s="419"/>
      <c r="AL44" s="419" t="str">
        <f>IF(AND('Mapa final'!$H$91="Muy Baja",'Mapa final'!$L$91="Catastrófico"),CONCATENATE("R",'Mapa final'!$A$91),"")</f>
        <v/>
      </c>
      <c r="AM44" s="420"/>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360"/>
      <c r="C45" s="360"/>
      <c r="D45" s="361"/>
      <c r="E45" s="404"/>
      <c r="F45" s="405"/>
      <c r="G45" s="405"/>
      <c r="H45" s="405"/>
      <c r="I45" s="406"/>
      <c r="J45" s="439"/>
      <c r="K45" s="440"/>
      <c r="L45" s="440"/>
      <c r="M45" s="440"/>
      <c r="N45" s="440"/>
      <c r="O45" s="441"/>
      <c r="P45" s="439"/>
      <c r="Q45" s="440"/>
      <c r="R45" s="440"/>
      <c r="S45" s="440"/>
      <c r="T45" s="440"/>
      <c r="U45" s="441"/>
      <c r="V45" s="430"/>
      <c r="W45" s="431"/>
      <c r="X45" s="431"/>
      <c r="Y45" s="431"/>
      <c r="Z45" s="431"/>
      <c r="AA45" s="432"/>
      <c r="AB45" s="415"/>
      <c r="AC45" s="416"/>
      <c r="AD45" s="416"/>
      <c r="AE45" s="416"/>
      <c r="AF45" s="416"/>
      <c r="AG45" s="417"/>
      <c r="AH45" s="421"/>
      <c r="AI45" s="422"/>
      <c r="AJ45" s="422"/>
      <c r="AK45" s="422"/>
      <c r="AL45" s="422"/>
      <c r="AM45" s="423"/>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98" t="s">
        <v>157</v>
      </c>
      <c r="K46" s="399"/>
      <c r="L46" s="399"/>
      <c r="M46" s="399"/>
      <c r="N46" s="399"/>
      <c r="O46" s="400"/>
      <c r="P46" s="398" t="s">
        <v>158</v>
      </c>
      <c r="Q46" s="399"/>
      <c r="R46" s="399"/>
      <c r="S46" s="399"/>
      <c r="T46" s="399"/>
      <c r="U46" s="400"/>
      <c r="V46" s="398" t="s">
        <v>159</v>
      </c>
      <c r="W46" s="399"/>
      <c r="X46" s="399"/>
      <c r="Y46" s="399"/>
      <c r="Z46" s="399"/>
      <c r="AA46" s="400"/>
      <c r="AB46" s="398" t="s">
        <v>160</v>
      </c>
      <c r="AC46" s="414"/>
      <c r="AD46" s="399"/>
      <c r="AE46" s="399"/>
      <c r="AF46" s="399"/>
      <c r="AG46" s="400"/>
      <c r="AH46" s="398" t="s">
        <v>161</v>
      </c>
      <c r="AI46" s="399"/>
      <c r="AJ46" s="399"/>
      <c r="AK46" s="399"/>
      <c r="AL46" s="399"/>
      <c r="AM46" s="400"/>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401"/>
      <c r="K47" s="402"/>
      <c r="L47" s="402"/>
      <c r="M47" s="402"/>
      <c r="N47" s="402"/>
      <c r="O47" s="403"/>
      <c r="P47" s="401"/>
      <c r="Q47" s="402"/>
      <c r="R47" s="402"/>
      <c r="S47" s="402"/>
      <c r="T47" s="402"/>
      <c r="U47" s="403"/>
      <c r="V47" s="401"/>
      <c r="W47" s="402"/>
      <c r="X47" s="402"/>
      <c r="Y47" s="402"/>
      <c r="Z47" s="402"/>
      <c r="AA47" s="403"/>
      <c r="AB47" s="401"/>
      <c r="AC47" s="402"/>
      <c r="AD47" s="402"/>
      <c r="AE47" s="402"/>
      <c r="AF47" s="402"/>
      <c r="AG47" s="403"/>
      <c r="AH47" s="401"/>
      <c r="AI47" s="402"/>
      <c r="AJ47" s="402"/>
      <c r="AK47" s="402"/>
      <c r="AL47" s="402"/>
      <c r="AM47" s="403"/>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401"/>
      <c r="K48" s="402"/>
      <c r="L48" s="402"/>
      <c r="M48" s="402"/>
      <c r="N48" s="402"/>
      <c r="O48" s="403"/>
      <c r="P48" s="401"/>
      <c r="Q48" s="402"/>
      <c r="R48" s="402"/>
      <c r="S48" s="402"/>
      <c r="T48" s="402"/>
      <c r="U48" s="403"/>
      <c r="V48" s="401"/>
      <c r="W48" s="402"/>
      <c r="X48" s="402"/>
      <c r="Y48" s="402"/>
      <c r="Z48" s="402"/>
      <c r="AA48" s="403"/>
      <c r="AB48" s="401"/>
      <c r="AC48" s="402"/>
      <c r="AD48" s="402"/>
      <c r="AE48" s="402"/>
      <c r="AF48" s="402"/>
      <c r="AG48" s="403"/>
      <c r="AH48" s="401"/>
      <c r="AI48" s="402"/>
      <c r="AJ48" s="402"/>
      <c r="AK48" s="402"/>
      <c r="AL48" s="402"/>
      <c r="AM48" s="403"/>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401"/>
      <c r="K49" s="402"/>
      <c r="L49" s="402"/>
      <c r="M49" s="402"/>
      <c r="N49" s="402"/>
      <c r="O49" s="403"/>
      <c r="P49" s="401"/>
      <c r="Q49" s="402"/>
      <c r="R49" s="402"/>
      <c r="S49" s="402"/>
      <c r="T49" s="402"/>
      <c r="U49" s="403"/>
      <c r="V49" s="401"/>
      <c r="W49" s="402"/>
      <c r="X49" s="402"/>
      <c r="Y49" s="402"/>
      <c r="Z49" s="402"/>
      <c r="AA49" s="403"/>
      <c r="AB49" s="401"/>
      <c r="AC49" s="402"/>
      <c r="AD49" s="402"/>
      <c r="AE49" s="402"/>
      <c r="AF49" s="402"/>
      <c r="AG49" s="403"/>
      <c r="AH49" s="401"/>
      <c r="AI49" s="402"/>
      <c r="AJ49" s="402"/>
      <c r="AK49" s="402"/>
      <c r="AL49" s="402"/>
      <c r="AM49" s="403"/>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401"/>
      <c r="K50" s="402"/>
      <c r="L50" s="402"/>
      <c r="M50" s="402"/>
      <c r="N50" s="402"/>
      <c r="O50" s="403"/>
      <c r="P50" s="401"/>
      <c r="Q50" s="402"/>
      <c r="R50" s="402"/>
      <c r="S50" s="402"/>
      <c r="T50" s="402"/>
      <c r="U50" s="403"/>
      <c r="V50" s="401"/>
      <c r="W50" s="402"/>
      <c r="X50" s="402"/>
      <c r="Y50" s="402"/>
      <c r="Z50" s="402"/>
      <c r="AA50" s="403"/>
      <c r="AB50" s="401"/>
      <c r="AC50" s="402"/>
      <c r="AD50" s="402"/>
      <c r="AE50" s="402"/>
      <c r="AF50" s="402"/>
      <c r="AG50" s="403"/>
      <c r="AH50" s="401"/>
      <c r="AI50" s="402"/>
      <c r="AJ50" s="402"/>
      <c r="AK50" s="402"/>
      <c r="AL50" s="402"/>
      <c r="AM50" s="403"/>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404"/>
      <c r="K51" s="405"/>
      <c r="L51" s="405"/>
      <c r="M51" s="405"/>
      <c r="N51" s="405"/>
      <c r="O51" s="406"/>
      <c r="P51" s="404"/>
      <c r="Q51" s="405"/>
      <c r="R51" s="405"/>
      <c r="S51" s="405"/>
      <c r="T51" s="405"/>
      <c r="U51" s="406"/>
      <c r="V51" s="404"/>
      <c r="W51" s="405"/>
      <c r="X51" s="405"/>
      <c r="Y51" s="405"/>
      <c r="Z51" s="405"/>
      <c r="AA51" s="406"/>
      <c r="AB51" s="404"/>
      <c r="AC51" s="405"/>
      <c r="AD51" s="405"/>
      <c r="AE51" s="405"/>
      <c r="AF51" s="405"/>
      <c r="AG51" s="406"/>
      <c r="AH51" s="404"/>
      <c r="AI51" s="405"/>
      <c r="AJ51" s="405"/>
      <c r="AK51" s="405"/>
      <c r="AL51" s="405"/>
      <c r="AM51" s="406"/>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9" zoomScale="50" zoomScaleNormal="50" workbookViewId="0">
      <selection activeCell="K47" sqref="K47"/>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471" t="s">
        <v>162</v>
      </c>
      <c r="C2" s="472"/>
      <c r="D2" s="472"/>
      <c r="E2" s="472"/>
      <c r="F2" s="472"/>
      <c r="G2" s="472"/>
      <c r="H2" s="472"/>
      <c r="I2" s="472"/>
      <c r="J2" s="413" t="s">
        <v>15</v>
      </c>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472"/>
      <c r="C3" s="472"/>
      <c r="D3" s="472"/>
      <c r="E3" s="472"/>
      <c r="F3" s="472"/>
      <c r="G3" s="472"/>
      <c r="H3" s="472"/>
      <c r="I3" s="472"/>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472"/>
      <c r="C4" s="472"/>
      <c r="D4" s="472"/>
      <c r="E4" s="472"/>
      <c r="F4" s="472"/>
      <c r="G4" s="472"/>
      <c r="H4" s="472"/>
      <c r="I4" s="472"/>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360" t="s">
        <v>147</v>
      </c>
      <c r="C6" s="360"/>
      <c r="D6" s="361"/>
      <c r="E6" s="455" t="s">
        <v>148</v>
      </c>
      <c r="F6" s="456"/>
      <c r="G6" s="456"/>
      <c r="H6" s="456"/>
      <c r="I6" s="473"/>
      <c r="J6" s="45" t="str">
        <f>IF(AND('Mapa final'!$Y$25="Muy Alta",'Mapa final'!$AA$25="Leve"),CONCATENATE("R1C",'Mapa final'!$O$25),"")</f>
        <v/>
      </c>
      <c r="K6" s="46" t="str">
        <f>IF(AND('Mapa final'!$Y$26="Muy Alta",'Mapa final'!$AA$26="Leve"),CONCATENATE("R1C",'Mapa final'!$O$26),"")</f>
        <v/>
      </c>
      <c r="L6" s="46" t="str">
        <f>IF(AND('Mapa final'!$Y$27="Muy Alta",'Mapa final'!$AA$27="Leve"),CONCATENATE("R1C",'Mapa final'!$O$27),"")</f>
        <v/>
      </c>
      <c r="M6" s="46" t="str">
        <f>IF(AND('Mapa final'!$Y$28="Muy Alta",'Mapa final'!$AA$28="Leve"),CONCATENATE("R1C",'Mapa final'!$O$28),"")</f>
        <v/>
      </c>
      <c r="N6" s="46" t="str">
        <f>IF(AND('Mapa final'!$Y$29="Muy Alta",'Mapa final'!$AA$29="Leve"),CONCATENATE("R1C",'Mapa final'!$O$29),"")</f>
        <v/>
      </c>
      <c r="O6" s="47" t="str">
        <f>IF(AND('Mapa final'!$Y$30="Muy Alta",'Mapa final'!$AA$30="Leve"),CONCATENATE("R1C",'Mapa final'!$O$30),"")</f>
        <v/>
      </c>
      <c r="P6" s="45" t="str">
        <f>IF(AND('Mapa final'!$Y$25="Muy Alta",'Mapa final'!$AA$25="Menor"),CONCATENATE("R1C",'Mapa final'!$O$25),"")</f>
        <v/>
      </c>
      <c r="Q6" s="46" t="str">
        <f>IF(AND('Mapa final'!$Y$26="Muy Alta",'Mapa final'!$AA$26="Menor"),CONCATENATE("R1C",'Mapa final'!$O$26),"")</f>
        <v/>
      </c>
      <c r="R6" s="46" t="str">
        <f>IF(AND('Mapa final'!$Y$27="Muy Alta",'Mapa final'!$AA$27="Menor"),CONCATENATE("R1C",'Mapa final'!$O$27),"")</f>
        <v/>
      </c>
      <c r="S6" s="46" t="str">
        <f>IF(AND('Mapa final'!$Y$28="Muy Alta",'Mapa final'!$AA$28="Menor"),CONCATENATE("R1C",'Mapa final'!$O$28),"")</f>
        <v/>
      </c>
      <c r="T6" s="46" t="str">
        <f>IF(AND('Mapa final'!$Y$29="Muy Alta",'Mapa final'!$AA$29="Menor"),CONCATENATE("R1C",'Mapa final'!$O$29),"")</f>
        <v/>
      </c>
      <c r="U6" s="47" t="str">
        <f>IF(AND('Mapa final'!$Y$30="Muy Alta",'Mapa final'!$AA$30="Menor"),CONCATENATE("R1C",'Mapa final'!$O$30),"")</f>
        <v/>
      </c>
      <c r="V6" s="45" t="str">
        <f>IF(AND('Mapa final'!$Y$25="Muy Alta",'Mapa final'!$AA$25="Moderado"),CONCATENATE("R1C",'Mapa final'!$O$25),"")</f>
        <v/>
      </c>
      <c r="W6" s="46" t="str">
        <f>IF(AND('Mapa final'!$Y$26="Muy Alta",'Mapa final'!$AA$26="Moderado"),CONCATENATE("R1C",'Mapa final'!$O$26),"")</f>
        <v/>
      </c>
      <c r="X6" s="46" t="str">
        <f>IF(AND('Mapa final'!$Y$27="Muy Alta",'Mapa final'!$AA$27="Moderado"),CONCATENATE("R1C",'Mapa final'!$O$27),"")</f>
        <v/>
      </c>
      <c r="Y6" s="46" t="str">
        <f>IF(AND('Mapa final'!$Y$28="Muy Alta",'Mapa final'!$AA$28="Moderado"),CONCATENATE("R1C",'Mapa final'!$O$28),"")</f>
        <v/>
      </c>
      <c r="Z6" s="46" t="str">
        <f>IF(AND('Mapa final'!$Y$29="Muy Alta",'Mapa final'!$AA$29="Moderado"),CONCATENATE("R1C",'Mapa final'!$O$29),"")</f>
        <v/>
      </c>
      <c r="AA6" s="47" t="str">
        <f>IF(AND('Mapa final'!$Y$30="Muy Alta",'Mapa final'!$AA$30="Moderado"),CONCATENATE("R1C",'Mapa final'!$O$30),"")</f>
        <v/>
      </c>
      <c r="AB6" s="45" t="str">
        <f>IF(AND('Mapa final'!$Y$25="Muy Alta",'Mapa final'!$AA$25="Mayor"),CONCATENATE("R1C",'Mapa final'!$O$25),"")</f>
        <v/>
      </c>
      <c r="AC6" s="46" t="str">
        <f>IF(AND('Mapa final'!$Y$26="Muy Alta",'Mapa final'!$AA$26="Mayor"),CONCATENATE("R1C",'Mapa final'!$O$26),"")</f>
        <v/>
      </c>
      <c r="AD6" s="46" t="str">
        <f>IF(AND('Mapa final'!$Y$27="Muy Alta",'Mapa final'!$AA$27="Mayor"),CONCATENATE("R1C",'Mapa final'!$O$27),"")</f>
        <v/>
      </c>
      <c r="AE6" s="46" t="str">
        <f>IF(AND('Mapa final'!$Y$28="Muy Alta",'Mapa final'!$AA$28="Mayor"),CONCATENATE("R1C",'Mapa final'!$O$28),"")</f>
        <v/>
      </c>
      <c r="AF6" s="46" t="str">
        <f>IF(AND('Mapa final'!$Y$29="Muy Alta",'Mapa final'!$AA$29="Mayor"),CONCATENATE("R1C",'Mapa final'!$O$29),"")</f>
        <v/>
      </c>
      <c r="AG6" s="47" t="str">
        <f>IF(AND('Mapa final'!$Y$30="Muy Alta",'Mapa final'!$AA$30="Mayor"),CONCATENATE("R1C",'Mapa final'!$O$30),"")</f>
        <v/>
      </c>
      <c r="AH6" s="48" t="str">
        <f>IF(AND('Mapa final'!$Y$25="Muy Alta",'Mapa final'!$AA$25="Catastrófico"),CONCATENATE("R1C",'Mapa final'!$O$25),"")</f>
        <v/>
      </c>
      <c r="AI6" s="49" t="str">
        <f>IF(AND('Mapa final'!$Y$26="Muy Alta",'Mapa final'!$AA$26="Catastrófico"),CONCATENATE("R1C",'Mapa final'!$O$26),"")</f>
        <v/>
      </c>
      <c r="AJ6" s="49" t="str">
        <f>IF(AND('Mapa final'!$Y$27="Muy Alta",'Mapa final'!$AA$27="Catastrófico"),CONCATENATE("R1C",'Mapa final'!$O$27),"")</f>
        <v/>
      </c>
      <c r="AK6" s="49" t="str">
        <f>IF(AND('Mapa final'!$Y$28="Muy Alta",'Mapa final'!$AA$28="Catastrófico"),CONCATENATE("R1C",'Mapa final'!$O$28),"")</f>
        <v/>
      </c>
      <c r="AL6" s="49" t="str">
        <f>IF(AND('Mapa final'!$Y$29="Muy Alta",'Mapa final'!$AA$29="Catastrófico"),CONCATENATE("R1C",'Mapa final'!$O$29),"")</f>
        <v/>
      </c>
      <c r="AM6" s="50" t="str">
        <f>IF(AND('Mapa final'!$Y$30="Muy Alta",'Mapa final'!$AA$30="Catastrófico"),CONCATENATE("R1C",'Mapa final'!$O$30),"")</f>
        <v/>
      </c>
      <c r="AN6" s="82"/>
      <c r="AO6" s="462" t="s">
        <v>149</v>
      </c>
      <c r="AP6" s="463"/>
      <c r="AQ6" s="463"/>
      <c r="AR6" s="463"/>
      <c r="AS6" s="463"/>
      <c r="AT6" s="46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360"/>
      <c r="C7" s="360"/>
      <c r="D7" s="361"/>
      <c r="E7" s="459"/>
      <c r="F7" s="458"/>
      <c r="G7" s="458"/>
      <c r="H7" s="458"/>
      <c r="I7" s="474"/>
      <c r="J7" s="51" t="str">
        <f>IF(AND('Mapa final'!$Y$31="Muy Alta",'Mapa final'!$AA$31="Leve"),CONCATENATE("R2C",'Mapa final'!$O$31),"")</f>
        <v/>
      </c>
      <c r="K7" s="52" t="str">
        <f>IF(AND('Mapa final'!$Y$32="Muy Alta",'Mapa final'!$AA$32="Leve"),CONCATENATE("R2C",'Mapa final'!$O$32),"")</f>
        <v/>
      </c>
      <c r="L7" s="52" t="str">
        <f>IF(AND('Mapa final'!$Y$33="Muy Alta",'Mapa final'!$AA$33="Leve"),CONCATENATE("R2C",'Mapa final'!$O$33),"")</f>
        <v/>
      </c>
      <c r="M7" s="52" t="str">
        <f>IF(AND('Mapa final'!$Y$34="Muy Alta",'Mapa final'!$AA$34="Leve"),CONCATENATE("R2C",'Mapa final'!$O$34),"")</f>
        <v/>
      </c>
      <c r="N7" s="52" t="str">
        <f>IF(AND('Mapa final'!$Y$35="Muy Alta",'Mapa final'!$AA$35="Leve"),CONCATENATE("R2C",'Mapa final'!$O$35),"")</f>
        <v/>
      </c>
      <c r="O7" s="53" t="str">
        <f>IF(AND('Mapa final'!$Y$36="Muy Alta",'Mapa final'!$AA$36="Leve"),CONCATENATE("R2C",'Mapa final'!$O$36),"")</f>
        <v/>
      </c>
      <c r="P7" s="51" t="str">
        <f>IF(AND('Mapa final'!$Y$31="Muy Alta",'Mapa final'!$AA$31="Menor"),CONCATENATE("R2C",'Mapa final'!$O$31),"")</f>
        <v/>
      </c>
      <c r="Q7" s="52" t="str">
        <f>IF(AND('Mapa final'!$Y$32="Muy Alta",'Mapa final'!$AA$32="Menor"),CONCATENATE("R2C",'Mapa final'!$O$32),"")</f>
        <v/>
      </c>
      <c r="R7" s="52" t="str">
        <f>IF(AND('Mapa final'!$Y$33="Muy Alta",'Mapa final'!$AA$33="Menor"),CONCATENATE("R2C",'Mapa final'!$O$33),"")</f>
        <v/>
      </c>
      <c r="S7" s="52" t="str">
        <f>IF(AND('Mapa final'!$Y$34="Muy Alta",'Mapa final'!$AA$34="Menor"),CONCATENATE("R2C",'Mapa final'!$O$34),"")</f>
        <v/>
      </c>
      <c r="T7" s="52" t="str">
        <f>IF(AND('Mapa final'!$Y$35="Muy Alta",'Mapa final'!$AA$35="Menor"),CONCATENATE("R2C",'Mapa final'!$O$35),"")</f>
        <v/>
      </c>
      <c r="U7" s="53" t="str">
        <f>IF(AND('Mapa final'!$Y$36="Muy Alta",'Mapa final'!$AA$36="Menor"),CONCATENATE("R2C",'Mapa final'!$O$36),"")</f>
        <v/>
      </c>
      <c r="V7" s="51" t="str">
        <f>IF(AND('Mapa final'!$Y$31="Muy Alta",'Mapa final'!$AA$31="Moderado"),CONCATENATE("R2C",'Mapa final'!$O$31),"")</f>
        <v/>
      </c>
      <c r="W7" s="52" t="str">
        <f>IF(AND('Mapa final'!$Y$32="Muy Alta",'Mapa final'!$AA$32="Moderado"),CONCATENATE("R2C",'Mapa final'!$O$32),"")</f>
        <v/>
      </c>
      <c r="X7" s="52" t="str">
        <f>IF(AND('Mapa final'!$Y$33="Muy Alta",'Mapa final'!$AA$33="Moderado"),CONCATENATE("R2C",'Mapa final'!$O$33),"")</f>
        <v/>
      </c>
      <c r="Y7" s="52" t="str">
        <f>IF(AND('Mapa final'!$Y$34="Muy Alta",'Mapa final'!$AA$34="Moderado"),CONCATENATE("R2C",'Mapa final'!$O$34),"")</f>
        <v/>
      </c>
      <c r="Z7" s="52" t="str">
        <f>IF(AND('Mapa final'!$Y$35="Muy Alta",'Mapa final'!$AA$35="Moderado"),CONCATENATE("R2C",'Mapa final'!$O$35),"")</f>
        <v/>
      </c>
      <c r="AA7" s="53" t="str">
        <f>IF(AND('Mapa final'!$Y$36="Muy Alta",'Mapa final'!$AA$36="Moderado"),CONCATENATE("R2C",'Mapa final'!$O$36),"")</f>
        <v/>
      </c>
      <c r="AB7" s="51" t="str">
        <f>IF(AND('Mapa final'!$Y$31="Muy Alta",'Mapa final'!$AA$31="Mayor"),CONCATENATE("R2C",'Mapa final'!$O$31),"")</f>
        <v/>
      </c>
      <c r="AC7" s="52" t="str">
        <f>IF(AND('Mapa final'!$Y$32="Muy Alta",'Mapa final'!$AA$32="Mayor"),CONCATENATE("R2C",'Mapa final'!$O$32),"")</f>
        <v/>
      </c>
      <c r="AD7" s="52" t="str">
        <f>IF(AND('Mapa final'!$Y$33="Muy Alta",'Mapa final'!$AA$33="Mayor"),CONCATENATE("R2C",'Mapa final'!$O$33),"")</f>
        <v/>
      </c>
      <c r="AE7" s="52" t="str">
        <f>IF(AND('Mapa final'!$Y$34="Muy Alta",'Mapa final'!$AA$34="Mayor"),CONCATENATE("R2C",'Mapa final'!$O$34),"")</f>
        <v/>
      </c>
      <c r="AF7" s="52" t="str">
        <f>IF(AND('Mapa final'!$Y$35="Muy Alta",'Mapa final'!$AA$35="Mayor"),CONCATENATE("R2C",'Mapa final'!$O$35),"")</f>
        <v/>
      </c>
      <c r="AG7" s="53" t="str">
        <f>IF(AND('Mapa final'!$Y$36="Muy Alta",'Mapa final'!$AA$36="Mayor"),CONCATENATE("R2C",'Mapa final'!$O$36),"")</f>
        <v/>
      </c>
      <c r="AH7" s="54" t="str">
        <f>IF(AND('Mapa final'!$Y$31="Muy Alta",'Mapa final'!$AA$31="Catastrófico"),CONCATENATE("R2C",'Mapa final'!$O$31),"")</f>
        <v/>
      </c>
      <c r="AI7" s="55" t="str">
        <f>IF(AND('Mapa final'!$Y$32="Muy Alta",'Mapa final'!$AA$32="Catastrófico"),CONCATENATE("R2C",'Mapa final'!$O$32),"")</f>
        <v/>
      </c>
      <c r="AJ7" s="55" t="str">
        <f>IF(AND('Mapa final'!$Y$33="Muy Alta",'Mapa final'!$AA$33="Catastrófico"),CONCATENATE("R2C",'Mapa final'!$O$33),"")</f>
        <v/>
      </c>
      <c r="AK7" s="55" t="str">
        <f>IF(AND('Mapa final'!$Y$34="Muy Alta",'Mapa final'!$AA$34="Catastrófico"),CONCATENATE("R2C",'Mapa final'!$O$34),"")</f>
        <v/>
      </c>
      <c r="AL7" s="55" t="str">
        <f>IF(AND('Mapa final'!$Y$35="Muy Alta",'Mapa final'!$AA$35="Catastrófico"),CONCATENATE("R2C",'Mapa final'!$O$35),"")</f>
        <v/>
      </c>
      <c r="AM7" s="56" t="str">
        <f>IF(AND('Mapa final'!$Y$36="Muy Alta",'Mapa final'!$AA$36="Catastrófico"),CONCATENATE("R2C",'Mapa final'!$O$36),"")</f>
        <v/>
      </c>
      <c r="AN7" s="82"/>
      <c r="AO7" s="465"/>
      <c r="AP7" s="466"/>
      <c r="AQ7" s="466"/>
      <c r="AR7" s="466"/>
      <c r="AS7" s="466"/>
      <c r="AT7" s="46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360"/>
      <c r="C8" s="360"/>
      <c r="D8" s="361"/>
      <c r="E8" s="459"/>
      <c r="F8" s="458"/>
      <c r="G8" s="458"/>
      <c r="H8" s="458"/>
      <c r="I8" s="474"/>
      <c r="J8" s="51" t="str">
        <f>IF(AND('Mapa final'!$Y$37="Muy Alta",'Mapa final'!$AA$37="Leve"),CONCATENATE("R3C",'Mapa final'!$O$37),"")</f>
        <v/>
      </c>
      <c r="K8" s="52" t="str">
        <f>IF(AND('Mapa final'!$Y$38="Muy Alta",'Mapa final'!$AA$38="Leve"),CONCATENATE("R3C",'Mapa final'!$O$38),"")</f>
        <v/>
      </c>
      <c r="L8" s="52" t="str">
        <f>IF(AND('Mapa final'!$Y$39="Muy Alta",'Mapa final'!$AA$39="Leve"),CONCATENATE("R3C",'Mapa final'!$O$39),"")</f>
        <v/>
      </c>
      <c r="M8" s="52" t="str">
        <f>IF(AND('Mapa final'!$Y$40="Muy Alta",'Mapa final'!$AA$40="Leve"),CONCATENATE("R3C",'Mapa final'!$O$40),"")</f>
        <v/>
      </c>
      <c r="N8" s="52" t="str">
        <f>IF(AND('Mapa final'!$Y$41="Muy Alta",'Mapa final'!$AA$41="Leve"),CONCATENATE("R3C",'Mapa final'!$O$41),"")</f>
        <v/>
      </c>
      <c r="O8" s="53" t="str">
        <f>IF(AND('Mapa final'!$Y$42="Muy Alta",'Mapa final'!$AA$42="Leve"),CONCATENATE("R3C",'Mapa final'!$O$42),"")</f>
        <v/>
      </c>
      <c r="P8" s="51" t="str">
        <f>IF(AND('Mapa final'!$Y$37="Muy Alta",'Mapa final'!$AA$37="Menor"),CONCATENATE("R3C",'Mapa final'!$O$37),"")</f>
        <v/>
      </c>
      <c r="Q8" s="52" t="str">
        <f>IF(AND('Mapa final'!$Y$38="Muy Alta",'Mapa final'!$AA$38="Menor"),CONCATENATE("R3C",'Mapa final'!$O$38),"")</f>
        <v/>
      </c>
      <c r="R8" s="52" t="str">
        <f>IF(AND('Mapa final'!$Y$39="Muy Alta",'Mapa final'!$AA$39="Menor"),CONCATENATE("R3C",'Mapa final'!$O$39),"")</f>
        <v/>
      </c>
      <c r="S8" s="52" t="str">
        <f>IF(AND('Mapa final'!$Y$40="Muy Alta",'Mapa final'!$AA$40="Menor"),CONCATENATE("R3C",'Mapa final'!$O$40),"")</f>
        <v/>
      </c>
      <c r="T8" s="52" t="str">
        <f>IF(AND('Mapa final'!$Y$41="Muy Alta",'Mapa final'!$AA$41="Menor"),CONCATENATE("R3C",'Mapa final'!$O$41),"")</f>
        <v/>
      </c>
      <c r="U8" s="53" t="str">
        <f>IF(AND('Mapa final'!$Y$42="Muy Alta",'Mapa final'!$AA$42="Menor"),CONCATENATE("R3C",'Mapa final'!$O$42),"")</f>
        <v/>
      </c>
      <c r="V8" s="51" t="str">
        <f>IF(AND('Mapa final'!$Y$37="Muy Alta",'Mapa final'!$AA$37="Moderado"),CONCATENATE("R3C",'Mapa final'!$O$37),"")</f>
        <v/>
      </c>
      <c r="W8" s="52" t="str">
        <f>IF(AND('Mapa final'!$Y$38="Muy Alta",'Mapa final'!$AA$38="Moderado"),CONCATENATE("R3C",'Mapa final'!$O$38),"")</f>
        <v/>
      </c>
      <c r="X8" s="52" t="str">
        <f>IF(AND('Mapa final'!$Y$39="Muy Alta",'Mapa final'!$AA$39="Moderado"),CONCATENATE("R3C",'Mapa final'!$O$39),"")</f>
        <v/>
      </c>
      <c r="Y8" s="52" t="str">
        <f>IF(AND('Mapa final'!$Y$40="Muy Alta",'Mapa final'!$AA$40="Moderado"),CONCATENATE("R3C",'Mapa final'!$O$40),"")</f>
        <v/>
      </c>
      <c r="Z8" s="52" t="str">
        <f>IF(AND('Mapa final'!$Y$41="Muy Alta",'Mapa final'!$AA$41="Moderado"),CONCATENATE("R3C",'Mapa final'!$O$41),"")</f>
        <v/>
      </c>
      <c r="AA8" s="53" t="str">
        <f>IF(AND('Mapa final'!$Y$42="Muy Alta",'Mapa final'!$AA$42="Moderado"),CONCATENATE("R3C",'Mapa final'!$O$42),"")</f>
        <v/>
      </c>
      <c r="AB8" s="51" t="str">
        <f>IF(AND('Mapa final'!$Y$37="Muy Alta",'Mapa final'!$AA$37="Mayor"),CONCATENATE("R3C",'Mapa final'!$O$37),"")</f>
        <v/>
      </c>
      <c r="AC8" s="52" t="str">
        <f>IF(AND('Mapa final'!$Y$38="Muy Alta",'Mapa final'!$AA$38="Mayor"),CONCATENATE("R3C",'Mapa final'!$O$38),"")</f>
        <v/>
      </c>
      <c r="AD8" s="52" t="str">
        <f>IF(AND('Mapa final'!$Y$39="Muy Alta",'Mapa final'!$AA$39="Mayor"),CONCATENATE("R3C",'Mapa final'!$O$39),"")</f>
        <v/>
      </c>
      <c r="AE8" s="52" t="str">
        <f>IF(AND('Mapa final'!$Y$40="Muy Alta",'Mapa final'!$AA$40="Mayor"),CONCATENATE("R3C",'Mapa final'!$O$40),"")</f>
        <v/>
      </c>
      <c r="AF8" s="52" t="str">
        <f>IF(AND('Mapa final'!$Y$41="Muy Alta",'Mapa final'!$AA$41="Mayor"),CONCATENATE("R3C",'Mapa final'!$O$41),"")</f>
        <v/>
      </c>
      <c r="AG8" s="53" t="str">
        <f>IF(AND('Mapa final'!$Y$42="Muy Alta",'Mapa final'!$AA$42="Mayor"),CONCATENATE("R3C",'Mapa final'!$O$42),"")</f>
        <v/>
      </c>
      <c r="AH8" s="54" t="str">
        <f>IF(AND('Mapa final'!$Y$37="Muy Alta",'Mapa final'!$AA$37="Catastrófico"),CONCATENATE("R3C",'Mapa final'!$O$37),"")</f>
        <v/>
      </c>
      <c r="AI8" s="55" t="str">
        <f>IF(AND('Mapa final'!$Y$38="Muy Alta",'Mapa final'!$AA$38="Catastrófico"),CONCATENATE("R3C",'Mapa final'!$O$38),"")</f>
        <v/>
      </c>
      <c r="AJ8" s="55" t="str">
        <f>IF(AND('Mapa final'!$Y$39="Muy Alta",'Mapa final'!$AA$39="Catastrófico"),CONCATENATE("R3C",'Mapa final'!$O$39),"")</f>
        <v/>
      </c>
      <c r="AK8" s="55" t="str">
        <f>IF(AND('Mapa final'!$Y$40="Muy Alta",'Mapa final'!$AA$40="Catastrófico"),CONCATENATE("R3C",'Mapa final'!$O$40),"")</f>
        <v/>
      </c>
      <c r="AL8" s="55" t="str">
        <f>IF(AND('Mapa final'!$Y$41="Muy Alta",'Mapa final'!$AA$41="Catastrófico"),CONCATENATE("R3C",'Mapa final'!$O$41),"")</f>
        <v/>
      </c>
      <c r="AM8" s="56" t="str">
        <f>IF(AND('Mapa final'!$Y$42="Muy Alta",'Mapa final'!$AA$42="Catastrófico"),CONCATENATE("R3C",'Mapa final'!$O$42),"")</f>
        <v/>
      </c>
      <c r="AN8" s="82"/>
      <c r="AO8" s="465"/>
      <c r="AP8" s="466"/>
      <c r="AQ8" s="466"/>
      <c r="AR8" s="466"/>
      <c r="AS8" s="466"/>
      <c r="AT8" s="46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360"/>
      <c r="C9" s="360"/>
      <c r="D9" s="361"/>
      <c r="E9" s="459"/>
      <c r="F9" s="458"/>
      <c r="G9" s="458"/>
      <c r="H9" s="458"/>
      <c r="I9" s="474"/>
      <c r="J9" s="51" t="str">
        <f>IF(AND('Mapa final'!$Y$43="Muy Alta",'Mapa final'!$AA$43="Leve"),CONCATENATE("R4C",'Mapa final'!$O$43),"")</f>
        <v/>
      </c>
      <c r="K9" s="52" t="str">
        <f>IF(AND('Mapa final'!$Y$44="Muy Alta",'Mapa final'!$AA$44="Leve"),CONCATENATE("R4C",'Mapa final'!$O$44),"")</f>
        <v/>
      </c>
      <c r="L9" s="52" t="str">
        <f>IF(AND('Mapa final'!$Y$45="Muy Alta",'Mapa final'!$AA$45="Leve"),CONCATENATE("R4C",'Mapa final'!$O$45),"")</f>
        <v/>
      </c>
      <c r="M9" s="52" t="str">
        <f>IF(AND('Mapa final'!$Y$46="Muy Alta",'Mapa final'!$AA$46="Leve"),CONCATENATE("R4C",'Mapa final'!$O$46),"")</f>
        <v/>
      </c>
      <c r="N9" s="52" t="str">
        <f>IF(AND('Mapa final'!$Y$47="Muy Alta",'Mapa final'!$AA$47="Leve"),CONCATENATE("R4C",'Mapa final'!$O$47),"")</f>
        <v/>
      </c>
      <c r="O9" s="53" t="str">
        <f>IF(AND('Mapa final'!$Y$48="Muy Alta",'Mapa final'!$AA$48="Leve"),CONCATENATE("R4C",'Mapa final'!$O$48),"")</f>
        <v/>
      </c>
      <c r="P9" s="51" t="str">
        <f>IF(AND('Mapa final'!$Y$43="Muy Alta",'Mapa final'!$AA$43="Menor"),CONCATENATE("R4C",'Mapa final'!$O$43),"")</f>
        <v/>
      </c>
      <c r="Q9" s="52" t="str">
        <f>IF(AND('Mapa final'!$Y$44="Muy Alta",'Mapa final'!$AA$44="Menor"),CONCATENATE("R4C",'Mapa final'!$O$44),"")</f>
        <v/>
      </c>
      <c r="R9" s="52" t="str">
        <f>IF(AND('Mapa final'!$Y$45="Muy Alta",'Mapa final'!$AA$45="Menor"),CONCATENATE("R4C",'Mapa final'!$O$45),"")</f>
        <v/>
      </c>
      <c r="S9" s="52" t="str">
        <f>IF(AND('Mapa final'!$Y$46="Muy Alta",'Mapa final'!$AA$46="Menor"),CONCATENATE("R4C",'Mapa final'!$O$46),"")</f>
        <v/>
      </c>
      <c r="T9" s="52" t="str">
        <f>IF(AND('Mapa final'!$Y$47="Muy Alta",'Mapa final'!$AA$47="Menor"),CONCATENATE("R4C",'Mapa final'!$O$47),"")</f>
        <v/>
      </c>
      <c r="U9" s="53" t="str">
        <f>IF(AND('Mapa final'!$Y$48="Muy Alta",'Mapa final'!$AA$48="Menor"),CONCATENATE("R4C",'Mapa final'!$O$48),"")</f>
        <v/>
      </c>
      <c r="V9" s="51" t="str">
        <f>IF(AND('Mapa final'!$Y$43="Muy Alta",'Mapa final'!$AA$43="Moderado"),CONCATENATE("R4C",'Mapa final'!$O$43),"")</f>
        <v/>
      </c>
      <c r="W9" s="52" t="str">
        <f>IF(AND('Mapa final'!$Y$44="Muy Alta",'Mapa final'!$AA$44="Moderado"),CONCATENATE("R4C",'Mapa final'!$O$44),"")</f>
        <v/>
      </c>
      <c r="X9" s="52" t="str">
        <f>IF(AND('Mapa final'!$Y$45="Muy Alta",'Mapa final'!$AA$45="Moderado"),CONCATENATE("R4C",'Mapa final'!$O$45),"")</f>
        <v/>
      </c>
      <c r="Y9" s="52" t="str">
        <f>IF(AND('Mapa final'!$Y$46="Muy Alta",'Mapa final'!$AA$46="Moderado"),CONCATENATE("R4C",'Mapa final'!$O$46),"")</f>
        <v/>
      </c>
      <c r="Z9" s="52" t="str">
        <f>IF(AND('Mapa final'!$Y$47="Muy Alta",'Mapa final'!$AA$47="Moderado"),CONCATENATE("R4C",'Mapa final'!$O$47),"")</f>
        <v/>
      </c>
      <c r="AA9" s="53" t="str">
        <f>IF(AND('Mapa final'!$Y$48="Muy Alta",'Mapa final'!$AA$48="Moderado"),CONCATENATE("R4C",'Mapa final'!$O$48),"")</f>
        <v/>
      </c>
      <c r="AB9" s="51" t="str">
        <f>IF(AND('Mapa final'!$Y$43="Muy Alta",'Mapa final'!$AA$43="Mayor"),CONCATENATE("R4C",'Mapa final'!$O$43),"")</f>
        <v/>
      </c>
      <c r="AC9" s="52" t="str">
        <f>IF(AND('Mapa final'!$Y$44="Muy Alta",'Mapa final'!$AA$44="Mayor"),CONCATENATE("R4C",'Mapa final'!$O$44),"")</f>
        <v/>
      </c>
      <c r="AD9" s="52" t="str">
        <f>IF(AND('Mapa final'!$Y$45="Muy Alta",'Mapa final'!$AA$45="Mayor"),CONCATENATE("R4C",'Mapa final'!$O$45),"")</f>
        <v/>
      </c>
      <c r="AE9" s="52" t="str">
        <f>IF(AND('Mapa final'!$Y$46="Muy Alta",'Mapa final'!$AA$46="Mayor"),CONCATENATE("R4C",'Mapa final'!$O$46),"")</f>
        <v/>
      </c>
      <c r="AF9" s="52" t="str">
        <f>IF(AND('Mapa final'!$Y$47="Muy Alta",'Mapa final'!$AA$47="Mayor"),CONCATENATE("R4C",'Mapa final'!$O$47),"")</f>
        <v/>
      </c>
      <c r="AG9" s="53" t="str">
        <f>IF(AND('Mapa final'!$Y$48="Muy Alta",'Mapa final'!$AA$48="Mayor"),CONCATENATE("R4C",'Mapa final'!$O$48),"")</f>
        <v/>
      </c>
      <c r="AH9" s="54" t="str">
        <f>IF(AND('Mapa final'!$Y$43="Muy Alta",'Mapa final'!$AA$43="Catastrófico"),CONCATENATE("R4C",'Mapa final'!$O$43),"")</f>
        <v/>
      </c>
      <c r="AI9" s="55" t="str">
        <f>IF(AND('Mapa final'!$Y$44="Muy Alta",'Mapa final'!$AA$44="Catastrófico"),CONCATENATE("R4C",'Mapa final'!$O$44),"")</f>
        <v/>
      </c>
      <c r="AJ9" s="55" t="str">
        <f>IF(AND('Mapa final'!$Y$45="Muy Alta",'Mapa final'!$AA$45="Catastrófico"),CONCATENATE("R4C",'Mapa final'!$O$45),"")</f>
        <v/>
      </c>
      <c r="AK9" s="55" t="str">
        <f>IF(AND('Mapa final'!$Y$46="Muy Alta",'Mapa final'!$AA$46="Catastrófico"),CONCATENATE("R4C",'Mapa final'!$O$46),"")</f>
        <v/>
      </c>
      <c r="AL9" s="55" t="str">
        <f>IF(AND('Mapa final'!$Y$47="Muy Alta",'Mapa final'!$AA$47="Catastrófico"),CONCATENATE("R4C",'Mapa final'!$O$47),"")</f>
        <v/>
      </c>
      <c r="AM9" s="56" t="str">
        <f>IF(AND('Mapa final'!$Y$48="Muy Alta",'Mapa final'!$AA$48="Catastrófico"),CONCATENATE("R4C",'Mapa final'!$O$48),"")</f>
        <v/>
      </c>
      <c r="AN9" s="82"/>
      <c r="AO9" s="465"/>
      <c r="AP9" s="466"/>
      <c r="AQ9" s="466"/>
      <c r="AR9" s="466"/>
      <c r="AS9" s="466"/>
      <c r="AT9" s="46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360"/>
      <c r="C10" s="360"/>
      <c r="D10" s="361"/>
      <c r="E10" s="459"/>
      <c r="F10" s="458"/>
      <c r="G10" s="458"/>
      <c r="H10" s="458"/>
      <c r="I10" s="474"/>
      <c r="J10" s="51" t="str">
        <f>IF(AND('Mapa final'!$Y$49="Muy Alta",'Mapa final'!$AA$49="Leve"),CONCATENATE("R5C",'Mapa final'!$O$49),"")</f>
        <v/>
      </c>
      <c r="K10" s="52" t="str">
        <f>IF(AND('Mapa final'!$Y$50="Muy Alta",'Mapa final'!$AA$50="Leve"),CONCATENATE("R5C",'Mapa final'!$O$50),"")</f>
        <v/>
      </c>
      <c r="L10" s="52" t="str">
        <f>IF(AND('Mapa final'!$Y$51="Muy Alta",'Mapa final'!$AA$51="Leve"),CONCATENATE("R5C",'Mapa final'!$O$51),"")</f>
        <v/>
      </c>
      <c r="M10" s="52" t="str">
        <f>IF(AND('Mapa final'!$Y$52="Muy Alta",'Mapa final'!$AA$52="Leve"),CONCATENATE("R5C",'Mapa final'!$O$52),"")</f>
        <v/>
      </c>
      <c r="N10" s="52" t="str">
        <f>IF(AND('Mapa final'!$Y$53="Muy Alta",'Mapa final'!$AA$53="Leve"),CONCATENATE("R5C",'Mapa final'!$O$53),"")</f>
        <v/>
      </c>
      <c r="O10" s="53" t="str">
        <f>IF(AND('Mapa final'!$Y$54="Muy Alta",'Mapa final'!$AA$54="Leve"),CONCATENATE("R5C",'Mapa final'!$O$54),"")</f>
        <v/>
      </c>
      <c r="P10" s="51" t="str">
        <f>IF(AND('Mapa final'!$Y$49="Muy Alta",'Mapa final'!$AA$49="Menor"),CONCATENATE("R5C",'Mapa final'!$O$49),"")</f>
        <v/>
      </c>
      <c r="Q10" s="52" t="str">
        <f>IF(AND('Mapa final'!$Y$50="Muy Alta",'Mapa final'!$AA$50="Menor"),CONCATENATE("R5C",'Mapa final'!$O$50),"")</f>
        <v/>
      </c>
      <c r="R10" s="52" t="str">
        <f>IF(AND('Mapa final'!$Y$51="Muy Alta",'Mapa final'!$AA$51="Menor"),CONCATENATE("R5C",'Mapa final'!$O$51),"")</f>
        <v/>
      </c>
      <c r="S10" s="52" t="str">
        <f>IF(AND('Mapa final'!$Y$52="Muy Alta",'Mapa final'!$AA$52="Menor"),CONCATENATE("R5C",'Mapa final'!$O$52),"")</f>
        <v/>
      </c>
      <c r="T10" s="52" t="str">
        <f>IF(AND('Mapa final'!$Y$53="Muy Alta",'Mapa final'!$AA$53="Menor"),CONCATENATE("R5C",'Mapa final'!$O$53),"")</f>
        <v/>
      </c>
      <c r="U10" s="53" t="str">
        <f>IF(AND('Mapa final'!$Y$54="Muy Alta",'Mapa final'!$AA$54="Menor"),CONCATENATE("R5C",'Mapa final'!$O$54),"")</f>
        <v/>
      </c>
      <c r="V10" s="51" t="str">
        <f>IF(AND('Mapa final'!$Y$49="Muy Alta",'Mapa final'!$AA$49="Moderado"),CONCATENATE("R5C",'Mapa final'!$O$49),"")</f>
        <v/>
      </c>
      <c r="W10" s="52" t="str">
        <f>IF(AND('Mapa final'!$Y$50="Muy Alta",'Mapa final'!$AA$50="Moderado"),CONCATENATE("R5C",'Mapa final'!$O$50),"")</f>
        <v/>
      </c>
      <c r="X10" s="52" t="str">
        <f>IF(AND('Mapa final'!$Y$51="Muy Alta",'Mapa final'!$AA$51="Moderado"),CONCATENATE("R5C",'Mapa final'!$O$51),"")</f>
        <v/>
      </c>
      <c r="Y10" s="52" t="str">
        <f>IF(AND('Mapa final'!$Y$52="Muy Alta",'Mapa final'!$AA$52="Moderado"),CONCATENATE("R5C",'Mapa final'!$O$52),"")</f>
        <v/>
      </c>
      <c r="Z10" s="52" t="str">
        <f>IF(AND('Mapa final'!$Y$53="Muy Alta",'Mapa final'!$AA$53="Moderado"),CONCATENATE("R5C",'Mapa final'!$O$53),"")</f>
        <v/>
      </c>
      <c r="AA10" s="53" t="str">
        <f>IF(AND('Mapa final'!$Y$54="Muy Alta",'Mapa final'!$AA$54="Moderado"),CONCATENATE("R5C",'Mapa final'!$O$54),"")</f>
        <v/>
      </c>
      <c r="AB10" s="51" t="str">
        <f>IF(AND('Mapa final'!$Y$49="Muy Alta",'Mapa final'!$AA$49="Mayor"),CONCATENATE("R5C",'Mapa final'!$O$49),"")</f>
        <v/>
      </c>
      <c r="AC10" s="52" t="str">
        <f>IF(AND('Mapa final'!$Y$50="Muy Alta",'Mapa final'!$AA$50="Mayor"),CONCATENATE("R5C",'Mapa final'!$O$50),"")</f>
        <v/>
      </c>
      <c r="AD10" s="52" t="str">
        <f>IF(AND('Mapa final'!$Y$51="Muy Alta",'Mapa final'!$AA$51="Mayor"),CONCATENATE("R5C",'Mapa final'!$O$51),"")</f>
        <v/>
      </c>
      <c r="AE10" s="52" t="str">
        <f>IF(AND('Mapa final'!$Y$52="Muy Alta",'Mapa final'!$AA$52="Mayor"),CONCATENATE("R5C",'Mapa final'!$O$52),"")</f>
        <v/>
      </c>
      <c r="AF10" s="52" t="str">
        <f>IF(AND('Mapa final'!$Y$53="Muy Alta",'Mapa final'!$AA$53="Mayor"),CONCATENATE("R5C",'Mapa final'!$O$53),"")</f>
        <v/>
      </c>
      <c r="AG10" s="53" t="str">
        <f>IF(AND('Mapa final'!$Y$54="Muy Alta",'Mapa final'!$AA$54="Mayor"),CONCATENATE("R5C",'Mapa final'!$O$54),"")</f>
        <v/>
      </c>
      <c r="AH10" s="54" t="str">
        <f>IF(AND('Mapa final'!$Y$49="Muy Alta",'Mapa final'!$AA$49="Catastrófico"),CONCATENATE("R5C",'Mapa final'!$O$49),"")</f>
        <v/>
      </c>
      <c r="AI10" s="55" t="str">
        <f>IF(AND('Mapa final'!$Y$50="Muy Alta",'Mapa final'!$AA$50="Catastrófico"),CONCATENATE("R5C",'Mapa final'!$O$50),"")</f>
        <v/>
      </c>
      <c r="AJ10" s="55" t="str">
        <f>IF(AND('Mapa final'!$Y$51="Muy Alta",'Mapa final'!$AA$51="Catastrófico"),CONCATENATE("R5C",'Mapa final'!$O$51),"")</f>
        <v/>
      </c>
      <c r="AK10" s="55" t="str">
        <f>IF(AND('Mapa final'!$Y$52="Muy Alta",'Mapa final'!$AA$52="Catastrófico"),CONCATENATE("R5C",'Mapa final'!$O$52),"")</f>
        <v/>
      </c>
      <c r="AL10" s="55" t="str">
        <f>IF(AND('Mapa final'!$Y$53="Muy Alta",'Mapa final'!$AA$53="Catastrófico"),CONCATENATE("R5C",'Mapa final'!$O$53),"")</f>
        <v/>
      </c>
      <c r="AM10" s="56" t="str">
        <f>IF(AND('Mapa final'!$Y$54="Muy Alta",'Mapa final'!$AA$54="Catastrófico"),CONCATENATE("R5C",'Mapa final'!$O$54),"")</f>
        <v/>
      </c>
      <c r="AN10" s="82"/>
      <c r="AO10" s="465"/>
      <c r="AP10" s="466"/>
      <c r="AQ10" s="466"/>
      <c r="AR10" s="466"/>
      <c r="AS10" s="466"/>
      <c r="AT10" s="46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360"/>
      <c r="C11" s="360"/>
      <c r="D11" s="361"/>
      <c r="E11" s="459"/>
      <c r="F11" s="458"/>
      <c r="G11" s="458"/>
      <c r="H11" s="458"/>
      <c r="I11" s="474"/>
      <c r="J11" s="51" t="str">
        <f>IF(AND('Mapa final'!$Y$55="Muy Alta",'Mapa final'!$AA$55="Leve"),CONCATENATE("R6C",'Mapa final'!$O$55),"")</f>
        <v/>
      </c>
      <c r="K11" s="52" t="str">
        <f>IF(AND('Mapa final'!$Y$56="Muy Alta",'Mapa final'!$AA$56="Leve"),CONCATENATE("R6C",'Mapa final'!$O$56),"")</f>
        <v/>
      </c>
      <c r="L11" s="52" t="str">
        <f>IF(AND('Mapa final'!$Y$57="Muy Alta",'Mapa final'!$AA$57="Leve"),CONCATENATE("R6C",'Mapa final'!$O$57),"")</f>
        <v/>
      </c>
      <c r="M11" s="52" t="str">
        <f>IF(AND('Mapa final'!$Y$58="Muy Alta",'Mapa final'!$AA$58="Leve"),CONCATENATE("R6C",'Mapa final'!$O$58),"")</f>
        <v/>
      </c>
      <c r="N11" s="52" t="str">
        <f>IF(AND('Mapa final'!$Y$59="Muy Alta",'Mapa final'!$AA$59="Leve"),CONCATENATE("R6C",'Mapa final'!$O$59),"")</f>
        <v/>
      </c>
      <c r="O11" s="53" t="str">
        <f>IF(AND('Mapa final'!$Y$60="Muy Alta",'Mapa final'!$AA$60="Leve"),CONCATENATE("R6C",'Mapa final'!$O$60),"")</f>
        <v/>
      </c>
      <c r="P11" s="51" t="str">
        <f>IF(AND('Mapa final'!$Y$55="Muy Alta",'Mapa final'!$AA$55="Menor"),CONCATENATE("R6C",'Mapa final'!$O$55),"")</f>
        <v/>
      </c>
      <c r="Q11" s="52" t="str">
        <f>IF(AND('Mapa final'!$Y$56="Muy Alta",'Mapa final'!$AA$56="Menor"),CONCATENATE("R6C",'Mapa final'!$O$56),"")</f>
        <v/>
      </c>
      <c r="R11" s="52" t="str">
        <f>IF(AND('Mapa final'!$Y$57="Muy Alta",'Mapa final'!$AA$57="Menor"),CONCATENATE("R6C",'Mapa final'!$O$57),"")</f>
        <v/>
      </c>
      <c r="S11" s="52" t="str">
        <f>IF(AND('Mapa final'!$Y$58="Muy Alta",'Mapa final'!$AA$58="Menor"),CONCATENATE("R6C",'Mapa final'!$O$58),"")</f>
        <v/>
      </c>
      <c r="T11" s="52" t="str">
        <f>IF(AND('Mapa final'!$Y$59="Muy Alta",'Mapa final'!$AA$59="Menor"),CONCATENATE("R6C",'Mapa final'!$O$59),"")</f>
        <v/>
      </c>
      <c r="U11" s="53" t="str">
        <f>IF(AND('Mapa final'!$Y$60="Muy Alta",'Mapa final'!$AA$60="Menor"),CONCATENATE("R6C",'Mapa final'!$O$60),"")</f>
        <v/>
      </c>
      <c r="V11" s="51" t="str">
        <f>IF(AND('Mapa final'!$Y$55="Muy Alta",'Mapa final'!$AA$55="Moderado"),CONCATENATE("R6C",'Mapa final'!$O$55),"")</f>
        <v/>
      </c>
      <c r="W11" s="52" t="str">
        <f>IF(AND('Mapa final'!$Y$56="Muy Alta",'Mapa final'!$AA$56="Moderado"),CONCATENATE("R6C",'Mapa final'!$O$56),"")</f>
        <v/>
      </c>
      <c r="X11" s="52" t="str">
        <f>IF(AND('Mapa final'!$Y$57="Muy Alta",'Mapa final'!$AA$57="Moderado"),CONCATENATE("R6C",'Mapa final'!$O$57),"")</f>
        <v/>
      </c>
      <c r="Y11" s="52" t="str">
        <f>IF(AND('Mapa final'!$Y$58="Muy Alta",'Mapa final'!$AA$58="Moderado"),CONCATENATE("R6C",'Mapa final'!$O$58),"")</f>
        <v/>
      </c>
      <c r="Z11" s="52" t="str">
        <f>IF(AND('Mapa final'!$Y$59="Muy Alta",'Mapa final'!$AA$59="Moderado"),CONCATENATE("R6C",'Mapa final'!$O$59),"")</f>
        <v/>
      </c>
      <c r="AA11" s="53" t="str">
        <f>IF(AND('Mapa final'!$Y$60="Muy Alta",'Mapa final'!$AA$60="Moderado"),CONCATENATE("R6C",'Mapa final'!$O$60),"")</f>
        <v/>
      </c>
      <c r="AB11" s="51" t="str">
        <f>IF(AND('Mapa final'!$Y$55="Muy Alta",'Mapa final'!$AA$55="Mayor"),CONCATENATE("R6C",'Mapa final'!$O$55),"")</f>
        <v/>
      </c>
      <c r="AC11" s="52" t="str">
        <f>IF(AND('Mapa final'!$Y$56="Muy Alta",'Mapa final'!$AA$56="Mayor"),CONCATENATE("R6C",'Mapa final'!$O$56),"")</f>
        <v/>
      </c>
      <c r="AD11" s="52" t="str">
        <f>IF(AND('Mapa final'!$Y$57="Muy Alta",'Mapa final'!$AA$57="Mayor"),CONCATENATE("R6C",'Mapa final'!$O$57),"")</f>
        <v/>
      </c>
      <c r="AE11" s="52" t="str">
        <f>IF(AND('Mapa final'!$Y$58="Muy Alta",'Mapa final'!$AA$58="Mayor"),CONCATENATE("R6C",'Mapa final'!$O$58),"")</f>
        <v/>
      </c>
      <c r="AF11" s="52" t="str">
        <f>IF(AND('Mapa final'!$Y$59="Muy Alta",'Mapa final'!$AA$59="Mayor"),CONCATENATE("R6C",'Mapa final'!$O$59),"")</f>
        <v/>
      </c>
      <c r="AG11" s="53" t="str">
        <f>IF(AND('Mapa final'!$Y$60="Muy Alta",'Mapa final'!$AA$60="Mayor"),CONCATENATE("R6C",'Mapa final'!$O$60),"")</f>
        <v/>
      </c>
      <c r="AH11" s="54" t="str">
        <f>IF(AND('Mapa final'!$Y$55="Muy Alta",'Mapa final'!$AA$55="Catastrófico"),CONCATENATE("R6C",'Mapa final'!$O$55),"")</f>
        <v/>
      </c>
      <c r="AI11" s="55" t="str">
        <f>IF(AND('Mapa final'!$Y$56="Muy Alta",'Mapa final'!$AA$56="Catastrófico"),CONCATENATE("R6C",'Mapa final'!$O$56),"")</f>
        <v/>
      </c>
      <c r="AJ11" s="55" t="str">
        <f>IF(AND('Mapa final'!$Y$57="Muy Alta",'Mapa final'!$AA$57="Catastrófico"),CONCATENATE("R6C",'Mapa final'!$O$57),"")</f>
        <v/>
      </c>
      <c r="AK11" s="55" t="str">
        <f>IF(AND('Mapa final'!$Y$58="Muy Alta",'Mapa final'!$AA$58="Catastrófico"),CONCATENATE("R6C",'Mapa final'!$O$58),"")</f>
        <v/>
      </c>
      <c r="AL11" s="55" t="str">
        <f>IF(AND('Mapa final'!$Y$59="Muy Alta",'Mapa final'!$AA$59="Catastrófico"),CONCATENATE("R6C",'Mapa final'!$O$59),"")</f>
        <v/>
      </c>
      <c r="AM11" s="56" t="str">
        <f>IF(AND('Mapa final'!$Y$60="Muy Alta",'Mapa final'!$AA$60="Catastrófico"),CONCATENATE("R6C",'Mapa final'!$O$60),"")</f>
        <v/>
      </c>
      <c r="AN11" s="82"/>
      <c r="AO11" s="465"/>
      <c r="AP11" s="466"/>
      <c r="AQ11" s="466"/>
      <c r="AR11" s="466"/>
      <c r="AS11" s="466"/>
      <c r="AT11" s="46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360"/>
      <c r="C12" s="360"/>
      <c r="D12" s="361"/>
      <c r="E12" s="459"/>
      <c r="F12" s="458"/>
      <c r="G12" s="458"/>
      <c r="H12" s="458"/>
      <c r="I12" s="474"/>
      <c r="J12" s="51" t="str">
        <f>IF(AND('Mapa final'!$Y$61="Muy Alta",'Mapa final'!$AA$61="Leve"),CONCATENATE("R7C",'Mapa final'!$O$61),"")</f>
        <v/>
      </c>
      <c r="K12" s="52" t="str">
        <f>IF(AND('Mapa final'!$Y$62="Muy Alta",'Mapa final'!$AA$62="Leve"),CONCATENATE("R7C",'Mapa final'!$O$62),"")</f>
        <v/>
      </c>
      <c r="L12" s="52" t="str">
        <f>IF(AND('Mapa final'!$Y$63="Muy Alta",'Mapa final'!$AA$63="Leve"),CONCATENATE("R7C",'Mapa final'!$O$63),"")</f>
        <v/>
      </c>
      <c r="M12" s="52" t="str">
        <f>IF(AND('Mapa final'!$Y$64="Muy Alta",'Mapa final'!$AA$64="Leve"),CONCATENATE("R7C",'Mapa final'!$O$64),"")</f>
        <v/>
      </c>
      <c r="N12" s="52" t="str">
        <f>IF(AND('Mapa final'!$Y$65="Muy Alta",'Mapa final'!$AA$65="Leve"),CONCATENATE("R7C",'Mapa final'!$O$65),"")</f>
        <v/>
      </c>
      <c r="O12" s="53" t="str">
        <f>IF(AND('Mapa final'!$Y$66="Muy Alta",'Mapa final'!$AA$66="Leve"),CONCATENATE("R7C",'Mapa final'!$O$66),"")</f>
        <v/>
      </c>
      <c r="P12" s="51" t="str">
        <f>IF(AND('Mapa final'!$Y$61="Muy Alta",'Mapa final'!$AA$61="Menor"),CONCATENATE("R7C",'Mapa final'!$O$61),"")</f>
        <v/>
      </c>
      <c r="Q12" s="52" t="str">
        <f>IF(AND('Mapa final'!$Y$62="Muy Alta",'Mapa final'!$AA$62="Menor"),CONCATENATE("R7C",'Mapa final'!$O$62),"")</f>
        <v/>
      </c>
      <c r="R12" s="52" t="str">
        <f>IF(AND('Mapa final'!$Y$63="Muy Alta",'Mapa final'!$AA$63="Menor"),CONCATENATE("R7C",'Mapa final'!$O$63),"")</f>
        <v/>
      </c>
      <c r="S12" s="52" t="str">
        <f>IF(AND('Mapa final'!$Y$64="Muy Alta",'Mapa final'!$AA$64="Menor"),CONCATENATE("R7C",'Mapa final'!$O$64),"")</f>
        <v/>
      </c>
      <c r="T12" s="52" t="str">
        <f>IF(AND('Mapa final'!$Y$65="Muy Alta",'Mapa final'!$AA$65="Menor"),CONCATENATE("R7C",'Mapa final'!$O$65),"")</f>
        <v/>
      </c>
      <c r="U12" s="53" t="str">
        <f>IF(AND('Mapa final'!$Y$66="Muy Alta",'Mapa final'!$AA$66="Menor"),CONCATENATE("R7C",'Mapa final'!$O$66),"")</f>
        <v/>
      </c>
      <c r="V12" s="51" t="str">
        <f>IF(AND('Mapa final'!$Y$61="Muy Alta",'Mapa final'!$AA$61="Moderado"),CONCATENATE("R7C",'Mapa final'!$O$61),"")</f>
        <v/>
      </c>
      <c r="W12" s="52" t="str">
        <f>IF(AND('Mapa final'!$Y$62="Muy Alta",'Mapa final'!$AA$62="Moderado"),CONCATENATE("R7C",'Mapa final'!$O$62),"")</f>
        <v/>
      </c>
      <c r="X12" s="52" t="str">
        <f>IF(AND('Mapa final'!$Y$63="Muy Alta",'Mapa final'!$AA$63="Moderado"),CONCATENATE("R7C",'Mapa final'!$O$63),"")</f>
        <v/>
      </c>
      <c r="Y12" s="52" t="str">
        <f>IF(AND('Mapa final'!$Y$64="Muy Alta",'Mapa final'!$AA$64="Moderado"),CONCATENATE("R7C",'Mapa final'!$O$64),"")</f>
        <v/>
      </c>
      <c r="Z12" s="52" t="str">
        <f>IF(AND('Mapa final'!$Y$65="Muy Alta",'Mapa final'!$AA$65="Moderado"),CONCATENATE("R7C",'Mapa final'!$O$65),"")</f>
        <v/>
      </c>
      <c r="AA12" s="53" t="str">
        <f>IF(AND('Mapa final'!$Y$66="Muy Alta",'Mapa final'!$AA$66="Moderado"),CONCATENATE("R7C",'Mapa final'!$O$66),"")</f>
        <v/>
      </c>
      <c r="AB12" s="51" t="str">
        <f>IF(AND('Mapa final'!$Y$61="Muy Alta",'Mapa final'!$AA$61="Mayor"),CONCATENATE("R7C",'Mapa final'!$O$61),"")</f>
        <v/>
      </c>
      <c r="AC12" s="52" t="str">
        <f>IF(AND('Mapa final'!$Y$62="Muy Alta",'Mapa final'!$AA$62="Mayor"),CONCATENATE("R7C",'Mapa final'!$O$62),"")</f>
        <v/>
      </c>
      <c r="AD12" s="52" t="str">
        <f>IF(AND('Mapa final'!$Y$63="Muy Alta",'Mapa final'!$AA$63="Mayor"),CONCATENATE("R7C",'Mapa final'!$O$63),"")</f>
        <v/>
      </c>
      <c r="AE12" s="52" t="str">
        <f>IF(AND('Mapa final'!$Y$64="Muy Alta",'Mapa final'!$AA$64="Mayor"),CONCATENATE("R7C",'Mapa final'!$O$64),"")</f>
        <v/>
      </c>
      <c r="AF12" s="52" t="str">
        <f>IF(AND('Mapa final'!$Y$65="Muy Alta",'Mapa final'!$AA$65="Mayor"),CONCATENATE("R7C",'Mapa final'!$O$65),"")</f>
        <v/>
      </c>
      <c r="AG12" s="53" t="str">
        <f>IF(AND('Mapa final'!$Y$66="Muy Alta",'Mapa final'!$AA$66="Mayor"),CONCATENATE("R7C",'Mapa final'!$O$66),"")</f>
        <v/>
      </c>
      <c r="AH12" s="54" t="str">
        <f>IF(AND('Mapa final'!$Y$61="Muy Alta",'Mapa final'!$AA$61="Catastrófico"),CONCATENATE("R7C",'Mapa final'!$O$61),"")</f>
        <v/>
      </c>
      <c r="AI12" s="55" t="str">
        <f>IF(AND('Mapa final'!$Y$62="Muy Alta",'Mapa final'!$AA$62="Catastrófico"),CONCATENATE("R7C",'Mapa final'!$O$62),"")</f>
        <v/>
      </c>
      <c r="AJ12" s="55" t="str">
        <f>IF(AND('Mapa final'!$Y$63="Muy Alta",'Mapa final'!$AA$63="Catastrófico"),CONCATENATE("R7C",'Mapa final'!$O$63),"")</f>
        <v/>
      </c>
      <c r="AK12" s="55" t="str">
        <f>IF(AND('Mapa final'!$Y$64="Muy Alta",'Mapa final'!$AA$64="Catastrófico"),CONCATENATE("R7C",'Mapa final'!$O$64),"")</f>
        <v/>
      </c>
      <c r="AL12" s="55" t="str">
        <f>IF(AND('Mapa final'!$Y$65="Muy Alta",'Mapa final'!$AA$65="Catastrófico"),CONCATENATE("R7C",'Mapa final'!$O$65),"")</f>
        <v/>
      </c>
      <c r="AM12" s="56" t="str">
        <f>IF(AND('Mapa final'!$Y$66="Muy Alta",'Mapa final'!$AA$66="Catastrófico"),CONCATENATE("R7C",'Mapa final'!$O$66),"")</f>
        <v/>
      </c>
      <c r="AN12" s="82"/>
      <c r="AO12" s="465"/>
      <c r="AP12" s="466"/>
      <c r="AQ12" s="466"/>
      <c r="AR12" s="466"/>
      <c r="AS12" s="466"/>
      <c r="AT12" s="46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360"/>
      <c r="C13" s="360"/>
      <c r="D13" s="361"/>
      <c r="E13" s="459"/>
      <c r="F13" s="458"/>
      <c r="G13" s="458"/>
      <c r="H13" s="458"/>
      <c r="I13" s="474"/>
      <c r="J13" s="51" t="str">
        <f>IF(AND('Mapa final'!$Y$67="Muy Alta",'Mapa final'!$AA$67="Leve"),CONCATENATE("R8C",'Mapa final'!$O$67),"")</f>
        <v/>
      </c>
      <c r="K13" s="52" t="str">
        <f>IF(AND('Mapa final'!$Y$68="Muy Alta",'Mapa final'!$AA$68="Leve"),CONCATENATE("R8C",'Mapa final'!$O$68),"")</f>
        <v/>
      </c>
      <c r="L13" s="52" t="str">
        <f>IF(AND('Mapa final'!$Y$69="Muy Alta",'Mapa final'!$AA$69="Leve"),CONCATENATE("R8C",'Mapa final'!$O$69),"")</f>
        <v/>
      </c>
      <c r="M13" s="52" t="str">
        <f>IF(AND('Mapa final'!$Y$70="Muy Alta",'Mapa final'!$AA$70="Leve"),CONCATENATE("R8C",'Mapa final'!$O$70),"")</f>
        <v/>
      </c>
      <c r="N13" s="52" t="str">
        <f>IF(AND('Mapa final'!$Y$71="Muy Alta",'Mapa final'!$AA$71="Leve"),CONCATENATE("R8C",'Mapa final'!$O$71),"")</f>
        <v/>
      </c>
      <c r="O13" s="53" t="str">
        <f>IF(AND('Mapa final'!$Y$72="Muy Alta",'Mapa final'!$AA$72="Leve"),CONCATENATE("R8C",'Mapa final'!$O$72),"")</f>
        <v/>
      </c>
      <c r="P13" s="51" t="str">
        <f>IF(AND('Mapa final'!$Y$67="Muy Alta",'Mapa final'!$AA$67="Menor"),CONCATENATE("R8C",'Mapa final'!$O$67),"")</f>
        <v/>
      </c>
      <c r="Q13" s="52" t="str">
        <f>IF(AND('Mapa final'!$Y$68="Muy Alta",'Mapa final'!$AA$68="Menor"),CONCATENATE("R8C",'Mapa final'!$O$68),"")</f>
        <v/>
      </c>
      <c r="R13" s="52" t="str">
        <f>IF(AND('Mapa final'!$Y$69="Muy Alta",'Mapa final'!$AA$69="Menor"),CONCATENATE("R8C",'Mapa final'!$O$69),"")</f>
        <v/>
      </c>
      <c r="S13" s="52" t="str">
        <f>IF(AND('Mapa final'!$Y$70="Muy Alta",'Mapa final'!$AA$70="Menor"),CONCATENATE("R8C",'Mapa final'!$O$70),"")</f>
        <v/>
      </c>
      <c r="T13" s="52" t="str">
        <f>IF(AND('Mapa final'!$Y$71="Muy Alta",'Mapa final'!$AA$71="Menor"),CONCATENATE("R8C",'Mapa final'!$O$71),"")</f>
        <v/>
      </c>
      <c r="U13" s="53" t="str">
        <f>IF(AND('Mapa final'!$Y$72="Muy Alta",'Mapa final'!$AA$72="Menor"),CONCATENATE("R8C",'Mapa final'!$O$72),"")</f>
        <v/>
      </c>
      <c r="V13" s="51" t="str">
        <f>IF(AND('Mapa final'!$Y$67="Muy Alta",'Mapa final'!$AA$67="Moderado"),CONCATENATE("R8C",'Mapa final'!$O$67),"")</f>
        <v/>
      </c>
      <c r="W13" s="52" t="str">
        <f>IF(AND('Mapa final'!$Y$68="Muy Alta",'Mapa final'!$AA$68="Moderado"),CONCATENATE("R8C",'Mapa final'!$O$68),"")</f>
        <v/>
      </c>
      <c r="X13" s="52" t="str">
        <f>IF(AND('Mapa final'!$Y$69="Muy Alta",'Mapa final'!$AA$69="Moderado"),CONCATENATE("R8C",'Mapa final'!$O$69),"")</f>
        <v/>
      </c>
      <c r="Y13" s="52" t="str">
        <f>IF(AND('Mapa final'!$Y$70="Muy Alta",'Mapa final'!$AA$70="Moderado"),CONCATENATE("R8C",'Mapa final'!$O$70),"")</f>
        <v/>
      </c>
      <c r="Z13" s="52" t="str">
        <f>IF(AND('Mapa final'!$Y$71="Muy Alta",'Mapa final'!$AA$71="Moderado"),CONCATENATE("R8C",'Mapa final'!$O$71),"")</f>
        <v/>
      </c>
      <c r="AA13" s="53" t="str">
        <f>IF(AND('Mapa final'!$Y$72="Muy Alta",'Mapa final'!$AA$72="Moderado"),CONCATENATE("R8C",'Mapa final'!$O$72),"")</f>
        <v/>
      </c>
      <c r="AB13" s="51" t="str">
        <f>IF(AND('Mapa final'!$Y$67="Muy Alta",'Mapa final'!$AA$67="Mayor"),CONCATENATE("R8C",'Mapa final'!$O$67),"")</f>
        <v/>
      </c>
      <c r="AC13" s="52" t="str">
        <f>IF(AND('Mapa final'!$Y$68="Muy Alta",'Mapa final'!$AA$68="Mayor"),CONCATENATE("R8C",'Mapa final'!$O$68),"")</f>
        <v/>
      </c>
      <c r="AD13" s="52" t="str">
        <f>IF(AND('Mapa final'!$Y$69="Muy Alta",'Mapa final'!$AA$69="Mayor"),CONCATENATE("R8C",'Mapa final'!$O$69),"")</f>
        <v/>
      </c>
      <c r="AE13" s="52" t="str">
        <f>IF(AND('Mapa final'!$Y$70="Muy Alta",'Mapa final'!$AA$70="Mayor"),CONCATENATE("R8C",'Mapa final'!$O$70),"")</f>
        <v/>
      </c>
      <c r="AF13" s="52" t="str">
        <f>IF(AND('Mapa final'!$Y$71="Muy Alta",'Mapa final'!$AA$71="Mayor"),CONCATENATE("R8C",'Mapa final'!$O$71),"")</f>
        <v/>
      </c>
      <c r="AG13" s="53" t="str">
        <f>IF(AND('Mapa final'!$Y$72="Muy Alta",'Mapa final'!$AA$72="Mayor"),CONCATENATE("R8C",'Mapa final'!$O$72),"")</f>
        <v/>
      </c>
      <c r="AH13" s="54" t="str">
        <f>IF(AND('Mapa final'!$Y$67="Muy Alta",'Mapa final'!$AA$67="Catastrófico"),CONCATENATE("R8C",'Mapa final'!$O$67),"")</f>
        <v/>
      </c>
      <c r="AI13" s="55" t="str">
        <f>IF(AND('Mapa final'!$Y$68="Muy Alta",'Mapa final'!$AA$68="Catastrófico"),CONCATENATE("R8C",'Mapa final'!$O$68),"")</f>
        <v/>
      </c>
      <c r="AJ13" s="55" t="str">
        <f>IF(AND('Mapa final'!$Y$69="Muy Alta",'Mapa final'!$AA$69="Catastrófico"),CONCATENATE("R8C",'Mapa final'!$O$69),"")</f>
        <v/>
      </c>
      <c r="AK13" s="55" t="str">
        <f>IF(AND('Mapa final'!$Y$70="Muy Alta",'Mapa final'!$AA$70="Catastrófico"),CONCATENATE("R8C",'Mapa final'!$O$70),"")</f>
        <v/>
      </c>
      <c r="AL13" s="55" t="str">
        <f>IF(AND('Mapa final'!$Y$71="Muy Alta",'Mapa final'!$AA$71="Catastrófico"),CONCATENATE("R8C",'Mapa final'!$O$71),"")</f>
        <v/>
      </c>
      <c r="AM13" s="56" t="str">
        <f>IF(AND('Mapa final'!$Y$72="Muy Alta",'Mapa final'!$AA$72="Catastrófico"),CONCATENATE("R8C",'Mapa final'!$O$72),"")</f>
        <v/>
      </c>
      <c r="AN13" s="82"/>
      <c r="AO13" s="465"/>
      <c r="AP13" s="466"/>
      <c r="AQ13" s="466"/>
      <c r="AR13" s="466"/>
      <c r="AS13" s="466"/>
      <c r="AT13" s="467"/>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360"/>
      <c r="C14" s="360"/>
      <c r="D14" s="361"/>
      <c r="E14" s="459"/>
      <c r="F14" s="458"/>
      <c r="G14" s="458"/>
      <c r="H14" s="458"/>
      <c r="I14" s="474"/>
      <c r="J14" s="51" t="str">
        <f>IF(AND('Mapa final'!$Y$73="Muy Alta",'Mapa final'!$AA$73="Leve"),CONCATENATE("R9C",'Mapa final'!$O$73),"")</f>
        <v/>
      </c>
      <c r="K14" s="52" t="str">
        <f>IF(AND('Mapa final'!$Y$74="Muy Alta",'Mapa final'!$AA$74="Leve"),CONCATENATE("R9C",'Mapa final'!$O$74),"")</f>
        <v/>
      </c>
      <c r="L14" s="52" t="str">
        <f>IF(AND('Mapa final'!$Y$75="Muy Alta",'Mapa final'!$AA$75="Leve"),CONCATENATE("R9C",'Mapa final'!$O$75),"")</f>
        <v/>
      </c>
      <c r="M14" s="52" t="str">
        <f>IF(AND('Mapa final'!$Y$76="Muy Alta",'Mapa final'!$AA$76="Leve"),CONCATENATE("R9C",'Mapa final'!$O$76),"")</f>
        <v/>
      </c>
      <c r="N14" s="52" t="str">
        <f>IF(AND('Mapa final'!$Y$77="Muy Alta",'Mapa final'!$AA$77="Leve"),CONCATENATE("R9C",'Mapa final'!$O$77),"")</f>
        <v/>
      </c>
      <c r="O14" s="53" t="str">
        <f>IF(AND('Mapa final'!$Y$78="Muy Alta",'Mapa final'!$AA$78="Leve"),CONCATENATE("R9C",'Mapa final'!$O$78),"")</f>
        <v/>
      </c>
      <c r="P14" s="51" t="str">
        <f>IF(AND('Mapa final'!$Y$73="Muy Alta",'Mapa final'!$AA$73="Menor"),CONCATENATE("R9C",'Mapa final'!$O$73),"")</f>
        <v/>
      </c>
      <c r="Q14" s="52" t="str">
        <f>IF(AND('Mapa final'!$Y$74="Muy Alta",'Mapa final'!$AA$74="Menor"),CONCATENATE("R9C",'Mapa final'!$O$74),"")</f>
        <v/>
      </c>
      <c r="R14" s="52" t="str">
        <f>IF(AND('Mapa final'!$Y$75="Muy Alta",'Mapa final'!$AA$75="Menor"),CONCATENATE("R9C",'Mapa final'!$O$75),"")</f>
        <v/>
      </c>
      <c r="S14" s="52" t="str">
        <f>IF(AND('Mapa final'!$Y$76="Muy Alta",'Mapa final'!$AA$76="Menor"),CONCATENATE("R9C",'Mapa final'!$O$76),"")</f>
        <v/>
      </c>
      <c r="T14" s="52" t="str">
        <f>IF(AND('Mapa final'!$Y$77="Muy Alta",'Mapa final'!$AA$77="Menor"),CONCATENATE("R9C",'Mapa final'!$O$77),"")</f>
        <v/>
      </c>
      <c r="U14" s="53" t="str">
        <f>IF(AND('Mapa final'!$Y$78="Muy Alta",'Mapa final'!$AA$78="Menor"),CONCATENATE("R9C",'Mapa final'!$O$78),"")</f>
        <v/>
      </c>
      <c r="V14" s="51" t="str">
        <f>IF(AND('Mapa final'!$Y$73="Muy Alta",'Mapa final'!$AA$73="Moderado"),CONCATENATE("R9C",'Mapa final'!$O$73),"")</f>
        <v/>
      </c>
      <c r="W14" s="52" t="str">
        <f>IF(AND('Mapa final'!$Y$74="Muy Alta",'Mapa final'!$AA$74="Moderado"),CONCATENATE("R9C",'Mapa final'!$O$74),"")</f>
        <v/>
      </c>
      <c r="X14" s="52" t="str">
        <f>IF(AND('Mapa final'!$Y$75="Muy Alta",'Mapa final'!$AA$75="Moderado"),CONCATENATE("R9C",'Mapa final'!$O$75),"")</f>
        <v/>
      </c>
      <c r="Y14" s="52" t="str">
        <f>IF(AND('Mapa final'!$Y$76="Muy Alta",'Mapa final'!$AA$76="Moderado"),CONCATENATE("R9C",'Mapa final'!$O$76),"")</f>
        <v/>
      </c>
      <c r="Z14" s="52" t="str">
        <f>IF(AND('Mapa final'!$Y$77="Muy Alta",'Mapa final'!$AA$77="Moderado"),CONCATENATE("R9C",'Mapa final'!$O$77),"")</f>
        <v/>
      </c>
      <c r="AA14" s="53" t="str">
        <f>IF(AND('Mapa final'!$Y$78="Muy Alta",'Mapa final'!$AA$78="Moderado"),CONCATENATE("R9C",'Mapa final'!$O$78),"")</f>
        <v/>
      </c>
      <c r="AB14" s="51" t="str">
        <f>IF(AND('Mapa final'!$Y$73="Muy Alta",'Mapa final'!$AA$73="Mayor"),CONCATENATE("R9C",'Mapa final'!$O$73),"")</f>
        <v/>
      </c>
      <c r="AC14" s="52" t="str">
        <f>IF(AND('Mapa final'!$Y$74="Muy Alta",'Mapa final'!$AA$74="Mayor"),CONCATENATE("R9C",'Mapa final'!$O$74),"")</f>
        <v/>
      </c>
      <c r="AD14" s="52" t="str">
        <f>IF(AND('Mapa final'!$Y$75="Muy Alta",'Mapa final'!$AA$75="Mayor"),CONCATENATE("R9C",'Mapa final'!$O$75),"")</f>
        <v/>
      </c>
      <c r="AE14" s="52" t="str">
        <f>IF(AND('Mapa final'!$Y$76="Muy Alta",'Mapa final'!$AA$76="Mayor"),CONCATENATE("R9C",'Mapa final'!$O$76),"")</f>
        <v/>
      </c>
      <c r="AF14" s="52" t="str">
        <f>IF(AND('Mapa final'!$Y$77="Muy Alta",'Mapa final'!$AA$77="Mayor"),CONCATENATE("R9C",'Mapa final'!$O$77),"")</f>
        <v/>
      </c>
      <c r="AG14" s="53" t="str">
        <f>IF(AND('Mapa final'!$Y$78="Muy Alta",'Mapa final'!$AA$78="Mayor"),CONCATENATE("R9C",'Mapa final'!$O$78),"")</f>
        <v/>
      </c>
      <c r="AH14" s="54" t="str">
        <f>IF(AND('Mapa final'!$Y$73="Muy Alta",'Mapa final'!$AA$73="Catastrófico"),CONCATENATE("R9C",'Mapa final'!$O$73),"")</f>
        <v/>
      </c>
      <c r="AI14" s="55" t="str">
        <f>IF(AND('Mapa final'!$Y$74="Muy Alta",'Mapa final'!$AA$74="Catastrófico"),CONCATENATE("R9C",'Mapa final'!$O$74),"")</f>
        <v/>
      </c>
      <c r="AJ14" s="55" t="str">
        <f>IF(AND('Mapa final'!$Y$75="Muy Alta",'Mapa final'!$AA$75="Catastrófico"),CONCATENATE("R9C",'Mapa final'!$O$75),"")</f>
        <v/>
      </c>
      <c r="AK14" s="55" t="str">
        <f>IF(AND('Mapa final'!$Y$76="Muy Alta",'Mapa final'!$AA$76="Catastrófico"),CONCATENATE("R9C",'Mapa final'!$O$76),"")</f>
        <v/>
      </c>
      <c r="AL14" s="55" t="str">
        <f>IF(AND('Mapa final'!$Y$77="Muy Alta",'Mapa final'!$AA$77="Catastrófico"),CONCATENATE("R9C",'Mapa final'!$O$77),"")</f>
        <v/>
      </c>
      <c r="AM14" s="56" t="str">
        <f>IF(AND('Mapa final'!$Y$78="Muy Alta",'Mapa final'!$AA$78="Catastrófico"),CONCATENATE("R9C",'Mapa final'!$O$78),"")</f>
        <v/>
      </c>
      <c r="AN14" s="82"/>
      <c r="AO14" s="465"/>
      <c r="AP14" s="466"/>
      <c r="AQ14" s="466"/>
      <c r="AR14" s="466"/>
      <c r="AS14" s="466"/>
      <c r="AT14" s="467"/>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360"/>
      <c r="C15" s="360"/>
      <c r="D15" s="361"/>
      <c r="E15" s="460"/>
      <c r="F15" s="461"/>
      <c r="G15" s="461"/>
      <c r="H15" s="461"/>
      <c r="I15" s="475"/>
      <c r="J15" s="57" t="str">
        <f>IF(AND('Mapa final'!$Y$79="Muy Alta",'Mapa final'!$AA$79="Leve"),CONCATENATE("R10C",'Mapa final'!$O$79),"")</f>
        <v/>
      </c>
      <c r="K15" s="58" t="str">
        <f>IF(AND('Mapa final'!$Y$80="Muy Alta",'Mapa final'!$AA$80="Leve"),CONCATENATE("R10C",'Mapa final'!$O$80),"")</f>
        <v/>
      </c>
      <c r="L15" s="58" t="str">
        <f>IF(AND('Mapa final'!$Y$81="Muy Alta",'Mapa final'!$AA$81="Leve"),CONCATENATE("R10C",'Mapa final'!$O$81),"")</f>
        <v/>
      </c>
      <c r="M15" s="58" t="str">
        <f>IF(AND('Mapa final'!$Y$82="Muy Alta",'Mapa final'!$AA$82="Leve"),CONCATENATE("R10C",'Mapa final'!$O$82),"")</f>
        <v/>
      </c>
      <c r="N15" s="58" t="str">
        <f>IF(AND('Mapa final'!$Y$83="Muy Alta",'Mapa final'!$AA$83="Leve"),CONCATENATE("R10C",'Mapa final'!$O$83),"")</f>
        <v/>
      </c>
      <c r="O15" s="59" t="str">
        <f>IF(AND('Mapa final'!$Y$84="Muy Alta",'Mapa final'!$AA$84="Leve"),CONCATENATE("R10C",'Mapa final'!$O$84),"")</f>
        <v/>
      </c>
      <c r="P15" s="51" t="str">
        <f>IF(AND('Mapa final'!$Y$79="Muy Alta",'Mapa final'!$AA$79="Menor"),CONCATENATE("R10C",'Mapa final'!$O$79),"")</f>
        <v/>
      </c>
      <c r="Q15" s="52" t="str">
        <f>IF(AND('Mapa final'!$Y$80="Muy Alta",'Mapa final'!$AA$80="Menor"),CONCATENATE("R10C",'Mapa final'!$O$80),"")</f>
        <v/>
      </c>
      <c r="R15" s="52" t="str">
        <f>IF(AND('Mapa final'!$Y$81="Muy Alta",'Mapa final'!$AA$81="Menor"),CONCATENATE("R10C",'Mapa final'!$O$81),"")</f>
        <v/>
      </c>
      <c r="S15" s="52" t="str">
        <f>IF(AND('Mapa final'!$Y$82="Muy Alta",'Mapa final'!$AA$82="Menor"),CONCATENATE("R10C",'Mapa final'!$O$82),"")</f>
        <v/>
      </c>
      <c r="T15" s="52" t="str">
        <f>IF(AND('Mapa final'!$Y$83="Muy Alta",'Mapa final'!$AA$83="Menor"),CONCATENATE("R10C",'Mapa final'!$O$83),"")</f>
        <v/>
      </c>
      <c r="U15" s="53" t="str">
        <f>IF(AND('Mapa final'!$Y$84="Muy Alta",'Mapa final'!$AA$84="Menor"),CONCATENATE("R10C",'Mapa final'!$O$84),"")</f>
        <v/>
      </c>
      <c r="V15" s="57" t="str">
        <f>IF(AND('Mapa final'!$Y$79="Muy Alta",'Mapa final'!$AA$79="Moderado"),CONCATENATE("R10C",'Mapa final'!$O$79),"")</f>
        <v/>
      </c>
      <c r="W15" s="58" t="str">
        <f>IF(AND('Mapa final'!$Y$80="Muy Alta",'Mapa final'!$AA$80="Moderado"),CONCATENATE("R10C",'Mapa final'!$O$80),"")</f>
        <v/>
      </c>
      <c r="X15" s="58" t="str">
        <f>IF(AND('Mapa final'!$Y$81="Muy Alta",'Mapa final'!$AA$81="Moderado"),CONCATENATE("R10C",'Mapa final'!$O$81),"")</f>
        <v/>
      </c>
      <c r="Y15" s="58" t="str">
        <f>IF(AND('Mapa final'!$Y$82="Muy Alta",'Mapa final'!$AA$82="Moderado"),CONCATENATE("R10C",'Mapa final'!$O$82),"")</f>
        <v/>
      </c>
      <c r="Z15" s="58" t="str">
        <f>IF(AND('Mapa final'!$Y$83="Muy Alta",'Mapa final'!$AA$83="Moderado"),CONCATENATE("R10C",'Mapa final'!$O$83),"")</f>
        <v/>
      </c>
      <c r="AA15" s="59" t="str">
        <f>IF(AND('Mapa final'!$Y$84="Muy Alta",'Mapa final'!$AA$84="Moderado"),CONCATENATE("R10C",'Mapa final'!$O$84),"")</f>
        <v/>
      </c>
      <c r="AB15" s="51" t="str">
        <f>IF(AND('Mapa final'!$Y$79="Muy Alta",'Mapa final'!$AA$79="Mayor"),CONCATENATE("R10C",'Mapa final'!$O$79),"")</f>
        <v/>
      </c>
      <c r="AC15" s="52" t="str">
        <f>IF(AND('Mapa final'!$Y$80="Muy Alta",'Mapa final'!$AA$80="Mayor"),CONCATENATE("R10C",'Mapa final'!$O$80),"")</f>
        <v/>
      </c>
      <c r="AD15" s="52" t="str">
        <f>IF(AND('Mapa final'!$Y$81="Muy Alta",'Mapa final'!$AA$81="Mayor"),CONCATENATE("R10C",'Mapa final'!$O$81),"")</f>
        <v/>
      </c>
      <c r="AE15" s="52" t="str">
        <f>IF(AND('Mapa final'!$Y$82="Muy Alta",'Mapa final'!$AA$82="Mayor"),CONCATENATE("R10C",'Mapa final'!$O$82),"")</f>
        <v/>
      </c>
      <c r="AF15" s="52" t="str">
        <f>IF(AND('Mapa final'!$Y$83="Muy Alta",'Mapa final'!$AA$83="Mayor"),CONCATENATE("R10C",'Mapa final'!$O$83),"")</f>
        <v/>
      </c>
      <c r="AG15" s="53" t="str">
        <f>IF(AND('Mapa final'!$Y$84="Muy Alta",'Mapa final'!$AA$84="Mayor"),CONCATENATE("R10C",'Mapa final'!$O$84),"")</f>
        <v/>
      </c>
      <c r="AH15" s="60" t="str">
        <f>IF(AND('Mapa final'!$Y$79="Muy Alta",'Mapa final'!$AA$79="Catastrófico"),CONCATENATE("R10C",'Mapa final'!$O$79),"")</f>
        <v/>
      </c>
      <c r="AI15" s="61" t="str">
        <f>IF(AND('Mapa final'!$Y$80="Muy Alta",'Mapa final'!$AA$80="Catastrófico"),CONCATENATE("R10C",'Mapa final'!$O$80),"")</f>
        <v/>
      </c>
      <c r="AJ15" s="61" t="str">
        <f>IF(AND('Mapa final'!$Y$81="Muy Alta",'Mapa final'!$AA$81="Catastrófico"),CONCATENATE("R10C",'Mapa final'!$O$81),"")</f>
        <v/>
      </c>
      <c r="AK15" s="61" t="str">
        <f>IF(AND('Mapa final'!$Y$82="Muy Alta",'Mapa final'!$AA$82="Catastrófico"),CONCATENATE("R10C",'Mapa final'!$O$82),"")</f>
        <v/>
      </c>
      <c r="AL15" s="61" t="str">
        <f>IF(AND('Mapa final'!$Y$83="Muy Alta",'Mapa final'!$AA$83="Catastrófico"),CONCATENATE("R10C",'Mapa final'!$O$83),"")</f>
        <v/>
      </c>
      <c r="AM15" s="62" t="str">
        <f>IF(AND('Mapa final'!$Y$84="Muy Alta",'Mapa final'!$AA$84="Catastrófico"),CONCATENATE("R10C",'Mapa final'!$O$84),"")</f>
        <v/>
      </c>
      <c r="AN15" s="82"/>
      <c r="AO15" s="468"/>
      <c r="AP15" s="469"/>
      <c r="AQ15" s="469"/>
      <c r="AR15" s="469"/>
      <c r="AS15" s="469"/>
      <c r="AT15" s="470"/>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360"/>
      <c r="C16" s="360"/>
      <c r="D16" s="361"/>
      <c r="E16" s="455" t="s">
        <v>150</v>
      </c>
      <c r="F16" s="456"/>
      <c r="G16" s="456"/>
      <c r="H16" s="456"/>
      <c r="I16" s="456"/>
      <c r="J16" s="63" t="str">
        <f>IF(AND('Mapa final'!$Y$25="Alta",'Mapa final'!$AA$25="Leve"),CONCATENATE("R1C",'Mapa final'!$O$25),"")</f>
        <v/>
      </c>
      <c r="K16" s="64" t="str">
        <f>IF(AND('Mapa final'!$Y$26="Alta",'Mapa final'!$AA$26="Leve"),CONCATENATE("R1C",'Mapa final'!$O$26),"")</f>
        <v/>
      </c>
      <c r="L16" s="64" t="str">
        <f>IF(AND('Mapa final'!$Y$27="Alta",'Mapa final'!$AA$27="Leve"),CONCATENATE("R1C",'Mapa final'!$O$27),"")</f>
        <v/>
      </c>
      <c r="M16" s="64" t="str">
        <f>IF(AND('Mapa final'!$Y$28="Alta",'Mapa final'!$AA$28="Leve"),CONCATENATE("R1C",'Mapa final'!$O$28),"")</f>
        <v/>
      </c>
      <c r="N16" s="64" t="str">
        <f>IF(AND('Mapa final'!$Y$29="Alta",'Mapa final'!$AA$29="Leve"),CONCATENATE("R1C",'Mapa final'!$O$29),"")</f>
        <v/>
      </c>
      <c r="O16" s="65" t="str">
        <f>IF(AND('Mapa final'!$Y$30="Alta",'Mapa final'!$AA$30="Leve"),CONCATENATE("R1C",'Mapa final'!$O$30),"")</f>
        <v/>
      </c>
      <c r="P16" s="63" t="str">
        <f>IF(AND('Mapa final'!$Y$25="Alta",'Mapa final'!$AA$25="Menor"),CONCATENATE("R1C",'Mapa final'!$O$25),"")</f>
        <v/>
      </c>
      <c r="Q16" s="64" t="str">
        <f>IF(AND('Mapa final'!$Y$26="Alta",'Mapa final'!$AA$26="Menor"),CONCATENATE("R1C",'Mapa final'!$O$26),"")</f>
        <v/>
      </c>
      <c r="R16" s="64" t="str">
        <f>IF(AND('Mapa final'!$Y$27="Alta",'Mapa final'!$AA$27="Menor"),CONCATENATE("R1C",'Mapa final'!$O$27),"")</f>
        <v/>
      </c>
      <c r="S16" s="64" t="str">
        <f>IF(AND('Mapa final'!$Y$28="Alta",'Mapa final'!$AA$28="Menor"),CONCATENATE("R1C",'Mapa final'!$O$28),"")</f>
        <v/>
      </c>
      <c r="T16" s="64" t="str">
        <f>IF(AND('Mapa final'!$Y$29="Alta",'Mapa final'!$AA$29="Menor"),CONCATENATE("R1C",'Mapa final'!$O$29),"")</f>
        <v/>
      </c>
      <c r="U16" s="65" t="str">
        <f>IF(AND('Mapa final'!$Y$30="Alta",'Mapa final'!$AA$30="Menor"),CONCATENATE("R1C",'Mapa final'!$O$30),"")</f>
        <v/>
      </c>
      <c r="V16" s="45" t="str">
        <f>IF(AND('Mapa final'!$Y$25="Alta",'Mapa final'!$AA$25="Moderado"),CONCATENATE("R1C",'Mapa final'!$O$25),"")</f>
        <v/>
      </c>
      <c r="W16" s="46" t="str">
        <f>IF(AND('Mapa final'!$Y$26="Alta",'Mapa final'!$AA$26="Moderado"),CONCATENATE("R1C",'Mapa final'!$O$26),"")</f>
        <v/>
      </c>
      <c r="X16" s="46" t="str">
        <f>IF(AND('Mapa final'!$Y$27="Alta",'Mapa final'!$AA$27="Moderado"),CONCATENATE("R1C",'Mapa final'!$O$27),"")</f>
        <v/>
      </c>
      <c r="Y16" s="46" t="str">
        <f>IF(AND('Mapa final'!$Y$28="Alta",'Mapa final'!$AA$28="Moderado"),CONCATENATE("R1C",'Mapa final'!$O$28),"")</f>
        <v/>
      </c>
      <c r="Z16" s="46" t="str">
        <f>IF(AND('Mapa final'!$Y$29="Alta",'Mapa final'!$AA$29="Moderado"),CONCATENATE("R1C",'Mapa final'!$O$29),"")</f>
        <v/>
      </c>
      <c r="AA16" s="47" t="str">
        <f>IF(AND('Mapa final'!$Y$30="Alta",'Mapa final'!$AA$30="Moderado"),CONCATENATE("R1C",'Mapa final'!$O$30),"")</f>
        <v/>
      </c>
      <c r="AB16" s="45" t="str">
        <f>IF(AND('Mapa final'!$Y$25="Alta",'Mapa final'!$AA$25="Mayor"),CONCATENATE("R1C",'Mapa final'!$O$25),"")</f>
        <v/>
      </c>
      <c r="AC16" s="46" t="str">
        <f>IF(AND('Mapa final'!$Y$26="Alta",'Mapa final'!$AA$26="Mayor"),CONCATENATE("R1C",'Mapa final'!$O$26),"")</f>
        <v/>
      </c>
      <c r="AD16" s="46" t="str">
        <f>IF(AND('Mapa final'!$Y$27="Alta",'Mapa final'!$AA$27="Mayor"),CONCATENATE("R1C",'Mapa final'!$O$27),"")</f>
        <v/>
      </c>
      <c r="AE16" s="46" t="str">
        <f>IF(AND('Mapa final'!$Y$28="Alta",'Mapa final'!$AA$28="Mayor"),CONCATENATE("R1C",'Mapa final'!$O$28),"")</f>
        <v/>
      </c>
      <c r="AF16" s="46" t="str">
        <f>IF(AND('Mapa final'!$Y$29="Alta",'Mapa final'!$AA$29="Mayor"),CONCATENATE("R1C",'Mapa final'!$O$29),"")</f>
        <v/>
      </c>
      <c r="AG16" s="47" t="str">
        <f>IF(AND('Mapa final'!$Y$30="Alta",'Mapa final'!$AA$30="Mayor"),CONCATENATE("R1C",'Mapa final'!$O$30),"")</f>
        <v/>
      </c>
      <c r="AH16" s="48" t="str">
        <f>IF(AND('Mapa final'!$Y$25="Alta",'Mapa final'!$AA$25="Catastrófico"),CONCATENATE("R1C",'Mapa final'!$O$25),"")</f>
        <v/>
      </c>
      <c r="AI16" s="49" t="str">
        <f>IF(AND('Mapa final'!$Y$26="Alta",'Mapa final'!$AA$26="Catastrófico"),CONCATENATE("R1C",'Mapa final'!$O$26),"")</f>
        <v/>
      </c>
      <c r="AJ16" s="49" t="str">
        <f>IF(AND('Mapa final'!$Y$27="Alta",'Mapa final'!$AA$27="Catastrófico"),CONCATENATE("R1C",'Mapa final'!$O$27),"")</f>
        <v/>
      </c>
      <c r="AK16" s="49" t="str">
        <f>IF(AND('Mapa final'!$Y$28="Alta",'Mapa final'!$AA$28="Catastrófico"),CONCATENATE("R1C",'Mapa final'!$O$28),"")</f>
        <v/>
      </c>
      <c r="AL16" s="49" t="str">
        <f>IF(AND('Mapa final'!$Y$29="Alta",'Mapa final'!$AA$29="Catastrófico"),CONCATENATE("R1C",'Mapa final'!$O$29),"")</f>
        <v/>
      </c>
      <c r="AM16" s="50" t="str">
        <f>IF(AND('Mapa final'!$Y$30="Alta",'Mapa final'!$AA$30="Catastrófico"),CONCATENATE("R1C",'Mapa final'!$O$30),"")</f>
        <v/>
      </c>
      <c r="AN16" s="82"/>
      <c r="AO16" s="446" t="s">
        <v>151</v>
      </c>
      <c r="AP16" s="447"/>
      <c r="AQ16" s="447"/>
      <c r="AR16" s="447"/>
      <c r="AS16" s="447"/>
      <c r="AT16" s="448"/>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360"/>
      <c r="C17" s="360"/>
      <c r="D17" s="361"/>
      <c r="E17" s="457"/>
      <c r="F17" s="458"/>
      <c r="G17" s="458"/>
      <c r="H17" s="458"/>
      <c r="I17" s="458"/>
      <c r="J17" s="66" t="str">
        <f>IF(AND('Mapa final'!$Y$31="Alta",'Mapa final'!$AA$31="Leve"),CONCATENATE("R2C",'Mapa final'!$O$31),"")</f>
        <v/>
      </c>
      <c r="K17" s="67" t="str">
        <f>IF(AND('Mapa final'!$Y$32="Alta",'Mapa final'!$AA$32="Leve"),CONCATENATE("R2C",'Mapa final'!$O$32),"")</f>
        <v/>
      </c>
      <c r="L17" s="67" t="str">
        <f>IF(AND('Mapa final'!$Y$33="Alta",'Mapa final'!$AA$33="Leve"),CONCATENATE("R2C",'Mapa final'!$O$33),"")</f>
        <v/>
      </c>
      <c r="M17" s="67" t="str">
        <f>IF(AND('Mapa final'!$Y$34="Alta",'Mapa final'!$AA$34="Leve"),CONCATENATE("R2C",'Mapa final'!$O$34),"")</f>
        <v/>
      </c>
      <c r="N17" s="67" t="str">
        <f>IF(AND('Mapa final'!$Y$35="Alta",'Mapa final'!$AA$35="Leve"),CONCATENATE("R2C",'Mapa final'!$O$35),"")</f>
        <v/>
      </c>
      <c r="O17" s="68" t="str">
        <f>IF(AND('Mapa final'!$Y$36="Alta",'Mapa final'!$AA$36="Leve"),CONCATENATE("R2C",'Mapa final'!$O$36),"")</f>
        <v/>
      </c>
      <c r="P17" s="66" t="str">
        <f>IF(AND('Mapa final'!$Y$31="Alta",'Mapa final'!$AA$31="Menor"),CONCATENATE("R2C",'Mapa final'!$O$31),"")</f>
        <v/>
      </c>
      <c r="Q17" s="67" t="str">
        <f>IF(AND('Mapa final'!$Y$32="Alta",'Mapa final'!$AA$32="Menor"),CONCATENATE("R2C",'Mapa final'!$O$32),"")</f>
        <v/>
      </c>
      <c r="R17" s="67" t="str">
        <f>IF(AND('Mapa final'!$Y$33="Alta",'Mapa final'!$AA$33="Menor"),CONCATENATE("R2C",'Mapa final'!$O$33),"")</f>
        <v/>
      </c>
      <c r="S17" s="67" t="str">
        <f>IF(AND('Mapa final'!$Y$34="Alta",'Mapa final'!$AA$34="Menor"),CONCATENATE("R2C",'Mapa final'!$O$34),"")</f>
        <v/>
      </c>
      <c r="T17" s="67" t="str">
        <f>IF(AND('Mapa final'!$Y$35="Alta",'Mapa final'!$AA$35="Menor"),CONCATENATE("R2C",'Mapa final'!$O$35),"")</f>
        <v/>
      </c>
      <c r="U17" s="68" t="str">
        <f>IF(AND('Mapa final'!$Y$36="Alta",'Mapa final'!$AA$36="Menor"),CONCATENATE("R2C",'Mapa final'!$O$36),"")</f>
        <v/>
      </c>
      <c r="V17" s="51" t="str">
        <f>IF(AND('Mapa final'!$Y$31="Alta",'Mapa final'!$AA$31="Moderado"),CONCATENATE("R2C",'Mapa final'!$O$31),"")</f>
        <v/>
      </c>
      <c r="W17" s="52" t="str">
        <f>IF(AND('Mapa final'!$Y$32="Alta",'Mapa final'!$AA$32="Moderado"),CONCATENATE("R2C",'Mapa final'!$O$32),"")</f>
        <v/>
      </c>
      <c r="X17" s="52" t="str">
        <f>IF(AND('Mapa final'!$Y$33="Alta",'Mapa final'!$AA$33="Moderado"),CONCATENATE("R2C",'Mapa final'!$O$33),"")</f>
        <v/>
      </c>
      <c r="Y17" s="52" t="str">
        <f>IF(AND('Mapa final'!$Y$34="Alta",'Mapa final'!$AA$34="Moderado"),CONCATENATE("R2C",'Mapa final'!$O$34),"")</f>
        <v/>
      </c>
      <c r="Z17" s="52" t="str">
        <f>IF(AND('Mapa final'!$Y$35="Alta",'Mapa final'!$AA$35="Moderado"),CONCATENATE("R2C",'Mapa final'!$O$35),"")</f>
        <v/>
      </c>
      <c r="AA17" s="53" t="str">
        <f>IF(AND('Mapa final'!$Y$36="Alta",'Mapa final'!$AA$36="Moderado"),CONCATENATE("R2C",'Mapa final'!$O$36),"")</f>
        <v/>
      </c>
      <c r="AB17" s="51" t="str">
        <f>IF(AND('Mapa final'!$Y$31="Alta",'Mapa final'!$AA$31="Mayor"),CONCATENATE("R2C",'Mapa final'!$O$31),"")</f>
        <v/>
      </c>
      <c r="AC17" s="52" t="str">
        <f>IF(AND('Mapa final'!$Y$32="Alta",'Mapa final'!$AA$32="Mayor"),CONCATENATE("R2C",'Mapa final'!$O$32),"")</f>
        <v/>
      </c>
      <c r="AD17" s="52" t="str">
        <f>IF(AND('Mapa final'!$Y$33="Alta",'Mapa final'!$AA$33="Mayor"),CONCATENATE("R2C",'Mapa final'!$O$33),"")</f>
        <v/>
      </c>
      <c r="AE17" s="52" t="str">
        <f>IF(AND('Mapa final'!$Y$34="Alta",'Mapa final'!$AA$34="Mayor"),CONCATENATE("R2C",'Mapa final'!$O$34),"")</f>
        <v/>
      </c>
      <c r="AF17" s="52" t="str">
        <f>IF(AND('Mapa final'!$Y$35="Alta",'Mapa final'!$AA$35="Mayor"),CONCATENATE("R2C",'Mapa final'!$O$35),"")</f>
        <v/>
      </c>
      <c r="AG17" s="53" t="str">
        <f>IF(AND('Mapa final'!$Y$36="Alta",'Mapa final'!$AA$36="Mayor"),CONCATENATE("R2C",'Mapa final'!$O$36),"")</f>
        <v/>
      </c>
      <c r="AH17" s="54" t="str">
        <f>IF(AND('Mapa final'!$Y$31="Alta",'Mapa final'!$AA$31="Catastrófico"),CONCATENATE("R2C",'Mapa final'!$O$31),"")</f>
        <v/>
      </c>
      <c r="AI17" s="55" t="str">
        <f>IF(AND('Mapa final'!$Y$32="Alta",'Mapa final'!$AA$32="Catastrófico"),CONCATENATE("R2C",'Mapa final'!$O$32),"")</f>
        <v/>
      </c>
      <c r="AJ17" s="55" t="str">
        <f>IF(AND('Mapa final'!$Y$33="Alta",'Mapa final'!$AA$33="Catastrófico"),CONCATENATE("R2C",'Mapa final'!$O$33),"")</f>
        <v/>
      </c>
      <c r="AK17" s="55" t="str">
        <f>IF(AND('Mapa final'!$Y$34="Alta",'Mapa final'!$AA$34="Catastrófico"),CONCATENATE("R2C",'Mapa final'!$O$34),"")</f>
        <v/>
      </c>
      <c r="AL17" s="55" t="str">
        <f>IF(AND('Mapa final'!$Y$35="Alta",'Mapa final'!$AA$35="Catastrófico"),CONCATENATE("R2C",'Mapa final'!$O$35),"")</f>
        <v/>
      </c>
      <c r="AM17" s="56" t="str">
        <f>IF(AND('Mapa final'!$Y$36="Alta",'Mapa final'!$AA$36="Catastrófico"),CONCATENATE("R2C",'Mapa final'!$O$36),"")</f>
        <v/>
      </c>
      <c r="AN17" s="82"/>
      <c r="AO17" s="449"/>
      <c r="AP17" s="450"/>
      <c r="AQ17" s="450"/>
      <c r="AR17" s="450"/>
      <c r="AS17" s="450"/>
      <c r="AT17" s="451"/>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360"/>
      <c r="C18" s="360"/>
      <c r="D18" s="361"/>
      <c r="E18" s="459"/>
      <c r="F18" s="458"/>
      <c r="G18" s="458"/>
      <c r="H18" s="458"/>
      <c r="I18" s="458"/>
      <c r="J18" s="66" t="str">
        <f>IF(AND('Mapa final'!$Y$37="Alta",'Mapa final'!$AA$37="Leve"),CONCATENATE("R3C",'Mapa final'!$O$37),"")</f>
        <v/>
      </c>
      <c r="K18" s="67" t="str">
        <f>IF(AND('Mapa final'!$Y$38="Alta",'Mapa final'!$AA$38="Leve"),CONCATENATE("R3C",'Mapa final'!$O$38),"")</f>
        <v/>
      </c>
      <c r="L18" s="67" t="str">
        <f>IF(AND('Mapa final'!$Y$39="Alta",'Mapa final'!$AA$39="Leve"),CONCATENATE("R3C",'Mapa final'!$O$39),"")</f>
        <v/>
      </c>
      <c r="M18" s="67" t="str">
        <f>IF(AND('Mapa final'!$Y$40="Alta",'Mapa final'!$AA$40="Leve"),CONCATENATE("R3C",'Mapa final'!$O$40),"")</f>
        <v/>
      </c>
      <c r="N18" s="67" t="str">
        <f>IF(AND('Mapa final'!$Y$41="Alta",'Mapa final'!$AA$41="Leve"),CONCATENATE("R3C",'Mapa final'!$O$41),"")</f>
        <v/>
      </c>
      <c r="O18" s="68" t="str">
        <f>IF(AND('Mapa final'!$Y$42="Alta",'Mapa final'!$AA$42="Leve"),CONCATENATE("R3C",'Mapa final'!$O$42),"")</f>
        <v/>
      </c>
      <c r="P18" s="66" t="str">
        <f>IF(AND('Mapa final'!$Y$37="Alta",'Mapa final'!$AA$37="Menor"),CONCATENATE("R3C",'Mapa final'!$O$37),"")</f>
        <v/>
      </c>
      <c r="Q18" s="67" t="str">
        <f>IF(AND('Mapa final'!$Y$38="Alta",'Mapa final'!$AA$38="Menor"),CONCATENATE("R3C",'Mapa final'!$O$38),"")</f>
        <v/>
      </c>
      <c r="R18" s="67" t="str">
        <f>IF(AND('Mapa final'!$Y$39="Alta",'Mapa final'!$AA$39="Menor"),CONCATENATE("R3C",'Mapa final'!$O$39),"")</f>
        <v/>
      </c>
      <c r="S18" s="67" t="str">
        <f>IF(AND('Mapa final'!$Y$40="Alta",'Mapa final'!$AA$40="Menor"),CONCATENATE("R3C",'Mapa final'!$O$40),"")</f>
        <v/>
      </c>
      <c r="T18" s="67" t="str">
        <f>IF(AND('Mapa final'!$Y$41="Alta",'Mapa final'!$AA$41="Menor"),CONCATENATE("R3C",'Mapa final'!$O$41),"")</f>
        <v/>
      </c>
      <c r="U18" s="68" t="str">
        <f>IF(AND('Mapa final'!$Y$42="Alta",'Mapa final'!$AA$42="Menor"),CONCATENATE("R3C",'Mapa final'!$O$42),"")</f>
        <v/>
      </c>
      <c r="V18" s="51" t="str">
        <f>IF(AND('Mapa final'!$Y$37="Alta",'Mapa final'!$AA$37="Moderado"),CONCATENATE("R3C",'Mapa final'!$O$37),"")</f>
        <v/>
      </c>
      <c r="W18" s="52" t="str">
        <f>IF(AND('Mapa final'!$Y$38="Alta",'Mapa final'!$AA$38="Moderado"),CONCATENATE("R3C",'Mapa final'!$O$38),"")</f>
        <v/>
      </c>
      <c r="X18" s="52" t="str">
        <f>IF(AND('Mapa final'!$Y$39="Alta",'Mapa final'!$AA$39="Moderado"),CONCATENATE("R3C",'Mapa final'!$O$39),"")</f>
        <v/>
      </c>
      <c r="Y18" s="52" t="str">
        <f>IF(AND('Mapa final'!$Y$40="Alta",'Mapa final'!$AA$40="Moderado"),CONCATENATE("R3C",'Mapa final'!$O$40),"")</f>
        <v/>
      </c>
      <c r="Z18" s="52" t="str">
        <f>IF(AND('Mapa final'!$Y$41="Alta",'Mapa final'!$AA$41="Moderado"),CONCATENATE("R3C",'Mapa final'!$O$41),"")</f>
        <v/>
      </c>
      <c r="AA18" s="53" t="str">
        <f>IF(AND('Mapa final'!$Y$42="Alta",'Mapa final'!$AA$42="Moderado"),CONCATENATE("R3C",'Mapa final'!$O$42),"")</f>
        <v/>
      </c>
      <c r="AB18" s="51" t="str">
        <f>IF(AND('Mapa final'!$Y$37="Alta",'Mapa final'!$AA$37="Mayor"),CONCATENATE("R3C",'Mapa final'!$O$37),"")</f>
        <v/>
      </c>
      <c r="AC18" s="52" t="str">
        <f>IF(AND('Mapa final'!$Y$38="Alta",'Mapa final'!$AA$38="Mayor"),CONCATENATE("R3C",'Mapa final'!$O$38),"")</f>
        <v/>
      </c>
      <c r="AD18" s="52" t="str">
        <f>IF(AND('Mapa final'!$Y$39="Alta",'Mapa final'!$AA$39="Mayor"),CONCATENATE("R3C",'Mapa final'!$O$39),"")</f>
        <v/>
      </c>
      <c r="AE18" s="52" t="str">
        <f>IF(AND('Mapa final'!$Y$40="Alta",'Mapa final'!$AA$40="Mayor"),CONCATENATE("R3C",'Mapa final'!$O$40),"")</f>
        <v/>
      </c>
      <c r="AF18" s="52" t="str">
        <f>IF(AND('Mapa final'!$Y$41="Alta",'Mapa final'!$AA$41="Mayor"),CONCATENATE("R3C",'Mapa final'!$O$41),"")</f>
        <v/>
      </c>
      <c r="AG18" s="53" t="str">
        <f>IF(AND('Mapa final'!$Y$42="Alta",'Mapa final'!$AA$42="Mayor"),CONCATENATE("R3C",'Mapa final'!$O$42),"")</f>
        <v/>
      </c>
      <c r="AH18" s="54" t="str">
        <f>IF(AND('Mapa final'!$Y$37="Alta",'Mapa final'!$AA$37="Catastrófico"),CONCATENATE("R3C",'Mapa final'!$O$37),"")</f>
        <v/>
      </c>
      <c r="AI18" s="55" t="str">
        <f>IF(AND('Mapa final'!$Y$38="Alta",'Mapa final'!$AA$38="Catastrófico"),CONCATENATE("R3C",'Mapa final'!$O$38),"")</f>
        <v/>
      </c>
      <c r="AJ18" s="55" t="str">
        <f>IF(AND('Mapa final'!$Y$39="Alta",'Mapa final'!$AA$39="Catastrófico"),CONCATENATE("R3C",'Mapa final'!$O$39),"")</f>
        <v/>
      </c>
      <c r="AK18" s="55" t="str">
        <f>IF(AND('Mapa final'!$Y$40="Alta",'Mapa final'!$AA$40="Catastrófico"),CONCATENATE("R3C",'Mapa final'!$O$40),"")</f>
        <v/>
      </c>
      <c r="AL18" s="55" t="str">
        <f>IF(AND('Mapa final'!$Y$41="Alta",'Mapa final'!$AA$41="Catastrófico"),CONCATENATE("R3C",'Mapa final'!$O$41),"")</f>
        <v/>
      </c>
      <c r="AM18" s="56" t="str">
        <f>IF(AND('Mapa final'!$Y$42="Alta",'Mapa final'!$AA$42="Catastrófico"),CONCATENATE("R3C",'Mapa final'!$O$42),"")</f>
        <v/>
      </c>
      <c r="AN18" s="82"/>
      <c r="AO18" s="449"/>
      <c r="AP18" s="450"/>
      <c r="AQ18" s="450"/>
      <c r="AR18" s="450"/>
      <c r="AS18" s="450"/>
      <c r="AT18" s="451"/>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360"/>
      <c r="C19" s="360"/>
      <c r="D19" s="361"/>
      <c r="E19" s="459"/>
      <c r="F19" s="458"/>
      <c r="G19" s="458"/>
      <c r="H19" s="458"/>
      <c r="I19" s="458"/>
      <c r="J19" s="66" t="str">
        <f>IF(AND('Mapa final'!$Y$43="Alta",'Mapa final'!$AA$43="Leve"),CONCATENATE("R4C",'Mapa final'!$O$43),"")</f>
        <v/>
      </c>
      <c r="K19" s="67" t="str">
        <f>IF(AND('Mapa final'!$Y$44="Alta",'Mapa final'!$AA$44="Leve"),CONCATENATE("R4C",'Mapa final'!$O$44),"")</f>
        <v/>
      </c>
      <c r="L19" s="67" t="str">
        <f>IF(AND('Mapa final'!$Y$45="Alta",'Mapa final'!$AA$45="Leve"),CONCATENATE("R4C",'Mapa final'!$O$45),"")</f>
        <v/>
      </c>
      <c r="M19" s="67" t="str">
        <f>IF(AND('Mapa final'!$Y$46="Alta",'Mapa final'!$AA$46="Leve"),CONCATENATE("R4C",'Mapa final'!$O$46),"")</f>
        <v/>
      </c>
      <c r="N19" s="67" t="str">
        <f>IF(AND('Mapa final'!$Y$47="Alta",'Mapa final'!$AA$47="Leve"),CONCATENATE("R4C",'Mapa final'!$O$47),"")</f>
        <v/>
      </c>
      <c r="O19" s="68" t="str">
        <f>IF(AND('Mapa final'!$Y$48="Alta",'Mapa final'!$AA$48="Leve"),CONCATENATE("R4C",'Mapa final'!$O$48),"")</f>
        <v/>
      </c>
      <c r="P19" s="66" t="str">
        <f>IF(AND('Mapa final'!$Y$43="Alta",'Mapa final'!$AA$43="Menor"),CONCATENATE("R4C",'Mapa final'!$O$43),"")</f>
        <v/>
      </c>
      <c r="Q19" s="67" t="str">
        <f>IF(AND('Mapa final'!$Y$44="Alta",'Mapa final'!$AA$44="Menor"),CONCATENATE("R4C",'Mapa final'!$O$44),"")</f>
        <v/>
      </c>
      <c r="R19" s="67" t="str">
        <f>IF(AND('Mapa final'!$Y$45="Alta",'Mapa final'!$AA$45="Menor"),CONCATENATE("R4C",'Mapa final'!$O$45),"")</f>
        <v/>
      </c>
      <c r="S19" s="67" t="str">
        <f>IF(AND('Mapa final'!$Y$46="Alta",'Mapa final'!$AA$46="Menor"),CONCATENATE("R4C",'Mapa final'!$O$46),"")</f>
        <v/>
      </c>
      <c r="T19" s="67" t="str">
        <f>IF(AND('Mapa final'!$Y$47="Alta",'Mapa final'!$AA$47="Menor"),CONCATENATE("R4C",'Mapa final'!$O$47),"")</f>
        <v/>
      </c>
      <c r="U19" s="68" t="str">
        <f>IF(AND('Mapa final'!$Y$48="Alta",'Mapa final'!$AA$48="Menor"),CONCATENATE("R4C",'Mapa final'!$O$48),"")</f>
        <v/>
      </c>
      <c r="V19" s="51" t="str">
        <f>IF(AND('Mapa final'!$Y$43="Alta",'Mapa final'!$AA$43="Moderado"),CONCATENATE("R4C",'Mapa final'!$O$43),"")</f>
        <v/>
      </c>
      <c r="W19" s="52" t="str">
        <f>IF(AND('Mapa final'!$Y$44="Alta",'Mapa final'!$AA$44="Moderado"),CONCATENATE("R4C",'Mapa final'!$O$44),"")</f>
        <v/>
      </c>
      <c r="X19" s="52" t="str">
        <f>IF(AND('Mapa final'!$Y$45="Alta",'Mapa final'!$AA$45="Moderado"),CONCATENATE("R4C",'Mapa final'!$O$45),"")</f>
        <v/>
      </c>
      <c r="Y19" s="52" t="str">
        <f>IF(AND('Mapa final'!$Y$46="Alta",'Mapa final'!$AA$46="Moderado"),CONCATENATE("R4C",'Mapa final'!$O$46),"")</f>
        <v/>
      </c>
      <c r="Z19" s="52" t="str">
        <f>IF(AND('Mapa final'!$Y$47="Alta",'Mapa final'!$AA$47="Moderado"),CONCATENATE("R4C",'Mapa final'!$O$47),"")</f>
        <v/>
      </c>
      <c r="AA19" s="53" t="str">
        <f>IF(AND('Mapa final'!$Y$48="Alta",'Mapa final'!$AA$48="Moderado"),CONCATENATE("R4C",'Mapa final'!$O$48),"")</f>
        <v/>
      </c>
      <c r="AB19" s="51" t="str">
        <f>IF(AND('Mapa final'!$Y$43="Alta",'Mapa final'!$AA$43="Mayor"),CONCATENATE("R4C",'Mapa final'!$O$43),"")</f>
        <v/>
      </c>
      <c r="AC19" s="52" t="str">
        <f>IF(AND('Mapa final'!$Y$44="Alta",'Mapa final'!$AA$44="Mayor"),CONCATENATE("R4C",'Mapa final'!$O$44),"")</f>
        <v/>
      </c>
      <c r="AD19" s="52" t="str">
        <f>IF(AND('Mapa final'!$Y$45="Alta",'Mapa final'!$AA$45="Mayor"),CONCATENATE("R4C",'Mapa final'!$O$45),"")</f>
        <v/>
      </c>
      <c r="AE19" s="52" t="str">
        <f>IF(AND('Mapa final'!$Y$46="Alta",'Mapa final'!$AA$46="Mayor"),CONCATENATE("R4C",'Mapa final'!$O$46),"")</f>
        <v/>
      </c>
      <c r="AF19" s="52" t="str">
        <f>IF(AND('Mapa final'!$Y$47="Alta",'Mapa final'!$AA$47="Mayor"),CONCATENATE("R4C",'Mapa final'!$O$47),"")</f>
        <v/>
      </c>
      <c r="AG19" s="53" t="str">
        <f>IF(AND('Mapa final'!$Y$48="Alta",'Mapa final'!$AA$48="Mayor"),CONCATENATE("R4C",'Mapa final'!$O$48),"")</f>
        <v/>
      </c>
      <c r="AH19" s="54" t="str">
        <f>IF(AND('Mapa final'!$Y$43="Alta",'Mapa final'!$AA$43="Catastrófico"),CONCATENATE("R4C",'Mapa final'!$O$43),"")</f>
        <v/>
      </c>
      <c r="AI19" s="55" t="str">
        <f>IF(AND('Mapa final'!$Y$44="Alta",'Mapa final'!$AA$44="Catastrófico"),CONCATENATE("R4C",'Mapa final'!$O$44),"")</f>
        <v/>
      </c>
      <c r="AJ19" s="55" t="str">
        <f>IF(AND('Mapa final'!$Y$45="Alta",'Mapa final'!$AA$45="Catastrófico"),CONCATENATE("R4C",'Mapa final'!$O$45),"")</f>
        <v/>
      </c>
      <c r="AK19" s="55" t="str">
        <f>IF(AND('Mapa final'!$Y$46="Alta",'Mapa final'!$AA$46="Catastrófico"),CONCATENATE("R4C",'Mapa final'!$O$46),"")</f>
        <v/>
      </c>
      <c r="AL19" s="55" t="str">
        <f>IF(AND('Mapa final'!$Y$47="Alta",'Mapa final'!$AA$47="Catastrófico"),CONCATENATE("R4C",'Mapa final'!$O$47),"")</f>
        <v/>
      </c>
      <c r="AM19" s="56" t="str">
        <f>IF(AND('Mapa final'!$Y$48="Alta",'Mapa final'!$AA$48="Catastrófico"),CONCATENATE("R4C",'Mapa final'!$O$48),"")</f>
        <v/>
      </c>
      <c r="AN19" s="82"/>
      <c r="AO19" s="449"/>
      <c r="AP19" s="450"/>
      <c r="AQ19" s="450"/>
      <c r="AR19" s="450"/>
      <c r="AS19" s="450"/>
      <c r="AT19" s="451"/>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360"/>
      <c r="C20" s="360"/>
      <c r="D20" s="361"/>
      <c r="E20" s="459"/>
      <c r="F20" s="458"/>
      <c r="G20" s="458"/>
      <c r="H20" s="458"/>
      <c r="I20" s="458"/>
      <c r="J20" s="66" t="str">
        <f>IF(AND('Mapa final'!$Y$49="Alta",'Mapa final'!$AA$49="Leve"),CONCATENATE("R5C",'Mapa final'!$O$49),"")</f>
        <v/>
      </c>
      <c r="K20" s="67" t="str">
        <f>IF(AND('Mapa final'!$Y$50="Alta",'Mapa final'!$AA$50="Leve"),CONCATENATE("R5C",'Mapa final'!$O$50),"")</f>
        <v/>
      </c>
      <c r="L20" s="67" t="str">
        <f>IF(AND('Mapa final'!$Y$51="Alta",'Mapa final'!$AA$51="Leve"),CONCATENATE("R5C",'Mapa final'!$O$51),"")</f>
        <v/>
      </c>
      <c r="M20" s="67" t="str">
        <f>IF(AND('Mapa final'!$Y$52="Alta",'Mapa final'!$AA$52="Leve"),CONCATENATE("R5C",'Mapa final'!$O$52),"")</f>
        <v/>
      </c>
      <c r="N20" s="67" t="str">
        <f>IF(AND('Mapa final'!$Y$53="Alta",'Mapa final'!$AA$53="Leve"),CONCATENATE("R5C",'Mapa final'!$O$53),"")</f>
        <v/>
      </c>
      <c r="O20" s="68" t="str">
        <f>IF(AND('Mapa final'!$Y$54="Alta",'Mapa final'!$AA$54="Leve"),CONCATENATE("R5C",'Mapa final'!$O$54),"")</f>
        <v/>
      </c>
      <c r="P20" s="66" t="str">
        <f>IF(AND('Mapa final'!$Y$49="Alta",'Mapa final'!$AA$49="Menor"),CONCATENATE("R5C",'Mapa final'!$O$49),"")</f>
        <v/>
      </c>
      <c r="Q20" s="67" t="str">
        <f>IF(AND('Mapa final'!$Y$50="Alta",'Mapa final'!$AA$50="Menor"),CONCATENATE("R5C",'Mapa final'!$O$50),"")</f>
        <v/>
      </c>
      <c r="R20" s="67" t="str">
        <f>IF(AND('Mapa final'!$Y$51="Alta",'Mapa final'!$AA$51="Menor"),CONCATENATE("R5C",'Mapa final'!$O$51),"")</f>
        <v/>
      </c>
      <c r="S20" s="67" t="str">
        <f>IF(AND('Mapa final'!$Y$52="Alta",'Mapa final'!$AA$52="Menor"),CONCATENATE("R5C",'Mapa final'!$O$52),"")</f>
        <v/>
      </c>
      <c r="T20" s="67" t="str">
        <f>IF(AND('Mapa final'!$Y$53="Alta",'Mapa final'!$AA$53="Menor"),CONCATENATE("R5C",'Mapa final'!$O$53),"")</f>
        <v/>
      </c>
      <c r="U20" s="68" t="str">
        <f>IF(AND('Mapa final'!$Y$54="Alta",'Mapa final'!$AA$54="Menor"),CONCATENATE("R5C",'Mapa final'!$O$54),"")</f>
        <v/>
      </c>
      <c r="V20" s="51" t="str">
        <f>IF(AND('Mapa final'!$Y$49="Alta",'Mapa final'!$AA$49="Moderado"),CONCATENATE("R5C",'Mapa final'!$O$49),"")</f>
        <v/>
      </c>
      <c r="W20" s="52" t="str">
        <f>IF(AND('Mapa final'!$Y$50="Alta",'Mapa final'!$AA$50="Moderado"),CONCATENATE("R5C",'Mapa final'!$O$50),"")</f>
        <v/>
      </c>
      <c r="X20" s="52" t="str">
        <f>IF(AND('Mapa final'!$Y$51="Alta",'Mapa final'!$AA$51="Moderado"),CONCATENATE("R5C",'Mapa final'!$O$51),"")</f>
        <v/>
      </c>
      <c r="Y20" s="52" t="str">
        <f>IF(AND('Mapa final'!$Y$52="Alta",'Mapa final'!$AA$52="Moderado"),CONCATENATE("R5C",'Mapa final'!$O$52),"")</f>
        <v/>
      </c>
      <c r="Z20" s="52" t="str">
        <f>IF(AND('Mapa final'!$Y$53="Alta",'Mapa final'!$AA$53="Moderado"),CONCATENATE("R5C",'Mapa final'!$O$53),"")</f>
        <v/>
      </c>
      <c r="AA20" s="53" t="str">
        <f>IF(AND('Mapa final'!$Y$54="Alta",'Mapa final'!$AA$54="Moderado"),CONCATENATE("R5C",'Mapa final'!$O$54),"")</f>
        <v/>
      </c>
      <c r="AB20" s="51" t="str">
        <f>IF(AND('Mapa final'!$Y$49="Alta",'Mapa final'!$AA$49="Mayor"),CONCATENATE("R5C",'Mapa final'!$O$49),"")</f>
        <v/>
      </c>
      <c r="AC20" s="52" t="str">
        <f>IF(AND('Mapa final'!$Y$50="Alta",'Mapa final'!$AA$50="Mayor"),CONCATENATE("R5C",'Mapa final'!$O$50),"")</f>
        <v/>
      </c>
      <c r="AD20" s="52" t="str">
        <f>IF(AND('Mapa final'!$Y$51="Alta",'Mapa final'!$AA$51="Mayor"),CONCATENATE("R5C",'Mapa final'!$O$51),"")</f>
        <v/>
      </c>
      <c r="AE20" s="52" t="str">
        <f>IF(AND('Mapa final'!$Y$52="Alta",'Mapa final'!$AA$52="Mayor"),CONCATENATE("R5C",'Mapa final'!$O$52),"")</f>
        <v/>
      </c>
      <c r="AF20" s="52" t="str">
        <f>IF(AND('Mapa final'!$Y$53="Alta",'Mapa final'!$AA$53="Mayor"),CONCATENATE("R5C",'Mapa final'!$O$53),"")</f>
        <v/>
      </c>
      <c r="AG20" s="53" t="str">
        <f>IF(AND('Mapa final'!$Y$54="Alta",'Mapa final'!$AA$54="Mayor"),CONCATENATE("R5C",'Mapa final'!$O$54),"")</f>
        <v/>
      </c>
      <c r="AH20" s="54" t="str">
        <f>IF(AND('Mapa final'!$Y$49="Alta",'Mapa final'!$AA$49="Catastrófico"),CONCATENATE("R5C",'Mapa final'!$O$49),"")</f>
        <v/>
      </c>
      <c r="AI20" s="55" t="str">
        <f>IF(AND('Mapa final'!$Y$50="Alta",'Mapa final'!$AA$50="Catastrófico"),CONCATENATE("R5C",'Mapa final'!$O$50),"")</f>
        <v/>
      </c>
      <c r="AJ20" s="55" t="str">
        <f>IF(AND('Mapa final'!$Y$51="Alta",'Mapa final'!$AA$51="Catastrófico"),CONCATENATE("R5C",'Mapa final'!$O$51),"")</f>
        <v/>
      </c>
      <c r="AK20" s="55" t="str">
        <f>IF(AND('Mapa final'!$Y$52="Alta",'Mapa final'!$AA$52="Catastrófico"),CONCATENATE("R5C",'Mapa final'!$O$52),"")</f>
        <v/>
      </c>
      <c r="AL20" s="55" t="str">
        <f>IF(AND('Mapa final'!$Y$53="Alta",'Mapa final'!$AA$53="Catastrófico"),CONCATENATE("R5C",'Mapa final'!$O$53),"")</f>
        <v/>
      </c>
      <c r="AM20" s="56" t="str">
        <f>IF(AND('Mapa final'!$Y$54="Alta",'Mapa final'!$AA$54="Catastrófico"),CONCATENATE("R5C",'Mapa final'!$O$54),"")</f>
        <v/>
      </c>
      <c r="AN20" s="82"/>
      <c r="AO20" s="449"/>
      <c r="AP20" s="450"/>
      <c r="AQ20" s="450"/>
      <c r="AR20" s="450"/>
      <c r="AS20" s="450"/>
      <c r="AT20" s="451"/>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360"/>
      <c r="C21" s="360"/>
      <c r="D21" s="361"/>
      <c r="E21" s="459"/>
      <c r="F21" s="458"/>
      <c r="G21" s="458"/>
      <c r="H21" s="458"/>
      <c r="I21" s="458"/>
      <c r="J21" s="66" t="str">
        <f>IF(AND('Mapa final'!$Y$55="Alta",'Mapa final'!$AA$55="Leve"),CONCATENATE("R6C",'Mapa final'!$O$55),"")</f>
        <v/>
      </c>
      <c r="K21" s="67" t="str">
        <f>IF(AND('Mapa final'!$Y$56="Alta",'Mapa final'!$AA$56="Leve"),CONCATENATE("R6C",'Mapa final'!$O$56),"")</f>
        <v/>
      </c>
      <c r="L21" s="67" t="str">
        <f>IF(AND('Mapa final'!$Y$57="Alta",'Mapa final'!$AA$57="Leve"),CONCATENATE("R6C",'Mapa final'!$O$57),"")</f>
        <v/>
      </c>
      <c r="M21" s="67" t="str">
        <f>IF(AND('Mapa final'!$Y$58="Alta",'Mapa final'!$AA$58="Leve"),CONCATENATE("R6C",'Mapa final'!$O$58),"")</f>
        <v/>
      </c>
      <c r="N21" s="67" t="str">
        <f>IF(AND('Mapa final'!$Y$59="Alta",'Mapa final'!$AA$59="Leve"),CONCATENATE("R6C",'Mapa final'!$O$59),"")</f>
        <v/>
      </c>
      <c r="O21" s="68" t="str">
        <f>IF(AND('Mapa final'!$Y$60="Alta",'Mapa final'!$AA$60="Leve"),CONCATENATE("R6C",'Mapa final'!$O$60),"")</f>
        <v/>
      </c>
      <c r="P21" s="66" t="str">
        <f>IF(AND('Mapa final'!$Y$55="Alta",'Mapa final'!$AA$55="Menor"),CONCATENATE("R6C",'Mapa final'!$O$55),"")</f>
        <v/>
      </c>
      <c r="Q21" s="67" t="str">
        <f>IF(AND('Mapa final'!$Y$56="Alta",'Mapa final'!$AA$56="Menor"),CONCATENATE("R6C",'Mapa final'!$O$56),"")</f>
        <v/>
      </c>
      <c r="R21" s="67" t="str">
        <f>IF(AND('Mapa final'!$Y$57="Alta",'Mapa final'!$AA$57="Menor"),CONCATENATE("R6C",'Mapa final'!$O$57),"")</f>
        <v/>
      </c>
      <c r="S21" s="67" t="str">
        <f>IF(AND('Mapa final'!$Y$58="Alta",'Mapa final'!$AA$58="Menor"),CONCATENATE("R6C",'Mapa final'!$O$58),"")</f>
        <v/>
      </c>
      <c r="T21" s="67" t="str">
        <f>IF(AND('Mapa final'!$Y$59="Alta",'Mapa final'!$AA$59="Menor"),CONCATENATE("R6C",'Mapa final'!$O$59),"")</f>
        <v/>
      </c>
      <c r="U21" s="68" t="str">
        <f>IF(AND('Mapa final'!$Y$60="Alta",'Mapa final'!$AA$60="Menor"),CONCATENATE("R6C",'Mapa final'!$O$60),"")</f>
        <v/>
      </c>
      <c r="V21" s="51" t="str">
        <f>IF(AND('Mapa final'!$Y$55="Alta",'Mapa final'!$AA$55="Moderado"),CONCATENATE("R6C",'Mapa final'!$O$55),"")</f>
        <v/>
      </c>
      <c r="W21" s="52" t="str">
        <f>IF(AND('Mapa final'!$Y$56="Alta",'Mapa final'!$AA$56="Moderado"),CONCATENATE("R6C",'Mapa final'!$O$56),"")</f>
        <v/>
      </c>
      <c r="X21" s="52" t="str">
        <f>IF(AND('Mapa final'!$Y$57="Alta",'Mapa final'!$AA$57="Moderado"),CONCATENATE("R6C",'Mapa final'!$O$57),"")</f>
        <v/>
      </c>
      <c r="Y21" s="52" t="str">
        <f>IF(AND('Mapa final'!$Y$58="Alta",'Mapa final'!$AA$58="Moderado"),CONCATENATE("R6C",'Mapa final'!$O$58),"")</f>
        <v/>
      </c>
      <c r="Z21" s="52" t="str">
        <f>IF(AND('Mapa final'!$Y$59="Alta",'Mapa final'!$AA$59="Moderado"),CONCATENATE("R6C",'Mapa final'!$O$59),"")</f>
        <v/>
      </c>
      <c r="AA21" s="53" t="str">
        <f>IF(AND('Mapa final'!$Y$60="Alta",'Mapa final'!$AA$60="Moderado"),CONCATENATE("R6C",'Mapa final'!$O$60),"")</f>
        <v/>
      </c>
      <c r="AB21" s="51" t="str">
        <f>IF(AND('Mapa final'!$Y$55="Alta",'Mapa final'!$AA$55="Mayor"),CONCATENATE("R6C",'Mapa final'!$O$55),"")</f>
        <v/>
      </c>
      <c r="AC21" s="52" t="str">
        <f>IF(AND('Mapa final'!$Y$56="Alta",'Mapa final'!$AA$56="Mayor"),CONCATENATE("R6C",'Mapa final'!$O$56),"")</f>
        <v/>
      </c>
      <c r="AD21" s="52" t="str">
        <f>IF(AND('Mapa final'!$Y$57="Alta",'Mapa final'!$AA$57="Mayor"),CONCATENATE("R6C",'Mapa final'!$O$57),"")</f>
        <v/>
      </c>
      <c r="AE21" s="52" t="str">
        <f>IF(AND('Mapa final'!$Y$58="Alta",'Mapa final'!$AA$58="Mayor"),CONCATENATE("R6C",'Mapa final'!$O$58),"")</f>
        <v/>
      </c>
      <c r="AF21" s="52" t="str">
        <f>IF(AND('Mapa final'!$Y$59="Alta",'Mapa final'!$AA$59="Mayor"),CONCATENATE("R6C",'Mapa final'!$O$59),"")</f>
        <v/>
      </c>
      <c r="AG21" s="53" t="str">
        <f>IF(AND('Mapa final'!$Y$60="Alta",'Mapa final'!$AA$60="Mayor"),CONCATENATE("R6C",'Mapa final'!$O$60),"")</f>
        <v/>
      </c>
      <c r="AH21" s="54" t="str">
        <f>IF(AND('Mapa final'!$Y$55="Alta",'Mapa final'!$AA$55="Catastrófico"),CONCATENATE("R6C",'Mapa final'!$O$55),"")</f>
        <v/>
      </c>
      <c r="AI21" s="55" t="str">
        <f>IF(AND('Mapa final'!$Y$56="Alta",'Mapa final'!$AA$56="Catastrófico"),CONCATENATE("R6C",'Mapa final'!$O$56),"")</f>
        <v/>
      </c>
      <c r="AJ21" s="55" t="str">
        <f>IF(AND('Mapa final'!$Y$57="Alta",'Mapa final'!$AA$57="Catastrófico"),CONCATENATE("R6C",'Mapa final'!$O$57),"")</f>
        <v/>
      </c>
      <c r="AK21" s="55" t="str">
        <f>IF(AND('Mapa final'!$Y$58="Alta",'Mapa final'!$AA$58="Catastrófico"),CONCATENATE("R6C",'Mapa final'!$O$58),"")</f>
        <v/>
      </c>
      <c r="AL21" s="55" t="str">
        <f>IF(AND('Mapa final'!$Y$59="Alta",'Mapa final'!$AA$59="Catastrófico"),CONCATENATE("R6C",'Mapa final'!$O$59),"")</f>
        <v/>
      </c>
      <c r="AM21" s="56" t="str">
        <f>IF(AND('Mapa final'!$Y$60="Alta",'Mapa final'!$AA$60="Catastrófico"),CONCATENATE("R6C",'Mapa final'!$O$60),"")</f>
        <v/>
      </c>
      <c r="AN21" s="82"/>
      <c r="AO21" s="449"/>
      <c r="AP21" s="450"/>
      <c r="AQ21" s="450"/>
      <c r="AR21" s="450"/>
      <c r="AS21" s="450"/>
      <c r="AT21" s="451"/>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360"/>
      <c r="C22" s="360"/>
      <c r="D22" s="361"/>
      <c r="E22" s="459"/>
      <c r="F22" s="458"/>
      <c r="G22" s="458"/>
      <c r="H22" s="458"/>
      <c r="I22" s="458"/>
      <c r="J22" s="66" t="str">
        <f>IF(AND('Mapa final'!$Y$61="Alta",'Mapa final'!$AA$61="Leve"),CONCATENATE("R7C",'Mapa final'!$O$61),"")</f>
        <v/>
      </c>
      <c r="K22" s="67" t="str">
        <f>IF(AND('Mapa final'!$Y$62="Alta",'Mapa final'!$AA$62="Leve"),CONCATENATE("R7C",'Mapa final'!$O$62),"")</f>
        <v/>
      </c>
      <c r="L22" s="67" t="str">
        <f>IF(AND('Mapa final'!$Y$63="Alta",'Mapa final'!$AA$63="Leve"),CONCATENATE("R7C",'Mapa final'!$O$63),"")</f>
        <v/>
      </c>
      <c r="M22" s="67" t="str">
        <f>IF(AND('Mapa final'!$Y$64="Alta",'Mapa final'!$AA$64="Leve"),CONCATENATE("R7C",'Mapa final'!$O$64),"")</f>
        <v/>
      </c>
      <c r="N22" s="67" t="str">
        <f>IF(AND('Mapa final'!$Y$65="Alta",'Mapa final'!$AA$65="Leve"),CONCATENATE("R7C",'Mapa final'!$O$65),"")</f>
        <v/>
      </c>
      <c r="O22" s="68" t="str">
        <f>IF(AND('Mapa final'!$Y$66="Alta",'Mapa final'!$AA$66="Leve"),CONCATENATE("R7C",'Mapa final'!$O$66),"")</f>
        <v/>
      </c>
      <c r="P22" s="66" t="str">
        <f>IF(AND('Mapa final'!$Y$61="Alta",'Mapa final'!$AA$61="Menor"),CONCATENATE("R7C",'Mapa final'!$O$61),"")</f>
        <v/>
      </c>
      <c r="Q22" s="67" t="str">
        <f>IF(AND('Mapa final'!$Y$62="Alta",'Mapa final'!$AA$62="Menor"),CONCATENATE("R7C",'Mapa final'!$O$62),"")</f>
        <v/>
      </c>
      <c r="R22" s="67" t="str">
        <f>IF(AND('Mapa final'!$Y$63="Alta",'Mapa final'!$AA$63="Menor"),CONCATENATE("R7C",'Mapa final'!$O$63),"")</f>
        <v/>
      </c>
      <c r="S22" s="67" t="str">
        <f>IF(AND('Mapa final'!$Y$64="Alta",'Mapa final'!$AA$64="Menor"),CONCATENATE("R7C",'Mapa final'!$O$64),"")</f>
        <v/>
      </c>
      <c r="T22" s="67" t="str">
        <f>IF(AND('Mapa final'!$Y$65="Alta",'Mapa final'!$AA$65="Menor"),CONCATENATE("R7C",'Mapa final'!$O$65),"")</f>
        <v/>
      </c>
      <c r="U22" s="68" t="str">
        <f>IF(AND('Mapa final'!$Y$66="Alta",'Mapa final'!$AA$66="Menor"),CONCATENATE("R7C",'Mapa final'!$O$66),"")</f>
        <v/>
      </c>
      <c r="V22" s="51" t="str">
        <f>IF(AND('Mapa final'!$Y$61="Alta",'Mapa final'!$AA$61="Moderado"),CONCATENATE("R7C",'Mapa final'!$O$61),"")</f>
        <v/>
      </c>
      <c r="W22" s="52" t="str">
        <f>IF(AND('Mapa final'!$Y$62="Alta",'Mapa final'!$AA$62="Moderado"),CONCATENATE("R7C",'Mapa final'!$O$62),"")</f>
        <v/>
      </c>
      <c r="X22" s="52" t="str">
        <f>IF(AND('Mapa final'!$Y$63="Alta",'Mapa final'!$AA$63="Moderado"),CONCATENATE("R7C",'Mapa final'!$O$63),"")</f>
        <v/>
      </c>
      <c r="Y22" s="52" t="str">
        <f>IF(AND('Mapa final'!$Y$64="Alta",'Mapa final'!$AA$64="Moderado"),CONCATENATE("R7C",'Mapa final'!$O$64),"")</f>
        <v/>
      </c>
      <c r="Z22" s="52" t="str">
        <f>IF(AND('Mapa final'!$Y$65="Alta",'Mapa final'!$AA$65="Moderado"),CONCATENATE("R7C",'Mapa final'!$O$65),"")</f>
        <v/>
      </c>
      <c r="AA22" s="53" t="str">
        <f>IF(AND('Mapa final'!$Y$66="Alta",'Mapa final'!$AA$66="Moderado"),CONCATENATE("R7C",'Mapa final'!$O$66),"")</f>
        <v/>
      </c>
      <c r="AB22" s="51" t="str">
        <f>IF(AND('Mapa final'!$Y$61="Alta",'Mapa final'!$AA$61="Mayor"),CONCATENATE("R7C",'Mapa final'!$O$61),"")</f>
        <v/>
      </c>
      <c r="AC22" s="52" t="str">
        <f>IF(AND('Mapa final'!$Y$62="Alta",'Mapa final'!$AA$62="Mayor"),CONCATENATE("R7C",'Mapa final'!$O$62),"")</f>
        <v/>
      </c>
      <c r="AD22" s="52" t="str">
        <f>IF(AND('Mapa final'!$Y$63="Alta",'Mapa final'!$AA$63="Mayor"),CONCATENATE("R7C",'Mapa final'!$O$63),"")</f>
        <v/>
      </c>
      <c r="AE22" s="52" t="str">
        <f>IF(AND('Mapa final'!$Y$64="Alta",'Mapa final'!$AA$64="Mayor"),CONCATENATE("R7C",'Mapa final'!$O$64),"")</f>
        <v/>
      </c>
      <c r="AF22" s="52" t="str">
        <f>IF(AND('Mapa final'!$Y$65="Alta",'Mapa final'!$AA$65="Mayor"),CONCATENATE("R7C",'Mapa final'!$O$65),"")</f>
        <v/>
      </c>
      <c r="AG22" s="53" t="str">
        <f>IF(AND('Mapa final'!$Y$66="Alta",'Mapa final'!$AA$66="Mayor"),CONCATENATE("R7C",'Mapa final'!$O$66),"")</f>
        <v/>
      </c>
      <c r="AH22" s="54" t="str">
        <f>IF(AND('Mapa final'!$Y$61="Alta",'Mapa final'!$AA$61="Catastrófico"),CONCATENATE("R7C",'Mapa final'!$O$61),"")</f>
        <v/>
      </c>
      <c r="AI22" s="55" t="str">
        <f>IF(AND('Mapa final'!$Y$62="Alta",'Mapa final'!$AA$62="Catastrófico"),CONCATENATE("R7C",'Mapa final'!$O$62),"")</f>
        <v/>
      </c>
      <c r="AJ22" s="55" t="str">
        <f>IF(AND('Mapa final'!$Y$63="Alta",'Mapa final'!$AA$63="Catastrófico"),CONCATENATE("R7C",'Mapa final'!$O$63),"")</f>
        <v/>
      </c>
      <c r="AK22" s="55" t="str">
        <f>IF(AND('Mapa final'!$Y$64="Alta",'Mapa final'!$AA$64="Catastrófico"),CONCATENATE("R7C",'Mapa final'!$O$64),"")</f>
        <v/>
      </c>
      <c r="AL22" s="55" t="str">
        <f>IF(AND('Mapa final'!$Y$65="Alta",'Mapa final'!$AA$65="Catastrófico"),CONCATENATE("R7C",'Mapa final'!$O$65),"")</f>
        <v/>
      </c>
      <c r="AM22" s="56" t="str">
        <f>IF(AND('Mapa final'!$Y$66="Alta",'Mapa final'!$AA$66="Catastrófico"),CONCATENATE("R7C",'Mapa final'!$O$66),"")</f>
        <v/>
      </c>
      <c r="AN22" s="82"/>
      <c r="AO22" s="449"/>
      <c r="AP22" s="450"/>
      <c r="AQ22" s="450"/>
      <c r="AR22" s="450"/>
      <c r="AS22" s="450"/>
      <c r="AT22" s="451"/>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360"/>
      <c r="C23" s="360"/>
      <c r="D23" s="361"/>
      <c r="E23" s="459"/>
      <c r="F23" s="458"/>
      <c r="G23" s="458"/>
      <c r="H23" s="458"/>
      <c r="I23" s="458"/>
      <c r="J23" s="66" t="str">
        <f>IF(AND('Mapa final'!$Y$67="Alta",'Mapa final'!$AA$67="Leve"),CONCATENATE("R8C",'Mapa final'!$O$67),"")</f>
        <v/>
      </c>
      <c r="K23" s="67" t="str">
        <f>IF(AND('Mapa final'!$Y$68="Alta",'Mapa final'!$AA$68="Leve"),CONCATENATE("R8C",'Mapa final'!$O$68),"")</f>
        <v/>
      </c>
      <c r="L23" s="67" t="str">
        <f>IF(AND('Mapa final'!$Y$69="Alta",'Mapa final'!$AA$69="Leve"),CONCATENATE("R8C",'Mapa final'!$O$69),"")</f>
        <v/>
      </c>
      <c r="M23" s="67" t="str">
        <f>IF(AND('Mapa final'!$Y$70="Alta",'Mapa final'!$AA$70="Leve"),CONCATENATE("R8C",'Mapa final'!$O$70),"")</f>
        <v/>
      </c>
      <c r="N23" s="67" t="str">
        <f>IF(AND('Mapa final'!$Y$71="Alta",'Mapa final'!$AA$71="Leve"),CONCATENATE("R8C",'Mapa final'!$O$71),"")</f>
        <v/>
      </c>
      <c r="O23" s="68" t="str">
        <f>IF(AND('Mapa final'!$Y$72="Alta",'Mapa final'!$AA$72="Leve"),CONCATENATE("R8C",'Mapa final'!$O$72),"")</f>
        <v/>
      </c>
      <c r="P23" s="66" t="str">
        <f>IF(AND('Mapa final'!$Y$67="Alta",'Mapa final'!$AA$67="Menor"),CONCATENATE("R8C",'Mapa final'!$O$67),"")</f>
        <v/>
      </c>
      <c r="Q23" s="67" t="str">
        <f>IF(AND('Mapa final'!$Y$68="Alta",'Mapa final'!$AA$68="Menor"),CONCATENATE("R8C",'Mapa final'!$O$68),"")</f>
        <v/>
      </c>
      <c r="R23" s="67" t="str">
        <f>IF(AND('Mapa final'!$Y$69="Alta",'Mapa final'!$AA$69="Menor"),CONCATENATE("R8C",'Mapa final'!$O$69),"")</f>
        <v/>
      </c>
      <c r="S23" s="67" t="str">
        <f>IF(AND('Mapa final'!$Y$70="Alta",'Mapa final'!$AA$70="Menor"),CONCATENATE("R8C",'Mapa final'!$O$70),"")</f>
        <v/>
      </c>
      <c r="T23" s="67" t="str">
        <f>IF(AND('Mapa final'!$Y$71="Alta",'Mapa final'!$AA$71="Menor"),CONCATENATE("R8C",'Mapa final'!$O$71),"")</f>
        <v/>
      </c>
      <c r="U23" s="68" t="str">
        <f>IF(AND('Mapa final'!$Y$72="Alta",'Mapa final'!$AA$72="Menor"),CONCATENATE("R8C",'Mapa final'!$O$72),"")</f>
        <v/>
      </c>
      <c r="V23" s="51" t="str">
        <f>IF(AND('Mapa final'!$Y$67="Alta",'Mapa final'!$AA$67="Moderado"),CONCATENATE("R8C",'Mapa final'!$O$67),"")</f>
        <v/>
      </c>
      <c r="W23" s="52" t="str">
        <f>IF(AND('Mapa final'!$Y$68="Alta",'Mapa final'!$AA$68="Moderado"),CONCATENATE("R8C",'Mapa final'!$O$68),"")</f>
        <v/>
      </c>
      <c r="X23" s="52" t="str">
        <f>IF(AND('Mapa final'!$Y$69="Alta",'Mapa final'!$AA$69="Moderado"),CONCATENATE("R8C",'Mapa final'!$O$69),"")</f>
        <v/>
      </c>
      <c r="Y23" s="52" t="str">
        <f>IF(AND('Mapa final'!$Y$70="Alta",'Mapa final'!$AA$70="Moderado"),CONCATENATE("R8C",'Mapa final'!$O$70),"")</f>
        <v/>
      </c>
      <c r="Z23" s="52" t="str">
        <f>IF(AND('Mapa final'!$Y$71="Alta",'Mapa final'!$AA$71="Moderado"),CONCATENATE("R8C",'Mapa final'!$O$71),"")</f>
        <v/>
      </c>
      <c r="AA23" s="53" t="str">
        <f>IF(AND('Mapa final'!$Y$72="Alta",'Mapa final'!$AA$72="Moderado"),CONCATENATE("R8C",'Mapa final'!$O$72),"")</f>
        <v/>
      </c>
      <c r="AB23" s="51" t="str">
        <f>IF(AND('Mapa final'!$Y$67="Alta",'Mapa final'!$AA$67="Mayor"),CONCATENATE("R8C",'Mapa final'!$O$67),"")</f>
        <v/>
      </c>
      <c r="AC23" s="52" t="str">
        <f>IF(AND('Mapa final'!$Y$68="Alta",'Mapa final'!$AA$68="Mayor"),CONCATENATE("R8C",'Mapa final'!$O$68),"")</f>
        <v/>
      </c>
      <c r="AD23" s="52" t="str">
        <f>IF(AND('Mapa final'!$Y$69="Alta",'Mapa final'!$AA$69="Mayor"),CONCATENATE("R8C",'Mapa final'!$O$69),"")</f>
        <v/>
      </c>
      <c r="AE23" s="52" t="str">
        <f>IF(AND('Mapa final'!$Y$70="Alta",'Mapa final'!$AA$70="Mayor"),CONCATENATE("R8C",'Mapa final'!$O$70),"")</f>
        <v/>
      </c>
      <c r="AF23" s="52" t="str">
        <f>IF(AND('Mapa final'!$Y$71="Alta",'Mapa final'!$AA$71="Mayor"),CONCATENATE("R8C",'Mapa final'!$O$71),"")</f>
        <v/>
      </c>
      <c r="AG23" s="53" t="str">
        <f>IF(AND('Mapa final'!$Y$72="Alta",'Mapa final'!$AA$72="Mayor"),CONCATENATE("R8C",'Mapa final'!$O$72),"")</f>
        <v/>
      </c>
      <c r="AH23" s="54" t="str">
        <f>IF(AND('Mapa final'!$Y$67="Alta",'Mapa final'!$AA$67="Catastrófico"),CONCATENATE("R8C",'Mapa final'!$O$67),"")</f>
        <v/>
      </c>
      <c r="AI23" s="55" t="str">
        <f>IF(AND('Mapa final'!$Y$68="Alta",'Mapa final'!$AA$68="Catastrófico"),CONCATENATE("R8C",'Mapa final'!$O$68),"")</f>
        <v/>
      </c>
      <c r="AJ23" s="55" t="str">
        <f>IF(AND('Mapa final'!$Y$69="Alta",'Mapa final'!$AA$69="Catastrófico"),CONCATENATE("R8C",'Mapa final'!$O$69),"")</f>
        <v/>
      </c>
      <c r="AK23" s="55" t="str">
        <f>IF(AND('Mapa final'!$Y$70="Alta",'Mapa final'!$AA$70="Catastrófico"),CONCATENATE("R8C",'Mapa final'!$O$70),"")</f>
        <v/>
      </c>
      <c r="AL23" s="55" t="str">
        <f>IF(AND('Mapa final'!$Y$71="Alta",'Mapa final'!$AA$71="Catastrófico"),CONCATENATE("R8C",'Mapa final'!$O$71),"")</f>
        <v/>
      </c>
      <c r="AM23" s="56" t="str">
        <f>IF(AND('Mapa final'!$Y$72="Alta",'Mapa final'!$AA$72="Catastrófico"),CONCATENATE("R8C",'Mapa final'!$O$72),"")</f>
        <v/>
      </c>
      <c r="AN23" s="82"/>
      <c r="AO23" s="449"/>
      <c r="AP23" s="450"/>
      <c r="AQ23" s="450"/>
      <c r="AR23" s="450"/>
      <c r="AS23" s="450"/>
      <c r="AT23" s="451"/>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360"/>
      <c r="C24" s="360"/>
      <c r="D24" s="361"/>
      <c r="E24" s="459"/>
      <c r="F24" s="458"/>
      <c r="G24" s="458"/>
      <c r="H24" s="458"/>
      <c r="I24" s="458"/>
      <c r="J24" s="66" t="str">
        <f>IF(AND('Mapa final'!$Y$73="Alta",'Mapa final'!$AA$73="Leve"),CONCATENATE("R9C",'Mapa final'!$O$73),"")</f>
        <v/>
      </c>
      <c r="K24" s="67" t="str">
        <f>IF(AND('Mapa final'!$Y$74="Alta",'Mapa final'!$AA$74="Leve"),CONCATENATE("R9C",'Mapa final'!$O$74),"")</f>
        <v/>
      </c>
      <c r="L24" s="67" t="str">
        <f>IF(AND('Mapa final'!$Y$75="Alta",'Mapa final'!$AA$75="Leve"),CONCATENATE("R9C",'Mapa final'!$O$75),"")</f>
        <v/>
      </c>
      <c r="M24" s="67" t="str">
        <f>IF(AND('Mapa final'!$Y$76="Alta",'Mapa final'!$AA$76="Leve"),CONCATENATE("R9C",'Mapa final'!$O$76),"")</f>
        <v/>
      </c>
      <c r="N24" s="67" t="str">
        <f>IF(AND('Mapa final'!$Y$77="Alta",'Mapa final'!$AA$77="Leve"),CONCATENATE("R9C",'Mapa final'!$O$77),"")</f>
        <v/>
      </c>
      <c r="O24" s="68" t="str">
        <f>IF(AND('Mapa final'!$Y$78="Alta",'Mapa final'!$AA$78="Leve"),CONCATENATE("R9C",'Mapa final'!$O$78),"")</f>
        <v/>
      </c>
      <c r="P24" s="66" t="str">
        <f>IF(AND('Mapa final'!$Y$73="Alta",'Mapa final'!$AA$73="Menor"),CONCATENATE("R9C",'Mapa final'!$O$73),"")</f>
        <v/>
      </c>
      <c r="Q24" s="67" t="str">
        <f>IF(AND('Mapa final'!$Y$74="Alta",'Mapa final'!$AA$74="Menor"),CONCATENATE("R9C",'Mapa final'!$O$74),"")</f>
        <v/>
      </c>
      <c r="R24" s="67" t="str">
        <f>IF(AND('Mapa final'!$Y$75="Alta",'Mapa final'!$AA$75="Menor"),CONCATENATE("R9C",'Mapa final'!$O$75),"")</f>
        <v/>
      </c>
      <c r="S24" s="67" t="str">
        <f>IF(AND('Mapa final'!$Y$76="Alta",'Mapa final'!$AA$76="Menor"),CONCATENATE("R9C",'Mapa final'!$O$76),"")</f>
        <v/>
      </c>
      <c r="T24" s="67" t="str">
        <f>IF(AND('Mapa final'!$Y$77="Alta",'Mapa final'!$AA$77="Menor"),CONCATENATE("R9C",'Mapa final'!$O$77),"")</f>
        <v/>
      </c>
      <c r="U24" s="68" t="str">
        <f>IF(AND('Mapa final'!$Y$78="Alta",'Mapa final'!$AA$78="Menor"),CONCATENATE("R9C",'Mapa final'!$O$78),"")</f>
        <v/>
      </c>
      <c r="V24" s="51" t="str">
        <f>IF(AND('Mapa final'!$Y$73="Alta",'Mapa final'!$AA$73="Moderado"),CONCATENATE("R9C",'Mapa final'!$O$73),"")</f>
        <v/>
      </c>
      <c r="W24" s="52" t="str">
        <f>IF(AND('Mapa final'!$Y$74="Alta",'Mapa final'!$AA$74="Moderado"),CONCATENATE("R9C",'Mapa final'!$O$74),"")</f>
        <v/>
      </c>
      <c r="X24" s="52" t="str">
        <f>IF(AND('Mapa final'!$Y$75="Alta",'Mapa final'!$AA$75="Moderado"),CONCATENATE("R9C",'Mapa final'!$O$75),"")</f>
        <v/>
      </c>
      <c r="Y24" s="52" t="str">
        <f>IF(AND('Mapa final'!$Y$76="Alta",'Mapa final'!$AA$76="Moderado"),CONCATENATE("R9C",'Mapa final'!$O$76),"")</f>
        <v/>
      </c>
      <c r="Z24" s="52" t="str">
        <f>IF(AND('Mapa final'!$Y$77="Alta",'Mapa final'!$AA$77="Moderado"),CONCATENATE("R9C",'Mapa final'!$O$77),"")</f>
        <v/>
      </c>
      <c r="AA24" s="53" t="str">
        <f>IF(AND('Mapa final'!$Y$78="Alta",'Mapa final'!$AA$78="Moderado"),CONCATENATE("R9C",'Mapa final'!$O$78),"")</f>
        <v/>
      </c>
      <c r="AB24" s="51" t="str">
        <f>IF(AND('Mapa final'!$Y$73="Alta",'Mapa final'!$AA$73="Mayor"),CONCATENATE("R9C",'Mapa final'!$O$73),"")</f>
        <v/>
      </c>
      <c r="AC24" s="52" t="str">
        <f>IF(AND('Mapa final'!$Y$74="Alta",'Mapa final'!$AA$74="Mayor"),CONCATENATE("R9C",'Mapa final'!$O$74),"")</f>
        <v/>
      </c>
      <c r="AD24" s="52" t="str">
        <f>IF(AND('Mapa final'!$Y$75="Alta",'Mapa final'!$AA$75="Mayor"),CONCATENATE("R9C",'Mapa final'!$O$75),"")</f>
        <v/>
      </c>
      <c r="AE24" s="52" t="str">
        <f>IF(AND('Mapa final'!$Y$76="Alta",'Mapa final'!$AA$76="Mayor"),CONCATENATE("R9C",'Mapa final'!$O$76),"")</f>
        <v/>
      </c>
      <c r="AF24" s="52" t="str">
        <f>IF(AND('Mapa final'!$Y$77="Alta",'Mapa final'!$AA$77="Mayor"),CONCATENATE("R9C",'Mapa final'!$O$77),"")</f>
        <v/>
      </c>
      <c r="AG24" s="53" t="str">
        <f>IF(AND('Mapa final'!$Y$78="Alta",'Mapa final'!$AA$78="Mayor"),CONCATENATE("R9C",'Mapa final'!$O$78),"")</f>
        <v/>
      </c>
      <c r="AH24" s="54" t="str">
        <f>IF(AND('Mapa final'!$Y$73="Alta",'Mapa final'!$AA$73="Catastrófico"),CONCATENATE("R9C",'Mapa final'!$O$73),"")</f>
        <v/>
      </c>
      <c r="AI24" s="55" t="str">
        <f>IF(AND('Mapa final'!$Y$74="Alta",'Mapa final'!$AA$74="Catastrófico"),CONCATENATE("R9C",'Mapa final'!$O$74),"")</f>
        <v/>
      </c>
      <c r="AJ24" s="55" t="str">
        <f>IF(AND('Mapa final'!$Y$75="Alta",'Mapa final'!$AA$75="Catastrófico"),CONCATENATE("R9C",'Mapa final'!$O$75),"")</f>
        <v/>
      </c>
      <c r="AK24" s="55" t="str">
        <f>IF(AND('Mapa final'!$Y$76="Alta",'Mapa final'!$AA$76="Catastrófico"),CONCATENATE("R9C",'Mapa final'!$O$76),"")</f>
        <v/>
      </c>
      <c r="AL24" s="55" t="str">
        <f>IF(AND('Mapa final'!$Y$77="Alta",'Mapa final'!$AA$77="Catastrófico"),CONCATENATE("R9C",'Mapa final'!$O$77),"")</f>
        <v/>
      </c>
      <c r="AM24" s="56" t="str">
        <f>IF(AND('Mapa final'!$Y$78="Alta",'Mapa final'!$AA$78="Catastrófico"),CONCATENATE("R9C",'Mapa final'!$O$78),"")</f>
        <v/>
      </c>
      <c r="AN24" s="82"/>
      <c r="AO24" s="449"/>
      <c r="AP24" s="450"/>
      <c r="AQ24" s="450"/>
      <c r="AR24" s="450"/>
      <c r="AS24" s="450"/>
      <c r="AT24" s="451"/>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360"/>
      <c r="C25" s="360"/>
      <c r="D25" s="361"/>
      <c r="E25" s="460"/>
      <c r="F25" s="461"/>
      <c r="G25" s="461"/>
      <c r="H25" s="461"/>
      <c r="I25" s="461"/>
      <c r="J25" s="69" t="str">
        <f>IF(AND('Mapa final'!$Y$79="Alta",'Mapa final'!$AA$79="Leve"),CONCATENATE("R10C",'Mapa final'!$O$79),"")</f>
        <v/>
      </c>
      <c r="K25" s="70" t="str">
        <f>IF(AND('Mapa final'!$Y$80="Alta",'Mapa final'!$AA$80="Leve"),CONCATENATE("R10C",'Mapa final'!$O$80),"")</f>
        <v/>
      </c>
      <c r="L25" s="70" t="str">
        <f>IF(AND('Mapa final'!$Y$81="Alta",'Mapa final'!$AA$81="Leve"),CONCATENATE("R10C",'Mapa final'!$O$81),"")</f>
        <v/>
      </c>
      <c r="M25" s="70" t="str">
        <f>IF(AND('Mapa final'!$Y$82="Alta",'Mapa final'!$AA$82="Leve"),CONCATENATE("R10C",'Mapa final'!$O$82),"")</f>
        <v/>
      </c>
      <c r="N25" s="70" t="str">
        <f>IF(AND('Mapa final'!$Y$83="Alta",'Mapa final'!$AA$83="Leve"),CONCATENATE("R10C",'Mapa final'!$O$83),"")</f>
        <v/>
      </c>
      <c r="O25" s="71" t="str">
        <f>IF(AND('Mapa final'!$Y$84="Alta",'Mapa final'!$AA$84="Leve"),CONCATENATE("R10C",'Mapa final'!$O$84),"")</f>
        <v/>
      </c>
      <c r="P25" s="69" t="str">
        <f>IF(AND('Mapa final'!$Y$79="Alta",'Mapa final'!$AA$79="Menor"),CONCATENATE("R10C",'Mapa final'!$O$79),"")</f>
        <v/>
      </c>
      <c r="Q25" s="70" t="str">
        <f>IF(AND('Mapa final'!$Y$80="Alta",'Mapa final'!$AA$80="Menor"),CONCATENATE("R10C",'Mapa final'!$O$80),"")</f>
        <v/>
      </c>
      <c r="R25" s="70" t="str">
        <f>IF(AND('Mapa final'!$Y$81="Alta",'Mapa final'!$AA$81="Menor"),CONCATENATE("R10C",'Mapa final'!$O$81),"")</f>
        <v/>
      </c>
      <c r="S25" s="70" t="str">
        <f>IF(AND('Mapa final'!$Y$82="Alta",'Mapa final'!$AA$82="Menor"),CONCATENATE("R10C",'Mapa final'!$O$82),"")</f>
        <v/>
      </c>
      <c r="T25" s="70" t="str">
        <f>IF(AND('Mapa final'!$Y$83="Alta",'Mapa final'!$AA$83="Menor"),CONCATENATE("R10C",'Mapa final'!$O$83),"")</f>
        <v/>
      </c>
      <c r="U25" s="71" t="str">
        <f>IF(AND('Mapa final'!$Y$84="Alta",'Mapa final'!$AA$84="Menor"),CONCATENATE("R10C",'Mapa final'!$O$84),"")</f>
        <v/>
      </c>
      <c r="V25" s="57" t="str">
        <f>IF(AND('Mapa final'!$Y$79="Alta",'Mapa final'!$AA$79="Moderado"),CONCATENATE("R10C",'Mapa final'!$O$79),"")</f>
        <v/>
      </c>
      <c r="W25" s="58" t="str">
        <f>IF(AND('Mapa final'!$Y$80="Alta",'Mapa final'!$AA$80="Moderado"),CONCATENATE("R10C",'Mapa final'!$O$80),"")</f>
        <v/>
      </c>
      <c r="X25" s="58" t="str">
        <f>IF(AND('Mapa final'!$Y$81="Alta",'Mapa final'!$AA$81="Moderado"),CONCATENATE("R10C",'Mapa final'!$O$81),"")</f>
        <v/>
      </c>
      <c r="Y25" s="58" t="str">
        <f>IF(AND('Mapa final'!$Y$82="Alta",'Mapa final'!$AA$82="Moderado"),CONCATENATE("R10C",'Mapa final'!$O$82),"")</f>
        <v/>
      </c>
      <c r="Z25" s="58" t="str">
        <f>IF(AND('Mapa final'!$Y$83="Alta",'Mapa final'!$AA$83="Moderado"),CONCATENATE("R10C",'Mapa final'!$O$83),"")</f>
        <v/>
      </c>
      <c r="AA25" s="59" t="str">
        <f>IF(AND('Mapa final'!$Y$84="Alta",'Mapa final'!$AA$84="Moderado"),CONCATENATE("R10C",'Mapa final'!$O$84),"")</f>
        <v/>
      </c>
      <c r="AB25" s="57" t="str">
        <f>IF(AND('Mapa final'!$Y$79="Alta",'Mapa final'!$AA$79="Mayor"),CONCATENATE("R10C",'Mapa final'!$O$79),"")</f>
        <v/>
      </c>
      <c r="AC25" s="58" t="str">
        <f>IF(AND('Mapa final'!$Y$80="Alta",'Mapa final'!$AA$80="Mayor"),CONCATENATE("R10C",'Mapa final'!$O$80),"")</f>
        <v/>
      </c>
      <c r="AD25" s="58" t="str">
        <f>IF(AND('Mapa final'!$Y$81="Alta",'Mapa final'!$AA$81="Mayor"),CONCATENATE("R10C",'Mapa final'!$O$81),"")</f>
        <v/>
      </c>
      <c r="AE25" s="58" t="str">
        <f>IF(AND('Mapa final'!$Y$82="Alta",'Mapa final'!$AA$82="Mayor"),CONCATENATE("R10C",'Mapa final'!$O$82),"")</f>
        <v/>
      </c>
      <c r="AF25" s="58" t="str">
        <f>IF(AND('Mapa final'!$Y$83="Alta",'Mapa final'!$AA$83="Mayor"),CONCATENATE("R10C",'Mapa final'!$O$83),"")</f>
        <v/>
      </c>
      <c r="AG25" s="59" t="str">
        <f>IF(AND('Mapa final'!$Y$84="Alta",'Mapa final'!$AA$84="Mayor"),CONCATENATE("R10C",'Mapa final'!$O$84),"")</f>
        <v/>
      </c>
      <c r="AH25" s="60" t="str">
        <f>IF(AND('Mapa final'!$Y$79="Alta",'Mapa final'!$AA$79="Catastrófico"),CONCATENATE("R10C",'Mapa final'!$O$79),"")</f>
        <v/>
      </c>
      <c r="AI25" s="61" t="str">
        <f>IF(AND('Mapa final'!$Y$80="Alta",'Mapa final'!$AA$80="Catastrófico"),CONCATENATE("R10C",'Mapa final'!$O$80),"")</f>
        <v/>
      </c>
      <c r="AJ25" s="61" t="str">
        <f>IF(AND('Mapa final'!$Y$81="Alta",'Mapa final'!$AA$81="Catastrófico"),CONCATENATE("R10C",'Mapa final'!$O$81),"")</f>
        <v/>
      </c>
      <c r="AK25" s="61" t="str">
        <f>IF(AND('Mapa final'!$Y$82="Alta",'Mapa final'!$AA$82="Catastrófico"),CONCATENATE("R10C",'Mapa final'!$O$82),"")</f>
        <v/>
      </c>
      <c r="AL25" s="61" t="str">
        <f>IF(AND('Mapa final'!$Y$83="Alta",'Mapa final'!$AA$83="Catastrófico"),CONCATENATE("R10C",'Mapa final'!$O$83),"")</f>
        <v/>
      </c>
      <c r="AM25" s="62" t="str">
        <f>IF(AND('Mapa final'!$Y$84="Alta",'Mapa final'!$AA$84="Catastrófico"),CONCATENATE("R10C",'Mapa final'!$O$84),"")</f>
        <v/>
      </c>
      <c r="AN25" s="82"/>
      <c r="AO25" s="452"/>
      <c r="AP25" s="453"/>
      <c r="AQ25" s="453"/>
      <c r="AR25" s="453"/>
      <c r="AS25" s="453"/>
      <c r="AT25" s="454"/>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360"/>
      <c r="C26" s="360"/>
      <c r="D26" s="361"/>
      <c r="E26" s="455" t="s">
        <v>152</v>
      </c>
      <c r="F26" s="456"/>
      <c r="G26" s="456"/>
      <c r="H26" s="456"/>
      <c r="I26" s="473"/>
      <c r="J26" s="63" t="str">
        <f>IF(AND('Mapa final'!$Y$25="Media",'Mapa final'!$AA$25="Leve"),CONCATENATE("R1C",'Mapa final'!$O$25),"")</f>
        <v/>
      </c>
      <c r="K26" s="64" t="str">
        <f>IF(AND('Mapa final'!$Y$26="Media",'Mapa final'!$AA$26="Leve"),CONCATENATE("R1C",'Mapa final'!$O$26),"")</f>
        <v/>
      </c>
      <c r="L26" s="64" t="str">
        <f>IF(AND('Mapa final'!$Y$27="Media",'Mapa final'!$AA$27="Leve"),CONCATENATE("R1C",'Mapa final'!$O$27),"")</f>
        <v/>
      </c>
      <c r="M26" s="64" t="str">
        <f>IF(AND('Mapa final'!$Y$28="Media",'Mapa final'!$AA$28="Leve"),CONCATENATE("R1C",'Mapa final'!$O$28),"")</f>
        <v/>
      </c>
      <c r="N26" s="64" t="str">
        <f>IF(AND('Mapa final'!$Y$29="Media",'Mapa final'!$AA$29="Leve"),CONCATENATE("R1C",'Mapa final'!$O$29),"")</f>
        <v/>
      </c>
      <c r="O26" s="65" t="str">
        <f>IF(AND('Mapa final'!$Y$30="Media",'Mapa final'!$AA$30="Leve"),CONCATENATE("R1C",'Mapa final'!$O$30),"")</f>
        <v/>
      </c>
      <c r="P26" s="63" t="str">
        <f>IF(AND('Mapa final'!$Y$25="Media",'Mapa final'!$AA$25="Menor"),CONCATENATE("R1C",'Mapa final'!$O$25),"")</f>
        <v/>
      </c>
      <c r="Q26" s="64" t="str">
        <f>IF(AND('Mapa final'!$Y$26="Media",'Mapa final'!$AA$26="Menor"),CONCATENATE("R1C",'Mapa final'!$O$26),"")</f>
        <v/>
      </c>
      <c r="R26" s="64" t="str">
        <f>IF(AND('Mapa final'!$Y$27="Media",'Mapa final'!$AA$27="Menor"),CONCATENATE("R1C",'Mapa final'!$O$27),"")</f>
        <v/>
      </c>
      <c r="S26" s="64" t="str">
        <f>IF(AND('Mapa final'!$Y$28="Media",'Mapa final'!$AA$28="Menor"),CONCATENATE("R1C",'Mapa final'!$O$28),"")</f>
        <v/>
      </c>
      <c r="T26" s="64" t="str">
        <f>IF(AND('Mapa final'!$Y$29="Media",'Mapa final'!$AA$29="Menor"),CONCATENATE("R1C",'Mapa final'!$O$29),"")</f>
        <v/>
      </c>
      <c r="U26" s="65" t="str">
        <f>IF(AND('Mapa final'!$Y$30="Media",'Mapa final'!$AA$30="Menor"),CONCATENATE("R1C",'Mapa final'!$O$30),"")</f>
        <v/>
      </c>
      <c r="V26" s="63" t="str">
        <f>IF(AND('Mapa final'!$Y$25="Media",'Mapa final'!$AA$25="Moderado"),CONCATENATE("R1C",'Mapa final'!$O$25),"")</f>
        <v/>
      </c>
      <c r="W26" s="64" t="str">
        <f>IF(AND('Mapa final'!$Y$26="Media",'Mapa final'!$AA$26="Moderado"),CONCATENATE("R1C",'Mapa final'!$O$26),"")</f>
        <v/>
      </c>
      <c r="X26" s="64" t="str">
        <f>IF(AND('Mapa final'!$Y$27="Media",'Mapa final'!$AA$27="Moderado"),CONCATENATE("R1C",'Mapa final'!$O$27),"")</f>
        <v/>
      </c>
      <c r="Y26" s="64" t="str">
        <f>IF(AND('Mapa final'!$Y$28="Media",'Mapa final'!$AA$28="Moderado"),CONCATENATE("R1C",'Mapa final'!$O$28),"")</f>
        <v/>
      </c>
      <c r="Z26" s="64" t="str">
        <f>IF(AND('Mapa final'!$Y$29="Media",'Mapa final'!$AA$29="Moderado"),CONCATENATE("R1C",'Mapa final'!$O$29),"")</f>
        <v/>
      </c>
      <c r="AA26" s="65" t="str">
        <f>IF(AND('Mapa final'!$Y$30="Media",'Mapa final'!$AA$30="Moderado"),CONCATENATE("R1C",'Mapa final'!$O$30),"")</f>
        <v/>
      </c>
      <c r="AB26" s="45" t="str">
        <f>IF(AND('Mapa final'!$Y$25="Media",'Mapa final'!$AA$25="Mayor"),CONCATENATE("R1C",'Mapa final'!$O$25),"")</f>
        <v/>
      </c>
      <c r="AC26" s="46" t="str">
        <f>IF(AND('Mapa final'!$Y$26="Media",'Mapa final'!$AA$26="Mayor"),CONCATENATE("R1C",'Mapa final'!$O$26),"")</f>
        <v/>
      </c>
      <c r="AD26" s="46" t="str">
        <f>IF(AND('Mapa final'!$Y$27="Media",'Mapa final'!$AA$27="Mayor"),CONCATENATE("R1C",'Mapa final'!$O$27),"")</f>
        <v/>
      </c>
      <c r="AE26" s="46" t="str">
        <f>IF(AND('Mapa final'!$Y$28="Media",'Mapa final'!$AA$28="Mayor"),CONCATENATE("R1C",'Mapa final'!$O$28),"")</f>
        <v/>
      </c>
      <c r="AF26" s="46" t="str">
        <f>IF(AND('Mapa final'!$Y$29="Media",'Mapa final'!$AA$29="Mayor"),CONCATENATE("R1C",'Mapa final'!$O$29),"")</f>
        <v/>
      </c>
      <c r="AG26" s="47" t="str">
        <f>IF(AND('Mapa final'!$Y$30="Media",'Mapa final'!$AA$30="Mayor"),CONCATENATE("R1C",'Mapa final'!$O$30),"")</f>
        <v/>
      </c>
      <c r="AH26" s="48" t="str">
        <f>IF(AND('Mapa final'!$Y$25="Media",'Mapa final'!$AA$25="Catastrófico"),CONCATENATE("R1C",'Mapa final'!$O$25),"")</f>
        <v/>
      </c>
      <c r="AI26" s="49" t="str">
        <f>IF(AND('Mapa final'!$Y$26="Media",'Mapa final'!$AA$26="Catastrófico"),CONCATENATE("R1C",'Mapa final'!$O$26),"")</f>
        <v/>
      </c>
      <c r="AJ26" s="49" t="str">
        <f>IF(AND('Mapa final'!$Y$27="Media",'Mapa final'!$AA$27="Catastrófico"),CONCATENATE("R1C",'Mapa final'!$O$27),"")</f>
        <v/>
      </c>
      <c r="AK26" s="49" t="str">
        <f>IF(AND('Mapa final'!$Y$28="Media",'Mapa final'!$AA$28="Catastrófico"),CONCATENATE("R1C",'Mapa final'!$O$28),"")</f>
        <v/>
      </c>
      <c r="AL26" s="49" t="str">
        <f>IF(AND('Mapa final'!$Y$29="Media",'Mapa final'!$AA$29="Catastrófico"),CONCATENATE("R1C",'Mapa final'!$O$29),"")</f>
        <v/>
      </c>
      <c r="AM26" s="50" t="str">
        <f>IF(AND('Mapa final'!$Y$30="Media",'Mapa final'!$AA$30="Catastrófico"),CONCATENATE("R1C",'Mapa final'!$O$30),"")</f>
        <v/>
      </c>
      <c r="AN26" s="82"/>
      <c r="AO26" s="485" t="s">
        <v>153</v>
      </c>
      <c r="AP26" s="486"/>
      <c r="AQ26" s="486"/>
      <c r="AR26" s="486"/>
      <c r="AS26" s="486"/>
      <c r="AT26" s="487"/>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360"/>
      <c r="C27" s="360"/>
      <c r="D27" s="361"/>
      <c r="E27" s="457"/>
      <c r="F27" s="458"/>
      <c r="G27" s="458"/>
      <c r="H27" s="458"/>
      <c r="I27" s="474"/>
      <c r="J27" s="66" t="str">
        <f>IF(AND('Mapa final'!$Y$31="Media",'Mapa final'!$AA$31="Leve"),CONCATENATE("R2C",'Mapa final'!$O$31),"")</f>
        <v/>
      </c>
      <c r="K27" s="67" t="str">
        <f>IF(AND('Mapa final'!$Y$32="Media",'Mapa final'!$AA$32="Leve"),CONCATENATE("R2C",'Mapa final'!$O$32),"")</f>
        <v/>
      </c>
      <c r="L27" s="67" t="str">
        <f>IF(AND('Mapa final'!$Y$33="Media",'Mapa final'!$AA$33="Leve"),CONCATENATE("R2C",'Mapa final'!$O$33),"")</f>
        <v/>
      </c>
      <c r="M27" s="67" t="str">
        <f>IF(AND('Mapa final'!$Y$34="Media",'Mapa final'!$AA$34="Leve"),CONCATENATE("R2C",'Mapa final'!$O$34),"")</f>
        <v/>
      </c>
      <c r="N27" s="67" t="str">
        <f>IF(AND('Mapa final'!$Y$35="Media",'Mapa final'!$AA$35="Leve"),CONCATENATE("R2C",'Mapa final'!$O$35),"")</f>
        <v/>
      </c>
      <c r="O27" s="68" t="str">
        <f>IF(AND('Mapa final'!$Y$36="Media",'Mapa final'!$AA$36="Leve"),CONCATENATE("R2C",'Mapa final'!$O$36),"")</f>
        <v/>
      </c>
      <c r="P27" s="66" t="str">
        <f>IF(AND('Mapa final'!$Y$31="Media",'Mapa final'!$AA$31="Menor"),CONCATENATE("R2C",'Mapa final'!$O$31),"")</f>
        <v/>
      </c>
      <c r="Q27" s="67" t="str">
        <f>IF(AND('Mapa final'!$Y$32="Media",'Mapa final'!$AA$32="Menor"),CONCATENATE("R2C",'Mapa final'!$O$32),"")</f>
        <v/>
      </c>
      <c r="R27" s="67" t="str">
        <f>IF(AND('Mapa final'!$Y$33="Media",'Mapa final'!$AA$33="Menor"),CONCATENATE("R2C",'Mapa final'!$O$33),"")</f>
        <v/>
      </c>
      <c r="S27" s="67" t="str">
        <f>IF(AND('Mapa final'!$Y$34="Media",'Mapa final'!$AA$34="Menor"),CONCATENATE("R2C",'Mapa final'!$O$34),"")</f>
        <v/>
      </c>
      <c r="T27" s="67" t="str">
        <f>IF(AND('Mapa final'!$Y$35="Media",'Mapa final'!$AA$35="Menor"),CONCATENATE("R2C",'Mapa final'!$O$35),"")</f>
        <v/>
      </c>
      <c r="U27" s="68" t="str">
        <f>IF(AND('Mapa final'!$Y$36="Media",'Mapa final'!$AA$36="Menor"),CONCATENATE("R2C",'Mapa final'!$O$36),"")</f>
        <v/>
      </c>
      <c r="V27" s="66" t="str">
        <f>IF(AND('Mapa final'!$Y$31="Media",'Mapa final'!$AA$31="Moderado"),CONCATENATE("R2C",'Mapa final'!$O$31),"")</f>
        <v/>
      </c>
      <c r="W27" s="67" t="str">
        <f>IF(AND('Mapa final'!$Y$32="Media",'Mapa final'!$AA$32="Moderado"),CONCATENATE("R2C",'Mapa final'!$O$32),"")</f>
        <v/>
      </c>
      <c r="X27" s="67" t="str">
        <f>IF(AND('Mapa final'!$Y$33="Media",'Mapa final'!$AA$33="Moderado"),CONCATENATE("R2C",'Mapa final'!$O$33),"")</f>
        <v/>
      </c>
      <c r="Y27" s="67" t="str">
        <f>IF(AND('Mapa final'!$Y$34="Media",'Mapa final'!$AA$34="Moderado"),CONCATENATE("R2C",'Mapa final'!$O$34),"")</f>
        <v/>
      </c>
      <c r="Z27" s="67" t="str">
        <f>IF(AND('Mapa final'!$Y$35="Media",'Mapa final'!$AA$35="Moderado"),CONCATENATE("R2C",'Mapa final'!$O$35),"")</f>
        <v/>
      </c>
      <c r="AA27" s="68" t="str">
        <f>IF(AND('Mapa final'!$Y$36="Media",'Mapa final'!$AA$36="Moderado"),CONCATENATE("R2C",'Mapa final'!$O$36),"")</f>
        <v/>
      </c>
      <c r="AB27" s="51" t="str">
        <f>IF(AND('Mapa final'!$Y$31="Media",'Mapa final'!$AA$31="Mayor"),CONCATENATE("R2C",'Mapa final'!$O$31),"")</f>
        <v/>
      </c>
      <c r="AC27" s="52" t="str">
        <f>IF(AND('Mapa final'!$Y$32="Media",'Mapa final'!$AA$32="Mayor"),CONCATENATE("R2C",'Mapa final'!$O$32),"")</f>
        <v/>
      </c>
      <c r="AD27" s="52" t="str">
        <f>IF(AND('Mapa final'!$Y$33="Media",'Mapa final'!$AA$33="Mayor"),CONCATENATE("R2C",'Mapa final'!$O$33),"")</f>
        <v/>
      </c>
      <c r="AE27" s="52" t="str">
        <f>IF(AND('Mapa final'!$Y$34="Media",'Mapa final'!$AA$34="Mayor"),CONCATENATE("R2C",'Mapa final'!$O$34),"")</f>
        <v/>
      </c>
      <c r="AF27" s="52" t="str">
        <f>IF(AND('Mapa final'!$Y$35="Media",'Mapa final'!$AA$35="Mayor"),CONCATENATE("R2C",'Mapa final'!$O$35),"")</f>
        <v/>
      </c>
      <c r="AG27" s="53" t="str">
        <f>IF(AND('Mapa final'!$Y$36="Media",'Mapa final'!$AA$36="Mayor"),CONCATENATE("R2C",'Mapa final'!$O$36),"")</f>
        <v/>
      </c>
      <c r="AH27" s="54" t="str">
        <f>IF(AND('Mapa final'!$Y$31="Media",'Mapa final'!$AA$31="Catastrófico"),CONCATENATE("R2C",'Mapa final'!$O$31),"")</f>
        <v/>
      </c>
      <c r="AI27" s="55" t="str">
        <f>IF(AND('Mapa final'!$Y$32="Media",'Mapa final'!$AA$32="Catastrófico"),CONCATENATE("R2C",'Mapa final'!$O$32),"")</f>
        <v/>
      </c>
      <c r="AJ27" s="55" t="str">
        <f>IF(AND('Mapa final'!$Y$33="Media",'Mapa final'!$AA$33="Catastrófico"),CONCATENATE("R2C",'Mapa final'!$O$33),"")</f>
        <v/>
      </c>
      <c r="AK27" s="55" t="str">
        <f>IF(AND('Mapa final'!$Y$34="Media",'Mapa final'!$AA$34="Catastrófico"),CONCATENATE("R2C",'Mapa final'!$O$34),"")</f>
        <v/>
      </c>
      <c r="AL27" s="55" t="str">
        <f>IF(AND('Mapa final'!$Y$35="Media",'Mapa final'!$AA$35="Catastrófico"),CONCATENATE("R2C",'Mapa final'!$O$35),"")</f>
        <v/>
      </c>
      <c r="AM27" s="56" t="str">
        <f>IF(AND('Mapa final'!$Y$36="Media",'Mapa final'!$AA$36="Catastrófico"),CONCATENATE("R2C",'Mapa final'!$O$36),"")</f>
        <v/>
      </c>
      <c r="AN27" s="82"/>
      <c r="AO27" s="488"/>
      <c r="AP27" s="489"/>
      <c r="AQ27" s="489"/>
      <c r="AR27" s="489"/>
      <c r="AS27" s="489"/>
      <c r="AT27" s="490"/>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360"/>
      <c r="C28" s="360"/>
      <c r="D28" s="361"/>
      <c r="E28" s="459"/>
      <c r="F28" s="458"/>
      <c r="G28" s="458"/>
      <c r="H28" s="458"/>
      <c r="I28" s="474"/>
      <c r="J28" s="66" t="str">
        <f>IF(AND('Mapa final'!$Y$37="Media",'Mapa final'!$AA$37="Leve"),CONCATENATE("R3C",'Mapa final'!$O$37),"")</f>
        <v/>
      </c>
      <c r="K28" s="67" t="str">
        <f>IF(AND('Mapa final'!$Y$38="Media",'Mapa final'!$AA$38="Leve"),CONCATENATE("R3C",'Mapa final'!$O$38),"")</f>
        <v/>
      </c>
      <c r="L28" s="67" t="str">
        <f>IF(AND('Mapa final'!$Y$39="Media",'Mapa final'!$AA$39="Leve"),CONCATENATE("R3C",'Mapa final'!$O$39),"")</f>
        <v/>
      </c>
      <c r="M28" s="67" t="str">
        <f>IF(AND('Mapa final'!$Y$40="Media",'Mapa final'!$AA$40="Leve"),CONCATENATE("R3C",'Mapa final'!$O$40),"")</f>
        <v/>
      </c>
      <c r="N28" s="67" t="str">
        <f>IF(AND('Mapa final'!$Y$41="Media",'Mapa final'!$AA$41="Leve"),CONCATENATE("R3C",'Mapa final'!$O$41),"")</f>
        <v/>
      </c>
      <c r="O28" s="68" t="str">
        <f>IF(AND('Mapa final'!$Y$42="Media",'Mapa final'!$AA$42="Leve"),CONCATENATE("R3C",'Mapa final'!$O$42),"")</f>
        <v/>
      </c>
      <c r="P28" s="66" t="str">
        <f>IF(AND('Mapa final'!$Y$37="Media",'Mapa final'!$AA$37="Menor"),CONCATENATE("R3C",'Mapa final'!$O$37),"")</f>
        <v/>
      </c>
      <c r="Q28" s="67" t="str">
        <f>IF(AND('Mapa final'!$Y$38="Media",'Mapa final'!$AA$38="Menor"),CONCATENATE("R3C",'Mapa final'!$O$38),"")</f>
        <v/>
      </c>
      <c r="R28" s="67" t="str">
        <f>IF(AND('Mapa final'!$Y$39="Media",'Mapa final'!$AA$39="Menor"),CONCATENATE("R3C",'Mapa final'!$O$39),"")</f>
        <v/>
      </c>
      <c r="S28" s="67" t="str">
        <f>IF(AND('Mapa final'!$Y$40="Media",'Mapa final'!$AA$40="Menor"),CONCATENATE("R3C",'Mapa final'!$O$40),"")</f>
        <v/>
      </c>
      <c r="T28" s="67" t="str">
        <f>IF(AND('Mapa final'!$Y$41="Media",'Mapa final'!$AA$41="Menor"),CONCATENATE("R3C",'Mapa final'!$O$41),"")</f>
        <v/>
      </c>
      <c r="U28" s="68" t="str">
        <f>IF(AND('Mapa final'!$Y$42="Media",'Mapa final'!$AA$42="Menor"),CONCATENATE("R3C",'Mapa final'!$O$42),"")</f>
        <v/>
      </c>
      <c r="V28" s="66" t="str">
        <f>IF(AND('Mapa final'!$Y$37="Media",'Mapa final'!$AA$37="Moderado"),CONCATENATE("R3C",'Mapa final'!$O$37),"")</f>
        <v/>
      </c>
      <c r="W28" s="67" t="str">
        <f>IF(AND('Mapa final'!$Y$38="Media",'Mapa final'!$AA$38="Moderado"),CONCATENATE("R3C",'Mapa final'!$O$38),"")</f>
        <v/>
      </c>
      <c r="X28" s="67" t="str">
        <f>IF(AND('Mapa final'!$Y$39="Media",'Mapa final'!$AA$39="Moderado"),CONCATENATE("R3C",'Mapa final'!$O$39),"")</f>
        <v/>
      </c>
      <c r="Y28" s="67" t="str">
        <f>IF(AND('Mapa final'!$Y$40="Media",'Mapa final'!$AA$40="Moderado"),CONCATENATE("R3C",'Mapa final'!$O$40),"")</f>
        <v/>
      </c>
      <c r="Z28" s="67" t="str">
        <f>IF(AND('Mapa final'!$Y$41="Media",'Mapa final'!$AA$41="Moderado"),CONCATENATE("R3C",'Mapa final'!$O$41),"")</f>
        <v/>
      </c>
      <c r="AA28" s="68" t="str">
        <f>IF(AND('Mapa final'!$Y$42="Media",'Mapa final'!$AA$42="Moderado"),CONCATENATE("R3C",'Mapa final'!$O$42),"")</f>
        <v/>
      </c>
      <c r="AB28" s="51" t="str">
        <f>IF(AND('Mapa final'!$Y$37="Media",'Mapa final'!$AA$37="Mayor"),CONCATENATE("R3C",'Mapa final'!$O$37),"")</f>
        <v/>
      </c>
      <c r="AC28" s="52" t="str">
        <f>IF(AND('Mapa final'!$Y$38="Media",'Mapa final'!$AA$38="Mayor"),CONCATENATE("R3C",'Mapa final'!$O$38),"")</f>
        <v/>
      </c>
      <c r="AD28" s="52" t="str">
        <f>IF(AND('Mapa final'!$Y$39="Media",'Mapa final'!$AA$39="Mayor"),CONCATENATE("R3C",'Mapa final'!$O$39),"")</f>
        <v/>
      </c>
      <c r="AE28" s="52" t="str">
        <f>IF(AND('Mapa final'!$Y$40="Media",'Mapa final'!$AA$40="Mayor"),CONCATENATE("R3C",'Mapa final'!$O$40),"")</f>
        <v/>
      </c>
      <c r="AF28" s="52" t="str">
        <f>IF(AND('Mapa final'!$Y$41="Media",'Mapa final'!$AA$41="Mayor"),CONCATENATE("R3C",'Mapa final'!$O$41),"")</f>
        <v/>
      </c>
      <c r="AG28" s="53" t="str">
        <f>IF(AND('Mapa final'!$Y$42="Media",'Mapa final'!$AA$42="Mayor"),CONCATENATE("R3C",'Mapa final'!$O$42),"")</f>
        <v/>
      </c>
      <c r="AH28" s="54" t="str">
        <f>IF(AND('Mapa final'!$Y$37="Media",'Mapa final'!$AA$37="Catastrófico"),CONCATENATE("R3C",'Mapa final'!$O$37),"")</f>
        <v/>
      </c>
      <c r="AI28" s="55" t="str">
        <f>IF(AND('Mapa final'!$Y$38="Media",'Mapa final'!$AA$38="Catastrófico"),CONCATENATE("R3C",'Mapa final'!$O$38),"")</f>
        <v/>
      </c>
      <c r="AJ28" s="55" t="str">
        <f>IF(AND('Mapa final'!$Y$39="Media",'Mapa final'!$AA$39="Catastrófico"),CONCATENATE("R3C",'Mapa final'!$O$39),"")</f>
        <v/>
      </c>
      <c r="AK28" s="55" t="str">
        <f>IF(AND('Mapa final'!$Y$40="Media",'Mapa final'!$AA$40="Catastrófico"),CONCATENATE("R3C",'Mapa final'!$O$40),"")</f>
        <v/>
      </c>
      <c r="AL28" s="55" t="str">
        <f>IF(AND('Mapa final'!$Y$41="Media",'Mapa final'!$AA$41="Catastrófico"),CONCATENATE("R3C",'Mapa final'!$O$41),"")</f>
        <v/>
      </c>
      <c r="AM28" s="56" t="str">
        <f>IF(AND('Mapa final'!$Y$42="Media",'Mapa final'!$AA$42="Catastrófico"),CONCATENATE("R3C",'Mapa final'!$O$42),"")</f>
        <v/>
      </c>
      <c r="AN28" s="82"/>
      <c r="AO28" s="488"/>
      <c r="AP28" s="489"/>
      <c r="AQ28" s="489"/>
      <c r="AR28" s="489"/>
      <c r="AS28" s="489"/>
      <c r="AT28" s="490"/>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360"/>
      <c r="C29" s="360"/>
      <c r="D29" s="361"/>
      <c r="E29" s="459"/>
      <c r="F29" s="458"/>
      <c r="G29" s="458"/>
      <c r="H29" s="458"/>
      <c r="I29" s="474"/>
      <c r="J29" s="66" t="str">
        <f>IF(AND('Mapa final'!$Y$43="Media",'Mapa final'!$AA$43="Leve"),CONCATENATE("R4C",'Mapa final'!$O$43),"")</f>
        <v/>
      </c>
      <c r="K29" s="67" t="str">
        <f>IF(AND('Mapa final'!$Y$44="Media",'Mapa final'!$AA$44="Leve"),CONCATENATE("R4C",'Mapa final'!$O$44),"")</f>
        <v/>
      </c>
      <c r="L29" s="67" t="str">
        <f>IF(AND('Mapa final'!$Y$45="Media",'Mapa final'!$AA$45="Leve"),CONCATENATE("R4C",'Mapa final'!$O$45),"")</f>
        <v/>
      </c>
      <c r="M29" s="67" t="str">
        <f>IF(AND('Mapa final'!$Y$46="Media",'Mapa final'!$AA$46="Leve"),CONCATENATE("R4C",'Mapa final'!$O$46),"")</f>
        <v/>
      </c>
      <c r="N29" s="67" t="str">
        <f>IF(AND('Mapa final'!$Y$47="Media",'Mapa final'!$AA$47="Leve"),CONCATENATE("R4C",'Mapa final'!$O$47),"")</f>
        <v/>
      </c>
      <c r="O29" s="68" t="str">
        <f>IF(AND('Mapa final'!$Y$48="Media",'Mapa final'!$AA$48="Leve"),CONCATENATE("R4C",'Mapa final'!$O$48),"")</f>
        <v/>
      </c>
      <c r="P29" s="66" t="str">
        <f>IF(AND('Mapa final'!$Y$43="Media",'Mapa final'!$AA$43="Menor"),CONCATENATE("R4C",'Mapa final'!$O$43),"")</f>
        <v/>
      </c>
      <c r="Q29" s="67" t="str">
        <f>IF(AND('Mapa final'!$Y$44="Media",'Mapa final'!$AA$44="Menor"),CONCATENATE("R4C",'Mapa final'!$O$44),"")</f>
        <v/>
      </c>
      <c r="R29" s="67" t="str">
        <f>IF(AND('Mapa final'!$Y$45="Media",'Mapa final'!$AA$45="Menor"),CONCATENATE("R4C",'Mapa final'!$O$45),"")</f>
        <v/>
      </c>
      <c r="S29" s="67" t="str">
        <f>IF(AND('Mapa final'!$Y$46="Media",'Mapa final'!$AA$46="Menor"),CONCATENATE("R4C",'Mapa final'!$O$46),"")</f>
        <v/>
      </c>
      <c r="T29" s="67" t="str">
        <f>IF(AND('Mapa final'!$Y$47="Media",'Mapa final'!$AA$47="Menor"),CONCATENATE("R4C",'Mapa final'!$O$47),"")</f>
        <v/>
      </c>
      <c r="U29" s="68" t="str">
        <f>IF(AND('Mapa final'!$Y$48="Media",'Mapa final'!$AA$48="Menor"),CONCATENATE("R4C",'Mapa final'!$O$48),"")</f>
        <v/>
      </c>
      <c r="V29" s="66" t="str">
        <f>IF(AND('Mapa final'!$Y$43="Media",'Mapa final'!$AA$43="Moderado"),CONCATENATE("R4C",'Mapa final'!$O$43),"")</f>
        <v/>
      </c>
      <c r="W29" s="67" t="str">
        <f>IF(AND('Mapa final'!$Y$44="Media",'Mapa final'!$AA$44="Moderado"),CONCATENATE("R4C",'Mapa final'!$O$44),"")</f>
        <v/>
      </c>
      <c r="X29" s="67" t="str">
        <f>IF(AND('Mapa final'!$Y$45="Media",'Mapa final'!$AA$45="Moderado"),CONCATENATE("R4C",'Mapa final'!$O$45),"")</f>
        <v/>
      </c>
      <c r="Y29" s="67" t="str">
        <f>IF(AND('Mapa final'!$Y$46="Media",'Mapa final'!$AA$46="Moderado"),CONCATENATE("R4C",'Mapa final'!$O$46),"")</f>
        <v/>
      </c>
      <c r="Z29" s="67" t="str">
        <f>IF(AND('Mapa final'!$Y$47="Media",'Mapa final'!$AA$47="Moderado"),CONCATENATE("R4C",'Mapa final'!$O$47),"")</f>
        <v/>
      </c>
      <c r="AA29" s="68" t="str">
        <f>IF(AND('Mapa final'!$Y$48="Media",'Mapa final'!$AA$48="Moderado"),CONCATENATE("R4C",'Mapa final'!$O$48),"")</f>
        <v/>
      </c>
      <c r="AB29" s="51" t="str">
        <f>IF(AND('Mapa final'!$Y$43="Media",'Mapa final'!$AA$43="Mayor"),CONCATENATE("R4C",'Mapa final'!$O$43),"")</f>
        <v/>
      </c>
      <c r="AC29" s="52" t="str">
        <f>IF(AND('Mapa final'!$Y$44="Media",'Mapa final'!$AA$44="Mayor"),CONCATENATE("R4C",'Mapa final'!$O$44),"")</f>
        <v/>
      </c>
      <c r="AD29" s="52" t="str">
        <f>IF(AND('Mapa final'!$Y$45="Media",'Mapa final'!$AA$45="Mayor"),CONCATENATE("R4C",'Mapa final'!$O$45),"")</f>
        <v/>
      </c>
      <c r="AE29" s="52" t="str">
        <f>IF(AND('Mapa final'!$Y$46="Media",'Mapa final'!$AA$46="Mayor"),CONCATENATE("R4C",'Mapa final'!$O$46),"")</f>
        <v/>
      </c>
      <c r="AF29" s="52" t="str">
        <f>IF(AND('Mapa final'!$Y$47="Media",'Mapa final'!$AA$47="Mayor"),CONCATENATE("R4C",'Mapa final'!$O$47),"")</f>
        <v/>
      </c>
      <c r="AG29" s="53" t="str">
        <f>IF(AND('Mapa final'!$Y$48="Media",'Mapa final'!$AA$48="Mayor"),CONCATENATE("R4C",'Mapa final'!$O$48),"")</f>
        <v/>
      </c>
      <c r="AH29" s="54" t="str">
        <f>IF(AND('Mapa final'!$Y$43="Media",'Mapa final'!$AA$43="Catastrófico"),CONCATENATE("R4C",'Mapa final'!$O$43),"")</f>
        <v/>
      </c>
      <c r="AI29" s="55" t="str">
        <f>IF(AND('Mapa final'!$Y$44="Media",'Mapa final'!$AA$44="Catastrófico"),CONCATENATE("R4C",'Mapa final'!$O$44),"")</f>
        <v/>
      </c>
      <c r="AJ29" s="55" t="str">
        <f>IF(AND('Mapa final'!$Y$45="Media",'Mapa final'!$AA$45="Catastrófico"),CONCATENATE("R4C",'Mapa final'!$O$45),"")</f>
        <v/>
      </c>
      <c r="AK29" s="55" t="str">
        <f>IF(AND('Mapa final'!$Y$46="Media",'Mapa final'!$AA$46="Catastrófico"),CONCATENATE("R4C",'Mapa final'!$O$46),"")</f>
        <v/>
      </c>
      <c r="AL29" s="55" t="str">
        <f>IF(AND('Mapa final'!$Y$47="Media",'Mapa final'!$AA$47="Catastrófico"),CONCATENATE("R4C",'Mapa final'!$O$47),"")</f>
        <v/>
      </c>
      <c r="AM29" s="56" t="str">
        <f>IF(AND('Mapa final'!$Y$48="Media",'Mapa final'!$AA$48="Catastrófico"),CONCATENATE("R4C",'Mapa final'!$O$48),"")</f>
        <v/>
      </c>
      <c r="AN29" s="82"/>
      <c r="AO29" s="488"/>
      <c r="AP29" s="489"/>
      <c r="AQ29" s="489"/>
      <c r="AR29" s="489"/>
      <c r="AS29" s="489"/>
      <c r="AT29" s="490"/>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360"/>
      <c r="C30" s="360"/>
      <c r="D30" s="361"/>
      <c r="E30" s="459"/>
      <c r="F30" s="458"/>
      <c r="G30" s="458"/>
      <c r="H30" s="458"/>
      <c r="I30" s="474"/>
      <c r="J30" s="66" t="str">
        <f>IF(AND('Mapa final'!$Y$49="Media",'Mapa final'!$AA$49="Leve"),CONCATENATE("R5C",'Mapa final'!$O$49),"")</f>
        <v/>
      </c>
      <c r="K30" s="67" t="str">
        <f>IF(AND('Mapa final'!$Y$50="Media",'Mapa final'!$AA$50="Leve"),CONCATENATE("R5C",'Mapa final'!$O$50),"")</f>
        <v/>
      </c>
      <c r="L30" s="67" t="str">
        <f>IF(AND('Mapa final'!$Y$51="Media",'Mapa final'!$AA$51="Leve"),CONCATENATE("R5C",'Mapa final'!$O$51),"")</f>
        <v/>
      </c>
      <c r="M30" s="67" t="str">
        <f>IF(AND('Mapa final'!$Y$52="Media",'Mapa final'!$AA$52="Leve"),CONCATENATE("R5C",'Mapa final'!$O$52),"")</f>
        <v/>
      </c>
      <c r="N30" s="67" t="str">
        <f>IF(AND('Mapa final'!$Y$53="Media",'Mapa final'!$AA$53="Leve"),CONCATENATE("R5C",'Mapa final'!$O$53),"")</f>
        <v/>
      </c>
      <c r="O30" s="68" t="str">
        <f>IF(AND('Mapa final'!$Y$54="Media",'Mapa final'!$AA$54="Leve"),CONCATENATE("R5C",'Mapa final'!$O$54),"")</f>
        <v/>
      </c>
      <c r="P30" s="66" t="str">
        <f>IF(AND('Mapa final'!$Y$49="Media",'Mapa final'!$AA$49="Menor"),CONCATENATE("R5C",'Mapa final'!$O$49),"")</f>
        <v/>
      </c>
      <c r="Q30" s="67" t="str">
        <f>IF(AND('Mapa final'!$Y$50="Media",'Mapa final'!$AA$50="Menor"),CONCATENATE("R5C",'Mapa final'!$O$50),"")</f>
        <v/>
      </c>
      <c r="R30" s="67" t="str">
        <f>IF(AND('Mapa final'!$Y$51="Media",'Mapa final'!$AA$51="Menor"),CONCATENATE("R5C",'Mapa final'!$O$51),"")</f>
        <v/>
      </c>
      <c r="S30" s="67" t="str">
        <f>IF(AND('Mapa final'!$Y$52="Media",'Mapa final'!$AA$52="Menor"),CONCATENATE("R5C",'Mapa final'!$O$52),"")</f>
        <v/>
      </c>
      <c r="T30" s="67" t="str">
        <f>IF(AND('Mapa final'!$Y$53="Media",'Mapa final'!$AA$53="Menor"),CONCATENATE("R5C",'Mapa final'!$O$53),"")</f>
        <v/>
      </c>
      <c r="U30" s="68" t="str">
        <f>IF(AND('Mapa final'!$Y$54="Media",'Mapa final'!$AA$54="Menor"),CONCATENATE("R5C",'Mapa final'!$O$54),"")</f>
        <v/>
      </c>
      <c r="V30" s="66" t="str">
        <f>IF(AND('Mapa final'!$Y$49="Media",'Mapa final'!$AA$49="Moderado"),CONCATENATE("R5C",'Mapa final'!$O$49),"")</f>
        <v/>
      </c>
      <c r="W30" s="67" t="str">
        <f>IF(AND('Mapa final'!$Y$50="Media",'Mapa final'!$AA$50="Moderado"),CONCATENATE("R5C",'Mapa final'!$O$50),"")</f>
        <v/>
      </c>
      <c r="X30" s="67" t="str">
        <f>IF(AND('Mapa final'!$Y$51="Media",'Mapa final'!$AA$51="Moderado"),CONCATENATE("R5C",'Mapa final'!$O$51),"")</f>
        <v/>
      </c>
      <c r="Y30" s="67" t="str">
        <f>IF(AND('Mapa final'!$Y$52="Media",'Mapa final'!$AA$52="Moderado"),CONCATENATE("R5C",'Mapa final'!$O$52),"")</f>
        <v/>
      </c>
      <c r="Z30" s="67" t="str">
        <f>IF(AND('Mapa final'!$Y$53="Media",'Mapa final'!$AA$53="Moderado"),CONCATENATE("R5C",'Mapa final'!$O$53),"")</f>
        <v/>
      </c>
      <c r="AA30" s="68" t="str">
        <f>IF(AND('Mapa final'!$Y$54="Media",'Mapa final'!$AA$54="Moderado"),CONCATENATE("R5C",'Mapa final'!$O$54),"")</f>
        <v/>
      </c>
      <c r="AB30" s="51" t="str">
        <f>IF(AND('Mapa final'!$Y$49="Media",'Mapa final'!$AA$49="Mayor"),CONCATENATE("R5C",'Mapa final'!$O$49),"")</f>
        <v/>
      </c>
      <c r="AC30" s="52" t="str">
        <f>IF(AND('Mapa final'!$Y$50="Media",'Mapa final'!$AA$50="Mayor"),CONCATENATE("R5C",'Mapa final'!$O$50),"")</f>
        <v/>
      </c>
      <c r="AD30" s="52" t="str">
        <f>IF(AND('Mapa final'!$Y$51="Media",'Mapa final'!$AA$51="Mayor"),CONCATENATE("R5C",'Mapa final'!$O$51),"")</f>
        <v/>
      </c>
      <c r="AE30" s="52" t="str">
        <f>IF(AND('Mapa final'!$Y$52="Media",'Mapa final'!$AA$52="Mayor"),CONCATENATE("R5C",'Mapa final'!$O$52),"")</f>
        <v/>
      </c>
      <c r="AF30" s="52" t="str">
        <f>IF(AND('Mapa final'!$Y$53="Media",'Mapa final'!$AA$53="Mayor"),CONCATENATE("R5C",'Mapa final'!$O$53),"")</f>
        <v/>
      </c>
      <c r="AG30" s="53" t="str">
        <f>IF(AND('Mapa final'!$Y$54="Media",'Mapa final'!$AA$54="Mayor"),CONCATENATE("R5C",'Mapa final'!$O$54),"")</f>
        <v/>
      </c>
      <c r="AH30" s="54" t="str">
        <f>IF(AND('Mapa final'!$Y$49="Media",'Mapa final'!$AA$49="Catastrófico"),CONCATENATE("R5C",'Mapa final'!$O$49),"")</f>
        <v/>
      </c>
      <c r="AI30" s="55" t="str">
        <f>IF(AND('Mapa final'!$Y$50="Media",'Mapa final'!$AA$50="Catastrófico"),CONCATENATE("R5C",'Mapa final'!$O$50),"")</f>
        <v/>
      </c>
      <c r="AJ30" s="55" t="str">
        <f>IF(AND('Mapa final'!$Y$51="Media",'Mapa final'!$AA$51="Catastrófico"),CONCATENATE("R5C",'Mapa final'!$O$51),"")</f>
        <v/>
      </c>
      <c r="AK30" s="55" t="str">
        <f>IF(AND('Mapa final'!$Y$52="Media",'Mapa final'!$AA$52="Catastrófico"),CONCATENATE("R5C",'Mapa final'!$O$52),"")</f>
        <v/>
      </c>
      <c r="AL30" s="55" t="str">
        <f>IF(AND('Mapa final'!$Y$53="Media",'Mapa final'!$AA$53="Catastrófico"),CONCATENATE("R5C",'Mapa final'!$O$53),"")</f>
        <v/>
      </c>
      <c r="AM30" s="56" t="str">
        <f>IF(AND('Mapa final'!$Y$54="Media",'Mapa final'!$AA$54="Catastrófico"),CONCATENATE("R5C",'Mapa final'!$O$54),"")</f>
        <v/>
      </c>
      <c r="AN30" s="82"/>
      <c r="AO30" s="488"/>
      <c r="AP30" s="489"/>
      <c r="AQ30" s="489"/>
      <c r="AR30" s="489"/>
      <c r="AS30" s="489"/>
      <c r="AT30" s="490"/>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360"/>
      <c r="C31" s="360"/>
      <c r="D31" s="361"/>
      <c r="E31" s="459"/>
      <c r="F31" s="458"/>
      <c r="G31" s="458"/>
      <c r="H31" s="458"/>
      <c r="I31" s="474"/>
      <c r="J31" s="66" t="str">
        <f>IF(AND('Mapa final'!$Y$55="Media",'Mapa final'!$AA$55="Leve"),CONCATENATE("R6C",'Mapa final'!$O$55),"")</f>
        <v/>
      </c>
      <c r="K31" s="67" t="str">
        <f>IF(AND('Mapa final'!$Y$56="Media",'Mapa final'!$AA$56="Leve"),CONCATENATE("R6C",'Mapa final'!$O$56),"")</f>
        <v/>
      </c>
      <c r="L31" s="67" t="str">
        <f>IF(AND('Mapa final'!$Y$57="Media",'Mapa final'!$AA$57="Leve"),CONCATENATE("R6C",'Mapa final'!$O$57),"")</f>
        <v/>
      </c>
      <c r="M31" s="67" t="str">
        <f>IF(AND('Mapa final'!$Y$58="Media",'Mapa final'!$AA$58="Leve"),CONCATENATE("R6C",'Mapa final'!$O$58),"")</f>
        <v/>
      </c>
      <c r="N31" s="67" t="str">
        <f>IF(AND('Mapa final'!$Y$59="Media",'Mapa final'!$AA$59="Leve"),CONCATENATE("R6C",'Mapa final'!$O$59),"")</f>
        <v/>
      </c>
      <c r="O31" s="68" t="str">
        <f>IF(AND('Mapa final'!$Y$60="Media",'Mapa final'!$AA$60="Leve"),CONCATENATE("R6C",'Mapa final'!$O$60),"")</f>
        <v/>
      </c>
      <c r="P31" s="66" t="str">
        <f>IF(AND('Mapa final'!$Y$55="Media",'Mapa final'!$AA$55="Menor"),CONCATENATE("R6C",'Mapa final'!$O$55),"")</f>
        <v/>
      </c>
      <c r="Q31" s="67" t="str">
        <f>IF(AND('Mapa final'!$Y$56="Media",'Mapa final'!$AA$56="Menor"),CONCATENATE("R6C",'Mapa final'!$O$56),"")</f>
        <v/>
      </c>
      <c r="R31" s="67" t="str">
        <f>IF(AND('Mapa final'!$Y$57="Media",'Mapa final'!$AA$57="Menor"),CONCATENATE("R6C",'Mapa final'!$O$57),"")</f>
        <v/>
      </c>
      <c r="S31" s="67" t="str">
        <f>IF(AND('Mapa final'!$Y$58="Media",'Mapa final'!$AA$58="Menor"),CONCATENATE("R6C",'Mapa final'!$O$58),"")</f>
        <v/>
      </c>
      <c r="T31" s="67" t="str">
        <f>IF(AND('Mapa final'!$Y$59="Media",'Mapa final'!$AA$59="Menor"),CONCATENATE("R6C",'Mapa final'!$O$59),"")</f>
        <v/>
      </c>
      <c r="U31" s="68" t="str">
        <f>IF(AND('Mapa final'!$Y$60="Media",'Mapa final'!$AA$60="Menor"),CONCATENATE("R6C",'Mapa final'!$O$60),"")</f>
        <v/>
      </c>
      <c r="V31" s="66" t="str">
        <f>IF(AND('Mapa final'!$Y$55="Media",'Mapa final'!$AA$55="Moderado"),CONCATENATE("R6C",'Mapa final'!$O$55),"")</f>
        <v/>
      </c>
      <c r="W31" s="67" t="str">
        <f>IF(AND('Mapa final'!$Y$56="Media",'Mapa final'!$AA$56="Moderado"),CONCATENATE("R6C",'Mapa final'!$O$56),"")</f>
        <v/>
      </c>
      <c r="X31" s="67" t="str">
        <f>IF(AND('Mapa final'!$Y$57="Media",'Mapa final'!$AA$57="Moderado"),CONCATENATE("R6C",'Mapa final'!$O$57),"")</f>
        <v/>
      </c>
      <c r="Y31" s="67" t="str">
        <f>IF(AND('Mapa final'!$Y$58="Media",'Mapa final'!$AA$58="Moderado"),CONCATENATE("R6C",'Mapa final'!$O$58),"")</f>
        <v/>
      </c>
      <c r="Z31" s="67" t="str">
        <f>IF(AND('Mapa final'!$Y$59="Media",'Mapa final'!$AA$59="Moderado"),CONCATENATE("R6C",'Mapa final'!$O$59),"")</f>
        <v/>
      </c>
      <c r="AA31" s="68" t="str">
        <f>IF(AND('Mapa final'!$Y$60="Media",'Mapa final'!$AA$60="Moderado"),CONCATENATE("R6C",'Mapa final'!$O$60),"")</f>
        <v/>
      </c>
      <c r="AB31" s="51" t="str">
        <f>IF(AND('Mapa final'!$Y$55="Media",'Mapa final'!$AA$55="Mayor"),CONCATENATE("R6C",'Mapa final'!$O$55),"")</f>
        <v/>
      </c>
      <c r="AC31" s="52" t="str">
        <f>IF(AND('Mapa final'!$Y$56="Media",'Mapa final'!$AA$56="Mayor"),CONCATENATE("R6C",'Mapa final'!$O$56),"")</f>
        <v/>
      </c>
      <c r="AD31" s="52" t="str">
        <f>IF(AND('Mapa final'!$Y$57="Media",'Mapa final'!$AA$57="Mayor"),CONCATENATE("R6C",'Mapa final'!$O$57),"")</f>
        <v/>
      </c>
      <c r="AE31" s="52" t="str">
        <f>IF(AND('Mapa final'!$Y$58="Media",'Mapa final'!$AA$58="Mayor"),CONCATENATE("R6C",'Mapa final'!$O$58),"")</f>
        <v/>
      </c>
      <c r="AF31" s="52" t="str">
        <f>IF(AND('Mapa final'!$Y$59="Media",'Mapa final'!$AA$59="Mayor"),CONCATENATE("R6C",'Mapa final'!$O$59),"")</f>
        <v/>
      </c>
      <c r="AG31" s="53" t="str">
        <f>IF(AND('Mapa final'!$Y$60="Media",'Mapa final'!$AA$60="Mayor"),CONCATENATE("R6C",'Mapa final'!$O$60),"")</f>
        <v/>
      </c>
      <c r="AH31" s="54" t="str">
        <f>IF(AND('Mapa final'!$Y$55="Media",'Mapa final'!$AA$55="Catastrófico"),CONCATENATE("R6C",'Mapa final'!$O$55),"")</f>
        <v/>
      </c>
      <c r="AI31" s="55" t="str">
        <f>IF(AND('Mapa final'!$Y$56="Media",'Mapa final'!$AA$56="Catastrófico"),CONCATENATE("R6C",'Mapa final'!$O$56),"")</f>
        <v/>
      </c>
      <c r="AJ31" s="55" t="str">
        <f>IF(AND('Mapa final'!$Y$57="Media",'Mapa final'!$AA$57="Catastrófico"),CONCATENATE("R6C",'Mapa final'!$O$57),"")</f>
        <v/>
      </c>
      <c r="AK31" s="55" t="str">
        <f>IF(AND('Mapa final'!$Y$58="Media",'Mapa final'!$AA$58="Catastrófico"),CONCATENATE("R6C",'Mapa final'!$O$58),"")</f>
        <v/>
      </c>
      <c r="AL31" s="55" t="str">
        <f>IF(AND('Mapa final'!$Y$59="Media",'Mapa final'!$AA$59="Catastrófico"),CONCATENATE("R6C",'Mapa final'!$O$59),"")</f>
        <v/>
      </c>
      <c r="AM31" s="56" t="str">
        <f>IF(AND('Mapa final'!$Y$60="Media",'Mapa final'!$AA$60="Catastrófico"),CONCATENATE("R6C",'Mapa final'!$O$60),"")</f>
        <v/>
      </c>
      <c r="AN31" s="82"/>
      <c r="AO31" s="488"/>
      <c r="AP31" s="489"/>
      <c r="AQ31" s="489"/>
      <c r="AR31" s="489"/>
      <c r="AS31" s="489"/>
      <c r="AT31" s="490"/>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360"/>
      <c r="C32" s="360"/>
      <c r="D32" s="361"/>
      <c r="E32" s="459"/>
      <c r="F32" s="458"/>
      <c r="G32" s="458"/>
      <c r="H32" s="458"/>
      <c r="I32" s="474"/>
      <c r="J32" s="66" t="str">
        <f>IF(AND('Mapa final'!$Y$61="Media",'Mapa final'!$AA$61="Leve"),CONCATENATE("R7C",'Mapa final'!$O$61),"")</f>
        <v/>
      </c>
      <c r="K32" s="67" t="str">
        <f>IF(AND('Mapa final'!$Y$62="Media",'Mapa final'!$AA$62="Leve"),CONCATENATE("R7C",'Mapa final'!$O$62),"")</f>
        <v/>
      </c>
      <c r="L32" s="67" t="str">
        <f>IF(AND('Mapa final'!$Y$63="Media",'Mapa final'!$AA$63="Leve"),CONCATENATE("R7C",'Mapa final'!$O$63),"")</f>
        <v/>
      </c>
      <c r="M32" s="67" t="str">
        <f>IF(AND('Mapa final'!$Y$64="Media",'Mapa final'!$AA$64="Leve"),CONCATENATE("R7C",'Mapa final'!$O$64),"")</f>
        <v/>
      </c>
      <c r="N32" s="67" t="str">
        <f>IF(AND('Mapa final'!$Y$65="Media",'Mapa final'!$AA$65="Leve"),CONCATENATE("R7C",'Mapa final'!$O$65),"")</f>
        <v/>
      </c>
      <c r="O32" s="68" t="str">
        <f>IF(AND('Mapa final'!$Y$66="Media",'Mapa final'!$AA$66="Leve"),CONCATENATE("R7C",'Mapa final'!$O$66),"")</f>
        <v/>
      </c>
      <c r="P32" s="66" t="str">
        <f>IF(AND('Mapa final'!$Y$61="Media",'Mapa final'!$AA$61="Menor"),CONCATENATE("R7C",'Mapa final'!$O$61),"")</f>
        <v/>
      </c>
      <c r="Q32" s="67" t="str">
        <f>IF(AND('Mapa final'!$Y$62="Media",'Mapa final'!$AA$62="Menor"),CONCATENATE("R7C",'Mapa final'!$O$62),"")</f>
        <v/>
      </c>
      <c r="R32" s="67" t="str">
        <f>IF(AND('Mapa final'!$Y$63="Media",'Mapa final'!$AA$63="Menor"),CONCATENATE("R7C",'Mapa final'!$O$63),"")</f>
        <v/>
      </c>
      <c r="S32" s="67" t="str">
        <f>IF(AND('Mapa final'!$Y$64="Media",'Mapa final'!$AA$64="Menor"),CONCATENATE("R7C",'Mapa final'!$O$64),"")</f>
        <v/>
      </c>
      <c r="T32" s="67" t="str">
        <f>IF(AND('Mapa final'!$Y$65="Media",'Mapa final'!$AA$65="Menor"),CONCATENATE("R7C",'Mapa final'!$O$65),"")</f>
        <v/>
      </c>
      <c r="U32" s="68" t="str">
        <f>IF(AND('Mapa final'!$Y$66="Media",'Mapa final'!$AA$66="Menor"),CONCATENATE("R7C",'Mapa final'!$O$66),"")</f>
        <v/>
      </c>
      <c r="V32" s="66" t="str">
        <f>IF(AND('Mapa final'!$Y$61="Media",'Mapa final'!$AA$61="Moderado"),CONCATENATE("R7C",'Mapa final'!$O$61),"")</f>
        <v/>
      </c>
      <c r="W32" s="67" t="str">
        <f>IF(AND('Mapa final'!$Y$62="Media",'Mapa final'!$AA$62="Moderado"),CONCATENATE("R7C",'Mapa final'!$O$62),"")</f>
        <v/>
      </c>
      <c r="X32" s="67" t="str">
        <f>IF(AND('Mapa final'!$Y$63="Media",'Mapa final'!$AA$63="Moderado"),CONCATENATE("R7C",'Mapa final'!$O$63),"")</f>
        <v/>
      </c>
      <c r="Y32" s="67" t="str">
        <f>IF(AND('Mapa final'!$Y$64="Media",'Mapa final'!$AA$64="Moderado"),CONCATENATE("R7C",'Mapa final'!$O$64),"")</f>
        <v/>
      </c>
      <c r="Z32" s="67" t="str">
        <f>IF(AND('Mapa final'!$Y$65="Media",'Mapa final'!$AA$65="Moderado"),CONCATENATE("R7C",'Mapa final'!$O$65),"")</f>
        <v/>
      </c>
      <c r="AA32" s="68" t="str">
        <f>IF(AND('Mapa final'!$Y$66="Media",'Mapa final'!$AA$66="Moderado"),CONCATENATE("R7C",'Mapa final'!$O$66),"")</f>
        <v/>
      </c>
      <c r="AB32" s="51" t="str">
        <f>IF(AND('Mapa final'!$Y$61="Media",'Mapa final'!$AA$61="Mayor"),CONCATENATE("R7C",'Mapa final'!$O$61),"")</f>
        <v/>
      </c>
      <c r="AC32" s="52" t="str">
        <f>IF(AND('Mapa final'!$Y$62="Media",'Mapa final'!$AA$62="Mayor"),CONCATENATE("R7C",'Mapa final'!$O$62),"")</f>
        <v/>
      </c>
      <c r="AD32" s="52" t="str">
        <f>IF(AND('Mapa final'!$Y$63="Media",'Mapa final'!$AA$63="Mayor"),CONCATENATE("R7C",'Mapa final'!$O$63),"")</f>
        <v/>
      </c>
      <c r="AE32" s="52" t="str">
        <f>IF(AND('Mapa final'!$Y$64="Media",'Mapa final'!$AA$64="Mayor"),CONCATENATE("R7C",'Mapa final'!$O$64),"")</f>
        <v/>
      </c>
      <c r="AF32" s="52" t="str">
        <f>IF(AND('Mapa final'!$Y$65="Media",'Mapa final'!$AA$65="Mayor"),CONCATENATE("R7C",'Mapa final'!$O$65),"")</f>
        <v/>
      </c>
      <c r="AG32" s="53" t="str">
        <f>IF(AND('Mapa final'!$Y$66="Media",'Mapa final'!$AA$66="Mayor"),CONCATENATE("R7C",'Mapa final'!$O$66),"")</f>
        <v/>
      </c>
      <c r="AH32" s="54" t="str">
        <f>IF(AND('Mapa final'!$Y$61="Media",'Mapa final'!$AA$61="Catastrófico"),CONCATENATE("R7C",'Mapa final'!$O$61),"")</f>
        <v/>
      </c>
      <c r="AI32" s="55" t="str">
        <f>IF(AND('Mapa final'!$Y$62="Media",'Mapa final'!$AA$62="Catastrófico"),CONCATENATE("R7C",'Mapa final'!$O$62),"")</f>
        <v/>
      </c>
      <c r="AJ32" s="55" t="str">
        <f>IF(AND('Mapa final'!$Y$63="Media",'Mapa final'!$AA$63="Catastrófico"),CONCATENATE("R7C",'Mapa final'!$O$63),"")</f>
        <v/>
      </c>
      <c r="AK32" s="55" t="str">
        <f>IF(AND('Mapa final'!$Y$64="Media",'Mapa final'!$AA$64="Catastrófico"),CONCATENATE("R7C",'Mapa final'!$O$64),"")</f>
        <v/>
      </c>
      <c r="AL32" s="55" t="str">
        <f>IF(AND('Mapa final'!$Y$65="Media",'Mapa final'!$AA$65="Catastrófico"),CONCATENATE("R7C",'Mapa final'!$O$65),"")</f>
        <v/>
      </c>
      <c r="AM32" s="56" t="str">
        <f>IF(AND('Mapa final'!$Y$66="Media",'Mapa final'!$AA$66="Catastrófico"),CONCATENATE("R7C",'Mapa final'!$O$66),"")</f>
        <v/>
      </c>
      <c r="AN32" s="82"/>
      <c r="AO32" s="488"/>
      <c r="AP32" s="489"/>
      <c r="AQ32" s="489"/>
      <c r="AR32" s="489"/>
      <c r="AS32" s="489"/>
      <c r="AT32" s="490"/>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360"/>
      <c r="C33" s="360"/>
      <c r="D33" s="361"/>
      <c r="E33" s="459"/>
      <c r="F33" s="458"/>
      <c r="G33" s="458"/>
      <c r="H33" s="458"/>
      <c r="I33" s="474"/>
      <c r="J33" s="66" t="str">
        <f>IF(AND('Mapa final'!$Y$67="Media",'Mapa final'!$AA$67="Leve"),CONCATENATE("R8C",'Mapa final'!$O$67),"")</f>
        <v/>
      </c>
      <c r="K33" s="67" t="str">
        <f>IF(AND('Mapa final'!$Y$68="Media",'Mapa final'!$AA$68="Leve"),CONCATENATE("R8C",'Mapa final'!$O$68),"")</f>
        <v/>
      </c>
      <c r="L33" s="67" t="str">
        <f>IF(AND('Mapa final'!$Y$69="Media",'Mapa final'!$AA$69="Leve"),CONCATENATE("R8C",'Mapa final'!$O$69),"")</f>
        <v/>
      </c>
      <c r="M33" s="67" t="str">
        <f>IF(AND('Mapa final'!$Y$70="Media",'Mapa final'!$AA$70="Leve"),CONCATENATE("R8C",'Mapa final'!$O$70),"")</f>
        <v/>
      </c>
      <c r="N33" s="67" t="str">
        <f>IF(AND('Mapa final'!$Y$71="Media",'Mapa final'!$AA$71="Leve"),CONCATENATE("R8C",'Mapa final'!$O$71),"")</f>
        <v/>
      </c>
      <c r="O33" s="68" t="str">
        <f>IF(AND('Mapa final'!$Y$72="Media",'Mapa final'!$AA$72="Leve"),CONCATENATE("R8C",'Mapa final'!$O$72),"")</f>
        <v/>
      </c>
      <c r="P33" s="66" t="str">
        <f>IF(AND('Mapa final'!$Y$67="Media",'Mapa final'!$AA$67="Menor"),CONCATENATE("R8C",'Mapa final'!$O$67),"")</f>
        <v/>
      </c>
      <c r="Q33" s="67" t="str">
        <f>IF(AND('Mapa final'!$Y$68="Media",'Mapa final'!$AA$68="Menor"),CONCATENATE("R8C",'Mapa final'!$O$68),"")</f>
        <v/>
      </c>
      <c r="R33" s="67" t="str">
        <f>IF(AND('Mapa final'!$Y$69="Media",'Mapa final'!$AA$69="Menor"),CONCATENATE("R8C",'Mapa final'!$O$69),"")</f>
        <v/>
      </c>
      <c r="S33" s="67" t="str">
        <f>IF(AND('Mapa final'!$Y$70="Media",'Mapa final'!$AA$70="Menor"),CONCATENATE("R8C",'Mapa final'!$O$70),"")</f>
        <v/>
      </c>
      <c r="T33" s="67" t="str">
        <f>IF(AND('Mapa final'!$Y$71="Media",'Mapa final'!$AA$71="Menor"),CONCATENATE("R8C",'Mapa final'!$O$71),"")</f>
        <v/>
      </c>
      <c r="U33" s="68" t="str">
        <f>IF(AND('Mapa final'!$Y$72="Media",'Mapa final'!$AA$72="Menor"),CONCATENATE("R8C",'Mapa final'!$O$72),"")</f>
        <v/>
      </c>
      <c r="V33" s="66" t="str">
        <f>IF(AND('Mapa final'!$Y$67="Media",'Mapa final'!$AA$67="Moderado"),CONCATENATE("R8C",'Mapa final'!$O$67),"")</f>
        <v/>
      </c>
      <c r="W33" s="67" t="str">
        <f>IF(AND('Mapa final'!$Y$68="Media",'Mapa final'!$AA$68="Moderado"),CONCATENATE("R8C",'Mapa final'!$O$68),"")</f>
        <v/>
      </c>
      <c r="X33" s="67" t="str">
        <f>IF(AND('Mapa final'!$Y$69="Media",'Mapa final'!$AA$69="Moderado"),CONCATENATE("R8C",'Mapa final'!$O$69),"")</f>
        <v/>
      </c>
      <c r="Y33" s="67" t="str">
        <f>IF(AND('Mapa final'!$Y$70="Media",'Mapa final'!$AA$70="Moderado"),CONCATENATE("R8C",'Mapa final'!$O$70),"")</f>
        <v/>
      </c>
      <c r="Z33" s="67" t="str">
        <f>IF(AND('Mapa final'!$Y$71="Media",'Mapa final'!$AA$71="Moderado"),CONCATENATE("R8C",'Mapa final'!$O$71),"")</f>
        <v/>
      </c>
      <c r="AA33" s="68" t="str">
        <f>IF(AND('Mapa final'!$Y$72="Media",'Mapa final'!$AA$72="Moderado"),CONCATENATE("R8C",'Mapa final'!$O$72),"")</f>
        <v/>
      </c>
      <c r="AB33" s="51" t="str">
        <f>IF(AND('Mapa final'!$Y$67="Media",'Mapa final'!$AA$67="Mayor"),CONCATENATE("R8C",'Mapa final'!$O$67),"")</f>
        <v/>
      </c>
      <c r="AC33" s="52" t="str">
        <f>IF(AND('Mapa final'!$Y$68="Media",'Mapa final'!$AA$68="Mayor"),CONCATENATE("R8C",'Mapa final'!$O$68),"")</f>
        <v/>
      </c>
      <c r="AD33" s="52" t="str">
        <f>IF(AND('Mapa final'!$Y$69="Media",'Mapa final'!$AA$69="Mayor"),CONCATENATE("R8C",'Mapa final'!$O$69),"")</f>
        <v/>
      </c>
      <c r="AE33" s="52" t="str">
        <f>IF(AND('Mapa final'!$Y$70="Media",'Mapa final'!$AA$70="Mayor"),CONCATENATE("R8C",'Mapa final'!$O$70),"")</f>
        <v/>
      </c>
      <c r="AF33" s="52" t="str">
        <f>IF(AND('Mapa final'!$Y$71="Media",'Mapa final'!$AA$71="Mayor"),CONCATENATE("R8C",'Mapa final'!$O$71),"")</f>
        <v/>
      </c>
      <c r="AG33" s="53" t="str">
        <f>IF(AND('Mapa final'!$Y$72="Media",'Mapa final'!$AA$72="Mayor"),CONCATENATE("R8C",'Mapa final'!$O$72),"")</f>
        <v/>
      </c>
      <c r="AH33" s="54" t="str">
        <f>IF(AND('Mapa final'!$Y$67="Media",'Mapa final'!$AA$67="Catastrófico"),CONCATENATE("R8C",'Mapa final'!$O$67),"")</f>
        <v/>
      </c>
      <c r="AI33" s="55" t="str">
        <f>IF(AND('Mapa final'!$Y$68="Media",'Mapa final'!$AA$68="Catastrófico"),CONCATENATE("R8C",'Mapa final'!$O$68),"")</f>
        <v/>
      </c>
      <c r="AJ33" s="55" t="str">
        <f>IF(AND('Mapa final'!$Y$69="Media",'Mapa final'!$AA$69="Catastrófico"),CONCATENATE("R8C",'Mapa final'!$O$69),"")</f>
        <v/>
      </c>
      <c r="AK33" s="55" t="str">
        <f>IF(AND('Mapa final'!$Y$70="Media",'Mapa final'!$AA$70="Catastrófico"),CONCATENATE("R8C",'Mapa final'!$O$70),"")</f>
        <v/>
      </c>
      <c r="AL33" s="55" t="str">
        <f>IF(AND('Mapa final'!$Y$71="Media",'Mapa final'!$AA$71="Catastrófico"),CONCATENATE("R8C",'Mapa final'!$O$71),"")</f>
        <v/>
      </c>
      <c r="AM33" s="56" t="str">
        <f>IF(AND('Mapa final'!$Y$72="Media",'Mapa final'!$AA$72="Catastrófico"),CONCATENATE("R8C",'Mapa final'!$O$72),"")</f>
        <v/>
      </c>
      <c r="AN33" s="82"/>
      <c r="AO33" s="488"/>
      <c r="AP33" s="489"/>
      <c r="AQ33" s="489"/>
      <c r="AR33" s="489"/>
      <c r="AS33" s="489"/>
      <c r="AT33" s="490"/>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360"/>
      <c r="C34" s="360"/>
      <c r="D34" s="361"/>
      <c r="E34" s="459"/>
      <c r="F34" s="458"/>
      <c r="G34" s="458"/>
      <c r="H34" s="458"/>
      <c r="I34" s="474"/>
      <c r="J34" s="66" t="str">
        <f>IF(AND('Mapa final'!$Y$73="Media",'Mapa final'!$AA$73="Leve"),CONCATENATE("R9C",'Mapa final'!$O$73),"")</f>
        <v/>
      </c>
      <c r="K34" s="67" t="str">
        <f>IF(AND('Mapa final'!$Y$74="Media",'Mapa final'!$AA$74="Leve"),CONCATENATE("R9C",'Mapa final'!$O$74),"")</f>
        <v/>
      </c>
      <c r="L34" s="67" t="str">
        <f>IF(AND('Mapa final'!$Y$75="Media",'Mapa final'!$AA$75="Leve"),CONCATENATE("R9C",'Mapa final'!$O$75),"")</f>
        <v/>
      </c>
      <c r="M34" s="67" t="str">
        <f>IF(AND('Mapa final'!$Y$76="Media",'Mapa final'!$AA$76="Leve"),CONCATENATE("R9C",'Mapa final'!$O$76),"")</f>
        <v/>
      </c>
      <c r="N34" s="67" t="str">
        <f>IF(AND('Mapa final'!$Y$77="Media",'Mapa final'!$AA$77="Leve"),CONCATENATE("R9C",'Mapa final'!$O$77),"")</f>
        <v/>
      </c>
      <c r="O34" s="68" t="str">
        <f>IF(AND('Mapa final'!$Y$78="Media",'Mapa final'!$AA$78="Leve"),CONCATENATE("R9C",'Mapa final'!$O$78),"")</f>
        <v/>
      </c>
      <c r="P34" s="66" t="str">
        <f>IF(AND('Mapa final'!$Y$73="Media",'Mapa final'!$AA$73="Menor"),CONCATENATE("R9C",'Mapa final'!$O$73),"")</f>
        <v/>
      </c>
      <c r="Q34" s="67" t="str">
        <f>IF(AND('Mapa final'!$Y$74="Media",'Mapa final'!$AA$74="Menor"),CONCATENATE("R9C",'Mapa final'!$O$74),"")</f>
        <v/>
      </c>
      <c r="R34" s="67" t="str">
        <f>IF(AND('Mapa final'!$Y$75="Media",'Mapa final'!$AA$75="Menor"),CONCATENATE("R9C",'Mapa final'!$O$75),"")</f>
        <v/>
      </c>
      <c r="S34" s="67" t="str">
        <f>IF(AND('Mapa final'!$Y$76="Media",'Mapa final'!$AA$76="Menor"),CONCATENATE("R9C",'Mapa final'!$O$76),"")</f>
        <v/>
      </c>
      <c r="T34" s="67" t="str">
        <f>IF(AND('Mapa final'!$Y$77="Media",'Mapa final'!$AA$77="Menor"),CONCATENATE("R9C",'Mapa final'!$O$77),"")</f>
        <v/>
      </c>
      <c r="U34" s="68" t="str">
        <f>IF(AND('Mapa final'!$Y$78="Media",'Mapa final'!$AA$78="Menor"),CONCATENATE("R9C",'Mapa final'!$O$78),"")</f>
        <v/>
      </c>
      <c r="V34" s="66" t="str">
        <f>IF(AND('Mapa final'!$Y$73="Media",'Mapa final'!$AA$73="Moderado"),CONCATENATE("R9C",'Mapa final'!$O$73),"")</f>
        <v/>
      </c>
      <c r="W34" s="67" t="str">
        <f>IF(AND('Mapa final'!$Y$74="Media",'Mapa final'!$AA$74="Moderado"),CONCATENATE("R9C",'Mapa final'!$O$74),"")</f>
        <v/>
      </c>
      <c r="X34" s="67" t="str">
        <f>IF(AND('Mapa final'!$Y$75="Media",'Mapa final'!$AA$75="Moderado"),CONCATENATE("R9C",'Mapa final'!$O$75),"")</f>
        <v/>
      </c>
      <c r="Y34" s="67" t="str">
        <f>IF(AND('Mapa final'!$Y$76="Media",'Mapa final'!$AA$76="Moderado"),CONCATENATE("R9C",'Mapa final'!$O$76),"")</f>
        <v/>
      </c>
      <c r="Z34" s="67" t="str">
        <f>IF(AND('Mapa final'!$Y$77="Media",'Mapa final'!$AA$77="Moderado"),CONCATENATE("R9C",'Mapa final'!$O$77),"")</f>
        <v/>
      </c>
      <c r="AA34" s="68" t="str">
        <f>IF(AND('Mapa final'!$Y$78="Media",'Mapa final'!$AA$78="Moderado"),CONCATENATE("R9C",'Mapa final'!$O$78),"")</f>
        <v/>
      </c>
      <c r="AB34" s="51" t="str">
        <f>IF(AND('Mapa final'!$Y$73="Media",'Mapa final'!$AA$73="Mayor"),CONCATENATE("R9C",'Mapa final'!$O$73),"")</f>
        <v/>
      </c>
      <c r="AC34" s="52" t="str">
        <f>IF(AND('Mapa final'!$Y$74="Media",'Mapa final'!$AA$74="Mayor"),CONCATENATE("R9C",'Mapa final'!$O$74),"")</f>
        <v/>
      </c>
      <c r="AD34" s="52" t="str">
        <f>IF(AND('Mapa final'!$Y$75="Media",'Mapa final'!$AA$75="Mayor"),CONCATENATE("R9C",'Mapa final'!$O$75),"")</f>
        <v/>
      </c>
      <c r="AE34" s="52" t="str">
        <f>IF(AND('Mapa final'!$Y$76="Media",'Mapa final'!$AA$76="Mayor"),CONCATENATE("R9C",'Mapa final'!$O$76),"")</f>
        <v/>
      </c>
      <c r="AF34" s="52" t="str">
        <f>IF(AND('Mapa final'!$Y$77="Media",'Mapa final'!$AA$77="Mayor"),CONCATENATE("R9C",'Mapa final'!$O$77),"")</f>
        <v/>
      </c>
      <c r="AG34" s="53" t="str">
        <f>IF(AND('Mapa final'!$Y$78="Media",'Mapa final'!$AA$78="Mayor"),CONCATENATE("R9C",'Mapa final'!$O$78),"")</f>
        <v/>
      </c>
      <c r="AH34" s="54" t="str">
        <f>IF(AND('Mapa final'!$Y$73="Media",'Mapa final'!$AA$73="Catastrófico"),CONCATENATE("R9C",'Mapa final'!$O$73),"")</f>
        <v/>
      </c>
      <c r="AI34" s="55" t="str">
        <f>IF(AND('Mapa final'!$Y$74="Media",'Mapa final'!$AA$74="Catastrófico"),CONCATENATE("R9C",'Mapa final'!$O$74),"")</f>
        <v/>
      </c>
      <c r="AJ34" s="55" t="str">
        <f>IF(AND('Mapa final'!$Y$75="Media",'Mapa final'!$AA$75="Catastrófico"),CONCATENATE("R9C",'Mapa final'!$O$75),"")</f>
        <v/>
      </c>
      <c r="AK34" s="55" t="str">
        <f>IF(AND('Mapa final'!$Y$76="Media",'Mapa final'!$AA$76="Catastrófico"),CONCATENATE("R9C",'Mapa final'!$O$76),"")</f>
        <v/>
      </c>
      <c r="AL34" s="55" t="str">
        <f>IF(AND('Mapa final'!$Y$77="Media",'Mapa final'!$AA$77="Catastrófico"),CONCATENATE("R9C",'Mapa final'!$O$77),"")</f>
        <v/>
      </c>
      <c r="AM34" s="56" t="str">
        <f>IF(AND('Mapa final'!$Y$78="Media",'Mapa final'!$AA$78="Catastrófico"),CONCATENATE("R9C",'Mapa final'!$O$78),"")</f>
        <v/>
      </c>
      <c r="AN34" s="82"/>
      <c r="AO34" s="488"/>
      <c r="AP34" s="489"/>
      <c r="AQ34" s="489"/>
      <c r="AR34" s="489"/>
      <c r="AS34" s="489"/>
      <c r="AT34" s="490"/>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360"/>
      <c r="C35" s="360"/>
      <c r="D35" s="361"/>
      <c r="E35" s="460"/>
      <c r="F35" s="461"/>
      <c r="G35" s="461"/>
      <c r="H35" s="461"/>
      <c r="I35" s="475"/>
      <c r="J35" s="66" t="str">
        <f>IF(AND('Mapa final'!$Y$79="Media",'Mapa final'!$AA$79="Leve"),CONCATENATE("R10C",'Mapa final'!$O$79),"")</f>
        <v/>
      </c>
      <c r="K35" s="67" t="str">
        <f>IF(AND('Mapa final'!$Y$80="Media",'Mapa final'!$AA$80="Leve"),CONCATENATE("R10C",'Mapa final'!$O$80),"")</f>
        <v/>
      </c>
      <c r="L35" s="67" t="str">
        <f>IF(AND('Mapa final'!$Y$81="Media",'Mapa final'!$AA$81="Leve"),CONCATENATE("R10C",'Mapa final'!$O$81),"")</f>
        <v/>
      </c>
      <c r="M35" s="67" t="str">
        <f>IF(AND('Mapa final'!$Y$82="Media",'Mapa final'!$AA$82="Leve"),CONCATENATE("R10C",'Mapa final'!$O$82),"")</f>
        <v/>
      </c>
      <c r="N35" s="67" t="str">
        <f>IF(AND('Mapa final'!$Y$83="Media",'Mapa final'!$AA$83="Leve"),CONCATENATE("R10C",'Mapa final'!$O$83),"")</f>
        <v/>
      </c>
      <c r="O35" s="68" t="str">
        <f>IF(AND('Mapa final'!$Y$84="Media",'Mapa final'!$AA$84="Leve"),CONCATENATE("R10C",'Mapa final'!$O$84),"")</f>
        <v/>
      </c>
      <c r="P35" s="66" t="str">
        <f>IF(AND('Mapa final'!$Y$79="Media",'Mapa final'!$AA$79="Menor"),CONCATENATE("R10C",'Mapa final'!$O$79),"")</f>
        <v/>
      </c>
      <c r="Q35" s="67" t="str">
        <f>IF(AND('Mapa final'!$Y$80="Media",'Mapa final'!$AA$80="Menor"),CONCATENATE("R10C",'Mapa final'!$O$80),"")</f>
        <v/>
      </c>
      <c r="R35" s="67" t="str">
        <f>IF(AND('Mapa final'!$Y$81="Media",'Mapa final'!$AA$81="Menor"),CONCATENATE("R10C",'Mapa final'!$O$81),"")</f>
        <v/>
      </c>
      <c r="S35" s="67" t="str">
        <f>IF(AND('Mapa final'!$Y$82="Media",'Mapa final'!$AA$82="Menor"),CONCATENATE("R10C",'Mapa final'!$O$82),"")</f>
        <v/>
      </c>
      <c r="T35" s="67" t="str">
        <f>IF(AND('Mapa final'!$Y$83="Media",'Mapa final'!$AA$83="Menor"),CONCATENATE("R10C",'Mapa final'!$O$83),"")</f>
        <v/>
      </c>
      <c r="U35" s="68" t="str">
        <f>IF(AND('Mapa final'!$Y$84="Media",'Mapa final'!$AA$84="Menor"),CONCATENATE("R10C",'Mapa final'!$O$84),"")</f>
        <v/>
      </c>
      <c r="V35" s="66" t="str">
        <f>IF(AND('Mapa final'!$Y$79="Media",'Mapa final'!$AA$79="Moderado"),CONCATENATE("R10C",'Mapa final'!$O$79),"")</f>
        <v/>
      </c>
      <c r="W35" s="67" t="str">
        <f>IF(AND('Mapa final'!$Y$80="Media",'Mapa final'!$AA$80="Moderado"),CONCATENATE("R10C",'Mapa final'!$O$80),"")</f>
        <v/>
      </c>
      <c r="X35" s="67" t="str">
        <f>IF(AND('Mapa final'!$Y$81="Media",'Mapa final'!$AA$81="Moderado"),CONCATENATE("R10C",'Mapa final'!$O$81),"")</f>
        <v/>
      </c>
      <c r="Y35" s="67" t="str">
        <f>IF(AND('Mapa final'!$Y$82="Media",'Mapa final'!$AA$82="Moderado"),CONCATENATE("R10C",'Mapa final'!$O$82),"")</f>
        <v/>
      </c>
      <c r="Z35" s="67" t="str">
        <f>IF(AND('Mapa final'!$Y$83="Media",'Mapa final'!$AA$83="Moderado"),CONCATENATE("R10C",'Mapa final'!$O$83),"")</f>
        <v/>
      </c>
      <c r="AA35" s="68" t="str">
        <f>IF(AND('Mapa final'!$Y$84="Media",'Mapa final'!$AA$84="Moderado"),CONCATENATE("R10C",'Mapa final'!$O$84),"")</f>
        <v/>
      </c>
      <c r="AB35" s="57" t="str">
        <f>IF(AND('Mapa final'!$Y$79="Media",'Mapa final'!$AA$79="Mayor"),CONCATENATE("R10C",'Mapa final'!$O$79),"")</f>
        <v/>
      </c>
      <c r="AC35" s="58" t="str">
        <f>IF(AND('Mapa final'!$Y$80="Media",'Mapa final'!$AA$80="Mayor"),CONCATENATE("R10C",'Mapa final'!$O$80),"")</f>
        <v/>
      </c>
      <c r="AD35" s="58" t="str">
        <f>IF(AND('Mapa final'!$Y$81="Media",'Mapa final'!$AA$81="Mayor"),CONCATENATE("R10C",'Mapa final'!$O$81),"")</f>
        <v/>
      </c>
      <c r="AE35" s="58" t="str">
        <f>IF(AND('Mapa final'!$Y$82="Media",'Mapa final'!$AA$82="Mayor"),CONCATENATE("R10C",'Mapa final'!$O$82),"")</f>
        <v/>
      </c>
      <c r="AF35" s="58" t="str">
        <f>IF(AND('Mapa final'!$Y$83="Media",'Mapa final'!$AA$83="Mayor"),CONCATENATE("R10C",'Mapa final'!$O$83),"")</f>
        <v/>
      </c>
      <c r="AG35" s="59" t="str">
        <f>IF(AND('Mapa final'!$Y$84="Media",'Mapa final'!$AA$84="Mayor"),CONCATENATE("R10C",'Mapa final'!$O$84),"")</f>
        <v/>
      </c>
      <c r="AH35" s="60" t="str">
        <f>IF(AND('Mapa final'!$Y$79="Media",'Mapa final'!$AA$79="Catastrófico"),CONCATENATE("R10C",'Mapa final'!$O$79),"")</f>
        <v/>
      </c>
      <c r="AI35" s="61" t="str">
        <f>IF(AND('Mapa final'!$Y$80="Media",'Mapa final'!$AA$80="Catastrófico"),CONCATENATE("R10C",'Mapa final'!$O$80),"")</f>
        <v/>
      </c>
      <c r="AJ35" s="61" t="str">
        <f>IF(AND('Mapa final'!$Y$81="Media",'Mapa final'!$AA$81="Catastrófico"),CONCATENATE("R10C",'Mapa final'!$O$81),"")</f>
        <v/>
      </c>
      <c r="AK35" s="61" t="str">
        <f>IF(AND('Mapa final'!$Y$82="Media",'Mapa final'!$AA$82="Catastrófico"),CONCATENATE("R10C",'Mapa final'!$O$82),"")</f>
        <v/>
      </c>
      <c r="AL35" s="61" t="str">
        <f>IF(AND('Mapa final'!$Y$83="Media",'Mapa final'!$AA$83="Catastrófico"),CONCATENATE("R10C",'Mapa final'!$O$83),"")</f>
        <v/>
      </c>
      <c r="AM35" s="62" t="str">
        <f>IF(AND('Mapa final'!$Y$84="Media",'Mapa final'!$AA$84="Catastrófico"),CONCATENATE("R10C",'Mapa final'!$O$84),"")</f>
        <v/>
      </c>
      <c r="AN35" s="82"/>
      <c r="AO35" s="491"/>
      <c r="AP35" s="492"/>
      <c r="AQ35" s="492"/>
      <c r="AR35" s="492"/>
      <c r="AS35" s="492"/>
      <c r="AT35" s="493"/>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360"/>
      <c r="C36" s="360"/>
      <c r="D36" s="361"/>
      <c r="E36" s="455" t="s">
        <v>154</v>
      </c>
      <c r="F36" s="456"/>
      <c r="G36" s="456"/>
      <c r="H36" s="456"/>
      <c r="I36" s="456"/>
      <c r="J36" s="72" t="str">
        <f>IF(AND('Mapa final'!$Y$25="Baja",'Mapa final'!$AA$25="Leve"),CONCATENATE("R1C",'Mapa final'!$O$25),"")</f>
        <v/>
      </c>
      <c r="K36" s="73" t="str">
        <f>IF(AND('Mapa final'!$Y$26="Baja",'Mapa final'!$AA$26="Leve"),CONCATENATE("R1C",'Mapa final'!$O$26),"")</f>
        <v/>
      </c>
      <c r="L36" s="73" t="str">
        <f>IF(AND('Mapa final'!$Y$27="Baja",'Mapa final'!$AA$27="Leve"),CONCATENATE("R1C",'Mapa final'!$O$27),"")</f>
        <v/>
      </c>
      <c r="M36" s="73" t="str">
        <f>IF(AND('Mapa final'!$Y$28="Baja",'Mapa final'!$AA$28="Leve"),CONCATENATE("R1C",'Mapa final'!$O$28),"")</f>
        <v/>
      </c>
      <c r="N36" s="73" t="str">
        <f>IF(AND('Mapa final'!$Y$29="Baja",'Mapa final'!$AA$29="Leve"),CONCATENATE("R1C",'Mapa final'!$O$29),"")</f>
        <v/>
      </c>
      <c r="O36" s="74" t="str">
        <f>IF(AND('Mapa final'!$Y$30="Baja",'Mapa final'!$AA$30="Leve"),CONCATENATE("R1C",'Mapa final'!$O$30),"")</f>
        <v/>
      </c>
      <c r="P36" s="63" t="str">
        <f>IF(AND('Mapa final'!$Y$25="Baja",'Mapa final'!$AA$25="Menor"),CONCATENATE("R1C",'Mapa final'!$O$25),"")</f>
        <v/>
      </c>
      <c r="Q36" s="64" t="str">
        <f>IF(AND('Mapa final'!$Y$26="Baja",'Mapa final'!$AA$26="Menor"),CONCATENATE("R1C",'Mapa final'!$O$26),"")</f>
        <v/>
      </c>
      <c r="R36" s="64" t="str">
        <f>IF(AND('Mapa final'!$Y$27="Baja",'Mapa final'!$AA$27="Menor"),CONCATENATE("R1C",'Mapa final'!$O$27),"")</f>
        <v/>
      </c>
      <c r="S36" s="64" t="str">
        <f>IF(AND('Mapa final'!$Y$28="Baja",'Mapa final'!$AA$28="Menor"),CONCATENATE("R1C",'Mapa final'!$O$28),"")</f>
        <v/>
      </c>
      <c r="T36" s="64" t="str">
        <f>IF(AND('Mapa final'!$Y$29="Baja",'Mapa final'!$AA$29="Menor"),CONCATENATE("R1C",'Mapa final'!$O$29),"")</f>
        <v/>
      </c>
      <c r="U36" s="65" t="str">
        <f>IF(AND('Mapa final'!$Y$30="Baja",'Mapa final'!$AA$30="Menor"),CONCATENATE("R1C",'Mapa final'!$O$30),"")</f>
        <v/>
      </c>
      <c r="V36" s="63" t="str">
        <f>IF(AND('Mapa final'!$Y$25="Baja",'Mapa final'!$AA$25="Moderado"),CONCATENATE("R1C",'Mapa final'!$O$25),"")</f>
        <v>R1C1</v>
      </c>
      <c r="W36" s="64" t="str">
        <f>IF(AND('Mapa final'!$Y$26="Baja",'Mapa final'!$AA$26="Moderado"),CONCATENATE("R1C",'Mapa final'!$O$26),"")</f>
        <v/>
      </c>
      <c r="X36" s="64" t="str">
        <f>IF(AND('Mapa final'!$Y$27="Baja",'Mapa final'!$AA$27="Moderado"),CONCATENATE("R1C",'Mapa final'!$O$27),"")</f>
        <v/>
      </c>
      <c r="Y36" s="64" t="str">
        <f>IF(AND('Mapa final'!$Y$28="Baja",'Mapa final'!$AA$28="Moderado"),CONCATENATE("R1C",'Mapa final'!$O$28),"")</f>
        <v/>
      </c>
      <c r="Z36" s="64" t="str">
        <f>IF(AND('Mapa final'!$Y$29="Baja",'Mapa final'!$AA$29="Moderado"),CONCATENATE("R1C",'Mapa final'!$O$29),"")</f>
        <v/>
      </c>
      <c r="AA36" s="65" t="str">
        <f>IF(AND('Mapa final'!$Y$30="Baja",'Mapa final'!$AA$30="Moderado"),CONCATENATE("R1C",'Mapa final'!$O$30),"")</f>
        <v/>
      </c>
      <c r="AB36" s="45" t="str">
        <f>IF(AND('Mapa final'!$Y$25="Baja",'Mapa final'!$AA$25="Mayor"),CONCATENATE("R1C",'Mapa final'!$O$25),"")</f>
        <v/>
      </c>
      <c r="AC36" s="46" t="str">
        <f>IF(AND('Mapa final'!$Y$26="Baja",'Mapa final'!$AA$26="Mayor"),CONCATENATE("R1C",'Mapa final'!$O$26),"")</f>
        <v/>
      </c>
      <c r="AD36" s="46" t="str">
        <f>IF(AND('Mapa final'!$Y$27="Baja",'Mapa final'!$AA$27="Mayor"),CONCATENATE("R1C",'Mapa final'!$O$27),"")</f>
        <v/>
      </c>
      <c r="AE36" s="46" t="str">
        <f>IF(AND('Mapa final'!$Y$28="Baja",'Mapa final'!$AA$28="Mayor"),CONCATENATE("R1C",'Mapa final'!$O$28),"")</f>
        <v/>
      </c>
      <c r="AF36" s="46" t="str">
        <f>IF(AND('Mapa final'!$Y$29="Baja",'Mapa final'!$AA$29="Mayor"),CONCATENATE("R1C",'Mapa final'!$O$29),"")</f>
        <v/>
      </c>
      <c r="AG36" s="47" t="str">
        <f>IF(AND('Mapa final'!$Y$30="Baja",'Mapa final'!$AA$30="Mayor"),CONCATENATE("R1C",'Mapa final'!$O$30),"")</f>
        <v/>
      </c>
      <c r="AH36" s="48" t="str">
        <f>IF(AND('Mapa final'!$Y$25="Baja",'Mapa final'!$AA$25="Catastrófico"),CONCATENATE("R1C",'Mapa final'!$O$25),"")</f>
        <v/>
      </c>
      <c r="AI36" s="49" t="str">
        <f>IF(AND('Mapa final'!$Y$26="Baja",'Mapa final'!$AA$26="Catastrófico"),CONCATENATE("R1C",'Mapa final'!$O$26),"")</f>
        <v/>
      </c>
      <c r="AJ36" s="49" t="str">
        <f>IF(AND('Mapa final'!$Y$27="Baja",'Mapa final'!$AA$27="Catastrófico"),CONCATENATE("R1C",'Mapa final'!$O$27),"")</f>
        <v/>
      </c>
      <c r="AK36" s="49" t="str">
        <f>IF(AND('Mapa final'!$Y$28="Baja",'Mapa final'!$AA$28="Catastrófico"),CONCATENATE("R1C",'Mapa final'!$O$28),"")</f>
        <v/>
      </c>
      <c r="AL36" s="49" t="str">
        <f>IF(AND('Mapa final'!$Y$29="Baja",'Mapa final'!$AA$29="Catastrófico"),CONCATENATE("R1C",'Mapa final'!$O$29),"")</f>
        <v/>
      </c>
      <c r="AM36" s="50" t="str">
        <f>IF(AND('Mapa final'!$Y$30="Baja",'Mapa final'!$AA$30="Catastrófico"),CONCATENATE("R1C",'Mapa final'!$O$30),"")</f>
        <v/>
      </c>
      <c r="AN36" s="82"/>
      <c r="AO36" s="476" t="s">
        <v>155</v>
      </c>
      <c r="AP36" s="477"/>
      <c r="AQ36" s="477"/>
      <c r="AR36" s="477"/>
      <c r="AS36" s="477"/>
      <c r="AT36" s="478"/>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360"/>
      <c r="C37" s="360"/>
      <c r="D37" s="361"/>
      <c r="E37" s="457"/>
      <c r="F37" s="458"/>
      <c r="G37" s="458"/>
      <c r="H37" s="458"/>
      <c r="I37" s="458"/>
      <c r="J37" s="75" t="str">
        <f>IF(AND('Mapa final'!$Y$31="Baja",'Mapa final'!$AA$31="Leve"),CONCATENATE("R2C",'Mapa final'!$O$31),"")</f>
        <v/>
      </c>
      <c r="K37" s="76" t="str">
        <f>IF(AND('Mapa final'!$Y$32="Baja",'Mapa final'!$AA$32="Leve"),CONCATENATE("R2C",'Mapa final'!$O$32),"")</f>
        <v/>
      </c>
      <c r="L37" s="76" t="str">
        <f>IF(AND('Mapa final'!$Y$33="Baja",'Mapa final'!$AA$33="Leve"),CONCATENATE("R2C",'Mapa final'!$O$33),"")</f>
        <v/>
      </c>
      <c r="M37" s="76" t="str">
        <f>IF(AND('Mapa final'!$Y$34="Baja",'Mapa final'!$AA$34="Leve"),CONCATENATE("R2C",'Mapa final'!$O$34),"")</f>
        <v/>
      </c>
      <c r="N37" s="76" t="str">
        <f>IF(AND('Mapa final'!$Y$35="Baja",'Mapa final'!$AA$35="Leve"),CONCATENATE("R2C",'Mapa final'!$O$35),"")</f>
        <v/>
      </c>
      <c r="O37" s="77" t="str">
        <f>IF(AND('Mapa final'!$Y$36="Baja",'Mapa final'!$AA$36="Leve"),CONCATENATE("R2C",'Mapa final'!$O$36),"")</f>
        <v/>
      </c>
      <c r="P37" s="66" t="str">
        <f>IF(AND('Mapa final'!$Y$31="Baja",'Mapa final'!$AA$31="Menor"),CONCATENATE("R2C",'Mapa final'!$O$31),"")</f>
        <v/>
      </c>
      <c r="Q37" s="67" t="str">
        <f>IF(AND('Mapa final'!$Y$32="Baja",'Mapa final'!$AA$32="Menor"),CONCATENATE("R2C",'Mapa final'!$O$32),"")</f>
        <v/>
      </c>
      <c r="R37" s="67" t="str">
        <f>IF(AND('Mapa final'!$Y$33="Baja",'Mapa final'!$AA$33="Menor"),CONCATENATE("R2C",'Mapa final'!$O$33),"")</f>
        <v/>
      </c>
      <c r="S37" s="67" t="str">
        <f>IF(AND('Mapa final'!$Y$34="Baja",'Mapa final'!$AA$34="Menor"),CONCATENATE("R2C",'Mapa final'!$O$34),"")</f>
        <v/>
      </c>
      <c r="T37" s="67" t="str">
        <f>IF(AND('Mapa final'!$Y$35="Baja",'Mapa final'!$AA$35="Menor"),CONCATENATE("R2C",'Mapa final'!$O$35),"")</f>
        <v/>
      </c>
      <c r="U37" s="68" t="str">
        <f>IF(AND('Mapa final'!$Y$36="Baja",'Mapa final'!$AA$36="Menor"),CONCATENATE("R2C",'Mapa final'!$O$36),"")</f>
        <v/>
      </c>
      <c r="V37" s="66" t="str">
        <f>IF(AND('Mapa final'!$Y$31="Baja",'Mapa final'!$AA$31="Moderado"),CONCATENATE("R2C",'Mapa final'!$O$31),"")</f>
        <v/>
      </c>
      <c r="W37" s="67" t="str">
        <f>IF(AND('Mapa final'!$Y$32="Baja",'Mapa final'!$AA$32="Moderado"),CONCATENATE("R2C",'Mapa final'!$O$32),"")</f>
        <v/>
      </c>
      <c r="X37" s="67" t="str">
        <f>IF(AND('Mapa final'!$Y$33="Baja",'Mapa final'!$AA$33="Moderado"),CONCATENATE("R2C",'Mapa final'!$O$33),"")</f>
        <v/>
      </c>
      <c r="Y37" s="67" t="str">
        <f>IF(AND('Mapa final'!$Y$34="Baja",'Mapa final'!$AA$34="Moderado"),CONCATENATE("R2C",'Mapa final'!$O$34),"")</f>
        <v/>
      </c>
      <c r="Z37" s="67" t="str">
        <f>IF(AND('Mapa final'!$Y$35="Baja",'Mapa final'!$AA$35="Moderado"),CONCATENATE("R2C",'Mapa final'!$O$35),"")</f>
        <v/>
      </c>
      <c r="AA37" s="68" t="str">
        <f>IF(AND('Mapa final'!$Y$36="Baja",'Mapa final'!$AA$36="Moderado"),CONCATENATE("R2C",'Mapa final'!$O$36),"")</f>
        <v/>
      </c>
      <c r="AB37" s="51" t="str">
        <f>IF(AND('Mapa final'!$Y$31="Baja",'Mapa final'!$AA$31="Mayor"),CONCATENATE("R2C",'Mapa final'!$O$31),"")</f>
        <v>R2C1</v>
      </c>
      <c r="AC37" s="52" t="str">
        <f>IF(AND('Mapa final'!$Y$32="Baja",'Mapa final'!$AA$32="Mayor"),CONCATENATE("R2C",'Mapa final'!$O$32),"")</f>
        <v/>
      </c>
      <c r="AD37" s="52" t="str">
        <f>IF(AND('Mapa final'!$Y$33="Baja",'Mapa final'!$AA$33="Mayor"),CONCATENATE("R2C",'Mapa final'!$O$33),"")</f>
        <v/>
      </c>
      <c r="AE37" s="52" t="str">
        <f>IF(AND('Mapa final'!$Y$34="Baja",'Mapa final'!$AA$34="Mayor"),CONCATENATE("R2C",'Mapa final'!$O$34),"")</f>
        <v/>
      </c>
      <c r="AF37" s="52" t="str">
        <f>IF(AND('Mapa final'!$Y$35="Baja",'Mapa final'!$AA$35="Mayor"),CONCATENATE("R2C",'Mapa final'!$O$35),"")</f>
        <v/>
      </c>
      <c r="AG37" s="53" t="str">
        <f>IF(AND('Mapa final'!$Y$36="Baja",'Mapa final'!$AA$36="Mayor"),CONCATENATE("R2C",'Mapa final'!$O$36),"")</f>
        <v/>
      </c>
      <c r="AH37" s="54" t="str">
        <f>IF(AND('Mapa final'!$Y$31="Baja",'Mapa final'!$AA$31="Catastrófico"),CONCATENATE("R2C",'Mapa final'!$O$31),"")</f>
        <v/>
      </c>
      <c r="AI37" s="55" t="str">
        <f>IF(AND('Mapa final'!$Y$32="Baja",'Mapa final'!$AA$32="Catastrófico"),CONCATENATE("R2C",'Mapa final'!$O$32),"")</f>
        <v/>
      </c>
      <c r="AJ37" s="55" t="str">
        <f>IF(AND('Mapa final'!$Y$33="Baja",'Mapa final'!$AA$33="Catastrófico"),CONCATENATE("R2C",'Mapa final'!$O$33),"")</f>
        <v/>
      </c>
      <c r="AK37" s="55" t="str">
        <f>IF(AND('Mapa final'!$Y$34="Baja",'Mapa final'!$AA$34="Catastrófico"),CONCATENATE("R2C",'Mapa final'!$O$34),"")</f>
        <v/>
      </c>
      <c r="AL37" s="55" t="str">
        <f>IF(AND('Mapa final'!$Y$35="Baja",'Mapa final'!$AA$35="Catastrófico"),CONCATENATE("R2C",'Mapa final'!$O$35),"")</f>
        <v/>
      </c>
      <c r="AM37" s="56" t="str">
        <f>IF(AND('Mapa final'!$Y$36="Baja",'Mapa final'!$AA$36="Catastrófico"),CONCATENATE("R2C",'Mapa final'!$O$36),"")</f>
        <v/>
      </c>
      <c r="AN37" s="82"/>
      <c r="AO37" s="479"/>
      <c r="AP37" s="480"/>
      <c r="AQ37" s="480"/>
      <c r="AR37" s="480"/>
      <c r="AS37" s="480"/>
      <c r="AT37" s="481"/>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360"/>
      <c r="C38" s="360"/>
      <c r="D38" s="361"/>
      <c r="E38" s="459"/>
      <c r="F38" s="458"/>
      <c r="G38" s="458"/>
      <c r="H38" s="458"/>
      <c r="I38" s="458"/>
      <c r="J38" s="75" t="str">
        <f>IF(AND('Mapa final'!$Y$37="Baja",'Mapa final'!$AA$37="Leve"),CONCATENATE("R3C",'Mapa final'!$O$37),"")</f>
        <v/>
      </c>
      <c r="K38" s="76" t="str">
        <f>IF(AND('Mapa final'!$Y$38="Baja",'Mapa final'!$AA$38="Leve"),CONCATENATE("R3C",'Mapa final'!$O$38),"")</f>
        <v/>
      </c>
      <c r="L38" s="76" t="str">
        <f>IF(AND('Mapa final'!$Y$39="Baja",'Mapa final'!$AA$39="Leve"),CONCATENATE("R3C",'Mapa final'!$O$39),"")</f>
        <v/>
      </c>
      <c r="M38" s="76" t="str">
        <f>IF(AND('Mapa final'!$Y$40="Baja",'Mapa final'!$AA$40="Leve"),CONCATENATE("R3C",'Mapa final'!$O$40),"")</f>
        <v/>
      </c>
      <c r="N38" s="76" t="str">
        <f>IF(AND('Mapa final'!$Y$41="Baja",'Mapa final'!$AA$41="Leve"),CONCATENATE("R3C",'Mapa final'!$O$41),"")</f>
        <v/>
      </c>
      <c r="O38" s="77" t="str">
        <f>IF(AND('Mapa final'!$Y$42="Baja",'Mapa final'!$AA$42="Leve"),CONCATENATE("R3C",'Mapa final'!$O$42),"")</f>
        <v/>
      </c>
      <c r="P38" s="66" t="str">
        <f>IF(AND('Mapa final'!$Y$37="Baja",'Mapa final'!$AA$37="Menor"),CONCATENATE("R3C",'Mapa final'!$O$37),"")</f>
        <v/>
      </c>
      <c r="Q38" s="67" t="str">
        <f>IF(AND('Mapa final'!$Y$38="Baja",'Mapa final'!$AA$38="Menor"),CONCATENATE("R3C",'Mapa final'!$O$38),"")</f>
        <v/>
      </c>
      <c r="R38" s="67" t="str">
        <f>IF(AND('Mapa final'!$Y$39="Baja",'Mapa final'!$AA$39="Menor"),CONCATENATE("R3C",'Mapa final'!$O$39),"")</f>
        <v/>
      </c>
      <c r="S38" s="67" t="str">
        <f>IF(AND('Mapa final'!$Y$40="Baja",'Mapa final'!$AA$40="Menor"),CONCATENATE("R3C",'Mapa final'!$O$40),"")</f>
        <v/>
      </c>
      <c r="T38" s="67" t="str">
        <f>IF(AND('Mapa final'!$Y$41="Baja",'Mapa final'!$AA$41="Menor"),CONCATENATE("R3C",'Mapa final'!$O$41),"")</f>
        <v/>
      </c>
      <c r="U38" s="68" t="str">
        <f>IF(AND('Mapa final'!$Y$42="Baja",'Mapa final'!$AA$42="Menor"),CONCATENATE("R3C",'Mapa final'!$O$42),"")</f>
        <v/>
      </c>
      <c r="V38" s="66" t="str">
        <f>IF(AND('Mapa final'!$Y$37="Baja",'Mapa final'!$AA$37="Moderado"),CONCATENATE("R3C",'Mapa final'!$O$37),"")</f>
        <v/>
      </c>
      <c r="W38" s="67" t="str">
        <f>IF(AND('Mapa final'!$Y$38="Baja",'Mapa final'!$AA$38="Moderado"),CONCATENATE("R3C",'Mapa final'!$O$38),"")</f>
        <v/>
      </c>
      <c r="X38" s="67" t="str">
        <f>IF(AND('Mapa final'!$Y$39="Baja",'Mapa final'!$AA$39="Moderado"),CONCATENATE("R3C",'Mapa final'!$O$39),"")</f>
        <v/>
      </c>
      <c r="Y38" s="67" t="str">
        <f>IF(AND('Mapa final'!$Y$40="Baja",'Mapa final'!$AA$40="Moderado"),CONCATENATE("R3C",'Mapa final'!$O$40),"")</f>
        <v/>
      </c>
      <c r="Z38" s="67" t="str">
        <f>IF(AND('Mapa final'!$Y$41="Baja",'Mapa final'!$AA$41="Moderado"),CONCATENATE("R3C",'Mapa final'!$O$41),"")</f>
        <v/>
      </c>
      <c r="AA38" s="68" t="str">
        <f>IF(AND('Mapa final'!$Y$42="Baja",'Mapa final'!$AA$42="Moderado"),CONCATENATE("R3C",'Mapa final'!$O$42),"")</f>
        <v/>
      </c>
      <c r="AB38" s="51" t="str">
        <f>IF(AND('Mapa final'!$Y$37="Baja",'Mapa final'!$AA$37="Mayor"),CONCATENATE("R3C",'Mapa final'!$O$37),"")</f>
        <v>R3C1</v>
      </c>
      <c r="AC38" s="52" t="str">
        <f>IF(AND('Mapa final'!$Y$38="Baja",'Mapa final'!$AA$38="Mayor"),CONCATENATE("R3C",'Mapa final'!$O$38),"")</f>
        <v/>
      </c>
      <c r="AD38" s="52" t="str">
        <f>IF(AND('Mapa final'!$Y$39="Baja",'Mapa final'!$AA$39="Mayor"),CONCATENATE("R3C",'Mapa final'!$O$39),"")</f>
        <v/>
      </c>
      <c r="AE38" s="52" t="str">
        <f>IF(AND('Mapa final'!$Y$40="Baja",'Mapa final'!$AA$40="Mayor"),CONCATENATE("R3C",'Mapa final'!$O$40),"")</f>
        <v/>
      </c>
      <c r="AF38" s="52" t="str">
        <f>IF(AND('Mapa final'!$Y$41="Baja",'Mapa final'!$AA$41="Mayor"),CONCATENATE("R3C",'Mapa final'!$O$41),"")</f>
        <v/>
      </c>
      <c r="AG38" s="53" t="str">
        <f>IF(AND('Mapa final'!$Y$42="Baja",'Mapa final'!$AA$42="Mayor"),CONCATENATE("R3C",'Mapa final'!$O$42),"")</f>
        <v/>
      </c>
      <c r="AH38" s="54" t="str">
        <f>IF(AND('Mapa final'!$Y$37="Baja",'Mapa final'!$AA$37="Catastrófico"),CONCATENATE("R3C",'Mapa final'!$O$37),"")</f>
        <v/>
      </c>
      <c r="AI38" s="55" t="str">
        <f>IF(AND('Mapa final'!$Y$38="Baja",'Mapa final'!$AA$38="Catastrófico"),CONCATENATE("R3C",'Mapa final'!$O$38),"")</f>
        <v/>
      </c>
      <c r="AJ38" s="55" t="str">
        <f>IF(AND('Mapa final'!$Y$39="Baja",'Mapa final'!$AA$39="Catastrófico"),CONCATENATE("R3C",'Mapa final'!$O$39),"")</f>
        <v/>
      </c>
      <c r="AK38" s="55" t="str">
        <f>IF(AND('Mapa final'!$Y$40="Baja",'Mapa final'!$AA$40="Catastrófico"),CONCATENATE("R3C",'Mapa final'!$O$40),"")</f>
        <v/>
      </c>
      <c r="AL38" s="55" t="str">
        <f>IF(AND('Mapa final'!$Y$41="Baja",'Mapa final'!$AA$41="Catastrófico"),CONCATENATE("R3C",'Mapa final'!$O$41),"")</f>
        <v/>
      </c>
      <c r="AM38" s="56" t="str">
        <f>IF(AND('Mapa final'!$Y$42="Baja",'Mapa final'!$AA$42="Catastrófico"),CONCATENATE("R3C",'Mapa final'!$O$42),"")</f>
        <v/>
      </c>
      <c r="AN38" s="82"/>
      <c r="AO38" s="479"/>
      <c r="AP38" s="480"/>
      <c r="AQ38" s="480"/>
      <c r="AR38" s="480"/>
      <c r="AS38" s="480"/>
      <c r="AT38" s="481"/>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360"/>
      <c r="C39" s="360"/>
      <c r="D39" s="361"/>
      <c r="E39" s="459"/>
      <c r="F39" s="458"/>
      <c r="G39" s="458"/>
      <c r="H39" s="458"/>
      <c r="I39" s="458"/>
      <c r="J39" s="75" t="str">
        <f>IF(AND('Mapa final'!$Y$43="Baja",'Mapa final'!$AA$43="Leve"),CONCATENATE("R4C",'Mapa final'!$O$43),"")</f>
        <v/>
      </c>
      <c r="K39" s="76" t="str">
        <f>IF(AND('Mapa final'!$Y$44="Baja",'Mapa final'!$AA$44="Leve"),CONCATENATE("R4C",'Mapa final'!$O$44),"")</f>
        <v/>
      </c>
      <c r="L39" s="76" t="str">
        <f>IF(AND('Mapa final'!$Y$45="Baja",'Mapa final'!$AA$45="Leve"),CONCATENATE("R4C",'Mapa final'!$O$45),"")</f>
        <v/>
      </c>
      <c r="M39" s="76" t="str">
        <f>IF(AND('Mapa final'!$Y$46="Baja",'Mapa final'!$AA$46="Leve"),CONCATENATE("R4C",'Mapa final'!$O$46),"")</f>
        <v/>
      </c>
      <c r="N39" s="76" t="str">
        <f>IF(AND('Mapa final'!$Y$47="Baja",'Mapa final'!$AA$47="Leve"),CONCATENATE("R4C",'Mapa final'!$O$47),"")</f>
        <v/>
      </c>
      <c r="O39" s="77" t="str">
        <f>IF(AND('Mapa final'!$Y$48="Baja",'Mapa final'!$AA$48="Leve"),CONCATENATE("R4C",'Mapa final'!$O$48),"")</f>
        <v/>
      </c>
      <c r="P39" s="66" t="str">
        <f>IF(AND('Mapa final'!$Y$43="Baja",'Mapa final'!$AA$43="Menor"),CONCATENATE("R4C",'Mapa final'!$O$43),"")</f>
        <v/>
      </c>
      <c r="Q39" s="67" t="str">
        <f>IF(AND('Mapa final'!$Y$44="Baja",'Mapa final'!$AA$44="Menor"),CONCATENATE("R4C",'Mapa final'!$O$44),"")</f>
        <v/>
      </c>
      <c r="R39" s="67" t="str">
        <f>IF(AND('Mapa final'!$Y$45="Baja",'Mapa final'!$AA$45="Menor"),CONCATENATE("R4C",'Mapa final'!$O$45),"")</f>
        <v/>
      </c>
      <c r="S39" s="67" t="str">
        <f>IF(AND('Mapa final'!$Y$46="Baja",'Mapa final'!$AA$46="Menor"),CONCATENATE("R4C",'Mapa final'!$O$46),"")</f>
        <v/>
      </c>
      <c r="T39" s="67" t="str">
        <f>IF(AND('Mapa final'!$Y$47="Baja",'Mapa final'!$AA$47="Menor"),CONCATENATE("R4C",'Mapa final'!$O$47),"")</f>
        <v/>
      </c>
      <c r="U39" s="68" t="str">
        <f>IF(AND('Mapa final'!$Y$48="Baja",'Mapa final'!$AA$48="Menor"),CONCATENATE("R4C",'Mapa final'!$O$48),"")</f>
        <v/>
      </c>
      <c r="V39" s="66" t="str">
        <f>IF(AND('Mapa final'!$Y$43="Baja",'Mapa final'!$AA$43="Moderado"),CONCATENATE("R4C",'Mapa final'!$O$43),"")</f>
        <v/>
      </c>
      <c r="W39" s="67" t="str">
        <f>IF(AND('Mapa final'!$Y$44="Baja",'Mapa final'!$AA$44="Moderado"),CONCATENATE("R4C",'Mapa final'!$O$44),"")</f>
        <v/>
      </c>
      <c r="X39" s="67" t="str">
        <f>IF(AND('Mapa final'!$Y$45="Baja",'Mapa final'!$AA$45="Moderado"),CONCATENATE("R4C",'Mapa final'!$O$45),"")</f>
        <v/>
      </c>
      <c r="Y39" s="67" t="str">
        <f>IF(AND('Mapa final'!$Y$46="Baja",'Mapa final'!$AA$46="Moderado"),CONCATENATE("R4C",'Mapa final'!$O$46),"")</f>
        <v/>
      </c>
      <c r="Z39" s="67" t="str">
        <f>IF(AND('Mapa final'!$Y$47="Baja",'Mapa final'!$AA$47="Moderado"),CONCATENATE("R4C",'Mapa final'!$O$47),"")</f>
        <v/>
      </c>
      <c r="AA39" s="68" t="str">
        <f>IF(AND('Mapa final'!$Y$48="Baja",'Mapa final'!$AA$48="Moderado"),CONCATENATE("R4C",'Mapa final'!$O$48),"")</f>
        <v/>
      </c>
      <c r="AB39" s="51" t="str">
        <f>IF(AND('Mapa final'!$Y$43="Baja",'Mapa final'!$AA$43="Mayor"),CONCATENATE("R4C",'Mapa final'!$O$43),"")</f>
        <v/>
      </c>
      <c r="AC39" s="52" t="str">
        <f>IF(AND('Mapa final'!$Y$44="Baja",'Mapa final'!$AA$44="Mayor"),CONCATENATE("R4C",'Mapa final'!$O$44),"")</f>
        <v/>
      </c>
      <c r="AD39" s="52" t="str">
        <f>IF(AND('Mapa final'!$Y$45="Baja",'Mapa final'!$AA$45="Mayor"),CONCATENATE("R4C",'Mapa final'!$O$45),"")</f>
        <v/>
      </c>
      <c r="AE39" s="52" t="str">
        <f>IF(AND('Mapa final'!$Y$46="Baja",'Mapa final'!$AA$46="Mayor"),CONCATENATE("R4C",'Mapa final'!$O$46),"")</f>
        <v/>
      </c>
      <c r="AF39" s="52" t="str">
        <f>IF(AND('Mapa final'!$Y$47="Baja",'Mapa final'!$AA$47="Mayor"),CONCATENATE("R4C",'Mapa final'!$O$47),"")</f>
        <v/>
      </c>
      <c r="AG39" s="53" t="str">
        <f>IF(AND('Mapa final'!$Y$48="Baja",'Mapa final'!$AA$48="Mayor"),CONCATENATE("R4C",'Mapa final'!$O$48),"")</f>
        <v/>
      </c>
      <c r="AH39" s="54" t="str">
        <f>IF(AND('Mapa final'!$Y$43="Baja",'Mapa final'!$AA$43="Catastrófico"),CONCATENATE("R4C",'Mapa final'!$O$43),"")</f>
        <v/>
      </c>
      <c r="AI39" s="55" t="str">
        <f>IF(AND('Mapa final'!$Y$44="Baja",'Mapa final'!$AA$44="Catastrófico"),CONCATENATE("R4C",'Mapa final'!$O$44),"")</f>
        <v/>
      </c>
      <c r="AJ39" s="55" t="str">
        <f>IF(AND('Mapa final'!$Y$45="Baja",'Mapa final'!$AA$45="Catastrófico"),CONCATENATE("R4C",'Mapa final'!$O$45),"")</f>
        <v/>
      </c>
      <c r="AK39" s="55" t="str">
        <f>IF(AND('Mapa final'!$Y$46="Baja",'Mapa final'!$AA$46="Catastrófico"),CONCATENATE("R4C",'Mapa final'!$O$46),"")</f>
        <v/>
      </c>
      <c r="AL39" s="55" t="str">
        <f>IF(AND('Mapa final'!$Y$47="Baja",'Mapa final'!$AA$47="Catastrófico"),CONCATENATE("R4C",'Mapa final'!$O$47),"")</f>
        <v/>
      </c>
      <c r="AM39" s="56" t="str">
        <f>IF(AND('Mapa final'!$Y$48="Baja",'Mapa final'!$AA$48="Catastrófico"),CONCATENATE("R4C",'Mapa final'!$O$48),"")</f>
        <v/>
      </c>
      <c r="AN39" s="82"/>
      <c r="AO39" s="479"/>
      <c r="AP39" s="480"/>
      <c r="AQ39" s="480"/>
      <c r="AR39" s="480"/>
      <c r="AS39" s="480"/>
      <c r="AT39" s="481"/>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360"/>
      <c r="C40" s="360"/>
      <c r="D40" s="361"/>
      <c r="E40" s="459"/>
      <c r="F40" s="458"/>
      <c r="G40" s="458"/>
      <c r="H40" s="458"/>
      <c r="I40" s="458"/>
      <c r="J40" s="75" t="str">
        <f>IF(AND('Mapa final'!$Y$49="Baja",'Mapa final'!$AA$49="Leve"),CONCATENATE("R5C",'Mapa final'!$O$49),"")</f>
        <v/>
      </c>
      <c r="K40" s="76" t="str">
        <f>IF(AND('Mapa final'!$Y$50="Baja",'Mapa final'!$AA$50="Leve"),CONCATENATE("R5C",'Mapa final'!$O$50),"")</f>
        <v/>
      </c>
      <c r="L40" s="76" t="str">
        <f>IF(AND('Mapa final'!$Y$51="Baja",'Mapa final'!$AA$51="Leve"),CONCATENATE("R5C",'Mapa final'!$O$51),"")</f>
        <v/>
      </c>
      <c r="M40" s="76" t="str">
        <f>IF(AND('Mapa final'!$Y$52="Baja",'Mapa final'!$AA$52="Leve"),CONCATENATE("R5C",'Mapa final'!$O$52),"")</f>
        <v/>
      </c>
      <c r="N40" s="76" t="str">
        <f>IF(AND('Mapa final'!$Y$53="Baja",'Mapa final'!$AA$53="Leve"),CONCATENATE("R5C",'Mapa final'!$O$53),"")</f>
        <v/>
      </c>
      <c r="O40" s="77" t="str">
        <f>IF(AND('Mapa final'!$Y$54="Baja",'Mapa final'!$AA$54="Leve"),CONCATENATE("R5C",'Mapa final'!$O$54),"")</f>
        <v/>
      </c>
      <c r="P40" s="66" t="str">
        <f>IF(AND('Mapa final'!$Y$49="Baja",'Mapa final'!$AA$49="Menor"),CONCATENATE("R5C",'Mapa final'!$O$49),"")</f>
        <v/>
      </c>
      <c r="Q40" s="67" t="str">
        <f>IF(AND('Mapa final'!$Y$50="Baja",'Mapa final'!$AA$50="Menor"),CONCATENATE("R5C",'Mapa final'!$O$50),"")</f>
        <v/>
      </c>
      <c r="R40" s="67" t="str">
        <f>IF(AND('Mapa final'!$Y$51="Baja",'Mapa final'!$AA$51="Menor"),CONCATENATE("R5C",'Mapa final'!$O$51),"")</f>
        <v/>
      </c>
      <c r="S40" s="67" t="str">
        <f>IF(AND('Mapa final'!$Y$52="Baja",'Mapa final'!$AA$52="Menor"),CONCATENATE("R5C",'Mapa final'!$O$52),"")</f>
        <v/>
      </c>
      <c r="T40" s="67" t="str">
        <f>IF(AND('Mapa final'!$Y$53="Baja",'Mapa final'!$AA$53="Menor"),CONCATENATE("R5C",'Mapa final'!$O$53),"")</f>
        <v/>
      </c>
      <c r="U40" s="68" t="str">
        <f>IF(AND('Mapa final'!$Y$54="Baja",'Mapa final'!$AA$54="Menor"),CONCATENATE("R5C",'Mapa final'!$O$54),"")</f>
        <v/>
      </c>
      <c r="V40" s="66" t="str">
        <f>IF(AND('Mapa final'!$Y$49="Baja",'Mapa final'!$AA$49="Moderado"),CONCATENATE("R5C",'Mapa final'!$O$49),"")</f>
        <v/>
      </c>
      <c r="W40" s="67" t="str">
        <f>IF(AND('Mapa final'!$Y$50="Baja",'Mapa final'!$AA$50="Moderado"),CONCATENATE("R5C",'Mapa final'!$O$50),"")</f>
        <v/>
      </c>
      <c r="X40" s="67" t="str">
        <f>IF(AND('Mapa final'!$Y$51="Baja",'Mapa final'!$AA$51="Moderado"),CONCATENATE("R5C",'Mapa final'!$O$51),"")</f>
        <v/>
      </c>
      <c r="Y40" s="67" t="str">
        <f>IF(AND('Mapa final'!$Y$52="Baja",'Mapa final'!$AA$52="Moderado"),CONCATENATE("R5C",'Mapa final'!$O$52),"")</f>
        <v/>
      </c>
      <c r="Z40" s="67" t="str">
        <f>IF(AND('Mapa final'!$Y$53="Baja",'Mapa final'!$AA$53="Moderado"),CONCATENATE("R5C",'Mapa final'!$O$53),"")</f>
        <v/>
      </c>
      <c r="AA40" s="68" t="str">
        <f>IF(AND('Mapa final'!$Y$54="Baja",'Mapa final'!$AA$54="Moderado"),CONCATENATE("R5C",'Mapa final'!$O$54),"")</f>
        <v/>
      </c>
      <c r="AB40" s="51" t="str">
        <f>IF(AND('Mapa final'!$Y$49="Baja",'Mapa final'!$AA$49="Mayor"),CONCATENATE("R5C",'Mapa final'!$O$49),"")</f>
        <v/>
      </c>
      <c r="AC40" s="52" t="str">
        <f>IF(AND('Mapa final'!$Y$50="Baja",'Mapa final'!$AA$50="Mayor"),CONCATENATE("R5C",'Mapa final'!$O$50),"")</f>
        <v/>
      </c>
      <c r="AD40" s="52" t="str">
        <f>IF(AND('Mapa final'!$Y$51="Baja",'Mapa final'!$AA$51="Mayor"),CONCATENATE("R5C",'Mapa final'!$O$51),"")</f>
        <v/>
      </c>
      <c r="AE40" s="52" t="str">
        <f>IF(AND('Mapa final'!$Y$52="Baja",'Mapa final'!$AA$52="Mayor"),CONCATENATE("R5C",'Mapa final'!$O$52),"")</f>
        <v/>
      </c>
      <c r="AF40" s="52" t="str">
        <f>IF(AND('Mapa final'!$Y$53="Baja",'Mapa final'!$AA$53="Mayor"),CONCATENATE("R5C",'Mapa final'!$O$53),"")</f>
        <v/>
      </c>
      <c r="AG40" s="53" t="str">
        <f>IF(AND('Mapa final'!$Y$54="Baja",'Mapa final'!$AA$54="Mayor"),CONCATENATE("R5C",'Mapa final'!$O$54),"")</f>
        <v/>
      </c>
      <c r="AH40" s="54" t="str">
        <f>IF(AND('Mapa final'!$Y$49="Baja",'Mapa final'!$AA$49="Catastrófico"),CONCATENATE("R5C",'Mapa final'!$O$49),"")</f>
        <v/>
      </c>
      <c r="AI40" s="55" t="str">
        <f>IF(AND('Mapa final'!$Y$50="Baja",'Mapa final'!$AA$50="Catastrófico"),CONCATENATE("R5C",'Mapa final'!$O$50),"")</f>
        <v/>
      </c>
      <c r="AJ40" s="55" t="str">
        <f>IF(AND('Mapa final'!$Y$51="Baja",'Mapa final'!$AA$51="Catastrófico"),CONCATENATE("R5C",'Mapa final'!$O$51),"")</f>
        <v/>
      </c>
      <c r="AK40" s="55" t="str">
        <f>IF(AND('Mapa final'!$Y$52="Baja",'Mapa final'!$AA$52="Catastrófico"),CONCATENATE("R5C",'Mapa final'!$O$52),"")</f>
        <v/>
      </c>
      <c r="AL40" s="55" t="str">
        <f>IF(AND('Mapa final'!$Y$53="Baja",'Mapa final'!$AA$53="Catastrófico"),CONCATENATE("R5C",'Mapa final'!$O$53),"")</f>
        <v/>
      </c>
      <c r="AM40" s="56" t="str">
        <f>IF(AND('Mapa final'!$Y$54="Baja",'Mapa final'!$AA$54="Catastrófico"),CONCATENATE("R5C",'Mapa final'!$O$54),"")</f>
        <v/>
      </c>
      <c r="AN40" s="82"/>
      <c r="AO40" s="479"/>
      <c r="AP40" s="480"/>
      <c r="AQ40" s="480"/>
      <c r="AR40" s="480"/>
      <c r="AS40" s="480"/>
      <c r="AT40" s="481"/>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360"/>
      <c r="C41" s="360"/>
      <c r="D41" s="361"/>
      <c r="E41" s="459"/>
      <c r="F41" s="458"/>
      <c r="G41" s="458"/>
      <c r="H41" s="458"/>
      <c r="I41" s="458"/>
      <c r="J41" s="75" t="str">
        <f>IF(AND('Mapa final'!$Y$55="Baja",'Mapa final'!$AA$55="Leve"),CONCATENATE("R6C",'Mapa final'!$O$55),"")</f>
        <v/>
      </c>
      <c r="K41" s="76" t="str">
        <f>IF(AND('Mapa final'!$Y$56="Baja",'Mapa final'!$AA$56="Leve"),CONCATENATE("R6C",'Mapa final'!$O$56),"")</f>
        <v/>
      </c>
      <c r="L41" s="76" t="str">
        <f>IF(AND('Mapa final'!$Y$57="Baja",'Mapa final'!$AA$57="Leve"),CONCATENATE("R6C",'Mapa final'!$O$57),"")</f>
        <v/>
      </c>
      <c r="M41" s="76" t="str">
        <f>IF(AND('Mapa final'!$Y$58="Baja",'Mapa final'!$AA$58="Leve"),CONCATENATE("R6C",'Mapa final'!$O$58),"")</f>
        <v/>
      </c>
      <c r="N41" s="76" t="str">
        <f>IF(AND('Mapa final'!$Y$59="Baja",'Mapa final'!$AA$59="Leve"),CONCATENATE("R6C",'Mapa final'!$O$59),"")</f>
        <v/>
      </c>
      <c r="O41" s="77" t="str">
        <f>IF(AND('Mapa final'!$Y$60="Baja",'Mapa final'!$AA$60="Leve"),CONCATENATE("R6C",'Mapa final'!$O$60),"")</f>
        <v/>
      </c>
      <c r="P41" s="66" t="str">
        <f>IF(AND('Mapa final'!$Y$55="Baja",'Mapa final'!$AA$55="Menor"),CONCATENATE("R6C",'Mapa final'!$O$55),"")</f>
        <v/>
      </c>
      <c r="Q41" s="67" t="str">
        <f>IF(AND('Mapa final'!$Y$56="Baja",'Mapa final'!$AA$56="Menor"),CONCATENATE("R6C",'Mapa final'!$O$56),"")</f>
        <v/>
      </c>
      <c r="R41" s="67" t="str">
        <f>IF(AND('Mapa final'!$Y$57="Baja",'Mapa final'!$AA$57="Menor"),CONCATENATE("R6C",'Mapa final'!$O$57),"")</f>
        <v/>
      </c>
      <c r="S41" s="67" t="str">
        <f>IF(AND('Mapa final'!$Y$58="Baja",'Mapa final'!$AA$58="Menor"),CONCATENATE("R6C",'Mapa final'!$O$58),"")</f>
        <v/>
      </c>
      <c r="T41" s="67" t="str">
        <f>IF(AND('Mapa final'!$Y$59="Baja",'Mapa final'!$AA$59="Menor"),CONCATENATE("R6C",'Mapa final'!$O$59),"")</f>
        <v/>
      </c>
      <c r="U41" s="68" t="str">
        <f>IF(AND('Mapa final'!$Y$60="Baja",'Mapa final'!$AA$60="Menor"),CONCATENATE("R6C",'Mapa final'!$O$60),"")</f>
        <v/>
      </c>
      <c r="V41" s="66" t="str">
        <f>IF(AND('Mapa final'!$Y$55="Baja",'Mapa final'!$AA$55="Moderado"),CONCATENATE("R6C",'Mapa final'!$O$55),"")</f>
        <v/>
      </c>
      <c r="W41" s="67" t="str">
        <f>IF(AND('Mapa final'!$Y$56="Baja",'Mapa final'!$AA$56="Moderado"),CONCATENATE("R6C",'Mapa final'!$O$56),"")</f>
        <v/>
      </c>
      <c r="X41" s="67" t="str">
        <f>IF(AND('Mapa final'!$Y$57="Baja",'Mapa final'!$AA$57="Moderado"),CONCATENATE("R6C",'Mapa final'!$O$57),"")</f>
        <v/>
      </c>
      <c r="Y41" s="67" t="str">
        <f>IF(AND('Mapa final'!$Y$58="Baja",'Mapa final'!$AA$58="Moderado"),CONCATENATE("R6C",'Mapa final'!$O$58),"")</f>
        <v/>
      </c>
      <c r="Z41" s="67" t="str">
        <f>IF(AND('Mapa final'!$Y$59="Baja",'Mapa final'!$AA$59="Moderado"),CONCATENATE("R6C",'Mapa final'!$O$59),"")</f>
        <v/>
      </c>
      <c r="AA41" s="68" t="str">
        <f>IF(AND('Mapa final'!$Y$60="Baja",'Mapa final'!$AA$60="Moderado"),CONCATENATE("R6C",'Mapa final'!$O$60),"")</f>
        <v/>
      </c>
      <c r="AB41" s="51" t="str">
        <f>IF(AND('Mapa final'!$Y$55="Baja",'Mapa final'!$AA$55="Mayor"),CONCATENATE("R6C",'Mapa final'!$O$55),"")</f>
        <v/>
      </c>
      <c r="AC41" s="52" t="str">
        <f>IF(AND('Mapa final'!$Y$56="Baja",'Mapa final'!$AA$56="Mayor"),CONCATENATE("R6C",'Mapa final'!$O$56),"")</f>
        <v/>
      </c>
      <c r="AD41" s="52" t="str">
        <f>IF(AND('Mapa final'!$Y$57="Baja",'Mapa final'!$AA$57="Mayor"),CONCATENATE("R6C",'Mapa final'!$O$57),"")</f>
        <v/>
      </c>
      <c r="AE41" s="52" t="str">
        <f>IF(AND('Mapa final'!$Y$58="Baja",'Mapa final'!$AA$58="Mayor"),CONCATENATE("R6C",'Mapa final'!$O$58),"")</f>
        <v/>
      </c>
      <c r="AF41" s="52" t="str">
        <f>IF(AND('Mapa final'!$Y$59="Baja",'Mapa final'!$AA$59="Mayor"),CONCATENATE("R6C",'Mapa final'!$O$59),"")</f>
        <v/>
      </c>
      <c r="AG41" s="53" t="str">
        <f>IF(AND('Mapa final'!$Y$60="Baja",'Mapa final'!$AA$60="Mayor"),CONCATENATE("R6C",'Mapa final'!$O$60),"")</f>
        <v/>
      </c>
      <c r="AH41" s="54" t="str">
        <f>IF(AND('Mapa final'!$Y$55="Baja",'Mapa final'!$AA$55="Catastrófico"),CONCATENATE("R6C",'Mapa final'!$O$55),"")</f>
        <v/>
      </c>
      <c r="AI41" s="55" t="str">
        <f>IF(AND('Mapa final'!$Y$56="Baja",'Mapa final'!$AA$56="Catastrófico"),CONCATENATE("R6C",'Mapa final'!$O$56),"")</f>
        <v/>
      </c>
      <c r="AJ41" s="55" t="str">
        <f>IF(AND('Mapa final'!$Y$57="Baja",'Mapa final'!$AA$57="Catastrófico"),CONCATENATE("R6C",'Mapa final'!$O$57),"")</f>
        <v/>
      </c>
      <c r="AK41" s="55" t="str">
        <f>IF(AND('Mapa final'!$Y$58="Baja",'Mapa final'!$AA$58="Catastrófico"),CONCATENATE("R6C",'Mapa final'!$O$58),"")</f>
        <v/>
      </c>
      <c r="AL41" s="55" t="str">
        <f>IF(AND('Mapa final'!$Y$59="Baja",'Mapa final'!$AA$59="Catastrófico"),CONCATENATE("R6C",'Mapa final'!$O$59),"")</f>
        <v/>
      </c>
      <c r="AM41" s="56" t="str">
        <f>IF(AND('Mapa final'!$Y$60="Baja",'Mapa final'!$AA$60="Catastrófico"),CONCATENATE("R6C",'Mapa final'!$O$60),"")</f>
        <v/>
      </c>
      <c r="AN41" s="82"/>
      <c r="AO41" s="479"/>
      <c r="AP41" s="480"/>
      <c r="AQ41" s="480"/>
      <c r="AR41" s="480"/>
      <c r="AS41" s="480"/>
      <c r="AT41" s="481"/>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360"/>
      <c r="C42" s="360"/>
      <c r="D42" s="361"/>
      <c r="E42" s="459"/>
      <c r="F42" s="458"/>
      <c r="G42" s="458"/>
      <c r="H42" s="458"/>
      <c r="I42" s="458"/>
      <c r="J42" s="75" t="str">
        <f>IF(AND('Mapa final'!$Y$61="Baja",'Mapa final'!$AA$61="Leve"),CONCATENATE("R7C",'Mapa final'!$O$61),"")</f>
        <v/>
      </c>
      <c r="K42" s="76" t="str">
        <f>IF(AND('Mapa final'!$Y$62="Baja",'Mapa final'!$AA$62="Leve"),CONCATENATE("R7C",'Mapa final'!$O$62),"")</f>
        <v/>
      </c>
      <c r="L42" s="76" t="str">
        <f>IF(AND('Mapa final'!$Y$63="Baja",'Mapa final'!$AA$63="Leve"),CONCATENATE("R7C",'Mapa final'!$O$63),"")</f>
        <v/>
      </c>
      <c r="M42" s="76" t="str">
        <f>IF(AND('Mapa final'!$Y$64="Baja",'Mapa final'!$AA$64="Leve"),CONCATENATE("R7C",'Mapa final'!$O$64),"")</f>
        <v/>
      </c>
      <c r="N42" s="76" t="str">
        <f>IF(AND('Mapa final'!$Y$65="Baja",'Mapa final'!$AA$65="Leve"),CONCATENATE("R7C",'Mapa final'!$O$65),"")</f>
        <v/>
      </c>
      <c r="O42" s="77" t="str">
        <f>IF(AND('Mapa final'!$Y$66="Baja",'Mapa final'!$AA$66="Leve"),CONCATENATE("R7C",'Mapa final'!$O$66),"")</f>
        <v/>
      </c>
      <c r="P42" s="66" t="str">
        <f>IF(AND('Mapa final'!$Y$61="Baja",'Mapa final'!$AA$61="Menor"),CONCATENATE("R7C",'Mapa final'!$O$61),"")</f>
        <v/>
      </c>
      <c r="Q42" s="67" t="str">
        <f>IF(AND('Mapa final'!$Y$62="Baja",'Mapa final'!$AA$62="Menor"),CONCATENATE("R7C",'Mapa final'!$O$62),"")</f>
        <v/>
      </c>
      <c r="R42" s="67" t="str">
        <f>IF(AND('Mapa final'!$Y$63="Baja",'Mapa final'!$AA$63="Menor"),CONCATENATE("R7C",'Mapa final'!$O$63),"")</f>
        <v/>
      </c>
      <c r="S42" s="67" t="str">
        <f>IF(AND('Mapa final'!$Y$64="Baja",'Mapa final'!$AA$64="Menor"),CONCATENATE("R7C",'Mapa final'!$O$64),"")</f>
        <v/>
      </c>
      <c r="T42" s="67" t="str">
        <f>IF(AND('Mapa final'!$Y$65="Baja",'Mapa final'!$AA$65="Menor"),CONCATENATE("R7C",'Mapa final'!$O$65),"")</f>
        <v/>
      </c>
      <c r="U42" s="68" t="str">
        <f>IF(AND('Mapa final'!$Y$66="Baja",'Mapa final'!$AA$66="Menor"),CONCATENATE("R7C",'Mapa final'!$O$66),"")</f>
        <v/>
      </c>
      <c r="V42" s="66" t="str">
        <f>IF(AND('Mapa final'!$Y$61="Baja",'Mapa final'!$AA$61="Moderado"),CONCATENATE("R7C",'Mapa final'!$O$61),"")</f>
        <v/>
      </c>
      <c r="W42" s="67" t="str">
        <f>IF(AND('Mapa final'!$Y$62="Baja",'Mapa final'!$AA$62="Moderado"),CONCATENATE("R7C",'Mapa final'!$O$62),"")</f>
        <v/>
      </c>
      <c r="X42" s="67" t="str">
        <f>IF(AND('Mapa final'!$Y$63="Baja",'Mapa final'!$AA$63="Moderado"),CONCATENATE("R7C",'Mapa final'!$O$63),"")</f>
        <v/>
      </c>
      <c r="Y42" s="67" t="str">
        <f>IF(AND('Mapa final'!$Y$64="Baja",'Mapa final'!$AA$64="Moderado"),CONCATENATE("R7C",'Mapa final'!$O$64),"")</f>
        <v/>
      </c>
      <c r="Z42" s="67" t="str">
        <f>IF(AND('Mapa final'!$Y$65="Baja",'Mapa final'!$AA$65="Moderado"),CONCATENATE("R7C",'Mapa final'!$O$65),"")</f>
        <v/>
      </c>
      <c r="AA42" s="68" t="str">
        <f>IF(AND('Mapa final'!$Y$66="Baja",'Mapa final'!$AA$66="Moderado"),CONCATENATE("R7C",'Mapa final'!$O$66),"")</f>
        <v/>
      </c>
      <c r="AB42" s="51" t="str">
        <f>IF(AND('Mapa final'!$Y$61="Baja",'Mapa final'!$AA$61="Mayor"),CONCATENATE("R7C",'Mapa final'!$O$61),"")</f>
        <v/>
      </c>
      <c r="AC42" s="52" t="str">
        <f>IF(AND('Mapa final'!$Y$62="Baja",'Mapa final'!$AA$62="Mayor"),CONCATENATE("R7C",'Mapa final'!$O$62),"")</f>
        <v/>
      </c>
      <c r="AD42" s="52" t="str">
        <f>IF(AND('Mapa final'!$Y$63="Baja",'Mapa final'!$AA$63="Mayor"),CONCATENATE("R7C",'Mapa final'!$O$63),"")</f>
        <v/>
      </c>
      <c r="AE42" s="52" t="str">
        <f>IF(AND('Mapa final'!$Y$64="Baja",'Mapa final'!$AA$64="Mayor"),CONCATENATE("R7C",'Mapa final'!$O$64),"")</f>
        <v/>
      </c>
      <c r="AF42" s="52" t="str">
        <f>IF(AND('Mapa final'!$Y$65="Baja",'Mapa final'!$AA$65="Mayor"),CONCATENATE("R7C",'Mapa final'!$O$65),"")</f>
        <v/>
      </c>
      <c r="AG42" s="53" t="str">
        <f>IF(AND('Mapa final'!$Y$66="Baja",'Mapa final'!$AA$66="Mayor"),CONCATENATE("R7C",'Mapa final'!$O$66),"")</f>
        <v/>
      </c>
      <c r="AH42" s="54" t="str">
        <f>IF(AND('Mapa final'!$Y$61="Baja",'Mapa final'!$AA$61="Catastrófico"),CONCATENATE("R7C",'Mapa final'!$O$61),"")</f>
        <v/>
      </c>
      <c r="AI42" s="55" t="str">
        <f>IF(AND('Mapa final'!$Y$62="Baja",'Mapa final'!$AA$62="Catastrófico"),CONCATENATE("R7C",'Mapa final'!$O$62),"")</f>
        <v/>
      </c>
      <c r="AJ42" s="55" t="str">
        <f>IF(AND('Mapa final'!$Y$63="Baja",'Mapa final'!$AA$63="Catastrófico"),CONCATENATE("R7C",'Mapa final'!$O$63),"")</f>
        <v/>
      </c>
      <c r="AK42" s="55" t="str">
        <f>IF(AND('Mapa final'!$Y$64="Baja",'Mapa final'!$AA$64="Catastrófico"),CONCATENATE("R7C",'Mapa final'!$O$64),"")</f>
        <v/>
      </c>
      <c r="AL42" s="55" t="str">
        <f>IF(AND('Mapa final'!$Y$65="Baja",'Mapa final'!$AA$65="Catastrófico"),CONCATENATE("R7C",'Mapa final'!$O$65),"")</f>
        <v/>
      </c>
      <c r="AM42" s="56" t="str">
        <f>IF(AND('Mapa final'!$Y$66="Baja",'Mapa final'!$AA$66="Catastrófico"),CONCATENATE("R7C",'Mapa final'!$O$66),"")</f>
        <v/>
      </c>
      <c r="AN42" s="82"/>
      <c r="AO42" s="479"/>
      <c r="AP42" s="480"/>
      <c r="AQ42" s="480"/>
      <c r="AR42" s="480"/>
      <c r="AS42" s="480"/>
      <c r="AT42" s="481"/>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360"/>
      <c r="C43" s="360"/>
      <c r="D43" s="361"/>
      <c r="E43" s="459"/>
      <c r="F43" s="458"/>
      <c r="G43" s="458"/>
      <c r="H43" s="458"/>
      <c r="I43" s="458"/>
      <c r="J43" s="75" t="str">
        <f>IF(AND('Mapa final'!$Y$67="Baja",'Mapa final'!$AA$67="Leve"),CONCATENATE("R8C",'Mapa final'!$O$67),"")</f>
        <v/>
      </c>
      <c r="K43" s="76" t="str">
        <f>IF(AND('Mapa final'!$Y$68="Baja",'Mapa final'!$AA$68="Leve"),CONCATENATE("R8C",'Mapa final'!$O$68),"")</f>
        <v/>
      </c>
      <c r="L43" s="76" t="str">
        <f>IF(AND('Mapa final'!$Y$69="Baja",'Mapa final'!$AA$69="Leve"),CONCATENATE("R8C",'Mapa final'!$O$69),"")</f>
        <v/>
      </c>
      <c r="M43" s="76" t="str">
        <f>IF(AND('Mapa final'!$Y$70="Baja",'Mapa final'!$AA$70="Leve"),CONCATENATE("R8C",'Mapa final'!$O$70),"")</f>
        <v/>
      </c>
      <c r="N43" s="76" t="str">
        <f>IF(AND('Mapa final'!$Y$71="Baja",'Mapa final'!$AA$71="Leve"),CONCATENATE("R8C",'Mapa final'!$O$71),"")</f>
        <v/>
      </c>
      <c r="O43" s="77" t="str">
        <f>IF(AND('Mapa final'!$Y$72="Baja",'Mapa final'!$AA$72="Leve"),CONCATENATE("R8C",'Mapa final'!$O$72),"")</f>
        <v/>
      </c>
      <c r="P43" s="66" t="str">
        <f>IF(AND('Mapa final'!$Y$67="Baja",'Mapa final'!$AA$67="Menor"),CONCATENATE("R8C",'Mapa final'!$O$67),"")</f>
        <v/>
      </c>
      <c r="Q43" s="67" t="str">
        <f>IF(AND('Mapa final'!$Y$68="Baja",'Mapa final'!$AA$68="Menor"),CONCATENATE("R8C",'Mapa final'!$O$68),"")</f>
        <v/>
      </c>
      <c r="R43" s="67" t="str">
        <f>IF(AND('Mapa final'!$Y$69="Baja",'Mapa final'!$AA$69="Menor"),CONCATENATE("R8C",'Mapa final'!$O$69),"")</f>
        <v/>
      </c>
      <c r="S43" s="67" t="str">
        <f>IF(AND('Mapa final'!$Y$70="Baja",'Mapa final'!$AA$70="Menor"),CONCATENATE("R8C",'Mapa final'!$O$70),"")</f>
        <v/>
      </c>
      <c r="T43" s="67" t="str">
        <f>IF(AND('Mapa final'!$Y$71="Baja",'Mapa final'!$AA$71="Menor"),CONCATENATE("R8C",'Mapa final'!$O$71),"")</f>
        <v/>
      </c>
      <c r="U43" s="68" t="str">
        <f>IF(AND('Mapa final'!$Y$72="Baja",'Mapa final'!$AA$72="Menor"),CONCATENATE("R8C",'Mapa final'!$O$72),"")</f>
        <v/>
      </c>
      <c r="V43" s="66" t="str">
        <f>IF(AND('Mapa final'!$Y$67="Baja",'Mapa final'!$AA$67="Moderado"),CONCATENATE("R8C",'Mapa final'!$O$67),"")</f>
        <v/>
      </c>
      <c r="W43" s="67" t="str">
        <f>IF(AND('Mapa final'!$Y$68="Baja",'Mapa final'!$AA$68="Moderado"),CONCATENATE("R8C",'Mapa final'!$O$68),"")</f>
        <v/>
      </c>
      <c r="X43" s="67" t="str">
        <f>IF(AND('Mapa final'!$Y$69="Baja",'Mapa final'!$AA$69="Moderado"),CONCATENATE("R8C",'Mapa final'!$O$69),"")</f>
        <v/>
      </c>
      <c r="Y43" s="67" t="str">
        <f>IF(AND('Mapa final'!$Y$70="Baja",'Mapa final'!$AA$70="Moderado"),CONCATENATE("R8C",'Mapa final'!$O$70),"")</f>
        <v/>
      </c>
      <c r="Z43" s="67" t="str">
        <f>IF(AND('Mapa final'!$Y$71="Baja",'Mapa final'!$AA$71="Moderado"),CONCATENATE("R8C",'Mapa final'!$O$71),"")</f>
        <v/>
      </c>
      <c r="AA43" s="68" t="str">
        <f>IF(AND('Mapa final'!$Y$72="Baja",'Mapa final'!$AA$72="Moderado"),CONCATENATE("R8C",'Mapa final'!$O$72),"")</f>
        <v/>
      </c>
      <c r="AB43" s="51" t="str">
        <f>IF(AND('Mapa final'!$Y$67="Baja",'Mapa final'!$AA$67="Mayor"),CONCATENATE("R8C",'Mapa final'!$O$67),"")</f>
        <v/>
      </c>
      <c r="AC43" s="52" t="str">
        <f>IF(AND('Mapa final'!$Y$68="Baja",'Mapa final'!$AA$68="Mayor"),CONCATENATE("R8C",'Mapa final'!$O$68),"")</f>
        <v/>
      </c>
      <c r="AD43" s="52" t="str">
        <f>IF(AND('Mapa final'!$Y$69="Baja",'Mapa final'!$AA$69="Mayor"),CONCATENATE("R8C",'Mapa final'!$O$69),"")</f>
        <v/>
      </c>
      <c r="AE43" s="52" t="str">
        <f>IF(AND('Mapa final'!$Y$70="Baja",'Mapa final'!$AA$70="Mayor"),CONCATENATE("R8C",'Mapa final'!$O$70),"")</f>
        <v/>
      </c>
      <c r="AF43" s="52" t="str">
        <f>IF(AND('Mapa final'!$Y$71="Baja",'Mapa final'!$AA$71="Mayor"),CONCATENATE("R8C",'Mapa final'!$O$71),"")</f>
        <v/>
      </c>
      <c r="AG43" s="53" t="str">
        <f>IF(AND('Mapa final'!$Y$72="Baja",'Mapa final'!$AA$72="Mayor"),CONCATENATE("R8C",'Mapa final'!$O$72),"")</f>
        <v/>
      </c>
      <c r="AH43" s="54" t="str">
        <f>IF(AND('Mapa final'!$Y$67="Baja",'Mapa final'!$AA$67="Catastrófico"),CONCATENATE("R8C",'Mapa final'!$O$67),"")</f>
        <v/>
      </c>
      <c r="AI43" s="55" t="str">
        <f>IF(AND('Mapa final'!$Y$68="Baja",'Mapa final'!$AA$68="Catastrófico"),CONCATENATE("R8C",'Mapa final'!$O$68),"")</f>
        <v/>
      </c>
      <c r="AJ43" s="55" t="str">
        <f>IF(AND('Mapa final'!$Y$69="Baja",'Mapa final'!$AA$69="Catastrófico"),CONCATENATE("R8C",'Mapa final'!$O$69),"")</f>
        <v/>
      </c>
      <c r="AK43" s="55" t="str">
        <f>IF(AND('Mapa final'!$Y$70="Baja",'Mapa final'!$AA$70="Catastrófico"),CONCATENATE("R8C",'Mapa final'!$O$70),"")</f>
        <v/>
      </c>
      <c r="AL43" s="55" t="str">
        <f>IF(AND('Mapa final'!$Y$71="Baja",'Mapa final'!$AA$71="Catastrófico"),CONCATENATE("R8C",'Mapa final'!$O$71),"")</f>
        <v/>
      </c>
      <c r="AM43" s="56" t="str">
        <f>IF(AND('Mapa final'!$Y$72="Baja",'Mapa final'!$AA$72="Catastrófico"),CONCATENATE("R8C",'Mapa final'!$O$72),"")</f>
        <v/>
      </c>
      <c r="AN43" s="82"/>
      <c r="AO43" s="479"/>
      <c r="AP43" s="480"/>
      <c r="AQ43" s="480"/>
      <c r="AR43" s="480"/>
      <c r="AS43" s="480"/>
      <c r="AT43" s="481"/>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360"/>
      <c r="C44" s="360"/>
      <c r="D44" s="361"/>
      <c r="E44" s="459"/>
      <c r="F44" s="458"/>
      <c r="G44" s="458"/>
      <c r="H44" s="458"/>
      <c r="I44" s="458"/>
      <c r="J44" s="75" t="str">
        <f>IF(AND('Mapa final'!$Y$73="Baja",'Mapa final'!$AA$73="Leve"),CONCATENATE("R9C",'Mapa final'!$O$73),"")</f>
        <v/>
      </c>
      <c r="K44" s="76" t="str">
        <f>IF(AND('Mapa final'!$Y$74="Baja",'Mapa final'!$AA$74="Leve"),CONCATENATE("R9C",'Mapa final'!$O$74),"")</f>
        <v/>
      </c>
      <c r="L44" s="76" t="str">
        <f>IF(AND('Mapa final'!$Y$75="Baja",'Mapa final'!$AA$75="Leve"),CONCATENATE("R9C",'Mapa final'!$O$75),"")</f>
        <v/>
      </c>
      <c r="M44" s="76" t="str">
        <f>IF(AND('Mapa final'!$Y$76="Baja",'Mapa final'!$AA$76="Leve"),CONCATENATE("R9C",'Mapa final'!$O$76),"")</f>
        <v/>
      </c>
      <c r="N44" s="76" t="str">
        <f>IF(AND('Mapa final'!$Y$77="Baja",'Mapa final'!$AA$77="Leve"),CONCATENATE("R9C",'Mapa final'!$O$77),"")</f>
        <v/>
      </c>
      <c r="O44" s="77" t="str">
        <f>IF(AND('Mapa final'!$Y$78="Baja",'Mapa final'!$AA$78="Leve"),CONCATENATE("R9C",'Mapa final'!$O$78),"")</f>
        <v/>
      </c>
      <c r="P44" s="66" t="str">
        <f>IF(AND('Mapa final'!$Y$73="Baja",'Mapa final'!$AA$73="Menor"),CONCATENATE("R9C",'Mapa final'!$O$73),"")</f>
        <v/>
      </c>
      <c r="Q44" s="67" t="str">
        <f>IF(AND('Mapa final'!$Y$74="Baja",'Mapa final'!$AA$74="Menor"),CONCATENATE("R9C",'Mapa final'!$O$74),"")</f>
        <v/>
      </c>
      <c r="R44" s="67" t="str">
        <f>IF(AND('Mapa final'!$Y$75="Baja",'Mapa final'!$AA$75="Menor"),CONCATENATE("R9C",'Mapa final'!$O$75),"")</f>
        <v/>
      </c>
      <c r="S44" s="67" t="str">
        <f>IF(AND('Mapa final'!$Y$76="Baja",'Mapa final'!$AA$76="Menor"),CONCATENATE("R9C",'Mapa final'!$O$76),"")</f>
        <v/>
      </c>
      <c r="T44" s="67" t="str">
        <f>IF(AND('Mapa final'!$Y$77="Baja",'Mapa final'!$AA$77="Menor"),CONCATENATE("R9C",'Mapa final'!$O$77),"")</f>
        <v/>
      </c>
      <c r="U44" s="68" t="str">
        <f>IF(AND('Mapa final'!$Y$78="Baja",'Mapa final'!$AA$78="Menor"),CONCATENATE("R9C",'Mapa final'!$O$78),"")</f>
        <v/>
      </c>
      <c r="V44" s="66" t="str">
        <f>IF(AND('Mapa final'!$Y$73="Baja",'Mapa final'!$AA$73="Moderado"),CONCATENATE("R9C",'Mapa final'!$O$73),"")</f>
        <v/>
      </c>
      <c r="W44" s="67" t="str">
        <f>IF(AND('Mapa final'!$Y$74="Baja",'Mapa final'!$AA$74="Moderado"),CONCATENATE("R9C",'Mapa final'!$O$74),"")</f>
        <v/>
      </c>
      <c r="X44" s="67" t="str">
        <f>IF(AND('Mapa final'!$Y$75="Baja",'Mapa final'!$AA$75="Moderado"),CONCATENATE("R9C",'Mapa final'!$O$75),"")</f>
        <v/>
      </c>
      <c r="Y44" s="67" t="str">
        <f>IF(AND('Mapa final'!$Y$76="Baja",'Mapa final'!$AA$76="Moderado"),CONCATENATE("R9C",'Mapa final'!$O$76),"")</f>
        <v/>
      </c>
      <c r="Z44" s="67" t="str">
        <f>IF(AND('Mapa final'!$Y$77="Baja",'Mapa final'!$AA$77="Moderado"),CONCATENATE("R9C",'Mapa final'!$O$77),"")</f>
        <v/>
      </c>
      <c r="AA44" s="68" t="str">
        <f>IF(AND('Mapa final'!$Y$78="Baja",'Mapa final'!$AA$78="Moderado"),CONCATENATE("R9C",'Mapa final'!$O$78),"")</f>
        <v/>
      </c>
      <c r="AB44" s="51" t="str">
        <f>IF(AND('Mapa final'!$Y$73="Baja",'Mapa final'!$AA$73="Mayor"),CONCATENATE("R9C",'Mapa final'!$O$73),"")</f>
        <v/>
      </c>
      <c r="AC44" s="52" t="str">
        <f>IF(AND('Mapa final'!$Y$74="Baja",'Mapa final'!$AA$74="Mayor"),CONCATENATE("R9C",'Mapa final'!$O$74),"")</f>
        <v/>
      </c>
      <c r="AD44" s="52" t="str">
        <f>IF(AND('Mapa final'!$Y$75="Baja",'Mapa final'!$AA$75="Mayor"),CONCATENATE("R9C",'Mapa final'!$O$75),"")</f>
        <v/>
      </c>
      <c r="AE44" s="52" t="str">
        <f>IF(AND('Mapa final'!$Y$76="Baja",'Mapa final'!$AA$76="Mayor"),CONCATENATE("R9C",'Mapa final'!$O$76),"")</f>
        <v/>
      </c>
      <c r="AF44" s="52" t="str">
        <f>IF(AND('Mapa final'!$Y$77="Baja",'Mapa final'!$AA$77="Mayor"),CONCATENATE("R9C",'Mapa final'!$O$77),"")</f>
        <v/>
      </c>
      <c r="AG44" s="53" t="str">
        <f>IF(AND('Mapa final'!$Y$78="Baja",'Mapa final'!$AA$78="Mayor"),CONCATENATE("R9C",'Mapa final'!$O$78),"")</f>
        <v/>
      </c>
      <c r="AH44" s="54" t="str">
        <f>IF(AND('Mapa final'!$Y$73="Baja",'Mapa final'!$AA$73="Catastrófico"),CONCATENATE("R9C",'Mapa final'!$O$73),"")</f>
        <v/>
      </c>
      <c r="AI44" s="55" t="str">
        <f>IF(AND('Mapa final'!$Y$74="Baja",'Mapa final'!$AA$74="Catastrófico"),CONCATENATE("R9C",'Mapa final'!$O$74),"")</f>
        <v/>
      </c>
      <c r="AJ44" s="55" t="str">
        <f>IF(AND('Mapa final'!$Y$75="Baja",'Mapa final'!$AA$75="Catastrófico"),CONCATENATE("R9C",'Mapa final'!$O$75),"")</f>
        <v/>
      </c>
      <c r="AK44" s="55" t="str">
        <f>IF(AND('Mapa final'!$Y$76="Baja",'Mapa final'!$AA$76="Catastrófico"),CONCATENATE("R9C",'Mapa final'!$O$76),"")</f>
        <v/>
      </c>
      <c r="AL44" s="55" t="str">
        <f>IF(AND('Mapa final'!$Y$77="Baja",'Mapa final'!$AA$77="Catastrófico"),CONCATENATE("R9C",'Mapa final'!$O$77),"")</f>
        <v/>
      </c>
      <c r="AM44" s="56" t="str">
        <f>IF(AND('Mapa final'!$Y$78="Baja",'Mapa final'!$AA$78="Catastrófico"),CONCATENATE("R9C",'Mapa final'!$O$78),"")</f>
        <v/>
      </c>
      <c r="AN44" s="82"/>
      <c r="AO44" s="479"/>
      <c r="AP44" s="480"/>
      <c r="AQ44" s="480"/>
      <c r="AR44" s="480"/>
      <c r="AS44" s="480"/>
      <c r="AT44" s="481"/>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360"/>
      <c r="C45" s="360"/>
      <c r="D45" s="361"/>
      <c r="E45" s="460"/>
      <c r="F45" s="461"/>
      <c r="G45" s="461"/>
      <c r="H45" s="461"/>
      <c r="I45" s="461"/>
      <c r="J45" s="78" t="str">
        <f>IF(AND('Mapa final'!$Y$79="Baja",'Mapa final'!$AA$79="Leve"),CONCATENATE("R10C",'Mapa final'!$O$79),"")</f>
        <v/>
      </c>
      <c r="K45" s="79" t="str">
        <f>IF(AND('Mapa final'!$Y$80="Baja",'Mapa final'!$AA$80="Leve"),CONCATENATE("R10C",'Mapa final'!$O$80),"")</f>
        <v/>
      </c>
      <c r="L45" s="79" t="str">
        <f>IF(AND('Mapa final'!$Y$81="Baja",'Mapa final'!$AA$81="Leve"),CONCATENATE("R10C",'Mapa final'!$O$81),"")</f>
        <v/>
      </c>
      <c r="M45" s="79" t="str">
        <f>IF(AND('Mapa final'!$Y$82="Baja",'Mapa final'!$AA$82="Leve"),CONCATENATE("R10C",'Mapa final'!$O$82),"")</f>
        <v/>
      </c>
      <c r="N45" s="79" t="str">
        <f>IF(AND('Mapa final'!$Y$83="Baja",'Mapa final'!$AA$83="Leve"),CONCATENATE("R10C",'Mapa final'!$O$83),"")</f>
        <v/>
      </c>
      <c r="O45" s="80" t="str">
        <f>IF(AND('Mapa final'!$Y$84="Baja",'Mapa final'!$AA$84="Leve"),CONCATENATE("R10C",'Mapa final'!$O$84),"")</f>
        <v/>
      </c>
      <c r="P45" s="66" t="str">
        <f>IF(AND('Mapa final'!$Y$79="Baja",'Mapa final'!$AA$79="Menor"),CONCATENATE("R10C",'Mapa final'!$O$79),"")</f>
        <v/>
      </c>
      <c r="Q45" s="67" t="str">
        <f>IF(AND('Mapa final'!$Y$80="Baja",'Mapa final'!$AA$80="Menor"),CONCATENATE("R10C",'Mapa final'!$O$80),"")</f>
        <v/>
      </c>
      <c r="R45" s="67" t="str">
        <f>IF(AND('Mapa final'!$Y$81="Baja",'Mapa final'!$AA$81="Menor"),CONCATENATE("R10C",'Mapa final'!$O$81),"")</f>
        <v/>
      </c>
      <c r="S45" s="67" t="str">
        <f>IF(AND('Mapa final'!$Y$82="Baja",'Mapa final'!$AA$82="Menor"),CONCATENATE("R10C",'Mapa final'!$O$82),"")</f>
        <v/>
      </c>
      <c r="T45" s="67" t="str">
        <f>IF(AND('Mapa final'!$Y$83="Baja",'Mapa final'!$AA$83="Menor"),CONCATENATE("R10C",'Mapa final'!$O$83),"")</f>
        <v/>
      </c>
      <c r="U45" s="68" t="str">
        <f>IF(AND('Mapa final'!$Y$84="Baja",'Mapa final'!$AA$84="Menor"),CONCATENATE("R10C",'Mapa final'!$O$84),"")</f>
        <v/>
      </c>
      <c r="V45" s="69" t="str">
        <f>IF(AND('Mapa final'!$Y$79="Baja",'Mapa final'!$AA$79="Moderado"),CONCATENATE("R10C",'Mapa final'!$O$79),"")</f>
        <v/>
      </c>
      <c r="W45" s="70" t="str">
        <f>IF(AND('Mapa final'!$Y$80="Baja",'Mapa final'!$AA$80="Moderado"),CONCATENATE("R10C",'Mapa final'!$O$80),"")</f>
        <v/>
      </c>
      <c r="X45" s="70" t="str">
        <f>IF(AND('Mapa final'!$Y$81="Baja",'Mapa final'!$AA$81="Moderado"),CONCATENATE("R10C",'Mapa final'!$O$81),"")</f>
        <v/>
      </c>
      <c r="Y45" s="70" t="str">
        <f>IF(AND('Mapa final'!$Y$82="Baja",'Mapa final'!$AA$82="Moderado"),CONCATENATE("R10C",'Mapa final'!$O$82),"")</f>
        <v/>
      </c>
      <c r="Z45" s="70" t="str">
        <f>IF(AND('Mapa final'!$Y$83="Baja",'Mapa final'!$AA$83="Moderado"),CONCATENATE("R10C",'Mapa final'!$O$83),"")</f>
        <v/>
      </c>
      <c r="AA45" s="71" t="str">
        <f>IF(AND('Mapa final'!$Y$84="Baja",'Mapa final'!$AA$84="Moderado"),CONCATENATE("R10C",'Mapa final'!$O$84),"")</f>
        <v/>
      </c>
      <c r="AB45" s="57" t="str">
        <f>IF(AND('Mapa final'!$Y$79="Baja",'Mapa final'!$AA$79="Mayor"),CONCATENATE("R10C",'Mapa final'!$O$79),"")</f>
        <v/>
      </c>
      <c r="AC45" s="58" t="str">
        <f>IF(AND('Mapa final'!$Y$80="Baja",'Mapa final'!$AA$80="Mayor"),CONCATENATE("R10C",'Mapa final'!$O$80),"")</f>
        <v/>
      </c>
      <c r="AD45" s="58" t="str">
        <f>IF(AND('Mapa final'!$Y$81="Baja",'Mapa final'!$AA$81="Mayor"),CONCATENATE("R10C",'Mapa final'!$O$81),"")</f>
        <v/>
      </c>
      <c r="AE45" s="58" t="str">
        <f>IF(AND('Mapa final'!$Y$82="Baja",'Mapa final'!$AA$82="Mayor"),CONCATENATE("R10C",'Mapa final'!$O$82),"")</f>
        <v/>
      </c>
      <c r="AF45" s="58" t="str">
        <f>IF(AND('Mapa final'!$Y$83="Baja",'Mapa final'!$AA$83="Mayor"),CONCATENATE("R10C",'Mapa final'!$O$83),"")</f>
        <v/>
      </c>
      <c r="AG45" s="59" t="str">
        <f>IF(AND('Mapa final'!$Y$84="Baja",'Mapa final'!$AA$84="Mayor"),CONCATENATE("R10C",'Mapa final'!$O$84),"")</f>
        <v/>
      </c>
      <c r="AH45" s="60" t="str">
        <f>IF(AND('Mapa final'!$Y$79="Baja",'Mapa final'!$AA$79="Catastrófico"),CONCATENATE("R10C",'Mapa final'!$O$79),"")</f>
        <v/>
      </c>
      <c r="AI45" s="61" t="str">
        <f>IF(AND('Mapa final'!$Y$80="Baja",'Mapa final'!$AA$80="Catastrófico"),CONCATENATE("R10C",'Mapa final'!$O$80),"")</f>
        <v/>
      </c>
      <c r="AJ45" s="61" t="str">
        <f>IF(AND('Mapa final'!$Y$81="Baja",'Mapa final'!$AA$81="Catastrófico"),CONCATENATE("R10C",'Mapa final'!$O$81),"")</f>
        <v/>
      </c>
      <c r="AK45" s="61" t="str">
        <f>IF(AND('Mapa final'!$Y$82="Baja",'Mapa final'!$AA$82="Catastrófico"),CONCATENATE("R10C",'Mapa final'!$O$82),"")</f>
        <v/>
      </c>
      <c r="AL45" s="61" t="str">
        <f>IF(AND('Mapa final'!$Y$83="Baja",'Mapa final'!$AA$83="Catastrófico"),CONCATENATE("R10C",'Mapa final'!$O$83),"")</f>
        <v/>
      </c>
      <c r="AM45" s="62" t="str">
        <f>IF(AND('Mapa final'!$Y$84="Baja",'Mapa final'!$AA$84="Catastrófico"),CONCATENATE("R10C",'Mapa final'!$O$84),"")</f>
        <v/>
      </c>
      <c r="AN45" s="82"/>
      <c r="AO45" s="482"/>
      <c r="AP45" s="483"/>
      <c r="AQ45" s="483"/>
      <c r="AR45" s="483"/>
      <c r="AS45" s="483"/>
      <c r="AT45" s="484"/>
    </row>
    <row r="46" spans="1:80" ht="46.5" customHeight="1" x14ac:dyDescent="0.35">
      <c r="A46" s="82"/>
      <c r="B46" s="360"/>
      <c r="C46" s="360"/>
      <c r="D46" s="361"/>
      <c r="E46" s="455" t="s">
        <v>156</v>
      </c>
      <c r="F46" s="456"/>
      <c r="G46" s="456"/>
      <c r="H46" s="456"/>
      <c r="I46" s="473"/>
      <c r="J46" s="72" t="str">
        <f>IF(AND('Mapa final'!$Y$25="Muy Baja",'Mapa final'!$AA$25="Leve"),CONCATENATE("R1C",'Mapa final'!$O$25),"")</f>
        <v/>
      </c>
      <c r="K46" s="73" t="str">
        <f>IF(AND('Mapa final'!$Y$26="Muy Baja",'Mapa final'!$AA$26="Leve"),CONCATENATE("R1C",'Mapa final'!$O$26),"")</f>
        <v/>
      </c>
      <c r="L46" s="73" t="str">
        <f>IF(AND('Mapa final'!$Y$27="Muy Baja",'Mapa final'!$AA$27="Leve"),CONCATENATE("R1C",'Mapa final'!$O$27),"")</f>
        <v/>
      </c>
      <c r="M46" s="73" t="str">
        <f>IF(AND('Mapa final'!$Y$28="Muy Baja",'Mapa final'!$AA$28="Leve"),CONCATENATE("R1C",'Mapa final'!$O$28),"")</f>
        <v/>
      </c>
      <c r="N46" s="73" t="str">
        <f>IF(AND('Mapa final'!$Y$29="Muy Baja",'Mapa final'!$AA$29="Leve"),CONCATENATE("R1C",'Mapa final'!$O$29),"")</f>
        <v/>
      </c>
      <c r="O46" s="74" t="str">
        <f>IF(AND('Mapa final'!$Y$30="Muy Baja",'Mapa final'!$AA$30="Leve"),CONCATENATE("R1C",'Mapa final'!$O$30),"")</f>
        <v/>
      </c>
      <c r="P46" s="72" t="str">
        <f>IF(AND('Mapa final'!$Y$25="Muy Baja",'Mapa final'!$AA$25="Menor"),CONCATENATE("R1C",'Mapa final'!$O$25),"")</f>
        <v/>
      </c>
      <c r="Q46" s="73" t="str">
        <f>IF(AND('Mapa final'!$Y$26="Muy Baja",'Mapa final'!$AA$26="Menor"),CONCATENATE("R1C",'Mapa final'!$O$26),"")</f>
        <v/>
      </c>
      <c r="R46" s="73" t="str">
        <f>IF(AND('Mapa final'!$Y$27="Muy Baja",'Mapa final'!$AA$27="Menor"),CONCATENATE("R1C",'Mapa final'!$O$27),"")</f>
        <v/>
      </c>
      <c r="S46" s="73" t="str">
        <f>IF(AND('Mapa final'!$Y$28="Muy Baja",'Mapa final'!$AA$28="Menor"),CONCATENATE("R1C",'Mapa final'!$O$28),"")</f>
        <v/>
      </c>
      <c r="T46" s="73" t="str">
        <f>IF(AND('Mapa final'!$Y$29="Muy Baja",'Mapa final'!$AA$29="Menor"),CONCATENATE("R1C",'Mapa final'!$O$29),"")</f>
        <v/>
      </c>
      <c r="U46" s="74" t="str">
        <f>IF(AND('Mapa final'!$Y$30="Muy Baja",'Mapa final'!$AA$30="Menor"),CONCATENATE("R1C",'Mapa final'!$O$30),"")</f>
        <v/>
      </c>
      <c r="V46" s="63" t="str">
        <f>IF(AND('Mapa final'!$Y$25="Muy Baja",'Mapa final'!$AA$25="Moderado"),CONCATENATE("R1C",'Mapa final'!$O$25),"")</f>
        <v/>
      </c>
      <c r="W46" s="81" t="str">
        <f>IF(AND('Mapa final'!$Y$26="Muy Baja",'Mapa final'!$AA$26="Moderado"),CONCATENATE("R1C",'Mapa final'!$O$26),"")</f>
        <v>R1C2</v>
      </c>
      <c r="X46" s="64" t="str">
        <f>IF(AND('Mapa final'!$Y$27="Muy Baja",'Mapa final'!$AA$27="Moderado"),CONCATENATE("R1C",'Mapa final'!$O$27),"")</f>
        <v/>
      </c>
      <c r="Y46" s="64" t="str">
        <f>IF(AND('Mapa final'!$Y$28="Muy Baja",'Mapa final'!$AA$28="Moderado"),CONCATENATE("R1C",'Mapa final'!$O$28),"")</f>
        <v/>
      </c>
      <c r="Z46" s="64" t="str">
        <f>IF(AND('Mapa final'!$Y$29="Muy Baja",'Mapa final'!$AA$29="Moderado"),CONCATENATE("R1C",'Mapa final'!$O$29),"")</f>
        <v/>
      </c>
      <c r="AA46" s="65" t="str">
        <f>IF(AND('Mapa final'!$Y$30="Muy Baja",'Mapa final'!$AA$30="Moderado"),CONCATENATE("R1C",'Mapa final'!$O$30),"")</f>
        <v/>
      </c>
      <c r="AB46" s="45" t="str">
        <f>IF(AND('Mapa final'!$Y$25="Muy Baja",'Mapa final'!$AA$25="Mayor"),CONCATENATE("R1C",'Mapa final'!$O$25),"")</f>
        <v/>
      </c>
      <c r="AC46" s="46" t="str">
        <f>IF(AND('Mapa final'!$Y$26="Muy Baja",'Mapa final'!$AA$26="Mayor"),CONCATENATE("R1C",'Mapa final'!$O$26),"")</f>
        <v/>
      </c>
      <c r="AD46" s="46" t="str">
        <f>IF(AND('Mapa final'!$Y$27="Muy Baja",'Mapa final'!$AA$27="Mayor"),CONCATENATE("R1C",'Mapa final'!$O$27),"")</f>
        <v/>
      </c>
      <c r="AE46" s="46" t="str">
        <f>IF(AND('Mapa final'!$Y$28="Muy Baja",'Mapa final'!$AA$28="Mayor"),CONCATENATE("R1C",'Mapa final'!$O$28),"")</f>
        <v/>
      </c>
      <c r="AF46" s="46" t="str">
        <f>IF(AND('Mapa final'!$Y$29="Muy Baja",'Mapa final'!$AA$29="Mayor"),CONCATENATE("R1C",'Mapa final'!$O$29),"")</f>
        <v/>
      </c>
      <c r="AG46" s="47" t="str">
        <f>IF(AND('Mapa final'!$Y$30="Muy Baja",'Mapa final'!$AA$30="Mayor"),CONCATENATE("R1C",'Mapa final'!$O$30),"")</f>
        <v/>
      </c>
      <c r="AH46" s="48" t="str">
        <f>IF(AND('Mapa final'!$Y$25="Muy Baja",'Mapa final'!$AA$25="Catastrófico"),CONCATENATE("R1C",'Mapa final'!$O$25),"")</f>
        <v/>
      </c>
      <c r="AI46" s="49" t="str">
        <f>IF(AND('Mapa final'!$Y$26="Muy Baja",'Mapa final'!$AA$26="Catastrófico"),CONCATENATE("R1C",'Mapa final'!$O$26),"")</f>
        <v/>
      </c>
      <c r="AJ46" s="49" t="str">
        <f>IF(AND('Mapa final'!$Y$27="Muy Baja",'Mapa final'!$AA$27="Catastrófico"),CONCATENATE("R1C",'Mapa final'!$O$27),"")</f>
        <v/>
      </c>
      <c r="AK46" s="49" t="str">
        <f>IF(AND('Mapa final'!$Y$28="Muy Baja",'Mapa final'!$AA$28="Catastrófico"),CONCATENATE("R1C",'Mapa final'!$O$28),"")</f>
        <v/>
      </c>
      <c r="AL46" s="49" t="str">
        <f>IF(AND('Mapa final'!$Y$29="Muy Baja",'Mapa final'!$AA$29="Catastrófico"),CONCATENATE("R1C",'Mapa final'!$O$29),"")</f>
        <v/>
      </c>
      <c r="AM46" s="50" t="str">
        <f>IF(AND('Mapa final'!$Y$30="Muy Baja",'Mapa final'!$AA$30="Catastrófico"),CONCATENATE("R1C",'Mapa final'!$O$30),"")</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360"/>
      <c r="C47" s="360"/>
      <c r="D47" s="361"/>
      <c r="E47" s="457"/>
      <c r="F47" s="458"/>
      <c r="G47" s="458"/>
      <c r="H47" s="458"/>
      <c r="I47" s="474"/>
      <c r="J47" s="75" t="str">
        <f>IF(AND('Mapa final'!$Y$31="Muy Baja",'Mapa final'!$AA$31="Leve"),CONCATENATE("R2C",'Mapa final'!$O$31),"")</f>
        <v/>
      </c>
      <c r="K47" s="76" t="str">
        <f>IF(AND('Mapa final'!$Y$32="Muy Baja",'Mapa final'!$AA$32="Leve"),CONCATENATE("R2C",'Mapa final'!$O$32),"")</f>
        <v>R2C</v>
      </c>
      <c r="L47" s="76" t="str">
        <f>IF(AND('Mapa final'!$Y$33="Muy Baja",'Mapa final'!$AA$33="Leve"),CONCATENATE("R2C",'Mapa final'!$O$33),"")</f>
        <v/>
      </c>
      <c r="M47" s="76" t="str">
        <f>IF(AND('Mapa final'!$Y$34="Muy Baja",'Mapa final'!$AA$34="Leve"),CONCATENATE("R2C",'Mapa final'!$O$34),"")</f>
        <v/>
      </c>
      <c r="N47" s="76" t="str">
        <f>IF(AND('Mapa final'!$Y$35="Muy Baja",'Mapa final'!$AA$35="Leve"),CONCATENATE("R2C",'Mapa final'!$O$35),"")</f>
        <v/>
      </c>
      <c r="O47" s="77" t="str">
        <f>IF(AND('Mapa final'!$Y$36="Muy Baja",'Mapa final'!$AA$36="Leve"),CONCATENATE("R2C",'Mapa final'!$O$36),"")</f>
        <v/>
      </c>
      <c r="P47" s="75" t="str">
        <f>IF(AND('Mapa final'!$Y$31="Muy Baja",'Mapa final'!$AA$31="Menor"),CONCATENATE("R2C",'Mapa final'!$O$31),"")</f>
        <v/>
      </c>
      <c r="Q47" s="76" t="str">
        <f>IF(AND('Mapa final'!$Y$32="Muy Baja",'Mapa final'!$AA$32="Menor"),CONCATENATE("R2C",'Mapa final'!$O$32),"")</f>
        <v/>
      </c>
      <c r="R47" s="76" t="str">
        <f>IF(AND('Mapa final'!$Y$33="Muy Baja",'Mapa final'!$AA$33="Menor"),CONCATENATE("R2C",'Mapa final'!$O$33),"")</f>
        <v/>
      </c>
      <c r="S47" s="76" t="str">
        <f>IF(AND('Mapa final'!$Y$34="Muy Baja",'Mapa final'!$AA$34="Menor"),CONCATENATE("R2C",'Mapa final'!$O$34),"")</f>
        <v/>
      </c>
      <c r="T47" s="76" t="str">
        <f>IF(AND('Mapa final'!$Y$35="Muy Baja",'Mapa final'!$AA$35="Menor"),CONCATENATE("R2C",'Mapa final'!$O$35),"")</f>
        <v/>
      </c>
      <c r="U47" s="77" t="str">
        <f>IF(AND('Mapa final'!$Y$36="Muy Baja",'Mapa final'!$AA$36="Menor"),CONCATENATE("R2C",'Mapa final'!$O$36),"")</f>
        <v/>
      </c>
      <c r="V47" s="66" t="str">
        <f>IF(AND('Mapa final'!$Y$31="Muy Baja",'Mapa final'!$AA$31="Moderado"),CONCATENATE("R2C",'Mapa final'!$O$31),"")</f>
        <v/>
      </c>
      <c r="W47" s="67" t="str">
        <f>IF(AND('Mapa final'!$Y$32="Muy Baja",'Mapa final'!$AA$32="Moderado"),CONCATENATE("R2C",'Mapa final'!$O$32),"")</f>
        <v/>
      </c>
      <c r="X47" s="67" t="str">
        <f>IF(AND('Mapa final'!$Y$33="Muy Baja",'Mapa final'!$AA$33="Moderado"),CONCATENATE("R2C",'Mapa final'!$O$33),"")</f>
        <v/>
      </c>
      <c r="Y47" s="67" t="str">
        <f>IF(AND('Mapa final'!$Y$34="Muy Baja",'Mapa final'!$AA$34="Moderado"),CONCATENATE("R2C",'Mapa final'!$O$34),"")</f>
        <v/>
      </c>
      <c r="Z47" s="67" t="str">
        <f>IF(AND('Mapa final'!$Y$35="Muy Baja",'Mapa final'!$AA$35="Moderado"),CONCATENATE("R2C",'Mapa final'!$O$35),"")</f>
        <v/>
      </c>
      <c r="AA47" s="68" t="str">
        <f>IF(AND('Mapa final'!$Y$36="Muy Baja",'Mapa final'!$AA$36="Moderado"),CONCATENATE("R2C",'Mapa final'!$O$36),"")</f>
        <v/>
      </c>
      <c r="AB47" s="51" t="str">
        <f>IF(AND('Mapa final'!$Y$31="Muy Baja",'Mapa final'!$AA$31="Mayor"),CONCATENATE("R2C",'Mapa final'!$O$31),"")</f>
        <v/>
      </c>
      <c r="AC47" s="52" t="str">
        <f>IF(AND('Mapa final'!$Y$32="Muy Baja",'Mapa final'!$AA$32="Mayor"),CONCATENATE("R2C",'Mapa final'!$O$32),"")</f>
        <v/>
      </c>
      <c r="AD47" s="52" t="str">
        <f>IF(AND('Mapa final'!$Y$33="Muy Baja",'Mapa final'!$AA$33="Mayor"),CONCATENATE("R2C",'Mapa final'!$O$33),"")</f>
        <v/>
      </c>
      <c r="AE47" s="52" t="str">
        <f>IF(AND('Mapa final'!$Y$34="Muy Baja",'Mapa final'!$AA$34="Mayor"),CONCATENATE("R2C",'Mapa final'!$O$34),"")</f>
        <v/>
      </c>
      <c r="AF47" s="52" t="str">
        <f>IF(AND('Mapa final'!$Y$35="Muy Baja",'Mapa final'!$AA$35="Mayor"),CONCATENATE("R2C",'Mapa final'!$O$35),"")</f>
        <v/>
      </c>
      <c r="AG47" s="53" t="str">
        <f>IF(AND('Mapa final'!$Y$36="Muy Baja",'Mapa final'!$AA$36="Mayor"),CONCATENATE("R2C",'Mapa final'!$O$36),"")</f>
        <v/>
      </c>
      <c r="AH47" s="54" t="str">
        <f>IF(AND('Mapa final'!$Y$31="Muy Baja",'Mapa final'!$AA$31="Catastrófico"),CONCATENATE("R2C",'Mapa final'!$O$31),"")</f>
        <v/>
      </c>
      <c r="AI47" s="55" t="str">
        <f>IF(AND('Mapa final'!$Y$32="Muy Baja",'Mapa final'!$AA$32="Catastrófico"),CONCATENATE("R2C",'Mapa final'!$O$32),"")</f>
        <v/>
      </c>
      <c r="AJ47" s="55" t="str">
        <f>IF(AND('Mapa final'!$Y$33="Muy Baja",'Mapa final'!$AA$33="Catastrófico"),CONCATENATE("R2C",'Mapa final'!$O$33),"")</f>
        <v/>
      </c>
      <c r="AK47" s="55" t="str">
        <f>IF(AND('Mapa final'!$Y$34="Muy Baja",'Mapa final'!$AA$34="Catastrófico"),CONCATENATE("R2C",'Mapa final'!$O$34),"")</f>
        <v/>
      </c>
      <c r="AL47" s="55" t="str">
        <f>IF(AND('Mapa final'!$Y$35="Muy Baja",'Mapa final'!$AA$35="Catastrófico"),CONCATENATE("R2C",'Mapa final'!$O$35),"")</f>
        <v/>
      </c>
      <c r="AM47" s="56" t="str">
        <f>IF(AND('Mapa final'!$Y$36="Muy Baja",'Mapa final'!$AA$36="Catastrófico"),CONCATENATE("R2C",'Mapa final'!$O$36),"")</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360"/>
      <c r="C48" s="360"/>
      <c r="D48" s="361"/>
      <c r="E48" s="457"/>
      <c r="F48" s="458"/>
      <c r="G48" s="458"/>
      <c r="H48" s="458"/>
      <c r="I48" s="474"/>
      <c r="J48" s="75" t="str">
        <f>IF(AND('Mapa final'!$Y$37="Muy Baja",'Mapa final'!$AA$37="Leve"),CONCATENATE("R3C",'Mapa final'!$O$37),"")</f>
        <v/>
      </c>
      <c r="K48" s="76" t="str">
        <f>IF(AND('Mapa final'!$Y$38="Muy Baja",'Mapa final'!$AA$38="Leve"),CONCATENATE("R3C",'Mapa final'!$O$38),"")</f>
        <v/>
      </c>
      <c r="L48" s="76" t="str">
        <f>IF(AND('Mapa final'!$Y$39="Muy Baja",'Mapa final'!$AA$39="Leve"),CONCATENATE("R3C",'Mapa final'!$O$39),"")</f>
        <v/>
      </c>
      <c r="M48" s="76" t="str">
        <f>IF(AND('Mapa final'!$Y$40="Muy Baja",'Mapa final'!$AA$40="Leve"),CONCATENATE("R3C",'Mapa final'!$O$40),"")</f>
        <v/>
      </c>
      <c r="N48" s="76" t="str">
        <f>IF(AND('Mapa final'!$Y$41="Muy Baja",'Mapa final'!$AA$41="Leve"),CONCATENATE("R3C",'Mapa final'!$O$41),"")</f>
        <v/>
      </c>
      <c r="O48" s="77" t="str">
        <f>IF(AND('Mapa final'!$Y$42="Muy Baja",'Mapa final'!$AA$42="Leve"),CONCATENATE("R3C",'Mapa final'!$O$42),"")</f>
        <v/>
      </c>
      <c r="P48" s="75" t="str">
        <f>IF(AND('Mapa final'!$Y$37="Muy Baja",'Mapa final'!$AA$37="Menor"),CONCATENATE("R3C",'Mapa final'!$O$37),"")</f>
        <v/>
      </c>
      <c r="Q48" s="76" t="str">
        <f>IF(AND('Mapa final'!$Y$38="Muy Baja",'Mapa final'!$AA$38="Menor"),CONCATENATE("R3C",'Mapa final'!$O$38),"")</f>
        <v/>
      </c>
      <c r="R48" s="76" t="str">
        <f>IF(AND('Mapa final'!$Y$39="Muy Baja",'Mapa final'!$AA$39="Menor"),CONCATENATE("R3C",'Mapa final'!$O$39),"")</f>
        <v/>
      </c>
      <c r="S48" s="76" t="str">
        <f>IF(AND('Mapa final'!$Y$40="Muy Baja",'Mapa final'!$AA$40="Menor"),CONCATENATE("R3C",'Mapa final'!$O$40),"")</f>
        <v/>
      </c>
      <c r="T48" s="76" t="str">
        <f>IF(AND('Mapa final'!$Y$41="Muy Baja",'Mapa final'!$AA$41="Menor"),CONCATENATE("R3C",'Mapa final'!$O$41),"")</f>
        <v/>
      </c>
      <c r="U48" s="77" t="str">
        <f>IF(AND('Mapa final'!$Y$42="Muy Baja",'Mapa final'!$AA$42="Menor"),CONCATENATE("R3C",'Mapa final'!$O$42),"")</f>
        <v/>
      </c>
      <c r="V48" s="66" t="str">
        <f>IF(AND('Mapa final'!$Y$37="Muy Baja",'Mapa final'!$AA$37="Moderado"),CONCATENATE("R3C",'Mapa final'!$O$37),"")</f>
        <v/>
      </c>
      <c r="W48" s="67" t="str">
        <f>IF(AND('Mapa final'!$Y$38="Muy Baja",'Mapa final'!$AA$38="Moderado"),CONCATENATE("R3C",'Mapa final'!$O$38),"")</f>
        <v/>
      </c>
      <c r="X48" s="67" t="str">
        <f>IF(AND('Mapa final'!$Y$39="Muy Baja",'Mapa final'!$AA$39="Moderado"),CONCATENATE("R3C",'Mapa final'!$O$39),"")</f>
        <v/>
      </c>
      <c r="Y48" s="67" t="str">
        <f>IF(AND('Mapa final'!$Y$40="Muy Baja",'Mapa final'!$AA$40="Moderado"),CONCATENATE("R3C",'Mapa final'!$O$40),"")</f>
        <v/>
      </c>
      <c r="Z48" s="67" t="str">
        <f>IF(AND('Mapa final'!$Y$41="Muy Baja",'Mapa final'!$AA$41="Moderado"),CONCATENATE("R3C",'Mapa final'!$O$41),"")</f>
        <v/>
      </c>
      <c r="AA48" s="68" t="str">
        <f>IF(AND('Mapa final'!$Y$42="Muy Baja",'Mapa final'!$AA$42="Moderado"),CONCATENATE("R3C",'Mapa final'!$O$42),"")</f>
        <v/>
      </c>
      <c r="AB48" s="51" t="str">
        <f>IF(AND('Mapa final'!$Y$37="Muy Baja",'Mapa final'!$AA$37="Mayor"),CONCATENATE("R3C",'Mapa final'!$O$37),"")</f>
        <v/>
      </c>
      <c r="AC48" s="52" t="str">
        <f>IF(AND('Mapa final'!$Y$38="Muy Baja",'Mapa final'!$AA$38="Mayor"),CONCATENATE("R3C",'Mapa final'!$O$38),"")</f>
        <v/>
      </c>
      <c r="AD48" s="52" t="str">
        <f>IF(AND('Mapa final'!$Y$39="Muy Baja",'Mapa final'!$AA$39="Mayor"),CONCATENATE("R3C",'Mapa final'!$O$39),"")</f>
        <v/>
      </c>
      <c r="AE48" s="52" t="str">
        <f>IF(AND('Mapa final'!$Y$40="Muy Baja",'Mapa final'!$AA$40="Mayor"),CONCATENATE("R3C",'Mapa final'!$O$40),"")</f>
        <v/>
      </c>
      <c r="AF48" s="52" t="str">
        <f>IF(AND('Mapa final'!$Y$41="Muy Baja",'Mapa final'!$AA$41="Mayor"),CONCATENATE("R3C",'Mapa final'!$O$41),"")</f>
        <v/>
      </c>
      <c r="AG48" s="53" t="str">
        <f>IF(AND('Mapa final'!$Y$42="Muy Baja",'Mapa final'!$AA$42="Mayor"),CONCATENATE("R3C",'Mapa final'!$O$42),"")</f>
        <v/>
      </c>
      <c r="AH48" s="54" t="str">
        <f>IF(AND('Mapa final'!$Y$37="Muy Baja",'Mapa final'!$AA$37="Catastrófico"),CONCATENATE("R3C",'Mapa final'!$O$37),"")</f>
        <v/>
      </c>
      <c r="AI48" s="55" t="str">
        <f>IF(AND('Mapa final'!$Y$38="Muy Baja",'Mapa final'!$AA$38="Catastrófico"),CONCATENATE("R3C",'Mapa final'!$O$38),"")</f>
        <v/>
      </c>
      <c r="AJ48" s="55" t="str">
        <f>IF(AND('Mapa final'!$Y$39="Muy Baja",'Mapa final'!$AA$39="Catastrófico"),CONCATENATE("R3C",'Mapa final'!$O$39),"")</f>
        <v/>
      </c>
      <c r="AK48" s="55" t="str">
        <f>IF(AND('Mapa final'!$Y$40="Muy Baja",'Mapa final'!$AA$40="Catastrófico"),CONCATENATE("R3C",'Mapa final'!$O$40),"")</f>
        <v/>
      </c>
      <c r="AL48" s="55" t="str">
        <f>IF(AND('Mapa final'!$Y$41="Muy Baja",'Mapa final'!$AA$41="Catastrófico"),CONCATENATE("R3C",'Mapa final'!$O$41),"")</f>
        <v/>
      </c>
      <c r="AM48" s="56" t="str">
        <f>IF(AND('Mapa final'!$Y$42="Muy Baja",'Mapa final'!$AA$42="Catastrófico"),CONCATENATE("R3C",'Mapa final'!$O$42),"")</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360"/>
      <c r="C49" s="360"/>
      <c r="D49" s="361"/>
      <c r="E49" s="459"/>
      <c r="F49" s="458"/>
      <c r="G49" s="458"/>
      <c r="H49" s="458"/>
      <c r="I49" s="474"/>
      <c r="J49" s="75" t="str">
        <f>IF(AND('Mapa final'!$Y$43="Muy Baja",'Mapa final'!$AA$43="Leve"),CONCATENATE("R4C",'Mapa final'!$O$43),"")</f>
        <v/>
      </c>
      <c r="K49" s="76" t="str">
        <f>IF(AND('Mapa final'!$Y$44="Muy Baja",'Mapa final'!$AA$44="Leve"),CONCATENATE("R4C",'Mapa final'!$O$44),"")</f>
        <v/>
      </c>
      <c r="L49" s="76" t="str">
        <f>IF(AND('Mapa final'!$Y$45="Muy Baja",'Mapa final'!$AA$45="Leve"),CONCATENATE("R4C",'Mapa final'!$O$45),"")</f>
        <v/>
      </c>
      <c r="M49" s="76" t="str">
        <f>IF(AND('Mapa final'!$Y$46="Muy Baja",'Mapa final'!$AA$46="Leve"),CONCATENATE("R4C",'Mapa final'!$O$46),"")</f>
        <v/>
      </c>
      <c r="N49" s="76" t="str">
        <f>IF(AND('Mapa final'!$Y$47="Muy Baja",'Mapa final'!$AA$47="Leve"),CONCATENATE("R4C",'Mapa final'!$O$47),"")</f>
        <v/>
      </c>
      <c r="O49" s="77" t="str">
        <f>IF(AND('Mapa final'!$Y$48="Muy Baja",'Mapa final'!$AA$48="Leve"),CONCATENATE("R4C",'Mapa final'!$O$48),"")</f>
        <v/>
      </c>
      <c r="P49" s="75" t="str">
        <f>IF(AND('Mapa final'!$Y$43="Muy Baja",'Mapa final'!$AA$43="Menor"),CONCATENATE("R4C",'Mapa final'!$O$43),"")</f>
        <v/>
      </c>
      <c r="Q49" s="76" t="str">
        <f>IF(AND('Mapa final'!$Y$44="Muy Baja",'Mapa final'!$AA$44="Menor"),CONCATENATE("R4C",'Mapa final'!$O$44),"")</f>
        <v/>
      </c>
      <c r="R49" s="76" t="str">
        <f>IF(AND('Mapa final'!$Y$45="Muy Baja",'Mapa final'!$AA$45="Menor"),CONCATENATE("R4C",'Mapa final'!$O$45),"")</f>
        <v/>
      </c>
      <c r="S49" s="76" t="str">
        <f>IF(AND('Mapa final'!$Y$46="Muy Baja",'Mapa final'!$AA$46="Menor"),CONCATENATE("R4C",'Mapa final'!$O$46),"")</f>
        <v/>
      </c>
      <c r="T49" s="76" t="str">
        <f>IF(AND('Mapa final'!$Y$47="Muy Baja",'Mapa final'!$AA$47="Menor"),CONCATENATE("R4C",'Mapa final'!$O$47),"")</f>
        <v/>
      </c>
      <c r="U49" s="77" t="str">
        <f>IF(AND('Mapa final'!$Y$48="Muy Baja",'Mapa final'!$AA$48="Menor"),CONCATENATE("R4C",'Mapa final'!$O$48),"")</f>
        <v/>
      </c>
      <c r="V49" s="66" t="str">
        <f>IF(AND('Mapa final'!$Y$43="Muy Baja",'Mapa final'!$AA$43="Moderado"),CONCATENATE("R4C",'Mapa final'!$O$43),"")</f>
        <v/>
      </c>
      <c r="W49" s="67" t="str">
        <f>IF(AND('Mapa final'!$Y$44="Muy Baja",'Mapa final'!$AA$44="Moderado"),CONCATENATE("R4C",'Mapa final'!$O$44),"")</f>
        <v/>
      </c>
      <c r="X49" s="67" t="str">
        <f>IF(AND('Mapa final'!$Y$45="Muy Baja",'Mapa final'!$AA$45="Moderado"),CONCATENATE("R4C",'Mapa final'!$O$45),"")</f>
        <v/>
      </c>
      <c r="Y49" s="67" t="str">
        <f>IF(AND('Mapa final'!$Y$46="Muy Baja",'Mapa final'!$AA$46="Moderado"),CONCATENATE("R4C",'Mapa final'!$O$46),"")</f>
        <v/>
      </c>
      <c r="Z49" s="67" t="str">
        <f>IF(AND('Mapa final'!$Y$47="Muy Baja",'Mapa final'!$AA$47="Moderado"),CONCATENATE("R4C",'Mapa final'!$O$47),"")</f>
        <v/>
      </c>
      <c r="AA49" s="68" t="str">
        <f>IF(AND('Mapa final'!$Y$48="Muy Baja",'Mapa final'!$AA$48="Moderado"),CONCATENATE("R4C",'Mapa final'!$O$48),"")</f>
        <v/>
      </c>
      <c r="AB49" s="51" t="str">
        <f>IF(AND('Mapa final'!$Y$43="Muy Baja",'Mapa final'!$AA$43="Mayor"),CONCATENATE("R4C",'Mapa final'!$O$43),"")</f>
        <v/>
      </c>
      <c r="AC49" s="52" t="str">
        <f>IF(AND('Mapa final'!$Y$44="Muy Baja",'Mapa final'!$AA$44="Mayor"),CONCATENATE("R4C",'Mapa final'!$O$44),"")</f>
        <v/>
      </c>
      <c r="AD49" s="52" t="str">
        <f>IF(AND('Mapa final'!$Y$45="Muy Baja",'Mapa final'!$AA$45="Mayor"),CONCATENATE("R4C",'Mapa final'!$O$45),"")</f>
        <v/>
      </c>
      <c r="AE49" s="52" t="str">
        <f>IF(AND('Mapa final'!$Y$46="Muy Baja",'Mapa final'!$AA$46="Mayor"),CONCATENATE("R4C",'Mapa final'!$O$46),"")</f>
        <v/>
      </c>
      <c r="AF49" s="52" t="str">
        <f>IF(AND('Mapa final'!$Y$47="Muy Baja",'Mapa final'!$AA$47="Mayor"),CONCATENATE("R4C",'Mapa final'!$O$47),"")</f>
        <v/>
      </c>
      <c r="AG49" s="53" t="str">
        <f>IF(AND('Mapa final'!$Y$48="Muy Baja",'Mapa final'!$AA$48="Mayor"),CONCATENATE("R4C",'Mapa final'!$O$48),"")</f>
        <v/>
      </c>
      <c r="AH49" s="54" t="str">
        <f>IF(AND('Mapa final'!$Y$43="Muy Baja",'Mapa final'!$AA$43="Catastrófico"),CONCATENATE("R4C",'Mapa final'!$O$43),"")</f>
        <v/>
      </c>
      <c r="AI49" s="55" t="str">
        <f>IF(AND('Mapa final'!$Y$44="Muy Baja",'Mapa final'!$AA$44="Catastrófico"),CONCATENATE("R4C",'Mapa final'!$O$44),"")</f>
        <v/>
      </c>
      <c r="AJ49" s="55" t="str">
        <f>IF(AND('Mapa final'!$Y$45="Muy Baja",'Mapa final'!$AA$45="Catastrófico"),CONCATENATE("R4C",'Mapa final'!$O$45),"")</f>
        <v/>
      </c>
      <c r="AK49" s="55" t="str">
        <f>IF(AND('Mapa final'!$Y$46="Muy Baja",'Mapa final'!$AA$46="Catastrófico"),CONCATENATE("R4C",'Mapa final'!$O$46),"")</f>
        <v/>
      </c>
      <c r="AL49" s="55" t="str">
        <f>IF(AND('Mapa final'!$Y$47="Muy Baja",'Mapa final'!$AA$47="Catastrófico"),CONCATENATE("R4C",'Mapa final'!$O$47),"")</f>
        <v/>
      </c>
      <c r="AM49" s="56" t="str">
        <f>IF(AND('Mapa final'!$Y$48="Muy Baja",'Mapa final'!$AA$48="Catastrófico"),CONCATENATE("R4C",'Mapa final'!$O$48),"")</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360"/>
      <c r="C50" s="360"/>
      <c r="D50" s="361"/>
      <c r="E50" s="459"/>
      <c r="F50" s="458"/>
      <c r="G50" s="458"/>
      <c r="H50" s="458"/>
      <c r="I50" s="474"/>
      <c r="J50" s="75" t="str">
        <f>IF(AND('Mapa final'!$Y$49="Muy Baja",'Mapa final'!$AA$49="Leve"),CONCATENATE("R5C",'Mapa final'!$O$49),"")</f>
        <v/>
      </c>
      <c r="K50" s="76" t="str">
        <f>IF(AND('Mapa final'!$Y$50="Muy Baja",'Mapa final'!$AA$50="Leve"),CONCATENATE("R5C",'Mapa final'!$O$50),"")</f>
        <v/>
      </c>
      <c r="L50" s="76" t="str">
        <f>IF(AND('Mapa final'!$Y$51="Muy Baja",'Mapa final'!$AA$51="Leve"),CONCATENATE("R5C",'Mapa final'!$O$51),"")</f>
        <v/>
      </c>
      <c r="M50" s="76" t="str">
        <f>IF(AND('Mapa final'!$Y$52="Muy Baja",'Mapa final'!$AA$52="Leve"),CONCATENATE("R5C",'Mapa final'!$O$52),"")</f>
        <v/>
      </c>
      <c r="N50" s="76" t="str">
        <f>IF(AND('Mapa final'!$Y$53="Muy Baja",'Mapa final'!$AA$53="Leve"),CONCATENATE("R5C",'Mapa final'!$O$53),"")</f>
        <v/>
      </c>
      <c r="O50" s="77" t="str">
        <f>IF(AND('Mapa final'!$Y$54="Muy Baja",'Mapa final'!$AA$54="Leve"),CONCATENATE("R5C",'Mapa final'!$O$54),"")</f>
        <v/>
      </c>
      <c r="P50" s="75" t="str">
        <f>IF(AND('Mapa final'!$Y$49="Muy Baja",'Mapa final'!$AA$49="Menor"),CONCATENATE("R5C",'Mapa final'!$O$49),"")</f>
        <v/>
      </c>
      <c r="Q50" s="76" t="str">
        <f>IF(AND('Mapa final'!$Y$50="Muy Baja",'Mapa final'!$AA$50="Menor"),CONCATENATE("R5C",'Mapa final'!$O$50),"")</f>
        <v/>
      </c>
      <c r="R50" s="76" t="str">
        <f>IF(AND('Mapa final'!$Y$51="Muy Baja",'Mapa final'!$AA$51="Menor"),CONCATENATE("R5C",'Mapa final'!$O$51),"")</f>
        <v/>
      </c>
      <c r="S50" s="76" t="str">
        <f>IF(AND('Mapa final'!$Y$52="Muy Baja",'Mapa final'!$AA$52="Menor"),CONCATENATE("R5C",'Mapa final'!$O$52),"")</f>
        <v/>
      </c>
      <c r="T50" s="76" t="str">
        <f>IF(AND('Mapa final'!$Y$53="Muy Baja",'Mapa final'!$AA$53="Menor"),CONCATENATE("R5C",'Mapa final'!$O$53),"")</f>
        <v/>
      </c>
      <c r="U50" s="77" t="str">
        <f>IF(AND('Mapa final'!$Y$54="Muy Baja",'Mapa final'!$AA$54="Menor"),CONCATENATE("R5C",'Mapa final'!$O$54),"")</f>
        <v/>
      </c>
      <c r="V50" s="66" t="str">
        <f>IF(AND('Mapa final'!$Y$49="Muy Baja",'Mapa final'!$AA$49="Moderado"),CONCATENATE("R5C",'Mapa final'!$O$49),"")</f>
        <v/>
      </c>
      <c r="W50" s="67" t="str">
        <f>IF(AND('Mapa final'!$Y$50="Muy Baja",'Mapa final'!$AA$50="Moderado"),CONCATENATE("R5C",'Mapa final'!$O$50),"")</f>
        <v/>
      </c>
      <c r="X50" s="67" t="str">
        <f>IF(AND('Mapa final'!$Y$51="Muy Baja",'Mapa final'!$AA$51="Moderado"),CONCATENATE("R5C",'Mapa final'!$O$51),"")</f>
        <v/>
      </c>
      <c r="Y50" s="67" t="str">
        <f>IF(AND('Mapa final'!$Y$52="Muy Baja",'Mapa final'!$AA$52="Moderado"),CONCATENATE("R5C",'Mapa final'!$O$52),"")</f>
        <v/>
      </c>
      <c r="Z50" s="67" t="str">
        <f>IF(AND('Mapa final'!$Y$53="Muy Baja",'Mapa final'!$AA$53="Moderado"),CONCATENATE("R5C",'Mapa final'!$O$53),"")</f>
        <v/>
      </c>
      <c r="AA50" s="68" t="str">
        <f>IF(AND('Mapa final'!$Y$54="Muy Baja",'Mapa final'!$AA$54="Moderado"),CONCATENATE("R5C",'Mapa final'!$O$54),"")</f>
        <v/>
      </c>
      <c r="AB50" s="51" t="str">
        <f>IF(AND('Mapa final'!$Y$49="Muy Baja",'Mapa final'!$AA$49="Mayor"),CONCATENATE("R5C",'Mapa final'!$O$49),"")</f>
        <v/>
      </c>
      <c r="AC50" s="52" t="str">
        <f>IF(AND('Mapa final'!$Y$50="Muy Baja",'Mapa final'!$AA$50="Mayor"),CONCATENATE("R5C",'Mapa final'!$O$50),"")</f>
        <v/>
      </c>
      <c r="AD50" s="52" t="str">
        <f>IF(AND('Mapa final'!$Y$51="Muy Baja",'Mapa final'!$AA$51="Mayor"),CONCATENATE("R5C",'Mapa final'!$O$51),"")</f>
        <v/>
      </c>
      <c r="AE50" s="52" t="str">
        <f>IF(AND('Mapa final'!$Y$52="Muy Baja",'Mapa final'!$AA$52="Mayor"),CONCATENATE("R5C",'Mapa final'!$O$52),"")</f>
        <v/>
      </c>
      <c r="AF50" s="52" t="str">
        <f>IF(AND('Mapa final'!$Y$53="Muy Baja",'Mapa final'!$AA$53="Mayor"),CONCATENATE("R5C",'Mapa final'!$O$53),"")</f>
        <v/>
      </c>
      <c r="AG50" s="53" t="str">
        <f>IF(AND('Mapa final'!$Y$54="Muy Baja",'Mapa final'!$AA$54="Mayor"),CONCATENATE("R5C",'Mapa final'!$O$54),"")</f>
        <v/>
      </c>
      <c r="AH50" s="54" t="str">
        <f>IF(AND('Mapa final'!$Y$49="Muy Baja",'Mapa final'!$AA$49="Catastrófico"),CONCATENATE("R5C",'Mapa final'!$O$49),"")</f>
        <v/>
      </c>
      <c r="AI50" s="55" t="str">
        <f>IF(AND('Mapa final'!$Y$50="Muy Baja",'Mapa final'!$AA$50="Catastrófico"),CONCATENATE("R5C",'Mapa final'!$O$50),"")</f>
        <v/>
      </c>
      <c r="AJ50" s="55" t="str">
        <f>IF(AND('Mapa final'!$Y$51="Muy Baja",'Mapa final'!$AA$51="Catastrófico"),CONCATENATE("R5C",'Mapa final'!$O$51),"")</f>
        <v/>
      </c>
      <c r="AK50" s="55" t="str">
        <f>IF(AND('Mapa final'!$Y$52="Muy Baja",'Mapa final'!$AA$52="Catastrófico"),CONCATENATE("R5C",'Mapa final'!$O$52),"")</f>
        <v/>
      </c>
      <c r="AL50" s="55" t="str">
        <f>IF(AND('Mapa final'!$Y$53="Muy Baja",'Mapa final'!$AA$53="Catastrófico"),CONCATENATE("R5C",'Mapa final'!$O$53),"")</f>
        <v/>
      </c>
      <c r="AM50" s="56" t="str">
        <f>IF(AND('Mapa final'!$Y$54="Muy Baja",'Mapa final'!$AA$54="Catastrófico"),CONCATENATE("R5C",'Mapa final'!$O$54),"")</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360"/>
      <c r="C51" s="360"/>
      <c r="D51" s="361"/>
      <c r="E51" s="459"/>
      <c r="F51" s="458"/>
      <c r="G51" s="458"/>
      <c r="H51" s="458"/>
      <c r="I51" s="474"/>
      <c r="J51" s="75" t="str">
        <f>IF(AND('Mapa final'!$Y$55="Muy Baja",'Mapa final'!$AA$55="Leve"),CONCATENATE("R6C",'Mapa final'!$O$55),"")</f>
        <v/>
      </c>
      <c r="K51" s="76" t="str">
        <f>IF(AND('Mapa final'!$Y$56="Muy Baja",'Mapa final'!$AA$56="Leve"),CONCATENATE("R6C",'Mapa final'!$O$56),"")</f>
        <v/>
      </c>
      <c r="L51" s="76" t="str">
        <f>IF(AND('Mapa final'!$Y$57="Muy Baja",'Mapa final'!$AA$57="Leve"),CONCATENATE("R6C",'Mapa final'!$O$57),"")</f>
        <v/>
      </c>
      <c r="M51" s="76" t="str">
        <f>IF(AND('Mapa final'!$Y$58="Muy Baja",'Mapa final'!$AA$58="Leve"),CONCATENATE("R6C",'Mapa final'!$O$58),"")</f>
        <v/>
      </c>
      <c r="N51" s="76" t="str">
        <f>IF(AND('Mapa final'!$Y$59="Muy Baja",'Mapa final'!$AA$59="Leve"),CONCATENATE("R6C",'Mapa final'!$O$59),"")</f>
        <v/>
      </c>
      <c r="O51" s="77" t="str">
        <f>IF(AND('Mapa final'!$Y$60="Muy Baja",'Mapa final'!$AA$60="Leve"),CONCATENATE("R6C",'Mapa final'!$O$60),"")</f>
        <v/>
      </c>
      <c r="P51" s="75" t="str">
        <f>IF(AND('Mapa final'!$Y$55="Muy Baja",'Mapa final'!$AA$55="Menor"),CONCATENATE("R6C",'Mapa final'!$O$55),"")</f>
        <v/>
      </c>
      <c r="Q51" s="76" t="str">
        <f>IF(AND('Mapa final'!$Y$56="Muy Baja",'Mapa final'!$AA$56="Menor"),CONCATENATE("R6C",'Mapa final'!$O$56),"")</f>
        <v/>
      </c>
      <c r="R51" s="76" t="str">
        <f>IF(AND('Mapa final'!$Y$57="Muy Baja",'Mapa final'!$AA$57="Menor"),CONCATENATE("R6C",'Mapa final'!$O$57),"")</f>
        <v/>
      </c>
      <c r="S51" s="76" t="str">
        <f>IF(AND('Mapa final'!$Y$58="Muy Baja",'Mapa final'!$AA$58="Menor"),CONCATENATE("R6C",'Mapa final'!$O$58),"")</f>
        <v/>
      </c>
      <c r="T51" s="76" t="str">
        <f>IF(AND('Mapa final'!$Y$59="Muy Baja",'Mapa final'!$AA$59="Menor"),CONCATENATE("R6C",'Mapa final'!$O$59),"")</f>
        <v/>
      </c>
      <c r="U51" s="77" t="str">
        <f>IF(AND('Mapa final'!$Y$60="Muy Baja",'Mapa final'!$AA$60="Menor"),CONCATENATE("R6C",'Mapa final'!$O$60),"")</f>
        <v/>
      </c>
      <c r="V51" s="66" t="str">
        <f>IF(AND('Mapa final'!$Y$55="Muy Baja",'Mapa final'!$AA$55="Moderado"),CONCATENATE("R6C",'Mapa final'!$O$55),"")</f>
        <v/>
      </c>
      <c r="W51" s="67" t="str">
        <f>IF(AND('Mapa final'!$Y$56="Muy Baja",'Mapa final'!$AA$56="Moderado"),CONCATENATE("R6C",'Mapa final'!$O$56),"")</f>
        <v/>
      </c>
      <c r="X51" s="67" t="str">
        <f>IF(AND('Mapa final'!$Y$57="Muy Baja",'Mapa final'!$AA$57="Moderado"),CONCATENATE("R6C",'Mapa final'!$O$57),"")</f>
        <v/>
      </c>
      <c r="Y51" s="67" t="str">
        <f>IF(AND('Mapa final'!$Y$58="Muy Baja",'Mapa final'!$AA$58="Moderado"),CONCATENATE("R6C",'Mapa final'!$O$58),"")</f>
        <v/>
      </c>
      <c r="Z51" s="67" t="str">
        <f>IF(AND('Mapa final'!$Y$59="Muy Baja",'Mapa final'!$AA$59="Moderado"),CONCATENATE("R6C",'Mapa final'!$O$59),"")</f>
        <v/>
      </c>
      <c r="AA51" s="68" t="str">
        <f>IF(AND('Mapa final'!$Y$60="Muy Baja",'Mapa final'!$AA$60="Moderado"),CONCATENATE("R6C",'Mapa final'!$O$60),"")</f>
        <v/>
      </c>
      <c r="AB51" s="51" t="str">
        <f>IF(AND('Mapa final'!$Y$55="Muy Baja",'Mapa final'!$AA$55="Mayor"),CONCATENATE("R6C",'Mapa final'!$O$55),"")</f>
        <v/>
      </c>
      <c r="AC51" s="52" t="str">
        <f>IF(AND('Mapa final'!$Y$56="Muy Baja",'Mapa final'!$AA$56="Mayor"),CONCATENATE("R6C",'Mapa final'!$O$56),"")</f>
        <v/>
      </c>
      <c r="AD51" s="52" t="str">
        <f>IF(AND('Mapa final'!$Y$57="Muy Baja",'Mapa final'!$AA$57="Mayor"),CONCATENATE("R6C",'Mapa final'!$O$57),"")</f>
        <v/>
      </c>
      <c r="AE51" s="52" t="str">
        <f>IF(AND('Mapa final'!$Y$58="Muy Baja",'Mapa final'!$AA$58="Mayor"),CONCATENATE("R6C",'Mapa final'!$O$58),"")</f>
        <v/>
      </c>
      <c r="AF51" s="52" t="str">
        <f>IF(AND('Mapa final'!$Y$59="Muy Baja",'Mapa final'!$AA$59="Mayor"),CONCATENATE("R6C",'Mapa final'!$O$59),"")</f>
        <v/>
      </c>
      <c r="AG51" s="53" t="str">
        <f>IF(AND('Mapa final'!$Y$60="Muy Baja",'Mapa final'!$AA$60="Mayor"),CONCATENATE("R6C",'Mapa final'!$O$60),"")</f>
        <v/>
      </c>
      <c r="AH51" s="54" t="str">
        <f>IF(AND('Mapa final'!$Y$55="Muy Baja",'Mapa final'!$AA$55="Catastrófico"),CONCATENATE("R6C",'Mapa final'!$O$55),"")</f>
        <v/>
      </c>
      <c r="AI51" s="55" t="str">
        <f>IF(AND('Mapa final'!$Y$56="Muy Baja",'Mapa final'!$AA$56="Catastrófico"),CONCATENATE("R6C",'Mapa final'!$O$56),"")</f>
        <v/>
      </c>
      <c r="AJ51" s="55" t="str">
        <f>IF(AND('Mapa final'!$Y$57="Muy Baja",'Mapa final'!$AA$57="Catastrófico"),CONCATENATE("R6C",'Mapa final'!$O$57),"")</f>
        <v/>
      </c>
      <c r="AK51" s="55" t="str">
        <f>IF(AND('Mapa final'!$Y$58="Muy Baja",'Mapa final'!$AA$58="Catastrófico"),CONCATENATE("R6C",'Mapa final'!$O$58),"")</f>
        <v/>
      </c>
      <c r="AL51" s="55" t="str">
        <f>IF(AND('Mapa final'!$Y$59="Muy Baja",'Mapa final'!$AA$59="Catastrófico"),CONCATENATE("R6C",'Mapa final'!$O$59),"")</f>
        <v/>
      </c>
      <c r="AM51" s="56" t="str">
        <f>IF(AND('Mapa final'!$Y$60="Muy Baja",'Mapa final'!$AA$60="Catastrófico"),CONCATENATE("R6C",'Mapa final'!$O$60),"")</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360"/>
      <c r="C52" s="360"/>
      <c r="D52" s="361"/>
      <c r="E52" s="459"/>
      <c r="F52" s="458"/>
      <c r="G52" s="458"/>
      <c r="H52" s="458"/>
      <c r="I52" s="474"/>
      <c r="J52" s="75" t="str">
        <f>IF(AND('Mapa final'!$Y$61="Muy Baja",'Mapa final'!$AA$61="Leve"),CONCATENATE("R7C",'Mapa final'!$O$61),"")</f>
        <v/>
      </c>
      <c r="K52" s="76" t="str">
        <f>IF(AND('Mapa final'!$Y$62="Muy Baja",'Mapa final'!$AA$62="Leve"),CONCATENATE("R7C",'Mapa final'!$O$62),"")</f>
        <v/>
      </c>
      <c r="L52" s="76" t="str">
        <f>IF(AND('Mapa final'!$Y$63="Muy Baja",'Mapa final'!$AA$63="Leve"),CONCATENATE("R7C",'Mapa final'!$O$63),"")</f>
        <v/>
      </c>
      <c r="M52" s="76" t="str">
        <f>IF(AND('Mapa final'!$Y$64="Muy Baja",'Mapa final'!$AA$64="Leve"),CONCATENATE("R7C",'Mapa final'!$O$64),"")</f>
        <v/>
      </c>
      <c r="N52" s="76" t="str">
        <f>IF(AND('Mapa final'!$Y$65="Muy Baja",'Mapa final'!$AA$65="Leve"),CONCATENATE("R7C",'Mapa final'!$O$65),"")</f>
        <v/>
      </c>
      <c r="O52" s="77" t="str">
        <f>IF(AND('Mapa final'!$Y$66="Muy Baja",'Mapa final'!$AA$66="Leve"),CONCATENATE("R7C",'Mapa final'!$O$66),"")</f>
        <v/>
      </c>
      <c r="P52" s="75" t="str">
        <f>IF(AND('Mapa final'!$Y$61="Muy Baja",'Mapa final'!$AA$61="Menor"),CONCATENATE("R7C",'Mapa final'!$O$61),"")</f>
        <v/>
      </c>
      <c r="Q52" s="76" t="str">
        <f>IF(AND('Mapa final'!$Y$62="Muy Baja",'Mapa final'!$AA$62="Menor"),CONCATENATE("R7C",'Mapa final'!$O$62),"")</f>
        <v/>
      </c>
      <c r="R52" s="76" t="str">
        <f>IF(AND('Mapa final'!$Y$63="Muy Baja",'Mapa final'!$AA$63="Menor"),CONCATENATE("R7C",'Mapa final'!$O$63),"")</f>
        <v/>
      </c>
      <c r="S52" s="76" t="str">
        <f>IF(AND('Mapa final'!$Y$64="Muy Baja",'Mapa final'!$AA$64="Menor"),CONCATENATE("R7C",'Mapa final'!$O$64),"")</f>
        <v/>
      </c>
      <c r="T52" s="76" t="str">
        <f>IF(AND('Mapa final'!$Y$65="Muy Baja",'Mapa final'!$AA$65="Menor"),CONCATENATE("R7C",'Mapa final'!$O$65),"")</f>
        <v/>
      </c>
      <c r="U52" s="77" t="str">
        <f>IF(AND('Mapa final'!$Y$66="Muy Baja",'Mapa final'!$AA$66="Menor"),CONCATENATE("R7C",'Mapa final'!$O$66),"")</f>
        <v/>
      </c>
      <c r="V52" s="66" t="str">
        <f>IF(AND('Mapa final'!$Y$61="Muy Baja",'Mapa final'!$AA$61="Moderado"),CONCATENATE("R7C",'Mapa final'!$O$61),"")</f>
        <v/>
      </c>
      <c r="W52" s="67" t="str">
        <f>IF(AND('Mapa final'!$Y$62="Muy Baja",'Mapa final'!$AA$62="Moderado"),CONCATENATE("R7C",'Mapa final'!$O$62),"")</f>
        <v/>
      </c>
      <c r="X52" s="67" t="str">
        <f>IF(AND('Mapa final'!$Y$63="Muy Baja",'Mapa final'!$AA$63="Moderado"),CONCATENATE("R7C",'Mapa final'!$O$63),"")</f>
        <v/>
      </c>
      <c r="Y52" s="67" t="str">
        <f>IF(AND('Mapa final'!$Y$64="Muy Baja",'Mapa final'!$AA$64="Moderado"),CONCATENATE("R7C",'Mapa final'!$O$64),"")</f>
        <v/>
      </c>
      <c r="Z52" s="67" t="str">
        <f>IF(AND('Mapa final'!$Y$65="Muy Baja",'Mapa final'!$AA$65="Moderado"),CONCATENATE("R7C",'Mapa final'!$O$65),"")</f>
        <v/>
      </c>
      <c r="AA52" s="68" t="str">
        <f>IF(AND('Mapa final'!$Y$66="Muy Baja",'Mapa final'!$AA$66="Moderado"),CONCATENATE("R7C",'Mapa final'!$O$66),"")</f>
        <v/>
      </c>
      <c r="AB52" s="51" t="str">
        <f>IF(AND('Mapa final'!$Y$61="Muy Baja",'Mapa final'!$AA$61="Mayor"),CONCATENATE("R7C",'Mapa final'!$O$61),"")</f>
        <v/>
      </c>
      <c r="AC52" s="52" t="str">
        <f>IF(AND('Mapa final'!$Y$62="Muy Baja",'Mapa final'!$AA$62="Mayor"),CONCATENATE("R7C",'Mapa final'!$O$62),"")</f>
        <v/>
      </c>
      <c r="AD52" s="52" t="str">
        <f>IF(AND('Mapa final'!$Y$63="Muy Baja",'Mapa final'!$AA$63="Mayor"),CONCATENATE("R7C",'Mapa final'!$O$63),"")</f>
        <v/>
      </c>
      <c r="AE52" s="52" t="str">
        <f>IF(AND('Mapa final'!$Y$64="Muy Baja",'Mapa final'!$AA$64="Mayor"),CONCATENATE("R7C",'Mapa final'!$O$64),"")</f>
        <v/>
      </c>
      <c r="AF52" s="52" t="str">
        <f>IF(AND('Mapa final'!$Y$65="Muy Baja",'Mapa final'!$AA$65="Mayor"),CONCATENATE("R7C",'Mapa final'!$O$65),"")</f>
        <v/>
      </c>
      <c r="AG52" s="53" t="str">
        <f>IF(AND('Mapa final'!$Y$66="Muy Baja",'Mapa final'!$AA$66="Mayor"),CONCATENATE("R7C",'Mapa final'!$O$66),"")</f>
        <v/>
      </c>
      <c r="AH52" s="54" t="str">
        <f>IF(AND('Mapa final'!$Y$61="Muy Baja",'Mapa final'!$AA$61="Catastrófico"),CONCATENATE("R7C",'Mapa final'!$O$61),"")</f>
        <v/>
      </c>
      <c r="AI52" s="55" t="str">
        <f>IF(AND('Mapa final'!$Y$62="Muy Baja",'Mapa final'!$AA$62="Catastrófico"),CONCATENATE("R7C",'Mapa final'!$O$62),"")</f>
        <v/>
      </c>
      <c r="AJ52" s="55" t="str">
        <f>IF(AND('Mapa final'!$Y$63="Muy Baja",'Mapa final'!$AA$63="Catastrófico"),CONCATENATE("R7C",'Mapa final'!$O$63),"")</f>
        <v/>
      </c>
      <c r="AK52" s="55" t="str">
        <f>IF(AND('Mapa final'!$Y$64="Muy Baja",'Mapa final'!$AA$64="Catastrófico"),CONCATENATE("R7C",'Mapa final'!$O$64),"")</f>
        <v/>
      </c>
      <c r="AL52" s="55" t="str">
        <f>IF(AND('Mapa final'!$Y$65="Muy Baja",'Mapa final'!$AA$65="Catastrófico"),CONCATENATE("R7C",'Mapa final'!$O$65),"")</f>
        <v/>
      </c>
      <c r="AM52" s="56" t="str">
        <f>IF(AND('Mapa final'!$Y$66="Muy Baja",'Mapa final'!$AA$66="Catastrófico"),CONCATENATE("R7C",'Mapa final'!$O$66),"")</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360"/>
      <c r="C53" s="360"/>
      <c r="D53" s="361"/>
      <c r="E53" s="459"/>
      <c r="F53" s="458"/>
      <c r="G53" s="458"/>
      <c r="H53" s="458"/>
      <c r="I53" s="474"/>
      <c r="J53" s="75" t="str">
        <f>IF(AND('Mapa final'!$Y$67="Muy Baja",'Mapa final'!$AA$67="Leve"),CONCATENATE("R8C",'Mapa final'!$O$67),"")</f>
        <v/>
      </c>
      <c r="K53" s="76" t="str">
        <f>IF(AND('Mapa final'!$Y$68="Muy Baja",'Mapa final'!$AA$68="Leve"),CONCATENATE("R8C",'Mapa final'!$O$68),"")</f>
        <v/>
      </c>
      <c r="L53" s="76" t="str">
        <f>IF(AND('Mapa final'!$Y$69="Muy Baja",'Mapa final'!$AA$69="Leve"),CONCATENATE("R8C",'Mapa final'!$O$69),"")</f>
        <v/>
      </c>
      <c r="M53" s="76" t="str">
        <f>IF(AND('Mapa final'!$Y$70="Muy Baja",'Mapa final'!$AA$70="Leve"),CONCATENATE("R8C",'Mapa final'!$O$70),"")</f>
        <v/>
      </c>
      <c r="N53" s="76" t="str">
        <f>IF(AND('Mapa final'!$Y$71="Muy Baja",'Mapa final'!$AA$71="Leve"),CONCATENATE("R8C",'Mapa final'!$O$71),"")</f>
        <v/>
      </c>
      <c r="O53" s="77" t="str">
        <f>IF(AND('Mapa final'!$Y$72="Muy Baja",'Mapa final'!$AA$72="Leve"),CONCATENATE("R8C",'Mapa final'!$O$72),"")</f>
        <v/>
      </c>
      <c r="P53" s="75" t="str">
        <f>IF(AND('Mapa final'!$Y$67="Muy Baja",'Mapa final'!$AA$67="Menor"),CONCATENATE("R8C",'Mapa final'!$O$67),"")</f>
        <v/>
      </c>
      <c r="Q53" s="76" t="str">
        <f>IF(AND('Mapa final'!$Y$68="Muy Baja",'Mapa final'!$AA$68="Menor"),CONCATENATE("R8C",'Mapa final'!$O$68),"")</f>
        <v/>
      </c>
      <c r="R53" s="76" t="str">
        <f>IF(AND('Mapa final'!$Y$69="Muy Baja",'Mapa final'!$AA$69="Menor"),CONCATENATE("R8C",'Mapa final'!$O$69),"")</f>
        <v/>
      </c>
      <c r="S53" s="76" t="str">
        <f>IF(AND('Mapa final'!$Y$70="Muy Baja",'Mapa final'!$AA$70="Menor"),CONCATENATE("R8C",'Mapa final'!$O$70),"")</f>
        <v/>
      </c>
      <c r="T53" s="76" t="str">
        <f>IF(AND('Mapa final'!$Y$71="Muy Baja",'Mapa final'!$AA$71="Menor"),CONCATENATE("R8C",'Mapa final'!$O$71),"")</f>
        <v/>
      </c>
      <c r="U53" s="77" t="str">
        <f>IF(AND('Mapa final'!$Y$72="Muy Baja",'Mapa final'!$AA$72="Menor"),CONCATENATE("R8C",'Mapa final'!$O$72),"")</f>
        <v/>
      </c>
      <c r="V53" s="66" t="str">
        <f>IF(AND('Mapa final'!$Y$67="Muy Baja",'Mapa final'!$AA$67="Moderado"),CONCATENATE("R8C",'Mapa final'!$O$67),"")</f>
        <v/>
      </c>
      <c r="W53" s="67" t="str">
        <f>IF(AND('Mapa final'!$Y$68="Muy Baja",'Mapa final'!$AA$68="Moderado"),CONCATENATE("R8C",'Mapa final'!$O$68),"")</f>
        <v/>
      </c>
      <c r="X53" s="67" t="str">
        <f>IF(AND('Mapa final'!$Y$69="Muy Baja",'Mapa final'!$AA$69="Moderado"),CONCATENATE("R8C",'Mapa final'!$O$69),"")</f>
        <v/>
      </c>
      <c r="Y53" s="67" t="str">
        <f>IF(AND('Mapa final'!$Y$70="Muy Baja",'Mapa final'!$AA$70="Moderado"),CONCATENATE("R8C",'Mapa final'!$O$70),"")</f>
        <v/>
      </c>
      <c r="Z53" s="67" t="str">
        <f>IF(AND('Mapa final'!$Y$71="Muy Baja",'Mapa final'!$AA$71="Moderado"),CONCATENATE("R8C",'Mapa final'!$O$71),"")</f>
        <v/>
      </c>
      <c r="AA53" s="68" t="str">
        <f>IF(AND('Mapa final'!$Y$72="Muy Baja",'Mapa final'!$AA$72="Moderado"),CONCATENATE("R8C",'Mapa final'!$O$72),"")</f>
        <v/>
      </c>
      <c r="AB53" s="51" t="str">
        <f>IF(AND('Mapa final'!$Y$67="Muy Baja",'Mapa final'!$AA$67="Mayor"),CONCATENATE("R8C",'Mapa final'!$O$67),"")</f>
        <v/>
      </c>
      <c r="AC53" s="52" t="str">
        <f>IF(AND('Mapa final'!$Y$68="Muy Baja",'Mapa final'!$AA$68="Mayor"),CONCATENATE("R8C",'Mapa final'!$O$68),"")</f>
        <v/>
      </c>
      <c r="AD53" s="52" t="str">
        <f>IF(AND('Mapa final'!$Y$69="Muy Baja",'Mapa final'!$AA$69="Mayor"),CONCATENATE("R8C",'Mapa final'!$O$69),"")</f>
        <v/>
      </c>
      <c r="AE53" s="52" t="str">
        <f>IF(AND('Mapa final'!$Y$70="Muy Baja",'Mapa final'!$AA$70="Mayor"),CONCATENATE("R8C",'Mapa final'!$O$70),"")</f>
        <v/>
      </c>
      <c r="AF53" s="52" t="str">
        <f>IF(AND('Mapa final'!$Y$71="Muy Baja",'Mapa final'!$AA$71="Mayor"),CONCATENATE("R8C",'Mapa final'!$O$71),"")</f>
        <v/>
      </c>
      <c r="AG53" s="53" t="str">
        <f>IF(AND('Mapa final'!$Y$72="Muy Baja",'Mapa final'!$AA$72="Mayor"),CONCATENATE("R8C",'Mapa final'!$O$72),"")</f>
        <v/>
      </c>
      <c r="AH53" s="54" t="str">
        <f>IF(AND('Mapa final'!$Y$67="Muy Baja",'Mapa final'!$AA$67="Catastrófico"),CONCATENATE("R8C",'Mapa final'!$O$67),"")</f>
        <v/>
      </c>
      <c r="AI53" s="55" t="str">
        <f>IF(AND('Mapa final'!$Y$68="Muy Baja",'Mapa final'!$AA$68="Catastrófico"),CONCATENATE("R8C",'Mapa final'!$O$68),"")</f>
        <v/>
      </c>
      <c r="AJ53" s="55" t="str">
        <f>IF(AND('Mapa final'!$Y$69="Muy Baja",'Mapa final'!$AA$69="Catastrófico"),CONCATENATE("R8C",'Mapa final'!$O$69),"")</f>
        <v/>
      </c>
      <c r="AK53" s="55" t="str">
        <f>IF(AND('Mapa final'!$Y$70="Muy Baja",'Mapa final'!$AA$70="Catastrófico"),CONCATENATE("R8C",'Mapa final'!$O$70),"")</f>
        <v/>
      </c>
      <c r="AL53" s="55" t="str">
        <f>IF(AND('Mapa final'!$Y$71="Muy Baja",'Mapa final'!$AA$71="Catastrófico"),CONCATENATE("R8C",'Mapa final'!$O$71),"")</f>
        <v/>
      </c>
      <c r="AM53" s="56" t="str">
        <f>IF(AND('Mapa final'!$Y$72="Muy Baja",'Mapa final'!$AA$72="Catastrófico"),CONCATENATE("R8C",'Mapa final'!$O$72),"")</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360"/>
      <c r="C54" s="360"/>
      <c r="D54" s="361"/>
      <c r="E54" s="459"/>
      <c r="F54" s="458"/>
      <c r="G54" s="458"/>
      <c r="H54" s="458"/>
      <c r="I54" s="474"/>
      <c r="J54" s="75" t="str">
        <f>IF(AND('Mapa final'!$Y$73="Muy Baja",'Mapa final'!$AA$73="Leve"),CONCATENATE("R9C",'Mapa final'!$O$73),"")</f>
        <v/>
      </c>
      <c r="K54" s="76" t="str">
        <f>IF(AND('Mapa final'!$Y$74="Muy Baja",'Mapa final'!$AA$74="Leve"),CONCATENATE("R9C",'Mapa final'!$O$74),"")</f>
        <v/>
      </c>
      <c r="L54" s="76" t="str">
        <f>IF(AND('Mapa final'!$Y$75="Muy Baja",'Mapa final'!$AA$75="Leve"),CONCATENATE("R9C",'Mapa final'!$O$75),"")</f>
        <v/>
      </c>
      <c r="M54" s="76" t="str">
        <f>IF(AND('Mapa final'!$Y$76="Muy Baja",'Mapa final'!$AA$76="Leve"),CONCATENATE("R9C",'Mapa final'!$O$76),"")</f>
        <v/>
      </c>
      <c r="N54" s="76" t="str">
        <f>IF(AND('Mapa final'!$Y$77="Muy Baja",'Mapa final'!$AA$77="Leve"),CONCATENATE("R9C",'Mapa final'!$O$77),"")</f>
        <v/>
      </c>
      <c r="O54" s="77" t="str">
        <f>IF(AND('Mapa final'!$Y$78="Muy Baja",'Mapa final'!$AA$78="Leve"),CONCATENATE("R9C",'Mapa final'!$O$78),"")</f>
        <v/>
      </c>
      <c r="P54" s="75" t="str">
        <f>IF(AND('Mapa final'!$Y$73="Muy Baja",'Mapa final'!$AA$73="Menor"),CONCATENATE("R9C",'Mapa final'!$O$73),"")</f>
        <v/>
      </c>
      <c r="Q54" s="76" t="str">
        <f>IF(AND('Mapa final'!$Y$74="Muy Baja",'Mapa final'!$AA$74="Menor"),CONCATENATE("R9C",'Mapa final'!$O$74),"")</f>
        <v/>
      </c>
      <c r="R54" s="76" t="str">
        <f>IF(AND('Mapa final'!$Y$75="Muy Baja",'Mapa final'!$AA$75="Menor"),CONCATENATE("R9C",'Mapa final'!$O$75),"")</f>
        <v/>
      </c>
      <c r="S54" s="76" t="str">
        <f>IF(AND('Mapa final'!$Y$76="Muy Baja",'Mapa final'!$AA$76="Menor"),CONCATENATE("R9C",'Mapa final'!$O$76),"")</f>
        <v/>
      </c>
      <c r="T54" s="76" t="str">
        <f>IF(AND('Mapa final'!$Y$77="Muy Baja",'Mapa final'!$AA$77="Menor"),CONCATENATE("R9C",'Mapa final'!$O$77),"")</f>
        <v/>
      </c>
      <c r="U54" s="77" t="str">
        <f>IF(AND('Mapa final'!$Y$78="Muy Baja",'Mapa final'!$AA$78="Menor"),CONCATENATE("R9C",'Mapa final'!$O$78),"")</f>
        <v/>
      </c>
      <c r="V54" s="66" t="str">
        <f>IF(AND('Mapa final'!$Y$73="Muy Baja",'Mapa final'!$AA$73="Moderado"),CONCATENATE("R9C",'Mapa final'!$O$73),"")</f>
        <v/>
      </c>
      <c r="W54" s="67" t="str">
        <f>IF(AND('Mapa final'!$Y$74="Muy Baja",'Mapa final'!$AA$74="Moderado"),CONCATENATE("R9C",'Mapa final'!$O$74),"")</f>
        <v/>
      </c>
      <c r="X54" s="67" t="str">
        <f>IF(AND('Mapa final'!$Y$75="Muy Baja",'Mapa final'!$AA$75="Moderado"),CONCATENATE("R9C",'Mapa final'!$O$75),"")</f>
        <v/>
      </c>
      <c r="Y54" s="67" t="str">
        <f>IF(AND('Mapa final'!$Y$76="Muy Baja",'Mapa final'!$AA$76="Moderado"),CONCATENATE("R9C",'Mapa final'!$O$76),"")</f>
        <v/>
      </c>
      <c r="Z54" s="67" t="str">
        <f>IF(AND('Mapa final'!$Y$77="Muy Baja",'Mapa final'!$AA$77="Moderado"),CONCATENATE("R9C",'Mapa final'!$O$77),"")</f>
        <v/>
      </c>
      <c r="AA54" s="68" t="str">
        <f>IF(AND('Mapa final'!$Y$78="Muy Baja",'Mapa final'!$AA$78="Moderado"),CONCATENATE("R9C",'Mapa final'!$O$78),"")</f>
        <v/>
      </c>
      <c r="AB54" s="51" t="str">
        <f>IF(AND('Mapa final'!$Y$73="Muy Baja",'Mapa final'!$AA$73="Mayor"),CONCATENATE("R9C",'Mapa final'!$O$73),"")</f>
        <v/>
      </c>
      <c r="AC54" s="52" t="str">
        <f>IF(AND('Mapa final'!$Y$74="Muy Baja",'Mapa final'!$AA$74="Mayor"),CONCATENATE("R9C",'Mapa final'!$O$74),"")</f>
        <v/>
      </c>
      <c r="AD54" s="52" t="str">
        <f>IF(AND('Mapa final'!$Y$75="Muy Baja",'Mapa final'!$AA$75="Mayor"),CONCATENATE("R9C",'Mapa final'!$O$75),"")</f>
        <v/>
      </c>
      <c r="AE54" s="52" t="str">
        <f>IF(AND('Mapa final'!$Y$76="Muy Baja",'Mapa final'!$AA$76="Mayor"),CONCATENATE("R9C",'Mapa final'!$O$76),"")</f>
        <v/>
      </c>
      <c r="AF54" s="52" t="str">
        <f>IF(AND('Mapa final'!$Y$77="Muy Baja",'Mapa final'!$AA$77="Mayor"),CONCATENATE("R9C",'Mapa final'!$O$77),"")</f>
        <v/>
      </c>
      <c r="AG54" s="53" t="str">
        <f>IF(AND('Mapa final'!$Y$78="Muy Baja",'Mapa final'!$AA$78="Mayor"),CONCATENATE("R9C",'Mapa final'!$O$78),"")</f>
        <v/>
      </c>
      <c r="AH54" s="54" t="str">
        <f>IF(AND('Mapa final'!$Y$73="Muy Baja",'Mapa final'!$AA$73="Catastrófico"),CONCATENATE("R9C",'Mapa final'!$O$73),"")</f>
        <v/>
      </c>
      <c r="AI54" s="55" t="str">
        <f>IF(AND('Mapa final'!$Y$74="Muy Baja",'Mapa final'!$AA$74="Catastrófico"),CONCATENATE("R9C",'Mapa final'!$O$74),"")</f>
        <v/>
      </c>
      <c r="AJ54" s="55" t="str">
        <f>IF(AND('Mapa final'!$Y$75="Muy Baja",'Mapa final'!$AA$75="Catastrófico"),CONCATENATE("R9C",'Mapa final'!$O$75),"")</f>
        <v/>
      </c>
      <c r="AK54" s="55" t="str">
        <f>IF(AND('Mapa final'!$Y$76="Muy Baja",'Mapa final'!$AA$76="Catastrófico"),CONCATENATE("R9C",'Mapa final'!$O$76),"")</f>
        <v/>
      </c>
      <c r="AL54" s="55" t="str">
        <f>IF(AND('Mapa final'!$Y$77="Muy Baja",'Mapa final'!$AA$77="Catastrófico"),CONCATENATE("R9C",'Mapa final'!$O$77),"")</f>
        <v/>
      </c>
      <c r="AM54" s="56" t="str">
        <f>IF(AND('Mapa final'!$Y$78="Muy Baja",'Mapa final'!$AA$78="Catastrófico"),CONCATENATE("R9C",'Mapa final'!$O$78),"")</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360"/>
      <c r="C55" s="360"/>
      <c r="D55" s="361"/>
      <c r="E55" s="460"/>
      <c r="F55" s="461"/>
      <c r="G55" s="461"/>
      <c r="H55" s="461"/>
      <c r="I55" s="475"/>
      <c r="J55" s="78" t="str">
        <f>IF(AND('Mapa final'!$Y$79="Muy Baja",'Mapa final'!$AA$79="Leve"),CONCATENATE("R10C",'Mapa final'!$O$79),"")</f>
        <v/>
      </c>
      <c r="K55" s="79" t="str">
        <f>IF(AND('Mapa final'!$Y$80="Muy Baja",'Mapa final'!$AA$80="Leve"),CONCATENATE("R10C",'Mapa final'!$O$80),"")</f>
        <v/>
      </c>
      <c r="L55" s="79" t="str">
        <f>IF(AND('Mapa final'!$Y$81="Muy Baja",'Mapa final'!$AA$81="Leve"),CONCATENATE("R10C",'Mapa final'!$O$81),"")</f>
        <v/>
      </c>
      <c r="M55" s="79" t="str">
        <f>IF(AND('Mapa final'!$Y$82="Muy Baja",'Mapa final'!$AA$82="Leve"),CONCATENATE("R10C",'Mapa final'!$O$82),"")</f>
        <v/>
      </c>
      <c r="N55" s="79" t="str">
        <f>IF(AND('Mapa final'!$Y$83="Muy Baja",'Mapa final'!$AA$83="Leve"),CONCATENATE("R10C",'Mapa final'!$O$83),"")</f>
        <v/>
      </c>
      <c r="O55" s="80" t="str">
        <f>IF(AND('Mapa final'!$Y$84="Muy Baja",'Mapa final'!$AA$84="Leve"),CONCATENATE("R10C",'Mapa final'!$O$84),"")</f>
        <v/>
      </c>
      <c r="P55" s="78" t="str">
        <f>IF(AND('Mapa final'!$Y$79="Muy Baja",'Mapa final'!$AA$79="Menor"),CONCATENATE("R10C",'Mapa final'!$O$79),"")</f>
        <v/>
      </c>
      <c r="Q55" s="79" t="str">
        <f>IF(AND('Mapa final'!$Y$80="Muy Baja",'Mapa final'!$AA$80="Menor"),CONCATENATE("R10C",'Mapa final'!$O$80),"")</f>
        <v/>
      </c>
      <c r="R55" s="79" t="str">
        <f>IF(AND('Mapa final'!$Y$81="Muy Baja",'Mapa final'!$AA$81="Menor"),CONCATENATE("R10C",'Mapa final'!$O$81),"")</f>
        <v/>
      </c>
      <c r="S55" s="79" t="str">
        <f>IF(AND('Mapa final'!$Y$82="Muy Baja",'Mapa final'!$AA$82="Menor"),CONCATENATE("R10C",'Mapa final'!$O$82),"")</f>
        <v/>
      </c>
      <c r="T55" s="79" t="str">
        <f>IF(AND('Mapa final'!$Y$83="Muy Baja",'Mapa final'!$AA$83="Menor"),CONCATENATE("R10C",'Mapa final'!$O$83),"")</f>
        <v/>
      </c>
      <c r="U55" s="80" t="str">
        <f>IF(AND('Mapa final'!$Y$84="Muy Baja",'Mapa final'!$AA$84="Menor"),CONCATENATE("R10C",'Mapa final'!$O$84),"")</f>
        <v/>
      </c>
      <c r="V55" s="69" t="str">
        <f>IF(AND('Mapa final'!$Y$79="Muy Baja",'Mapa final'!$AA$79="Moderado"),CONCATENATE("R10C",'Mapa final'!$O$79),"")</f>
        <v/>
      </c>
      <c r="W55" s="70" t="str">
        <f>IF(AND('Mapa final'!$Y$80="Muy Baja",'Mapa final'!$AA$80="Moderado"),CONCATENATE("R10C",'Mapa final'!$O$80),"")</f>
        <v/>
      </c>
      <c r="X55" s="70" t="str">
        <f>IF(AND('Mapa final'!$Y$81="Muy Baja",'Mapa final'!$AA$81="Moderado"),CONCATENATE("R10C",'Mapa final'!$O$81),"")</f>
        <v/>
      </c>
      <c r="Y55" s="70" t="str">
        <f>IF(AND('Mapa final'!$Y$82="Muy Baja",'Mapa final'!$AA$82="Moderado"),CONCATENATE("R10C",'Mapa final'!$O$82),"")</f>
        <v/>
      </c>
      <c r="Z55" s="70" t="str">
        <f>IF(AND('Mapa final'!$Y$83="Muy Baja",'Mapa final'!$AA$83="Moderado"),CONCATENATE("R10C",'Mapa final'!$O$83),"")</f>
        <v/>
      </c>
      <c r="AA55" s="71" t="str">
        <f>IF(AND('Mapa final'!$Y$84="Muy Baja",'Mapa final'!$AA$84="Moderado"),CONCATENATE("R10C",'Mapa final'!$O$84),"")</f>
        <v/>
      </c>
      <c r="AB55" s="57" t="str">
        <f>IF(AND('Mapa final'!$Y$79="Muy Baja",'Mapa final'!$AA$79="Mayor"),CONCATENATE("R10C",'Mapa final'!$O$79),"")</f>
        <v/>
      </c>
      <c r="AC55" s="58" t="str">
        <f>IF(AND('Mapa final'!$Y$80="Muy Baja",'Mapa final'!$AA$80="Mayor"),CONCATENATE("R10C",'Mapa final'!$O$80),"")</f>
        <v/>
      </c>
      <c r="AD55" s="58" t="str">
        <f>IF(AND('Mapa final'!$Y$81="Muy Baja",'Mapa final'!$AA$81="Mayor"),CONCATENATE("R10C",'Mapa final'!$O$81),"")</f>
        <v/>
      </c>
      <c r="AE55" s="58" t="str">
        <f>IF(AND('Mapa final'!$Y$82="Muy Baja",'Mapa final'!$AA$82="Mayor"),CONCATENATE("R10C",'Mapa final'!$O$82),"")</f>
        <v/>
      </c>
      <c r="AF55" s="58" t="str">
        <f>IF(AND('Mapa final'!$Y$83="Muy Baja",'Mapa final'!$AA$83="Mayor"),CONCATENATE("R10C",'Mapa final'!$O$83),"")</f>
        <v/>
      </c>
      <c r="AG55" s="59" t="str">
        <f>IF(AND('Mapa final'!$Y$84="Muy Baja",'Mapa final'!$AA$84="Mayor"),CONCATENATE("R10C",'Mapa final'!$O$84),"")</f>
        <v/>
      </c>
      <c r="AH55" s="60" t="str">
        <f>IF(AND('Mapa final'!$Y$79="Muy Baja",'Mapa final'!$AA$79="Catastrófico"),CONCATENATE("R10C",'Mapa final'!$O$79),"")</f>
        <v/>
      </c>
      <c r="AI55" s="61" t="str">
        <f>IF(AND('Mapa final'!$Y$80="Muy Baja",'Mapa final'!$AA$80="Catastrófico"),CONCATENATE("R10C",'Mapa final'!$O$80),"")</f>
        <v/>
      </c>
      <c r="AJ55" s="61" t="str">
        <f>IF(AND('Mapa final'!$Y$81="Muy Baja",'Mapa final'!$AA$81="Catastrófico"),CONCATENATE("R10C",'Mapa final'!$O$81),"")</f>
        <v/>
      </c>
      <c r="AK55" s="61" t="str">
        <f>IF(AND('Mapa final'!$Y$82="Muy Baja",'Mapa final'!$AA$82="Catastrófico"),CONCATENATE("R10C",'Mapa final'!$O$82),"")</f>
        <v/>
      </c>
      <c r="AL55" s="61" t="str">
        <f>IF(AND('Mapa final'!$Y$83="Muy Baja",'Mapa final'!$AA$83="Catastrófico"),CONCATENATE("R10C",'Mapa final'!$O$83),"")</f>
        <v/>
      </c>
      <c r="AM55" s="62" t="str">
        <f>IF(AND('Mapa final'!$Y$84="Muy Baja",'Mapa final'!$AA$84="Catastrófico"),CONCATENATE("R10C",'Mapa final'!$O$84),"")</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455" t="s">
        <v>157</v>
      </c>
      <c r="K56" s="456"/>
      <c r="L56" s="456"/>
      <c r="M56" s="456"/>
      <c r="N56" s="456"/>
      <c r="O56" s="473"/>
      <c r="P56" s="455" t="s">
        <v>158</v>
      </c>
      <c r="Q56" s="456"/>
      <c r="R56" s="456"/>
      <c r="S56" s="456"/>
      <c r="T56" s="456"/>
      <c r="U56" s="473"/>
      <c r="V56" s="455" t="s">
        <v>159</v>
      </c>
      <c r="W56" s="456"/>
      <c r="X56" s="456"/>
      <c r="Y56" s="456"/>
      <c r="Z56" s="456"/>
      <c r="AA56" s="473"/>
      <c r="AB56" s="455" t="s">
        <v>160</v>
      </c>
      <c r="AC56" s="494"/>
      <c r="AD56" s="456"/>
      <c r="AE56" s="456"/>
      <c r="AF56" s="456"/>
      <c r="AG56" s="473"/>
      <c r="AH56" s="455" t="s">
        <v>161</v>
      </c>
      <c r="AI56" s="456"/>
      <c r="AJ56" s="456"/>
      <c r="AK56" s="456"/>
      <c r="AL56" s="456"/>
      <c r="AM56" s="473"/>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459"/>
      <c r="K57" s="458"/>
      <c r="L57" s="458"/>
      <c r="M57" s="458"/>
      <c r="N57" s="458"/>
      <c r="O57" s="474"/>
      <c r="P57" s="459"/>
      <c r="Q57" s="458"/>
      <c r="R57" s="458"/>
      <c r="S57" s="458"/>
      <c r="T57" s="458"/>
      <c r="U57" s="474"/>
      <c r="V57" s="459"/>
      <c r="W57" s="458"/>
      <c r="X57" s="458"/>
      <c r="Y57" s="458"/>
      <c r="Z57" s="458"/>
      <c r="AA57" s="474"/>
      <c r="AB57" s="459"/>
      <c r="AC57" s="458"/>
      <c r="AD57" s="458"/>
      <c r="AE57" s="458"/>
      <c r="AF57" s="458"/>
      <c r="AG57" s="474"/>
      <c r="AH57" s="459"/>
      <c r="AI57" s="458"/>
      <c r="AJ57" s="458"/>
      <c r="AK57" s="458"/>
      <c r="AL57" s="458"/>
      <c r="AM57" s="474"/>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459"/>
      <c r="K58" s="458"/>
      <c r="L58" s="458"/>
      <c r="M58" s="458"/>
      <c r="N58" s="458"/>
      <c r="O58" s="474"/>
      <c r="P58" s="459"/>
      <c r="Q58" s="458"/>
      <c r="R58" s="458"/>
      <c r="S58" s="458"/>
      <c r="T58" s="458"/>
      <c r="U58" s="474"/>
      <c r="V58" s="459"/>
      <c r="W58" s="458"/>
      <c r="X58" s="458"/>
      <c r="Y58" s="458"/>
      <c r="Z58" s="458"/>
      <c r="AA58" s="474"/>
      <c r="AB58" s="459"/>
      <c r="AC58" s="458"/>
      <c r="AD58" s="458"/>
      <c r="AE58" s="458"/>
      <c r="AF58" s="458"/>
      <c r="AG58" s="474"/>
      <c r="AH58" s="459"/>
      <c r="AI58" s="458"/>
      <c r="AJ58" s="458"/>
      <c r="AK58" s="458"/>
      <c r="AL58" s="458"/>
      <c r="AM58" s="474"/>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459"/>
      <c r="K59" s="458"/>
      <c r="L59" s="458"/>
      <c r="M59" s="458"/>
      <c r="N59" s="458"/>
      <c r="O59" s="474"/>
      <c r="P59" s="459"/>
      <c r="Q59" s="458"/>
      <c r="R59" s="458"/>
      <c r="S59" s="458"/>
      <c r="T59" s="458"/>
      <c r="U59" s="474"/>
      <c r="V59" s="459"/>
      <c r="W59" s="458"/>
      <c r="X59" s="458"/>
      <c r="Y59" s="458"/>
      <c r="Z59" s="458"/>
      <c r="AA59" s="474"/>
      <c r="AB59" s="459"/>
      <c r="AC59" s="458"/>
      <c r="AD59" s="458"/>
      <c r="AE59" s="458"/>
      <c r="AF59" s="458"/>
      <c r="AG59" s="474"/>
      <c r="AH59" s="459"/>
      <c r="AI59" s="458"/>
      <c r="AJ59" s="458"/>
      <c r="AK59" s="458"/>
      <c r="AL59" s="458"/>
      <c r="AM59" s="474"/>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459"/>
      <c r="K60" s="458"/>
      <c r="L60" s="458"/>
      <c r="M60" s="458"/>
      <c r="N60" s="458"/>
      <c r="O60" s="474"/>
      <c r="P60" s="459"/>
      <c r="Q60" s="458"/>
      <c r="R60" s="458"/>
      <c r="S60" s="458"/>
      <c r="T60" s="458"/>
      <c r="U60" s="474"/>
      <c r="V60" s="459"/>
      <c r="W60" s="458"/>
      <c r="X60" s="458"/>
      <c r="Y60" s="458"/>
      <c r="Z60" s="458"/>
      <c r="AA60" s="474"/>
      <c r="AB60" s="459"/>
      <c r="AC60" s="458"/>
      <c r="AD60" s="458"/>
      <c r="AE60" s="458"/>
      <c r="AF60" s="458"/>
      <c r="AG60" s="474"/>
      <c r="AH60" s="459"/>
      <c r="AI60" s="458"/>
      <c r="AJ60" s="458"/>
      <c r="AK60" s="458"/>
      <c r="AL60" s="458"/>
      <c r="AM60" s="474"/>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460"/>
      <c r="K61" s="461"/>
      <c r="L61" s="461"/>
      <c r="M61" s="461"/>
      <c r="N61" s="461"/>
      <c r="O61" s="475"/>
      <c r="P61" s="460"/>
      <c r="Q61" s="461"/>
      <c r="R61" s="461"/>
      <c r="S61" s="461"/>
      <c r="T61" s="461"/>
      <c r="U61" s="475"/>
      <c r="V61" s="460"/>
      <c r="W61" s="461"/>
      <c r="X61" s="461"/>
      <c r="Y61" s="461"/>
      <c r="Z61" s="461"/>
      <c r="AA61" s="475"/>
      <c r="AB61" s="460"/>
      <c r="AC61" s="461"/>
      <c r="AD61" s="461"/>
      <c r="AE61" s="461"/>
      <c r="AF61" s="461"/>
      <c r="AG61" s="475"/>
      <c r="AH61" s="460"/>
      <c r="AI61" s="461"/>
      <c r="AJ61" s="461"/>
      <c r="AK61" s="461"/>
      <c r="AL61" s="461"/>
      <c r="AM61" s="475"/>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2"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2"/>
      <c r="B1" s="495" t="s">
        <v>163</v>
      </c>
      <c r="C1" s="495"/>
      <c r="D1" s="495"/>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164</v>
      </c>
      <c r="D3" s="11" t="s">
        <v>147</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165</v>
      </c>
      <c r="C4" s="13" t="s">
        <v>166</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167</v>
      </c>
      <c r="C5" s="16" t="s">
        <v>168</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169</v>
      </c>
      <c r="C6" s="16" t="s">
        <v>170</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171</v>
      </c>
      <c r="C7" s="16" t="s">
        <v>172</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173</v>
      </c>
      <c r="C8" s="16" t="s">
        <v>174</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7" sqref="D7"/>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2"/>
      <c r="B1" s="496" t="s">
        <v>175</v>
      </c>
      <c r="C1" s="496"/>
      <c r="D1" s="496"/>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176</v>
      </c>
      <c r="D3" s="35" t="s">
        <v>177</v>
      </c>
      <c r="E3" s="82"/>
      <c r="F3" s="82"/>
      <c r="G3" s="82"/>
      <c r="H3" s="82"/>
      <c r="I3" s="82"/>
      <c r="J3" s="82"/>
      <c r="K3" s="82"/>
      <c r="L3" s="82"/>
      <c r="M3" s="82"/>
      <c r="N3" s="82"/>
      <c r="O3" s="82"/>
      <c r="P3" s="82"/>
      <c r="Q3" s="82"/>
      <c r="R3" s="82"/>
      <c r="S3" s="82"/>
      <c r="T3" s="82"/>
      <c r="U3" s="82"/>
    </row>
    <row r="4" spans="1:21" ht="33.75" x14ac:dyDescent="0.25">
      <c r="A4" s="102" t="s">
        <v>178</v>
      </c>
      <c r="B4" s="38" t="s">
        <v>179</v>
      </c>
      <c r="C4" s="43" t="s">
        <v>180</v>
      </c>
      <c r="D4" s="36" t="s">
        <v>181</v>
      </c>
      <c r="E4" s="82"/>
      <c r="F4" s="82"/>
      <c r="G4" s="82"/>
      <c r="H4" s="82"/>
      <c r="I4" s="82"/>
      <c r="J4" s="82"/>
      <c r="K4" s="82"/>
      <c r="L4" s="82"/>
      <c r="M4" s="82"/>
      <c r="N4" s="82"/>
      <c r="O4" s="82"/>
      <c r="P4" s="82"/>
      <c r="Q4" s="82"/>
      <c r="R4" s="82"/>
      <c r="S4" s="82"/>
      <c r="T4" s="82"/>
      <c r="U4" s="82"/>
    </row>
    <row r="5" spans="1:21" ht="67.5" x14ac:dyDescent="0.25">
      <c r="A5" s="102" t="s">
        <v>182</v>
      </c>
      <c r="B5" s="39" t="s">
        <v>183</v>
      </c>
      <c r="C5" s="44" t="s">
        <v>184</v>
      </c>
      <c r="D5" s="37" t="s">
        <v>185</v>
      </c>
      <c r="E5" s="82"/>
      <c r="F5" s="82"/>
      <c r="G5" s="82"/>
      <c r="H5" s="82"/>
      <c r="I5" s="82"/>
      <c r="J5" s="82"/>
      <c r="K5" s="82"/>
      <c r="L5" s="82"/>
      <c r="M5" s="82"/>
      <c r="N5" s="82"/>
      <c r="O5" s="82"/>
      <c r="P5" s="82"/>
      <c r="Q5" s="82"/>
      <c r="R5" s="82"/>
      <c r="S5" s="82"/>
      <c r="T5" s="82"/>
      <c r="U5" s="82"/>
    </row>
    <row r="6" spans="1:21" ht="67.5" x14ac:dyDescent="0.25">
      <c r="A6" s="102" t="s">
        <v>153</v>
      </c>
      <c r="B6" s="40" t="s">
        <v>186</v>
      </c>
      <c r="C6" s="44" t="s">
        <v>187</v>
      </c>
      <c r="D6" s="37" t="s">
        <v>188</v>
      </c>
      <c r="E6" s="82"/>
      <c r="F6" s="82"/>
      <c r="G6" s="82"/>
      <c r="H6" s="82"/>
      <c r="I6" s="82"/>
      <c r="J6" s="82"/>
      <c r="K6" s="82"/>
      <c r="L6" s="82"/>
      <c r="M6" s="82"/>
      <c r="N6" s="82"/>
      <c r="O6" s="82"/>
      <c r="P6" s="82"/>
      <c r="Q6" s="82"/>
      <c r="R6" s="82"/>
      <c r="S6" s="82"/>
      <c r="T6" s="82"/>
      <c r="U6" s="82"/>
    </row>
    <row r="7" spans="1:21" ht="101.25" x14ac:dyDescent="0.25">
      <c r="A7" s="102" t="s">
        <v>189</v>
      </c>
      <c r="B7" s="41" t="s">
        <v>190</v>
      </c>
      <c r="C7" s="44" t="s">
        <v>191</v>
      </c>
      <c r="D7" s="37" t="s">
        <v>192</v>
      </c>
      <c r="E7" s="82"/>
      <c r="F7" s="82"/>
      <c r="G7" s="82"/>
      <c r="H7" s="82"/>
      <c r="I7" s="82"/>
      <c r="J7" s="82"/>
      <c r="K7" s="82"/>
      <c r="L7" s="82"/>
      <c r="M7" s="82"/>
      <c r="N7" s="82"/>
      <c r="O7" s="82"/>
      <c r="P7" s="82"/>
      <c r="Q7" s="82"/>
      <c r="R7" s="82"/>
      <c r="S7" s="82"/>
      <c r="T7" s="82"/>
      <c r="U7" s="82"/>
    </row>
    <row r="8" spans="1:21" ht="67.5" x14ac:dyDescent="0.25">
      <c r="A8" s="102" t="s">
        <v>193</v>
      </c>
      <c r="B8" s="42" t="s">
        <v>194</v>
      </c>
      <c r="C8" s="44" t="s">
        <v>195</v>
      </c>
      <c r="D8" s="37" t="s">
        <v>196</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197</v>
      </c>
      <c r="C11" s="102" t="s">
        <v>198</v>
      </c>
      <c r="D11" s="102" t="s">
        <v>199</v>
      </c>
      <c r="E11" s="82"/>
      <c r="F11" s="82"/>
      <c r="G11" s="82"/>
      <c r="H11" s="82"/>
      <c r="I11" s="82"/>
      <c r="J11" s="82"/>
      <c r="K11" s="82"/>
      <c r="L11" s="82"/>
      <c r="M11" s="82"/>
      <c r="N11" s="82"/>
      <c r="O11" s="82"/>
      <c r="P11" s="82"/>
      <c r="Q11" s="82"/>
      <c r="R11" s="82"/>
      <c r="S11" s="82"/>
      <c r="T11" s="82"/>
      <c r="U11" s="82"/>
    </row>
    <row r="12" spans="1:21" x14ac:dyDescent="0.25">
      <c r="A12" s="102"/>
      <c r="B12" s="102" t="s">
        <v>200</v>
      </c>
      <c r="C12" s="102" t="s">
        <v>201</v>
      </c>
      <c r="D12" s="102" t="s">
        <v>202</v>
      </c>
      <c r="E12" s="82"/>
      <c r="F12" s="82"/>
      <c r="G12" s="82"/>
      <c r="H12" s="82"/>
      <c r="I12" s="82"/>
      <c r="J12" s="82"/>
      <c r="K12" s="82"/>
      <c r="L12" s="82"/>
      <c r="M12" s="82"/>
      <c r="N12" s="82"/>
      <c r="O12" s="82"/>
      <c r="P12" s="82"/>
      <c r="Q12" s="82"/>
      <c r="R12" s="82"/>
      <c r="S12" s="82"/>
      <c r="T12" s="82"/>
      <c r="U12" s="82"/>
    </row>
    <row r="13" spans="1:21" x14ac:dyDescent="0.25">
      <c r="A13" s="102"/>
      <c r="B13" s="102"/>
      <c r="C13" s="102" t="s">
        <v>203</v>
      </c>
      <c r="D13" s="102" t="s">
        <v>124</v>
      </c>
      <c r="E13" s="82"/>
      <c r="F13" s="82"/>
      <c r="G13" s="82"/>
      <c r="H13" s="82"/>
      <c r="I13" s="82"/>
      <c r="J13" s="82"/>
      <c r="K13" s="82"/>
      <c r="L13" s="82"/>
      <c r="M13" s="82"/>
      <c r="N13" s="82"/>
      <c r="O13" s="82"/>
      <c r="P13" s="82"/>
      <c r="Q13" s="82"/>
      <c r="R13" s="82"/>
      <c r="S13" s="82"/>
      <c r="T13" s="82"/>
      <c r="U13" s="82"/>
    </row>
    <row r="14" spans="1:21" x14ac:dyDescent="0.25">
      <c r="A14" s="102"/>
      <c r="B14" s="102"/>
      <c r="C14" s="102" t="s">
        <v>204</v>
      </c>
      <c r="D14" s="102" t="s">
        <v>137</v>
      </c>
      <c r="E14" s="82"/>
      <c r="F14" s="82"/>
      <c r="G14" s="82"/>
      <c r="H14" s="82"/>
      <c r="I14" s="82"/>
      <c r="J14" s="82"/>
      <c r="K14" s="82"/>
      <c r="L14" s="82"/>
      <c r="M14" s="82"/>
      <c r="N14" s="82"/>
      <c r="O14" s="82"/>
      <c r="P14" s="82"/>
      <c r="Q14" s="82"/>
      <c r="R14" s="82"/>
      <c r="S14" s="82"/>
      <c r="T14" s="82"/>
      <c r="U14" s="82"/>
    </row>
    <row r="15" spans="1:21" x14ac:dyDescent="0.25">
      <c r="A15" s="102"/>
      <c r="B15" s="102"/>
      <c r="C15" s="102" t="s">
        <v>205</v>
      </c>
      <c r="D15" s="102" t="s">
        <v>206</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207</v>
      </c>
      <c r="C209" s="29" t="s">
        <v>208</v>
      </c>
      <c r="D209" s="32" t="s">
        <v>207</v>
      </c>
      <c r="E209" s="32" t="s">
        <v>208</v>
      </c>
    </row>
    <row r="210" spans="1:8" ht="21" x14ac:dyDescent="0.35">
      <c r="A210" s="82"/>
      <c r="B210" s="30" t="s">
        <v>209</v>
      </c>
      <c r="C210" s="30" t="s">
        <v>210</v>
      </c>
      <c r="D210" t="s">
        <v>209</v>
      </c>
      <c r="F210" t="str">
        <f>IF(NOT(ISBLANK(D210)),D210,IF(NOT(ISBLANK(E210)),"     "&amp;E210,FALSE))</f>
        <v>Afectación Económica o presupuestal</v>
      </c>
      <c r="G210" t="s">
        <v>209</v>
      </c>
      <c r="H210" t="str">
        <f>IF(NOT(ISERROR(MATCH(G210,_xlfn.ANCHORARRAY(B221),0))),F223&amp;"Por favor no seleccionar los criterios de impacto",G210)</f>
        <v>❌Por favor no seleccionar los criterios de impacto</v>
      </c>
    </row>
    <row r="211" spans="1:8" ht="21" x14ac:dyDescent="0.35">
      <c r="A211" s="82"/>
      <c r="B211" s="30" t="s">
        <v>209</v>
      </c>
      <c r="C211" s="30" t="s">
        <v>184</v>
      </c>
      <c r="E211" t="s">
        <v>210</v>
      </c>
      <c r="F211" t="str">
        <f t="shared" ref="F211:F221" si="0">IF(NOT(ISBLANK(D211)),D211,IF(NOT(ISBLANK(E211)),"     "&amp;E211,FALSE))</f>
        <v xml:space="preserve">     Afectación menor a 10 SMLMV .</v>
      </c>
    </row>
    <row r="212" spans="1:8" ht="21" x14ac:dyDescent="0.35">
      <c r="A212" s="82"/>
      <c r="B212" s="30" t="s">
        <v>209</v>
      </c>
      <c r="C212" s="30" t="s">
        <v>187</v>
      </c>
      <c r="E212" t="s">
        <v>184</v>
      </c>
      <c r="F212" t="str">
        <f t="shared" si="0"/>
        <v xml:space="preserve">     Entre 10 y 50 SMLMV </v>
      </c>
    </row>
    <row r="213" spans="1:8" ht="21" x14ac:dyDescent="0.35">
      <c r="A213" s="82"/>
      <c r="B213" s="30" t="s">
        <v>209</v>
      </c>
      <c r="C213" s="30" t="s">
        <v>191</v>
      </c>
      <c r="E213" t="s">
        <v>187</v>
      </c>
      <c r="F213" t="str">
        <f t="shared" si="0"/>
        <v xml:space="preserve">     Entre 50 y 100 SMLMV </v>
      </c>
    </row>
    <row r="214" spans="1:8" ht="21" x14ac:dyDescent="0.35">
      <c r="A214" s="82"/>
      <c r="B214" s="30" t="s">
        <v>209</v>
      </c>
      <c r="C214" s="30" t="s">
        <v>195</v>
      </c>
      <c r="E214" t="s">
        <v>191</v>
      </c>
      <c r="F214" t="str">
        <f t="shared" si="0"/>
        <v xml:space="preserve">     Entre 100 y 500 SMLMV </v>
      </c>
    </row>
    <row r="215" spans="1:8" ht="21" x14ac:dyDescent="0.35">
      <c r="A215" s="82"/>
      <c r="B215" s="30" t="s">
        <v>177</v>
      </c>
      <c r="C215" s="30" t="s">
        <v>181</v>
      </c>
      <c r="E215" t="s">
        <v>195</v>
      </c>
      <c r="F215" t="str">
        <f t="shared" si="0"/>
        <v xml:space="preserve">     Mayor a 500 SMLMV </v>
      </c>
    </row>
    <row r="216" spans="1:8" ht="21" x14ac:dyDescent="0.35">
      <c r="A216" s="82"/>
      <c r="B216" s="30" t="s">
        <v>177</v>
      </c>
      <c r="C216" s="30" t="s">
        <v>185</v>
      </c>
      <c r="D216" t="s">
        <v>177</v>
      </c>
      <c r="F216" t="str">
        <f t="shared" si="0"/>
        <v>Pérdida Reputacional</v>
      </c>
    </row>
    <row r="217" spans="1:8" ht="21" x14ac:dyDescent="0.35">
      <c r="A217" s="82"/>
      <c r="B217" s="30" t="s">
        <v>177</v>
      </c>
      <c r="C217" s="30" t="s">
        <v>188</v>
      </c>
      <c r="E217" t="s">
        <v>181</v>
      </c>
      <c r="F217" t="str">
        <f t="shared" si="0"/>
        <v xml:space="preserve">     El riesgo afecta la imagen de alguna área de la organización</v>
      </c>
    </row>
    <row r="218" spans="1:8" ht="21" x14ac:dyDescent="0.35">
      <c r="A218" s="82"/>
      <c r="B218" s="30" t="s">
        <v>177</v>
      </c>
      <c r="C218" s="30" t="s">
        <v>192</v>
      </c>
      <c r="E218" t="s">
        <v>185</v>
      </c>
      <c r="F218" t="str">
        <f t="shared" si="0"/>
        <v xml:space="preserve">     El riesgo afecta la imagen de la entidad internamente, de conocimiento general, nivel interno, de junta dircetiva y accionistas y/o de provedores</v>
      </c>
    </row>
    <row r="219" spans="1:8" ht="21" x14ac:dyDescent="0.35">
      <c r="A219" s="82"/>
      <c r="B219" s="30" t="s">
        <v>177</v>
      </c>
      <c r="C219" s="30" t="s">
        <v>196</v>
      </c>
      <c r="E219" t="s">
        <v>188</v>
      </c>
      <c r="F219" t="str">
        <f t="shared" si="0"/>
        <v xml:space="preserve">     El riesgo afecta la imagen de la entidad con algunos usuarios de relevancia frente al logro de los objetivos</v>
      </c>
    </row>
    <row r="220" spans="1:8" x14ac:dyDescent="0.25">
      <c r="A220" s="82"/>
      <c r="B220" s="31"/>
      <c r="C220" s="31"/>
      <c r="E220" t="s">
        <v>192</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196</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211</v>
      </c>
    </row>
    <row r="224" spans="1:8" x14ac:dyDescent="0.25">
      <c r="B224" s="21"/>
      <c r="C224" s="21"/>
      <c r="F224" s="34" t="s">
        <v>212</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22" sqref="E22"/>
    </sheetView>
  </sheetViews>
  <sheetFormatPr baseColWidth="10" defaultColWidth="14.28515625" defaultRowHeight="12.75" x14ac:dyDescent="0.2"/>
  <cols>
    <col min="1" max="2" width="14.28515625" style="87"/>
    <col min="3" max="3" width="17" style="87" customWidth="1"/>
    <col min="4" max="4" width="14.28515625" style="87"/>
    <col min="5" max="5" width="46" style="87" customWidth="1"/>
    <col min="6" max="16384" width="14.28515625" style="87"/>
  </cols>
  <sheetData>
    <row r="1" spans="2:6" ht="24" customHeight="1" thickBot="1" x14ac:dyDescent="0.25">
      <c r="B1" s="497" t="s">
        <v>213</v>
      </c>
      <c r="C1" s="498"/>
      <c r="D1" s="498"/>
      <c r="E1" s="498"/>
      <c r="F1" s="499"/>
    </row>
    <row r="2" spans="2:6" ht="16.5" thickBot="1" x14ac:dyDescent="0.3">
      <c r="B2" s="88"/>
      <c r="C2" s="88"/>
      <c r="D2" s="88"/>
      <c r="E2" s="88"/>
      <c r="F2" s="88"/>
    </row>
    <row r="3" spans="2:6" ht="16.5" thickBot="1" x14ac:dyDescent="0.25">
      <c r="B3" s="501" t="s">
        <v>214</v>
      </c>
      <c r="C3" s="502"/>
      <c r="D3" s="502"/>
      <c r="E3" s="100" t="s">
        <v>215</v>
      </c>
      <c r="F3" s="101" t="s">
        <v>216</v>
      </c>
    </row>
    <row r="4" spans="2:6" ht="31.5" x14ac:dyDescent="0.2">
      <c r="B4" s="503" t="s">
        <v>217</v>
      </c>
      <c r="C4" s="505" t="s">
        <v>113</v>
      </c>
      <c r="D4" s="89" t="s">
        <v>133</v>
      </c>
      <c r="E4" s="90" t="s">
        <v>218</v>
      </c>
      <c r="F4" s="91">
        <v>0.25</v>
      </c>
    </row>
    <row r="5" spans="2:6" ht="47.25" x14ac:dyDescent="0.2">
      <c r="B5" s="504"/>
      <c r="C5" s="506"/>
      <c r="D5" s="92" t="s">
        <v>126</v>
      </c>
      <c r="E5" s="93" t="s">
        <v>219</v>
      </c>
      <c r="F5" s="94">
        <v>0.15</v>
      </c>
    </row>
    <row r="6" spans="2:6" ht="47.25" x14ac:dyDescent="0.2">
      <c r="B6" s="504"/>
      <c r="C6" s="506"/>
      <c r="D6" s="92" t="s">
        <v>220</v>
      </c>
      <c r="E6" s="93" t="s">
        <v>221</v>
      </c>
      <c r="F6" s="94">
        <v>0.1</v>
      </c>
    </row>
    <row r="7" spans="2:6" ht="63" x14ac:dyDescent="0.2">
      <c r="B7" s="504"/>
      <c r="C7" s="506" t="s">
        <v>114</v>
      </c>
      <c r="D7" s="92" t="s">
        <v>222</v>
      </c>
      <c r="E7" s="93" t="s">
        <v>223</v>
      </c>
      <c r="F7" s="94">
        <v>0.25</v>
      </c>
    </row>
    <row r="8" spans="2:6" ht="31.5" x14ac:dyDescent="0.2">
      <c r="B8" s="504"/>
      <c r="C8" s="506"/>
      <c r="D8" s="92" t="s">
        <v>127</v>
      </c>
      <c r="E8" s="93" t="s">
        <v>224</v>
      </c>
      <c r="F8" s="94">
        <v>0.15</v>
      </c>
    </row>
    <row r="9" spans="2:6" ht="47.25" x14ac:dyDescent="0.2">
      <c r="B9" s="504" t="s">
        <v>225</v>
      </c>
      <c r="C9" s="506" t="s">
        <v>116</v>
      </c>
      <c r="D9" s="92" t="s">
        <v>128</v>
      </c>
      <c r="E9" s="93" t="s">
        <v>226</v>
      </c>
      <c r="F9" s="95" t="s">
        <v>227</v>
      </c>
    </row>
    <row r="10" spans="2:6" ht="63" x14ac:dyDescent="0.2">
      <c r="B10" s="504"/>
      <c r="C10" s="506"/>
      <c r="D10" s="92" t="s">
        <v>228</v>
      </c>
      <c r="E10" s="93" t="s">
        <v>229</v>
      </c>
      <c r="F10" s="95" t="s">
        <v>227</v>
      </c>
    </row>
    <row r="11" spans="2:6" ht="47.25" x14ac:dyDescent="0.2">
      <c r="B11" s="504"/>
      <c r="C11" s="506" t="s">
        <v>117</v>
      </c>
      <c r="D11" s="92" t="s">
        <v>129</v>
      </c>
      <c r="E11" s="93" t="s">
        <v>230</v>
      </c>
      <c r="F11" s="95" t="s">
        <v>227</v>
      </c>
    </row>
    <row r="12" spans="2:6" ht="47.25" x14ac:dyDescent="0.2">
      <c r="B12" s="504"/>
      <c r="C12" s="506"/>
      <c r="D12" s="92" t="s">
        <v>231</v>
      </c>
      <c r="E12" s="93" t="s">
        <v>232</v>
      </c>
      <c r="F12" s="95" t="s">
        <v>227</v>
      </c>
    </row>
    <row r="13" spans="2:6" ht="31.5" x14ac:dyDescent="0.2">
      <c r="B13" s="504"/>
      <c r="C13" s="506" t="s">
        <v>118</v>
      </c>
      <c r="D13" s="92" t="s">
        <v>130</v>
      </c>
      <c r="E13" s="93" t="s">
        <v>233</v>
      </c>
      <c r="F13" s="95" t="s">
        <v>227</v>
      </c>
    </row>
    <row r="14" spans="2:6" ht="32.25" thickBot="1" x14ac:dyDescent="0.25">
      <c r="B14" s="507"/>
      <c r="C14" s="508"/>
      <c r="D14" s="96" t="s">
        <v>234</v>
      </c>
      <c r="E14" s="97" t="s">
        <v>235</v>
      </c>
      <c r="F14" s="98" t="s">
        <v>227</v>
      </c>
    </row>
    <row r="15" spans="2:6" ht="49.5" customHeight="1" x14ac:dyDescent="0.2">
      <c r="B15" s="500" t="s">
        <v>236</v>
      </c>
      <c r="C15" s="500"/>
      <c r="D15" s="500"/>
      <c r="E15" s="500"/>
      <c r="F15" s="500"/>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131</v>
      </c>
      <c r="E2" t="s">
        <v>237</v>
      </c>
    </row>
    <row r="3" spans="2:5" x14ac:dyDescent="0.25">
      <c r="B3" t="s">
        <v>238</v>
      </c>
      <c r="E3" t="s">
        <v>119</v>
      </c>
    </row>
    <row r="4" spans="2:5" x14ac:dyDescent="0.25">
      <c r="B4" t="s">
        <v>239</v>
      </c>
      <c r="E4" t="s">
        <v>140</v>
      </c>
    </row>
    <row r="5" spans="2:5" x14ac:dyDescent="0.25">
      <c r="B5" t="s">
        <v>240</v>
      </c>
    </row>
    <row r="8" spans="2:5" x14ac:dyDescent="0.25">
      <c r="B8" t="s">
        <v>241</v>
      </c>
    </row>
    <row r="9" spans="2:5" x14ac:dyDescent="0.25">
      <c r="B9" t="s">
        <v>242</v>
      </c>
    </row>
    <row r="10" spans="2:5" x14ac:dyDescent="0.25">
      <c r="B10" t="s">
        <v>243</v>
      </c>
    </row>
    <row r="13" spans="2:5" x14ac:dyDescent="0.25">
      <c r="B13" t="s">
        <v>244</v>
      </c>
    </row>
    <row r="14" spans="2:5" x14ac:dyDescent="0.25">
      <c r="B14" t="s">
        <v>123</v>
      </c>
    </row>
    <row r="15" spans="2:5" x14ac:dyDescent="0.25">
      <c r="B15" t="s">
        <v>245</v>
      </c>
    </row>
    <row r="16" spans="2:5" x14ac:dyDescent="0.25">
      <c r="B16" t="s">
        <v>246</v>
      </c>
    </row>
    <row r="17" spans="2:2" x14ac:dyDescent="0.25">
      <c r="B17" t="s">
        <v>247</v>
      </c>
    </row>
    <row r="18" spans="2:2" x14ac:dyDescent="0.25">
      <c r="B18" t="s">
        <v>248</v>
      </c>
    </row>
    <row r="19" spans="2:2" x14ac:dyDescent="0.25">
      <c r="B19" t="s">
        <v>249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Contexto proceso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Luisa Fernanda Ibagon Moreno</cp:lastModifiedBy>
  <cp:revision/>
  <dcterms:created xsi:type="dcterms:W3CDTF">2020-03-24T23:12:47Z</dcterms:created>
  <dcterms:modified xsi:type="dcterms:W3CDTF">2023-10-02T15:43:15Z</dcterms:modified>
  <cp:category/>
  <cp:contentStatus/>
</cp:coreProperties>
</file>