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defaultThemeVersion="124226"/>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3/12. Diciembre/Caso HOLA 1405/"/>
    </mc:Choice>
  </mc:AlternateContent>
  <xr:revisionPtr revIDLastSave="4" documentId="8_{6FAC3817-7A2F-4084-9FA4-807B2E057AC4}" xr6:coauthVersionLast="47" xr6:coauthVersionMax="47" xr10:uidLastSave="{E3D31373-63CC-4654-A453-E2507B919872}"/>
  <bookViews>
    <workbookView xWindow="-120" yWindow="-120" windowWidth="20730" windowHeight="11160" tabRatio="882" activeTab="2" xr2:uid="{00000000-000D-0000-FFFF-FFFF00000000}"/>
  </bookViews>
  <sheets>
    <sheet name="Instructivo" sheetId="20" r:id="rId1"/>
    <sheet name="Contexto proceso" sheetId="21" r:id="rId2"/>
    <sheet name="Mapa final"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 r:id="rId12"/>
    <externalReference r:id="rId13"/>
    <externalReference r:id="rId14"/>
    <externalReference r:id="rId15"/>
  </externalReferences>
  <definedNames>
    <definedName name="_1_SE">#REF!</definedName>
    <definedName name="A">#REF!</definedName>
    <definedName name="AA">#REF!</definedName>
    <definedName name="aaaa">#REF!</definedName>
    <definedName name="accion">#REF!</definedName>
    <definedName name="AGENTE">#REF!</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[3]Hoja4!$F$3:$F$7</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ona">#REF!</definedName>
  </definedNames>
  <calcPr calcId="191029"/>
  <pivotCaches>
    <pivotCache cacheId="0"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5" i="1" l="1"/>
  <c r="Q25" i="1"/>
  <c r="H25" i="1"/>
  <c r="I25" i="1" s="1"/>
  <c r="K66" i="1"/>
  <c r="K63" i="1"/>
  <c r="K61" i="1"/>
  <c r="K35" i="1"/>
  <c r="K73" i="1"/>
  <c r="K29" i="1"/>
  <c r="K33" i="1"/>
  <c r="K53" i="1"/>
  <c r="K64" i="1"/>
  <c r="K58" i="1"/>
  <c r="K34" i="1"/>
  <c r="K42" i="1"/>
  <c r="K52" i="1"/>
  <c r="K39" i="1"/>
  <c r="K67" i="1"/>
  <c r="K51" i="1"/>
  <c r="K60" i="1"/>
  <c r="K43" i="1"/>
  <c r="K69" i="1"/>
  <c r="K54" i="1"/>
  <c r="K70" i="1"/>
  <c r="K41" i="1"/>
  <c r="K45" i="1"/>
  <c r="K59" i="1"/>
  <c r="K36" i="1"/>
  <c r="K37" i="1"/>
  <c r="K46" i="1"/>
  <c r="K40" i="1"/>
  <c r="K71" i="1"/>
  <c r="K31" i="1"/>
  <c r="K72" i="1"/>
  <c r="K57" i="1"/>
  <c r="K47" i="1"/>
  <c r="K55" i="1"/>
  <c r="K65" i="1"/>
  <c r="K48" i="1"/>
  <c r="K49" i="1"/>
  <c r="F221" i="13" l="1"/>
  <c r="F211" i="13"/>
  <c r="F212" i="13"/>
  <c r="F213" i="13"/>
  <c r="F214" i="13"/>
  <c r="F215" i="13"/>
  <c r="F216" i="13"/>
  <c r="F217" i="13"/>
  <c r="F218" i="13"/>
  <c r="F219" i="13"/>
  <c r="F220" i="13"/>
  <c r="F210" i="13"/>
  <c r="K26" i="1"/>
  <c r="K27" i="1"/>
  <c r="B221" i="13" a="1"/>
  <c r="B221" i="13" l="1"/>
  <c r="Q56" i="1"/>
  <c r="Q51" i="1"/>
  <c r="Q45"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73" i="1" l="1"/>
  <c r="Q73" i="1"/>
  <c r="T72" i="1"/>
  <c r="Q72" i="1"/>
  <c r="T71" i="1"/>
  <c r="Q71" i="1"/>
  <c r="T70" i="1"/>
  <c r="Q70" i="1"/>
  <c r="T69" i="1"/>
  <c r="Q69" i="1"/>
  <c r="T68" i="1"/>
  <c r="Q68" i="1"/>
  <c r="AB69" i="1" s="1"/>
  <c r="H68" i="1"/>
  <c r="I68" i="1" s="1"/>
  <c r="T67" i="1"/>
  <c r="Q67" i="1"/>
  <c r="T66" i="1"/>
  <c r="Q66" i="1"/>
  <c r="T65" i="1"/>
  <c r="Q65" i="1"/>
  <c r="T64" i="1"/>
  <c r="Q64" i="1"/>
  <c r="T63" i="1"/>
  <c r="Q63" i="1"/>
  <c r="T62" i="1"/>
  <c r="Q62" i="1"/>
  <c r="H62" i="1"/>
  <c r="I62" i="1" s="1"/>
  <c r="T61" i="1"/>
  <c r="Q61" i="1"/>
  <c r="T60" i="1"/>
  <c r="Q60" i="1"/>
  <c r="T59" i="1"/>
  <c r="Q59" i="1"/>
  <c r="T58" i="1"/>
  <c r="Q58" i="1"/>
  <c r="T57" i="1"/>
  <c r="Q57" i="1"/>
  <c r="AB57" i="1" s="1"/>
  <c r="T56" i="1"/>
  <c r="H56" i="1"/>
  <c r="I56" i="1" s="1"/>
  <c r="T55" i="1"/>
  <c r="Q55" i="1"/>
  <c r="T54" i="1"/>
  <c r="Q54" i="1"/>
  <c r="T53" i="1"/>
  <c r="Q53" i="1"/>
  <c r="T52" i="1"/>
  <c r="Q52" i="1"/>
  <c r="T51" i="1"/>
  <c r="T50" i="1"/>
  <c r="Q50" i="1"/>
  <c r="AB51" i="1" s="1"/>
  <c r="H50" i="1"/>
  <c r="I50" i="1" s="1"/>
  <c r="T49" i="1"/>
  <c r="Q49" i="1"/>
  <c r="T48" i="1"/>
  <c r="Q48" i="1"/>
  <c r="T47" i="1"/>
  <c r="Q47" i="1"/>
  <c r="T46" i="1"/>
  <c r="Q46" i="1"/>
  <c r="T45" i="1"/>
  <c r="T44" i="1"/>
  <c r="Q44" i="1"/>
  <c r="AB45" i="1" s="1"/>
  <c r="H44" i="1"/>
  <c r="I44" i="1" s="1"/>
  <c r="T43" i="1"/>
  <c r="Q43" i="1"/>
  <c r="T42" i="1"/>
  <c r="Q42" i="1"/>
  <c r="T41" i="1"/>
  <c r="Q41" i="1"/>
  <c r="T40" i="1"/>
  <c r="Q40" i="1"/>
  <c r="T39" i="1"/>
  <c r="Q39" i="1"/>
  <c r="T38" i="1"/>
  <c r="Q38" i="1"/>
  <c r="H38" i="1"/>
  <c r="I38" i="1" s="1"/>
  <c r="T37" i="1"/>
  <c r="Q37" i="1"/>
  <c r="T36" i="1"/>
  <c r="Q36" i="1"/>
  <c r="T35" i="1"/>
  <c r="Q35" i="1"/>
  <c r="T34" i="1"/>
  <c r="Q34" i="1"/>
  <c r="T33" i="1"/>
  <c r="Q33" i="1"/>
  <c r="T32" i="1"/>
  <c r="Q32" i="1"/>
  <c r="H32" i="1"/>
  <c r="I32" i="1" s="1"/>
  <c r="T31" i="1"/>
  <c r="Q31" i="1"/>
  <c r="T30" i="1"/>
  <c r="Q30" i="1"/>
  <c r="H30" i="1"/>
  <c r="I30" i="1" s="1"/>
  <c r="H28" i="1"/>
  <c r="T29" i="1"/>
  <c r="Q29" i="1"/>
  <c r="T28" i="1"/>
  <c r="Q28" i="1"/>
  <c r="AB33" i="1" l="1"/>
  <c r="AB39" i="1"/>
  <c r="AB63" i="1"/>
  <c r="AB54" i="1"/>
  <c r="AA54" i="1" s="1"/>
  <c r="AB55" i="1"/>
  <c r="AA55" i="1" s="1"/>
  <c r="I28" i="1"/>
  <c r="X28" i="1" s="1"/>
  <c r="X68" i="1"/>
  <c r="X62" i="1"/>
  <c r="X56" i="1"/>
  <c r="X50" i="1"/>
  <c r="X54" i="1"/>
  <c r="X55" i="1"/>
  <c r="X44" i="1"/>
  <c r="X38" i="1"/>
  <c r="X32" i="1"/>
  <c r="X30" i="1"/>
  <c r="Y68" i="1" l="1"/>
  <c r="Z68" i="1"/>
  <c r="X69" i="1" s="1"/>
  <c r="Y69" i="1" s="1"/>
  <c r="Y62" i="1"/>
  <c r="Z62" i="1"/>
  <c r="X63" i="1" s="1"/>
  <c r="Z63" i="1" s="1"/>
  <c r="X64" i="1" s="1"/>
  <c r="Y56" i="1"/>
  <c r="Z56" i="1"/>
  <c r="X57" i="1" s="1"/>
  <c r="Z57" i="1" s="1"/>
  <c r="X58" i="1" s="1"/>
  <c r="Y55" i="1"/>
  <c r="Z55" i="1"/>
  <c r="Y54" i="1"/>
  <c r="Z54" i="1"/>
  <c r="Y50" i="1"/>
  <c r="Z50" i="1"/>
  <c r="Y44" i="1"/>
  <c r="Z44" i="1"/>
  <c r="X45" i="1" s="1"/>
  <c r="Z45" i="1" s="1"/>
  <c r="X46" i="1" s="1"/>
  <c r="Y38" i="1"/>
  <c r="Z38" i="1"/>
  <c r="Y32" i="1"/>
  <c r="Z32" i="1"/>
  <c r="X33" i="1" s="1"/>
  <c r="Z33" i="1" s="1"/>
  <c r="X34" i="1" s="1"/>
  <c r="Y34" i="1" s="1"/>
  <c r="Y30" i="1"/>
  <c r="Z30" i="1"/>
  <c r="X31" i="1" s="1"/>
  <c r="Y31" i="1" s="1"/>
  <c r="Y28" i="1"/>
  <c r="Z28" i="1"/>
  <c r="X29" i="1" s="1"/>
  <c r="Y63" i="1" l="1"/>
  <c r="Y57" i="1"/>
  <c r="Z31" i="1"/>
  <c r="Y45" i="1"/>
  <c r="Y33" i="1"/>
  <c r="Y46" i="1"/>
  <c r="Z46" i="1"/>
  <c r="Z64" i="1"/>
  <c r="X65" i="1" s="1"/>
  <c r="Y64" i="1"/>
  <c r="Z58" i="1"/>
  <c r="X59" i="1" s="1"/>
  <c r="Y58" i="1"/>
  <c r="Z69" i="1"/>
  <c r="X70" i="1" s="1"/>
  <c r="X39" i="1"/>
  <c r="X51" i="1"/>
  <c r="X52" i="1"/>
  <c r="Z34"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4" i="1"/>
  <c r="AC55" i="1"/>
  <c r="Y65" i="1" l="1"/>
  <c r="Z65" i="1"/>
  <c r="Y59" i="1"/>
  <c r="Z59" i="1"/>
  <c r="X60" i="1" s="1"/>
  <c r="Y52" i="1"/>
  <c r="Z52" i="1"/>
  <c r="X53" i="1" s="1"/>
  <c r="Y70" i="1"/>
  <c r="Z70" i="1"/>
  <c r="X71" i="1" s="1"/>
  <c r="Y51" i="1"/>
  <c r="Z51" i="1"/>
  <c r="X47" i="1"/>
  <c r="Y39" i="1"/>
  <c r="Z39" i="1"/>
  <c r="X40" i="1" s="1"/>
  <c r="Y40" i="1" s="1"/>
  <c r="X36" i="1"/>
  <c r="Y36" i="1" s="1"/>
  <c r="X35" i="1"/>
  <c r="Y29" i="1"/>
  <c r="Z29" i="1"/>
  <c r="Z40" i="1" l="1"/>
  <c r="X41" i="1" s="1"/>
  <c r="Z41" i="1" s="1"/>
  <c r="X42" i="1" s="1"/>
  <c r="Y60" i="1"/>
  <c r="Z60" i="1"/>
  <c r="X61" i="1" s="1"/>
  <c r="X66" i="1"/>
  <c r="X67" i="1"/>
  <c r="Y47" i="1"/>
  <c r="Z47" i="1"/>
  <c r="X48" i="1" s="1"/>
  <c r="Y48" i="1" s="1"/>
  <c r="Y53" i="1"/>
  <c r="Z53" i="1"/>
  <c r="Z71" i="1"/>
  <c r="Y71" i="1"/>
  <c r="Y35" i="1"/>
  <c r="Z35" i="1"/>
  <c r="Z36" i="1"/>
  <c r="X37" i="1" s="1"/>
  <c r="Y41" i="1" l="1"/>
  <c r="Y67" i="1"/>
  <c r="Z67" i="1"/>
  <c r="Y66" i="1"/>
  <c r="Z66" i="1"/>
  <c r="Y61" i="1"/>
  <c r="Z61" i="1"/>
  <c r="X72" i="1"/>
  <c r="X73" i="1"/>
  <c r="Z48" i="1"/>
  <c r="X49" i="1" s="1"/>
  <c r="Y49" i="1" s="1"/>
  <c r="Z42" i="1"/>
  <c r="X43" i="1" s="1"/>
  <c r="Y42" i="1"/>
  <c r="Y37" i="1"/>
  <c r="Z37" i="1"/>
  <c r="X25" i="1"/>
  <c r="Y25" i="1" s="1"/>
  <c r="Y73" i="1" l="1"/>
  <c r="Z73" i="1"/>
  <c r="Y72" i="1"/>
  <c r="Z72" i="1"/>
  <c r="Y43" i="1"/>
  <c r="Z43" i="1"/>
  <c r="Z49" i="1"/>
  <c r="Z25" i="1" l="1"/>
  <c r="X26" i="1" s="1"/>
  <c r="X27" i="1" l="1"/>
  <c r="AB32" i="1" l="1"/>
  <c r="AA32" i="1" s="1"/>
  <c r="AB70" i="1"/>
  <c r="AB62" i="1"/>
  <c r="AB44" i="1"/>
  <c r="AA44" i="1" s="1"/>
  <c r="AB56" i="1"/>
  <c r="AA56" i="1" s="1"/>
  <c r="AB50" i="1"/>
  <c r="AA50" i="1" s="1"/>
  <c r="AB38" i="1"/>
  <c r="AA38" i="1" s="1"/>
  <c r="J40" i="19" l="1"/>
  <c r="V30" i="19"/>
  <c r="AH20" i="19"/>
  <c r="J30" i="19"/>
  <c r="V20" i="19"/>
  <c r="AH10" i="19"/>
  <c r="P10" i="19"/>
  <c r="AB50" i="19"/>
  <c r="J50" i="19"/>
  <c r="AB40" i="19"/>
  <c r="P30" i="19"/>
  <c r="V50" i="19"/>
  <c r="P50" i="19"/>
  <c r="AB10" i="19"/>
  <c r="AH30" i="19"/>
  <c r="AH40" i="19"/>
  <c r="J10" i="19"/>
  <c r="AB20" i="19"/>
  <c r="AH50" i="19"/>
  <c r="AC38" i="1"/>
  <c r="V10" i="19"/>
  <c r="P20" i="19"/>
  <c r="J20" i="19"/>
  <c r="P40" i="19"/>
  <c r="V40" i="19"/>
  <c r="AB30" i="19"/>
  <c r="J11" i="19"/>
  <c r="V11" i="19"/>
  <c r="AB21" i="19"/>
  <c r="P31" i="19"/>
  <c r="J31" i="19"/>
  <c r="AB41" i="19"/>
  <c r="AC44" i="1"/>
  <c r="AH41" i="19"/>
  <c r="P41" i="19"/>
  <c r="J21" i="19"/>
  <c r="AB31" i="19"/>
  <c r="AB51" i="19"/>
  <c r="P21" i="19"/>
  <c r="V41" i="19"/>
  <c r="V31" i="19"/>
  <c r="AH21" i="19"/>
  <c r="AB11" i="19"/>
  <c r="P51" i="19"/>
  <c r="V21" i="19"/>
  <c r="AH31" i="19"/>
  <c r="V51" i="19"/>
  <c r="J51" i="19"/>
  <c r="AH51" i="19"/>
  <c r="AH11" i="19"/>
  <c r="J41" i="19"/>
  <c r="P11" i="19"/>
  <c r="AC56"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62" i="1"/>
  <c r="AA69" i="1"/>
  <c r="AC32"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A70" i="1"/>
  <c r="AB71" i="1"/>
  <c r="AB40" i="1"/>
  <c r="AA39" i="1"/>
  <c r="AA45" i="1"/>
  <c r="AB46" i="1"/>
  <c r="AA46" i="1" s="1"/>
  <c r="AB47" i="1"/>
  <c r="V32" i="19"/>
  <c r="P42" i="19"/>
  <c r="J12" i="19"/>
  <c r="J32" i="19"/>
  <c r="AB52" i="19"/>
  <c r="AC50" i="1"/>
  <c r="J22" i="19"/>
  <c r="V22" i="19"/>
  <c r="J52" i="19"/>
  <c r="AH12" i="19"/>
  <c r="J42" i="19"/>
  <c r="AH42" i="19"/>
  <c r="P32" i="19"/>
  <c r="AB12" i="19"/>
  <c r="AH32" i="19"/>
  <c r="AB32" i="19"/>
  <c r="AB42" i="19"/>
  <c r="V42" i="19"/>
  <c r="V12" i="19"/>
  <c r="V52" i="19"/>
  <c r="AB22" i="19"/>
  <c r="AH52" i="19"/>
  <c r="AH22" i="19"/>
  <c r="P22" i="19"/>
  <c r="P12" i="19"/>
  <c r="P52" i="19"/>
  <c r="AB52" i="1"/>
  <c r="AA52" i="1" s="1"/>
  <c r="AB53" i="1"/>
  <c r="AA53" i="1" s="1"/>
  <c r="AA51" i="1"/>
  <c r="AA57" i="1"/>
  <c r="AB58" i="1"/>
  <c r="AA63" i="1"/>
  <c r="AB64" i="1"/>
  <c r="AA33" i="1"/>
  <c r="AB34" i="1"/>
  <c r="AA71" i="1" l="1"/>
  <c r="AB72" i="1"/>
  <c r="K35" i="19"/>
  <c r="AC25" i="19"/>
  <c r="K45" i="19"/>
  <c r="AI45" i="19"/>
  <c r="W45" i="19"/>
  <c r="Q35" i="19"/>
  <c r="K55" i="19"/>
  <c r="AC15" i="19"/>
  <c r="Q15" i="19"/>
  <c r="AC35" i="19"/>
  <c r="AI35" i="19"/>
  <c r="Q55" i="19"/>
  <c r="AI25" i="19"/>
  <c r="AC69"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63"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5" i="1"/>
  <c r="AD55" i="19"/>
  <c r="R15" i="19"/>
  <c r="AJ35" i="19"/>
  <c r="AC70"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62"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2" i="1"/>
  <c r="AD12" i="19"/>
  <c r="AD32" i="19"/>
  <c r="AD22" i="19"/>
  <c r="X52" i="19"/>
  <c r="AD52" i="19"/>
  <c r="L42" i="19"/>
  <c r="R42" i="19"/>
  <c r="AJ21" i="19"/>
  <c r="AD31" i="19"/>
  <c r="R21" i="19"/>
  <c r="AD41" i="19"/>
  <c r="AJ11" i="19"/>
  <c r="AJ51" i="19"/>
  <c r="AC46" i="1"/>
  <c r="L41" i="19"/>
  <c r="AD11" i="19"/>
  <c r="L21" i="19"/>
  <c r="L11" i="19"/>
  <c r="X51" i="19"/>
  <c r="X21" i="19"/>
  <c r="R11" i="19"/>
  <c r="R31" i="19"/>
  <c r="AJ41" i="19"/>
  <c r="L31" i="19"/>
  <c r="R51" i="19"/>
  <c r="X31" i="19"/>
  <c r="X11" i="19"/>
  <c r="X41" i="19"/>
  <c r="AJ31" i="19"/>
  <c r="AD51" i="19"/>
  <c r="R41" i="19"/>
  <c r="AD21" i="19"/>
  <c r="L51" i="19"/>
  <c r="AA34" i="1"/>
  <c r="AB35" i="1"/>
  <c r="AA58" i="1"/>
  <c r="AB59" i="1"/>
  <c r="K42" i="19"/>
  <c r="AC32" i="19"/>
  <c r="W42" i="19"/>
  <c r="AI52" i="19"/>
  <c r="K22" i="19"/>
  <c r="Q32" i="19"/>
  <c r="AI12" i="19"/>
  <c r="AC52" i="19"/>
  <c r="Q42" i="19"/>
  <c r="AC42" i="19"/>
  <c r="K12" i="19"/>
  <c r="Q22" i="19"/>
  <c r="W52" i="19"/>
  <c r="AI42" i="19"/>
  <c r="W32" i="19"/>
  <c r="AI22" i="19"/>
  <c r="W12" i="19"/>
  <c r="AI32" i="19"/>
  <c r="AC12" i="19"/>
  <c r="Q12" i="19"/>
  <c r="Q52" i="19"/>
  <c r="AC51" i="1"/>
  <c r="K32" i="19"/>
  <c r="W22" i="19"/>
  <c r="K52" i="19"/>
  <c r="AC22" i="19"/>
  <c r="AC40" i="19"/>
  <c r="W10" i="19"/>
  <c r="AC50" i="19"/>
  <c r="Q10" i="19"/>
  <c r="Q30" i="19"/>
  <c r="W50" i="19"/>
  <c r="K40" i="19"/>
  <c r="Q50" i="19"/>
  <c r="W20" i="19"/>
  <c r="AC39" i="1"/>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A64" i="1"/>
  <c r="AB65" i="1"/>
  <c r="K39" i="19"/>
  <c r="AC39" i="19"/>
  <c r="W29" i="19"/>
  <c r="AI49" i="19"/>
  <c r="W9" i="19"/>
  <c r="AC19" i="19"/>
  <c r="Q49" i="19"/>
  <c r="W49" i="19"/>
  <c r="AC9" i="19"/>
  <c r="AI9" i="19"/>
  <c r="Q29" i="19"/>
  <c r="W39" i="19"/>
  <c r="Q39" i="19"/>
  <c r="AC33"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7" i="1"/>
  <c r="Q33" i="19"/>
  <c r="AI23" i="19"/>
  <c r="K53" i="19"/>
  <c r="AC23" i="19"/>
  <c r="AC13" i="19"/>
  <c r="W23" i="19"/>
  <c r="W33" i="19"/>
  <c r="Q13" i="19"/>
  <c r="W13" i="19"/>
  <c r="AI13" i="19"/>
  <c r="Q43" i="19"/>
  <c r="Q23" i="19"/>
  <c r="W53" i="19"/>
  <c r="M12" i="19"/>
  <c r="AK42" i="19"/>
  <c r="AE32" i="19"/>
  <c r="AC53" i="1"/>
  <c r="M52" i="19"/>
  <c r="S12" i="19"/>
  <c r="M32" i="19"/>
  <c r="S52" i="19"/>
  <c r="Y52" i="19"/>
  <c r="Y42" i="19"/>
  <c r="AK12" i="19"/>
  <c r="S22" i="19"/>
  <c r="AE12" i="19"/>
  <c r="Y22" i="19"/>
  <c r="S32" i="19"/>
  <c r="AK52" i="19"/>
  <c r="M22" i="19"/>
  <c r="AK32" i="19"/>
  <c r="AE22" i="19"/>
  <c r="AE42" i="19"/>
  <c r="Y32" i="19"/>
  <c r="M42" i="19"/>
  <c r="Y12" i="19"/>
  <c r="AE52" i="19"/>
  <c r="AK22" i="19"/>
  <c r="S42" i="19"/>
  <c r="AA47" i="1"/>
  <c r="AB49" i="1"/>
  <c r="AA49" i="1" s="1"/>
  <c r="AB48" i="1"/>
  <c r="AA48" i="1" s="1"/>
  <c r="AA40" i="1"/>
  <c r="AB41" i="1"/>
  <c r="R40" i="19" l="1"/>
  <c r="AD10" i="19"/>
  <c r="X40" i="19"/>
  <c r="AJ10" i="19"/>
  <c r="R50" i="19"/>
  <c r="X10" i="19"/>
  <c r="R30" i="19"/>
  <c r="AC40" i="1"/>
  <c r="L10" i="19"/>
  <c r="L50" i="19"/>
  <c r="AJ20" i="19"/>
  <c r="AJ40" i="19"/>
  <c r="AD30" i="19"/>
  <c r="R20" i="19"/>
  <c r="AD50" i="19"/>
  <c r="AJ30" i="19"/>
  <c r="AJ50" i="19"/>
  <c r="X30" i="19"/>
  <c r="AD20" i="19"/>
  <c r="L40" i="19"/>
  <c r="X50" i="19"/>
  <c r="X20" i="19"/>
  <c r="AD40" i="19"/>
  <c r="R10" i="19"/>
  <c r="L30" i="19"/>
  <c r="L20" i="19"/>
  <c r="AA59" i="1"/>
  <c r="AB60" i="1"/>
  <c r="AA72" i="1"/>
  <c r="AB73" i="1"/>
  <c r="AA73"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AC58" i="1"/>
  <c r="X23" i="19"/>
  <c r="R33" i="19"/>
  <c r="R43" i="19"/>
  <c r="AD53" i="19"/>
  <c r="AJ13" i="19"/>
  <c r="R23" i="19"/>
  <c r="R13" i="19"/>
  <c r="AJ53" i="19"/>
  <c r="L33" i="19"/>
  <c r="L23" i="19"/>
  <c r="X43" i="19"/>
  <c r="X53" i="19"/>
  <c r="AD13" i="19"/>
  <c r="L53" i="19"/>
  <c r="L13" i="19"/>
  <c r="AD23" i="19"/>
  <c r="AJ33" i="19"/>
  <c r="AJ23" i="19"/>
  <c r="R53" i="19"/>
  <c r="M55" i="19"/>
  <c r="AK15" i="19"/>
  <c r="AE25" i="19"/>
  <c r="AC71"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8"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9" i="1"/>
  <c r="AG11" i="19"/>
  <c r="AM41" i="19"/>
  <c r="AA21" i="19"/>
  <c r="AA51" i="19"/>
  <c r="U51" i="19"/>
  <c r="U31" i="19"/>
  <c r="AA11" i="19"/>
  <c r="AG21" i="19"/>
  <c r="O31" i="19"/>
  <c r="AA65" i="1"/>
  <c r="AB66" i="1"/>
  <c r="AA35" i="1"/>
  <c r="AB36" i="1"/>
  <c r="AA36" i="1" s="1"/>
  <c r="AB37" i="1"/>
  <c r="AA37"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41" i="1"/>
  <c r="AB42" i="1"/>
  <c r="AE11" i="19"/>
  <c r="Y41" i="19"/>
  <c r="M41" i="19"/>
  <c r="Y21" i="19"/>
  <c r="AK41" i="19"/>
  <c r="S31" i="19"/>
  <c r="M31" i="19"/>
  <c r="M51" i="19"/>
  <c r="Y51" i="19"/>
  <c r="AK21" i="19"/>
  <c r="AK31" i="19"/>
  <c r="Y11" i="19"/>
  <c r="AE41" i="19"/>
  <c r="AE21" i="19"/>
  <c r="S51" i="19"/>
  <c r="AE51" i="19"/>
  <c r="AK51" i="19"/>
  <c r="M21" i="19"/>
  <c r="AE31" i="19"/>
  <c r="AC47" i="1"/>
  <c r="S41" i="19"/>
  <c r="AK11" i="19"/>
  <c r="S11" i="19"/>
  <c r="Y31" i="19"/>
  <c r="S21" i="19"/>
  <c r="M11" i="19"/>
  <c r="L54" i="19"/>
  <c r="AJ14" i="19"/>
  <c r="AD44" i="19"/>
  <c r="X54" i="19"/>
  <c r="R14" i="19"/>
  <c r="AD24" i="19"/>
  <c r="AD34" i="19"/>
  <c r="R54" i="19"/>
  <c r="L34" i="19"/>
  <c r="AJ34" i="19"/>
  <c r="X24" i="19"/>
  <c r="AJ24" i="19"/>
  <c r="X44" i="19"/>
  <c r="R24" i="19"/>
  <c r="AC64" i="1"/>
  <c r="X34" i="19"/>
  <c r="L14" i="19"/>
  <c r="AD14" i="19"/>
  <c r="L44" i="19"/>
  <c r="R44" i="19"/>
  <c r="AD54" i="19"/>
  <c r="X14" i="19"/>
  <c r="AJ44" i="19"/>
  <c r="R34" i="19"/>
  <c r="AJ54" i="19"/>
  <c r="L24" i="19"/>
  <c r="AD29" i="19"/>
  <c r="AD19" i="19"/>
  <c r="R39" i="19"/>
  <c r="R9" i="19"/>
  <c r="X49" i="19"/>
  <c r="X9" i="19"/>
  <c r="AD39" i="19"/>
  <c r="R29" i="19"/>
  <c r="L49" i="19"/>
  <c r="X19" i="19"/>
  <c r="X29" i="19"/>
  <c r="X39" i="19"/>
  <c r="L9" i="19"/>
  <c r="AC34" i="1"/>
  <c r="AD9" i="19"/>
  <c r="AJ49" i="19"/>
  <c r="L39" i="19"/>
  <c r="R19" i="19"/>
  <c r="AJ39" i="19"/>
  <c r="AJ29" i="19"/>
  <c r="AJ19" i="19"/>
  <c r="AJ9" i="19"/>
  <c r="AD49" i="19"/>
  <c r="L19" i="19"/>
  <c r="L29" i="19"/>
  <c r="R49" i="19"/>
  <c r="AA42" i="1" l="1"/>
  <c r="AB43" i="1"/>
  <c r="AA43" i="1" s="1"/>
  <c r="AG39" i="19"/>
  <c r="AG29" i="19"/>
  <c r="AM19" i="19"/>
  <c r="O39" i="19"/>
  <c r="AC37"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5"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C73" i="1"/>
  <c r="AG15" i="19"/>
  <c r="U15" i="19"/>
  <c r="AG55" i="19"/>
  <c r="U55" i="19"/>
  <c r="AE40" i="19"/>
  <c r="Y30" i="19"/>
  <c r="M20" i="19"/>
  <c r="AC41"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6" i="1"/>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72"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5" i="1"/>
  <c r="M9" i="19"/>
  <c r="Y29" i="19"/>
  <c r="AA60" i="1"/>
  <c r="AB61" i="1"/>
  <c r="AA61"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66" i="1"/>
  <c r="AB67" i="1"/>
  <c r="AA67" i="1" s="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9"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7" i="1"/>
  <c r="AA14" i="19"/>
  <c r="O54" i="19"/>
  <c r="U44" i="19"/>
  <c r="U43" i="19"/>
  <c r="U13" i="19"/>
  <c r="AM53" i="19"/>
  <c r="AA53" i="19"/>
  <c r="AA43" i="19"/>
  <c r="O53" i="19"/>
  <c r="O23" i="19"/>
  <c r="O13" i="19"/>
  <c r="AG43" i="19"/>
  <c r="U33" i="19"/>
  <c r="U23" i="19"/>
  <c r="AM13" i="19"/>
  <c r="AM23" i="19"/>
  <c r="AG13" i="19"/>
  <c r="AA23" i="19"/>
  <c r="AG33" i="19"/>
  <c r="AA33" i="19"/>
  <c r="AM33" i="19"/>
  <c r="AA13" i="19"/>
  <c r="AC61"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6" i="1"/>
  <c r="AF53" i="19"/>
  <c r="T43" i="19"/>
  <c r="Z53" i="19"/>
  <c r="N43" i="19"/>
  <c r="T23" i="19"/>
  <c r="AF43" i="19"/>
  <c r="Z13" i="19"/>
  <c r="Z43" i="19"/>
  <c r="AF23" i="19"/>
  <c r="AL13" i="19"/>
  <c r="Z23" i="19"/>
  <c r="AL43" i="19"/>
  <c r="AF13" i="19"/>
  <c r="AL23" i="19"/>
  <c r="N13" i="19"/>
  <c r="T33" i="19"/>
  <c r="AL53" i="19"/>
  <c r="N23" i="19"/>
  <c r="N53" i="19"/>
  <c r="AF33" i="19"/>
  <c r="N33" i="19"/>
  <c r="AC60"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3"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42"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44" i="1" l="1"/>
  <c r="L44" i="1" s="1"/>
  <c r="K25" i="1"/>
  <c r="L25" i="1" s="1"/>
  <c r="K32" i="1"/>
  <c r="L32" i="1" s="1"/>
  <c r="K30" i="1"/>
  <c r="L30" i="1" s="1"/>
  <c r="K56" i="1"/>
  <c r="L56" i="1" s="1"/>
  <c r="K50" i="1"/>
  <c r="L50" i="1" s="1"/>
  <c r="K38" i="1"/>
  <c r="L38" i="1" s="1"/>
  <c r="K28" i="1"/>
  <c r="L28" i="1" s="1"/>
  <c r="K68" i="1"/>
  <c r="L68" i="1" s="1"/>
  <c r="K62" i="1"/>
  <c r="L62" i="1" s="1"/>
  <c r="X6" i="18" l="1"/>
  <c r="AJ30" i="18"/>
  <c r="R22" i="18"/>
  <c r="L6" i="18"/>
  <c r="R30" i="18"/>
  <c r="X22" i="18"/>
  <c r="X38" i="18"/>
  <c r="AD38" i="18"/>
  <c r="N28" i="1"/>
  <c r="AD22" i="18"/>
  <c r="M28" i="1"/>
  <c r="AB28"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38" i="1"/>
  <c r="L32" i="18"/>
  <c r="X8" i="18"/>
  <c r="X24" i="18"/>
  <c r="AJ8" i="18"/>
  <c r="M38" i="1"/>
  <c r="R40" i="18"/>
  <c r="L40" i="18"/>
  <c r="X16" i="18"/>
  <c r="L24" i="18"/>
  <c r="AJ24" i="18"/>
  <c r="X32" i="18"/>
  <c r="AJ40" i="18"/>
  <c r="R16" i="18"/>
  <c r="AD40" i="18"/>
  <c r="AD32" i="18"/>
  <c r="AD16" i="18"/>
  <c r="M50" i="1"/>
  <c r="J42" i="18"/>
  <c r="P34" i="18"/>
  <c r="AB18" i="18"/>
  <c r="AB42" i="18"/>
  <c r="AH34" i="18"/>
  <c r="P10" i="18"/>
  <c r="V34" i="18"/>
  <c r="P42" i="18"/>
  <c r="V42" i="18"/>
  <c r="AH42" i="18"/>
  <c r="AB26" i="18"/>
  <c r="AH26" i="18"/>
  <c r="V26" i="18"/>
  <c r="AB34" i="18"/>
  <c r="V10" i="18"/>
  <c r="AH18" i="18"/>
  <c r="J34" i="18"/>
  <c r="J10" i="18"/>
  <c r="AB10" i="18"/>
  <c r="J18" i="18"/>
  <c r="N50" i="1"/>
  <c r="P26" i="18"/>
  <c r="J26" i="18"/>
  <c r="AH10" i="18"/>
  <c r="P18" i="18"/>
  <c r="V18" i="18"/>
  <c r="X42" i="18"/>
  <c r="AD34" i="18"/>
  <c r="AD10" i="18"/>
  <c r="AD26" i="18"/>
  <c r="L10" i="18"/>
  <c r="L42" i="18"/>
  <c r="L26" i="18"/>
  <c r="X18" i="18"/>
  <c r="X34" i="18"/>
  <c r="X10" i="18"/>
  <c r="R18" i="18"/>
  <c r="AJ10" i="18"/>
  <c r="AD42" i="18"/>
  <c r="AJ34" i="18"/>
  <c r="R26" i="18"/>
  <c r="M56" i="1"/>
  <c r="L18" i="18"/>
  <c r="AJ26" i="18"/>
  <c r="AD18" i="18"/>
  <c r="R34" i="18"/>
  <c r="L34" i="18"/>
  <c r="AJ42" i="18"/>
  <c r="R10" i="18"/>
  <c r="R42" i="18"/>
  <c r="X26" i="18"/>
  <c r="AJ18" i="18"/>
  <c r="N56" i="1"/>
  <c r="T14" i="18"/>
  <c r="AL38" i="18"/>
  <c r="N14" i="18"/>
  <c r="Z6" i="18"/>
  <c r="T38" i="18"/>
  <c r="T22" i="18"/>
  <c r="AL14" i="18"/>
  <c r="N22" i="18"/>
  <c r="N30" i="1"/>
  <c r="AF22" i="18"/>
  <c r="N6" i="18"/>
  <c r="AF6" i="18"/>
  <c r="AF38" i="18"/>
  <c r="M30" i="1"/>
  <c r="AB30" i="1" s="1"/>
  <c r="N38" i="18"/>
  <c r="AL30" i="18"/>
  <c r="AL22" i="18"/>
  <c r="T6" i="18"/>
  <c r="AF14" i="18"/>
  <c r="AF30" i="18"/>
  <c r="Z22" i="18"/>
  <c r="T30" i="18"/>
  <c r="Z30" i="18"/>
  <c r="AL6" i="18"/>
  <c r="Z14" i="18"/>
  <c r="Z38" i="18"/>
  <c r="N30" i="18"/>
  <c r="J40" i="18"/>
  <c r="AB40" i="18"/>
  <c r="AH32" i="18"/>
  <c r="AB24" i="18"/>
  <c r="V16" i="18"/>
  <c r="M32" i="1"/>
  <c r="J16" i="18"/>
  <c r="P32" i="18"/>
  <c r="V24" i="18"/>
  <c r="P24" i="18"/>
  <c r="V40" i="18"/>
  <c r="P16" i="18"/>
  <c r="P40" i="18"/>
  <c r="V32" i="18"/>
  <c r="AH16" i="18"/>
  <c r="AB16" i="18"/>
  <c r="V8" i="18"/>
  <c r="AH24" i="18"/>
  <c r="AH8" i="18"/>
  <c r="AH40" i="18"/>
  <c r="J8" i="18"/>
  <c r="AB32" i="18"/>
  <c r="AB8" i="18"/>
  <c r="J24" i="18"/>
  <c r="J32" i="18"/>
  <c r="P8" i="18"/>
  <c r="N32" i="1"/>
  <c r="Z42" i="18"/>
  <c r="T18" i="18"/>
  <c r="AF34" i="18"/>
  <c r="AF42" i="18"/>
  <c r="N42" i="18"/>
  <c r="Z18" i="18"/>
  <c r="AL10" i="18"/>
  <c r="AL26" i="18"/>
  <c r="AF26" i="18"/>
  <c r="Z10" i="18"/>
  <c r="N18" i="18"/>
  <c r="T26" i="18"/>
  <c r="AF10" i="18"/>
  <c r="T34" i="18"/>
  <c r="N26" i="18"/>
  <c r="AL18" i="18"/>
  <c r="N10" i="18"/>
  <c r="AF18" i="18"/>
  <c r="Z26" i="18"/>
  <c r="AL34" i="18"/>
  <c r="M62" i="1"/>
  <c r="Z34" i="18"/>
  <c r="T10" i="18"/>
  <c r="N62" i="1"/>
  <c r="AL42" i="18"/>
  <c r="N34" i="18"/>
  <c r="T42" i="18"/>
  <c r="P14" i="18"/>
  <c r="V22" i="18"/>
  <c r="V14" i="18"/>
  <c r="P22" i="18"/>
  <c r="V38" i="18"/>
  <c r="AH14" i="18"/>
  <c r="AH38" i="18"/>
  <c r="J14" i="18"/>
  <c r="AB22" i="18"/>
  <c r="V30" i="18"/>
  <c r="AB14" i="18"/>
  <c r="AB38" i="18"/>
  <c r="J30" i="18"/>
  <c r="P38" i="18"/>
  <c r="AB6" i="18"/>
  <c r="M25" i="1"/>
  <c r="AB25" i="1" s="1"/>
  <c r="AA25" i="1" s="1"/>
  <c r="AH30" i="18"/>
  <c r="J38" i="18"/>
  <c r="AH6" i="18"/>
  <c r="V6" i="18"/>
  <c r="AB30" i="18"/>
  <c r="J22" i="18"/>
  <c r="J6" i="18"/>
  <c r="P30" i="18"/>
  <c r="AH22" i="18"/>
  <c r="P6" i="18"/>
  <c r="N25" i="1"/>
  <c r="AH12" i="18"/>
  <c r="J20" i="18"/>
  <c r="J44" i="18"/>
  <c r="AB28" i="18"/>
  <c r="P28" i="18"/>
  <c r="N68" i="1"/>
  <c r="P12" i="18"/>
  <c r="AH20" i="18"/>
  <c r="P44" i="18"/>
  <c r="AB12" i="18"/>
  <c r="P20" i="18"/>
  <c r="J36" i="18"/>
  <c r="P36" i="18"/>
  <c r="AB44" i="18"/>
  <c r="V44" i="18"/>
  <c r="J28" i="18"/>
  <c r="AH36" i="18"/>
  <c r="V12" i="18"/>
  <c r="V28" i="18"/>
  <c r="AH44" i="18"/>
  <c r="AB20" i="18"/>
  <c r="AB36" i="18"/>
  <c r="AH28" i="18"/>
  <c r="V36" i="18"/>
  <c r="V20" i="18"/>
  <c r="M68" i="1"/>
  <c r="AB68" i="1" s="1"/>
  <c r="AA68" i="1" s="1"/>
  <c r="J12" i="18"/>
  <c r="AF24" i="18"/>
  <c r="AF32" i="18"/>
  <c r="T40" i="18"/>
  <c r="M44" i="1"/>
  <c r="Z40" i="18"/>
  <c r="AL8" i="18"/>
  <c r="AF8" i="18"/>
  <c r="T8" i="18"/>
  <c r="Z16" i="18"/>
  <c r="T24" i="18"/>
  <c r="AL24" i="18"/>
  <c r="Z32" i="18"/>
  <c r="N32" i="18"/>
  <c r="N16" i="18"/>
  <c r="Z8" i="18"/>
  <c r="AL40" i="18"/>
  <c r="N8" i="18"/>
  <c r="N24" i="18"/>
  <c r="T32" i="18"/>
  <c r="T16" i="18"/>
  <c r="AF40" i="18"/>
  <c r="AF16" i="18"/>
  <c r="AL32" i="18"/>
  <c r="N40" i="18"/>
  <c r="Z24" i="18"/>
  <c r="AL16" i="18"/>
  <c r="N44" i="1"/>
  <c r="AA30" i="1" l="1"/>
  <c r="AB31" i="1"/>
  <c r="AA31" i="1" s="1"/>
  <c r="AA28" i="1"/>
  <c r="AB29" i="1"/>
  <c r="AA29" i="1" s="1"/>
  <c r="P16" i="19"/>
  <c r="P6" i="19"/>
  <c r="AH6" i="19"/>
  <c r="V46" i="19"/>
  <c r="AH46" i="19"/>
  <c r="AB46" i="19"/>
  <c r="J6" i="19"/>
  <c r="P46" i="19"/>
  <c r="AB26" i="19"/>
  <c r="AB16" i="19"/>
  <c r="AH26" i="19"/>
  <c r="J16" i="19"/>
  <c r="V26" i="19"/>
  <c r="AH36" i="19"/>
  <c r="P26" i="19"/>
  <c r="V16" i="19"/>
  <c r="V36" i="19"/>
  <c r="AC25"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68" i="1"/>
  <c r="AB25" i="19"/>
  <c r="AH35" i="19"/>
  <c r="P55" i="19"/>
  <c r="J45" i="19"/>
  <c r="P25" i="19"/>
  <c r="P35" i="19"/>
  <c r="V55" i="19"/>
  <c r="AC18" i="19" l="1"/>
  <c r="AC8" i="19"/>
  <c r="W18" i="19"/>
  <c r="AI8" i="19"/>
  <c r="Q48" i="19"/>
  <c r="AC38" i="19"/>
  <c r="Q28" i="19"/>
  <c r="AI28" i="19"/>
  <c r="K38" i="19"/>
  <c r="Q38" i="19"/>
  <c r="K18" i="19"/>
  <c r="AI18" i="19"/>
  <c r="Q18" i="19"/>
  <c r="W28" i="19"/>
  <c r="AI48" i="19"/>
  <c r="W8" i="19"/>
  <c r="Q8" i="19"/>
  <c r="K48" i="19"/>
  <c r="AC48" i="19"/>
  <c r="AC31" i="1"/>
  <c r="W38" i="19"/>
  <c r="W48" i="19"/>
  <c r="AI38" i="19"/>
  <c r="K8" i="19"/>
  <c r="AC28" i="19"/>
  <c r="K28" i="19"/>
  <c r="AB28" i="19"/>
  <c r="P18" i="19"/>
  <c r="AB8" i="19"/>
  <c r="J48" i="19"/>
  <c r="J28" i="19"/>
  <c r="P28" i="19"/>
  <c r="V28" i="19"/>
  <c r="J38" i="19"/>
  <c r="V8" i="19"/>
  <c r="J8" i="19"/>
  <c r="P38" i="19"/>
  <c r="AB38" i="19"/>
  <c r="V18" i="19"/>
  <c r="AB48" i="19"/>
  <c r="AB18" i="19"/>
  <c r="AC30" i="1"/>
  <c r="AH28" i="19"/>
  <c r="AH48" i="19"/>
  <c r="AH38" i="19"/>
  <c r="AH18" i="19"/>
  <c r="AH8" i="19"/>
  <c r="P48" i="19"/>
  <c r="P8" i="19"/>
  <c r="V38" i="19"/>
  <c r="J18" i="19"/>
  <c r="V48" i="19"/>
  <c r="W37" i="19"/>
  <c r="Q47" i="19"/>
  <c r="AI47" i="19"/>
  <c r="AC37" i="19"/>
  <c r="K37" i="19"/>
  <c r="AI27" i="19"/>
  <c r="K7" i="19"/>
  <c r="W17" i="19"/>
  <c r="AC27" i="19"/>
  <c r="W47" i="19"/>
  <c r="K27" i="19"/>
  <c r="K47" i="19"/>
  <c r="AC17" i="19"/>
  <c r="Q37" i="19"/>
  <c r="AI7" i="19"/>
  <c r="W7" i="19"/>
  <c r="Q27" i="19"/>
  <c r="AI37" i="19"/>
  <c r="AC7" i="19"/>
  <c r="Q7" i="19"/>
  <c r="Q17" i="19"/>
  <c r="AI17" i="19"/>
  <c r="AC29" i="1"/>
  <c r="W27" i="19"/>
  <c r="AC47" i="19"/>
  <c r="K17" i="19"/>
  <c r="J47" i="19"/>
  <c r="AB27" i="19"/>
  <c r="AC28" i="1"/>
  <c r="AH37" i="19"/>
  <c r="V17" i="19"/>
  <c r="J7" i="19"/>
  <c r="AH27" i="19"/>
  <c r="V27" i="19"/>
  <c r="J17" i="19"/>
  <c r="AB37" i="19"/>
  <c r="P27" i="19"/>
  <c r="AH47" i="19"/>
  <c r="V37" i="19"/>
  <c r="AB47" i="19"/>
  <c r="AH7" i="19"/>
  <c r="V47" i="19"/>
  <c r="J27" i="19"/>
  <c r="AB7" i="19"/>
  <c r="P37" i="19"/>
  <c r="AH17" i="19"/>
  <c r="P47" i="19"/>
  <c r="J37" i="19"/>
  <c r="V7" i="19"/>
  <c r="P17" i="19"/>
  <c r="AB17" i="19"/>
  <c r="P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<sst xmlns="http://schemas.openxmlformats.org/spreadsheetml/2006/main" count="399" uniqueCount="271">
  <si>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</si>
  <si>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</si>
  <si>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</si>
  <si>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</si>
  <si>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</si>
  <si>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</si>
  <si>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</si>
  <si>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</si>
  <si>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</si>
  <si>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</si>
  <si>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</si>
  <si>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</si>
  <si>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</si>
  <si>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</si>
  <si>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</si>
  <si>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</si>
  <si>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</si>
  <si>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</si>
  <si>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</si>
  <si>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</si>
  <si>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</si>
  <si>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</si>
  <si>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</si>
  <si>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</si>
  <si>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</si>
  <si>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</si>
  <si>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</si>
  <si>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</si>
  <si>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</si>
  <si>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</si>
  <si>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</si>
  <si>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</si>
  <si>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</si>
  <si>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</si>
  <si>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</si>
  <si>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</si>
  <si>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</si>
  <si>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</si>
  <si>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</si>
  <si>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</si>
  <si>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</si>
  <si>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</si>
  <si>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</si>
  <si>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</si>
  <si>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</si>
  <si>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</si>
  <si>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</si>
  <si>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</si>
  <si>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</si>
  <si>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</si>
  <si>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</si>
  <si>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</si>
  <si>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</si>
  <si>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</si>
  <si>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</si>
  <si>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</si>
  <si>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</si>
  <si>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</si>
  <si>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</si>
  <si>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</si>
  <si>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</si>
  <si>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</si>
  <si>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</si>
  <si>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</si>
  <si>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</si>
  <si>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</si>
  <si>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</si>
  <si>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</si>
  <si>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</si>
  <si>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</si>
  <si>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</si>
  <si>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</si>
  <si>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</si>
  <si>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</si>
  <si>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</si>
  <si>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</si>
  <si>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</si>
  <si>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</si>
  <si>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</si>
  <si>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</si>
  <si>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</si>
  <si>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</si>
  <si>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</si>
  <si>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</si>
  <si>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</si>
  <si>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</si>
  <si>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</si>
  <si>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</si>
  <si>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</si>
  <si>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</si>
  <si>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</si>
  <si>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</si>
  <si>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</si>
  <si>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</si>
  <si>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</si>
  <si>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</si>
  <si>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</si>
  <si>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</si>
  <si>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</si>
  <si>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</si>
  <si>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</si>
  <si>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</si>
  <si>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</si>
  <si>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</si>
  <si>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</si>
  <si>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</si>
  <si>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</si>
  <si>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</si>
  <si>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</si>
  <si>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</si>
  <si>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</si>
  <si>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</si>
  <si>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</si>
  <si>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</si>
  <si>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</si>
  <si>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</si>
  <si>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</si>
  <si>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</si>
  <si>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</si>
  <si>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</si>
  <si>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</si>
  <si>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</si>
  <si>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</si>
  <si>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</si>
  <si>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</si>
  <si>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</si>
  <si>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</si>
  <si>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</si>
  <si>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</si>
  <si>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</si>
  <si>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</si>
  <si>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</si>
  <si>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</si>
  <si>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</si>
  <si>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</si>
  <si>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</si>
  <si>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</si>
  <si>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</si>
  <si>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</si>
  <si>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</si>
  <si>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</si>
  <si>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</si>
  <si>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</si>
  <si>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</si>
  <si>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</si>
  <si>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</si>
  <si>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</si>
  <si>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</si>
  <si>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</si>
  <si>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</si>
  <si>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</si>
  <si>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</si>
  <si>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</si>
  <si>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</si>
  <si>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</si>
  <si>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</si>
  <si>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</si>
  <si>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</si>
  <si>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</si>
  <si>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</si>
  <si>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</si>
  <si>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</si>
  <si>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</si>
  <si>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</si>
  <si>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</si>
  <si>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</si>
  <si>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</si>
  <si>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</si>
  <si>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</si>
  <si>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</si>
  <si>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</si>
  <si>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</si>
  <si>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</si>
  <si>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</si>
  <si>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</si>
  <si>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</si>
  <si>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</si>
  <si>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</si>
  <si>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</si>
  <si>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</si>
  <si>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</si>
  <si>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</si>
  <si>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</si>
  <si>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</si>
  <si>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</si>
  <si>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</si>
  <si>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</si>
  <si>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</si>
  <si>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</si>
  <si>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</si>
  <si>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</si>
  <si>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</si>
  <si>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</si>
  <si>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</si>
  <si>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</si>
  <si>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</si>
  <si>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</si>
  <si>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</si>
  <si>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</si>
  <si>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</si>
  <si>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</si>
  <si>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</si>
  <si>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</si>
  <si>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</si>
  <si>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</si>
  <si>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</si>
  <si>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</si>
  <si>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</si>
  <si>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</si>
  <si>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</si>
  <si>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t>
  </si>
  <si>
    <t xml:space="preserve">ANÁLISIS DOFA        </t>
  </si>
  <si>
    <t>Origen Interno</t>
  </si>
  <si>
    <t>Fortalezas</t>
  </si>
  <si>
    <t>Debilidades</t>
  </si>
  <si>
    <t>Origen Externo</t>
  </si>
  <si>
    <t>Oportunidades</t>
  </si>
  <si>
    <t>Amenazas</t>
  </si>
  <si>
    <r>
      <t xml:space="preserve">El archivo contiene las siguientes hojas:
- Instructivo
-   </t>
    </r>
    <r>
      <rPr>
        <b/>
        <sz val="11"/>
        <rFont val="Arial Narrow"/>
        <family val="2"/>
      </rPr>
      <t xml:space="preserve">Hoja 1 Contexto del proceso:  </t>
    </r>
    <r>
      <rPr>
        <sz val="11"/>
        <rFont val="Arial Narrow"/>
        <family val="2"/>
      </rPr>
      <t xml:space="preserve">Diligenciar analisis DOFA para cada proceso </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</si>
  <si>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Código</t>
  </si>
  <si>
    <t>PLE-PIN-F001</t>
  </si>
  <si>
    <t>Versión</t>
  </si>
  <si>
    <t>Vigencia</t>
  </si>
  <si>
    <t>Caso HOLA:</t>
  </si>
  <si>
    <t>CONTROL DE CAMBIOS MATRIZ DE RIESGOS</t>
  </si>
  <si>
    <t>VERSIÓN</t>
  </si>
  <si>
    <t>FECHA</t>
  </si>
  <si>
    <t>DESCRIPCIÓN DE LA MODIFICACIÓN</t>
  </si>
  <si>
    <t>NOTA: Para el diligenciamiento de esta matriz tenga en cuenta el manual "Gestión del Riesgo" PLE-PIN-M001</t>
  </si>
  <si>
    <t>MATRIZ MAPA DE RIESGO</t>
  </si>
  <si>
    <t>F1 Evaluación y seguimiento trimestral al cumplimiento de las metas establecidas en el PDL</t>
  </si>
  <si>
    <t>D1 Baja participación de la ciudadanía en la planeación local</t>
  </si>
  <si>
    <t>F2 La naturaleza y desarrollo mismo del proceso permite la interacción con la comunidad para conocer sus necesidades</t>
  </si>
  <si>
    <t>F3 Lineamientos claros para la articulación de los planes de desarrollo (Distrital - Local)</t>
  </si>
  <si>
    <t>D3 Retrasos en la conceptualización de la viabilidad del sector</t>
  </si>
  <si>
    <t>F4 Potestad para la toma de decisiones en la ejecución presupuestal</t>
  </si>
  <si>
    <t>O2 Acompañamiento permanente por parte del sector en atención por las necesidades planteadas por la comunidad en cumplimiento plan de desarrollo</t>
  </si>
  <si>
    <t>O1 Articulación entre la ciudadanía y la Alcaldía local</t>
  </si>
  <si>
    <t>Creación del documento de acuerdo a la nueva estructura organizacional de la Entidad (Decreto 411 de 2016), el nuevo marco estratégico (Resolución 162 de 2017) y el nuevo modelo de operación por procesos, en la anterior estructura organizacional, este proceso hacía parte deGestión del desarrollo Local y Agenciamiento de la Política Pública</t>
  </si>
  <si>
    <t>Ajuste y actualización a la matriz de acuerdo con la guía del DAFP V4 -2018 a través del manual de gestión del riesgo versión 11- 2019, se ingresa las columnas para las características y la evaluación de los controles, se eliminan los riesgos R2 por corresponder a factores externos y el R6 debido a que la etapa de ejecución de los proyectos corresponde a GCL, se ajustaron los riesgos  R3,R4 y R5, y se e ajustan los controles en concordancia al Manual de Gestión de Riesgos.</t>
  </si>
  <si>
    <t>Se ajusta la matriz de riesgo, se describe  el contexto del proceso, se realizó  revisión general de los cuatro (04) riesgos identificados, se realizaron ajustes en causas, consecuencias, se valido el análisis del riesgo, revisión de controles, calificación del diseño del control y ajustes en la valoración del riesgo residual.</t>
  </si>
  <si>
    <t>Gestión Pública Territorial Local</t>
  </si>
  <si>
    <t>Identificar y priorizar las necesidades, recursos y potencialidades de la localidad de manera coordinada con las instituciones y los actores sociales para mejorar la calidad de vida de sus habitantes.</t>
  </si>
  <si>
    <t>El proceso se circunscribe a acciones puntuales de las Alcaldías Locales en materia de planeación del desarrollo local, participación ciudadana, formulación de proyectos de inversión y la coordinación institucional.</t>
  </si>
  <si>
    <t>Falta de apropiación de los lineamientos, directrices y actos administrativos relacionados con el proceso de formulación y aprobación de los planes de desarrollo local.</t>
  </si>
  <si>
    <t>Ausencia de información diagnóstica local</t>
  </si>
  <si>
    <t>Ausencia de coordinación del gobierno local con los sectores administrativos para dar respuesta a las necesidades y problemas que desbordan la competencia del gobierno local.</t>
  </si>
  <si>
    <t>Baja participación ciudadana en la Planeación Local</t>
  </si>
  <si>
    <t>Posibilidad de afectación económica y reputacional por la inadeacuada identificación de las necesidades  y/o problemas  de la población y potencialidades y/o capacidades del territorio en la gestión del desarrollo local que conduzca a una respuesta óptima y oportuna por parte de las adminsitraciones Distrital y Local.</t>
  </si>
  <si>
    <t>No se dispone de información diagnóstica actualizada</t>
  </si>
  <si>
    <t>Debilidad en la unificación de criterios en las alcaldías locales para la formulación y gestión de los proyectos de inversión</t>
  </si>
  <si>
    <t>Falta de experticia profesional en la formulación técnica de los proyectos de inversión local</t>
  </si>
  <si>
    <t>Posibilidad de afectación económica y reputacional por deficiencias en la formulación y gestión de los proyectos de inversión local.</t>
  </si>
  <si>
    <t>El Alcalde(sa) Local, cada vez que se elaboren estudios previos para la contratación de personal para apoyar la formulación de proyectos de inversión, establecerá el perfil de las personas a contratar, de manera que de acuerdo a estos criterios  la formulación de los proyectos de inversión se realice de manera técnica y de conformidad con los parámetros y lineamientos establecidos.  
En caso de que los estudios previos no contenga dicha información se procederá al ajuste correspondiente, como evidencia quedan los estudios previos.</t>
  </si>
  <si>
    <t>Falta de quórum para realizar la sesiones del CLG</t>
  </si>
  <si>
    <t>Deficiencias en la coordinación y  articulación de recursos</t>
  </si>
  <si>
    <t>Inadecuada formulación del Plan Anual de Trabajo  del CLG</t>
  </si>
  <si>
    <t>Posibilidad de afectación económica y reputacional por la inadecuada coordinación y articulación de la acción distrital en el territorio a través del Concejo Local de Gobierno</t>
  </si>
  <si>
    <t>La secretaría técnica del CLG cada vez que este convocada una sesión, verifica el quorum y en caso de no completarse el mismo levantará acta dejando constancia del hecho. El Alcalde(sa) Local,en su calidad de presidente de la instancia enviará comunicaciones oficiales a los sectores integrantes informando la no realización de la sesión por falta de quorum. Igualmente el Alcalde Local  comunicará al sector en caso de dificultades en la coordinación y articulación de los recursos. Las evidencias de la ejecución del control son las actas del CLG y la comunicaciones oficiales.</t>
  </si>
  <si>
    <t>El Consejo Local de Gobierno elaborará el Plan Anual de trabajo de la instancia, de acuerdo con el procedimiento"GET-GPL-P001 Funcionamiento Consejo Local de Gobierno" establecido en el Sistema de Gestión de la entidad, verificando que se cumplan con los lineamientos establecidos.
En caso de identificar alguna desviación en el cumplimiento de estos lineamientos se realizarán los respectivos ajustes al plan. Como evidencia de la ejecución del control queda el Plan de Trabajo Aprobado.</t>
  </si>
  <si>
    <t>Se realiza actualización de matriz de riesgos de gestión de acuerdo con los lineamientos establecidos en el manual de gestión del riesgo PLE-PIN-M001 versión 6. Se realizó a través de mesa de trabajo a la que asistió el promotor de mejora del proceso y promotores de mejora del nivel local invitados, con el acompañamiento técnico del grupo de riesgos de la Oficina Asesora de Planeación. Se aprobó bajo caso HOLA N. 242132</t>
  </si>
  <si>
    <t>El(la) Alcalde(sa) Local dentro de los quince (15) días siguientes al inicio de cada vigencia iniciará el diseño, implementación y seguimiento a la estrategia de difusión de la convocatoria, sensibilización y  persuasión dirigida a los ciudadanos para asistir y participar en los eventos de planeación local de su territorio (encuentros ciudadanos, presupuestos participativos y diálogos ciudadanos, entre otros) buscando la mayor participación ciudadana posible. En caso de identificar desviaciones en la ejecución de la estrategia el(la) Alcalde(sa) Local deberá tomar las medidas correctivas a que haya lugar.
Queda como evidencia el documento de estrategia, los soportes de la implementación de la estrategia y los listados de asistencia</t>
  </si>
  <si>
    <t>Se realiza ajuste del control del riesgo No. 1, cambia la redacción para dar mayor claridad a las alcaldías locales frente a la ejecución y la evidencia que se debe aportar. Así mismo, se realiza ajuste del control No. 2 del riesgo No. 2. Se aprobó bajo caso HOLA 261966</t>
  </si>
  <si>
    <t>22 de diciembre de 2021</t>
  </si>
  <si>
    <t xml:space="preserve">D2 La alta rotación de los profesionales que tienen a su cargo temas de planeación en las localidades </t>
  </si>
  <si>
    <t>D4 Las actividades programadas, durante las vigencias del plan, no se realizan con los controles y protocolos correspondientes y al final no se pueden medir adecuadamente</t>
  </si>
  <si>
    <t>D5 Falta de recursos para la inversión en proyectos no priorizados</t>
  </si>
  <si>
    <t>A1 Poca credibilidad que existe en las actividades públicas realizadas por el distrito y/o la nación</t>
  </si>
  <si>
    <t>A2 Incumplimiento de las metas debido a contingencias que se presenten a nivel distrital, local, nacional</t>
  </si>
  <si>
    <t>El alcalde local, cada vez que designe el profesional que efectuará el entrenamiento de puesto de trabajo, tendrá en cuenta los requisitos establecidos en el numeral 2.3 del documento de instrucciones para entrenamiento de puesto de trabajo GCO-GTH-IN004.
La evidencia de ejecución del control será el formato de entrenamiento de puesto de trabajo GCO-GTH-F029 para servidores públicos o el formato GDI-GPD-F029 Evidencia de reunión, para contratistas.</t>
  </si>
  <si>
    <t>Se actualiza el contexto del proceso y se ajusta el control No. 2 del riesgo No. 2. Se aprobó bajo caso HOLA 1405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</si>
</sst>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8"/>
      <color indexed="60"/>
      <name val="Arial"/>
      <family val="2"/>
    </font>
    <font>
      <b/>
      <sz val="48"/>
      <color indexed="60"/>
      <name val="Arial"/>
      <family val="2"/>
    </font>
    <font>
      <b/>
      <sz val="10"/>
      <name val="Arial"/>
      <family val="2"/>
    </font>
    <font>
      <b/>
      <sz val="12"/>
      <color indexed="16"/>
      <name val="Arial"/>
      <family val="2"/>
    </font>
    <font>
      <b/>
      <sz val="12"/>
      <color rgb="FFA6A6A6"/>
      <name val="Titillium Web"/>
    </font>
    <font>
      <b/>
      <sz val="20"/>
      <color rgb="FFC00000"/>
      <name val="Arial Narrow"/>
      <family val="2"/>
    </font>
    <font>
      <sz val="11"/>
      <color rgb="FF000000"/>
      <name val="Calibri"/>
      <family val="2"/>
      <scheme val="minor"/>
    </font>
    <font>
      <b/>
      <sz val="48"/>
      <color rgb="FF993300"/>
      <name val="Arial"/>
      <family val="2"/>
    </font>
    <font>
      <b/>
      <sz val="18"/>
      <name val="Arial"/>
      <family val="2"/>
    </font>
    <font>
      <b/>
      <sz val="12"/>
      <name val="Arial"/>
      <family val="2"/>
    </font>
    <font>
      <sz val="10"/>
      <color rgb="FF000000"/>
      <name val="Arial"/>
      <family val="2"/>
    </font>
    <font>
      <sz val="12"/>
      <name val="Arial"/>
      <family val="2"/>
    </font>
    <font>
      <b/>
      <sz val="11"/>
      <color rgb="FF800000"/>
      <name val="Arial"/>
      <family val="2"/>
    </font>
    <font>
      <sz val="11"/>
      <color rgb="FF000000"/>
      <name val="Arial"/>
      <family val="2"/>
    </font>
    <font>
      <b/>
      <sz val="11"/>
      <color rgb="FF000000"/>
      <name val="Arial"/>
      <family val="2"/>
    </font>
    <font>
      <sz val="10"/>
      <color rgb="FFFFFFFF"/>
      <name val="Arial"/>
      <family val="2"/>
    </font>
    <font>
      <b/>
      <sz val="12"/>
      <color rgb="FFFF0000"/>
      <name val="Arial"/>
      <family val="2"/>
    </font>
    <font>
      <b/>
      <sz val="9"/>
      <color rgb="FFFFFFFF"/>
      <name val="Arial"/>
      <family val="2"/>
    </font>
    <font>
      <b/>
      <sz val="11"/>
      <name val="Arial"/>
      <family val="2"/>
    </font>
    <font>
      <b/>
      <i/>
      <sz val="14"/>
      <color rgb="FFA6A6A6"/>
      <name val="Arial"/>
      <family val="2"/>
    </font>
    <font>
      <b/>
      <sz val="28"/>
      <color rgb="FF993300"/>
      <name val="Arial"/>
      <family val="2"/>
    </font>
    <font>
      <b/>
      <sz val="12"/>
      <color theme="0" tint="-0.34998626667073579"/>
      <name val="Titillium Web"/>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
      <patternFill patternType="solid">
        <fgColor theme="0"/>
        <bgColor rgb="FF000000"/>
      </patternFill>
    </fill>
  </fills>
  <borders count="8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rgb="FFFFFFFF"/>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74">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3"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49" fontId="58" fillId="16" borderId="0" xfId="0" applyNumberFormat="1" applyFont="1" applyFill="1" applyAlignment="1" applyProtection="1">
      <alignment horizontal="center" vertical="center" wrapText="1"/>
      <protection locked="0"/>
    </xf>
    <xf numFmtId="0" fontId="60" fillId="18" borderId="33" xfId="0" applyFont="1" applyFill="1" applyBorder="1" applyAlignment="1" applyProtection="1">
      <alignment horizontal="center" vertical="center" wrapText="1"/>
      <protection locked="0"/>
    </xf>
    <xf numFmtId="49" fontId="65" fillId="19" borderId="0" xfId="0" applyNumberFormat="1" applyFont="1" applyFill="1" applyAlignment="1" applyProtection="1">
      <alignment vertical="center" wrapText="1"/>
      <protection locked="0"/>
    </xf>
    <xf numFmtId="0" fontId="63" fillId="19" borderId="0" xfId="0" applyFont="1" applyFill="1" applyProtection="1">
      <protection locked="0"/>
    </xf>
    <xf numFmtId="0" fontId="66" fillId="19" borderId="0" xfId="0" applyFont="1" applyFill="1" applyAlignment="1" applyProtection="1">
      <alignment horizontal="left" vertical="center" wrapText="1"/>
      <protection locked="0"/>
    </xf>
    <xf numFmtId="0" fontId="67" fillId="19" borderId="0" xfId="0" applyFont="1" applyFill="1" applyAlignment="1" applyProtection="1">
      <alignment vertical="center" wrapText="1"/>
      <protection locked="0"/>
    </xf>
    <xf numFmtId="0" fontId="67" fillId="19" borderId="0" xfId="0" applyFont="1" applyFill="1" applyProtection="1">
      <protection locked="0"/>
    </xf>
    <xf numFmtId="0" fontId="67" fillId="19" borderId="0" xfId="0" applyFont="1" applyFill="1" applyAlignment="1" applyProtection="1">
      <alignment horizontal="center"/>
      <protection locked="0"/>
    </xf>
    <xf numFmtId="0" fontId="63" fillId="19" borderId="0" xfId="0" applyFont="1" applyFill="1" applyAlignment="1" applyProtection="1">
      <alignment horizontal="center"/>
      <protection locked="0"/>
    </xf>
    <xf numFmtId="0" fontId="68" fillId="0" borderId="69" xfId="0" applyFont="1" applyBorder="1" applyAlignment="1" applyProtection="1">
      <alignment horizontal="right"/>
      <protection locked="0"/>
    </xf>
    <xf numFmtId="0" fontId="70" fillId="19" borderId="0" xfId="0" applyFont="1" applyFill="1" applyAlignment="1" applyProtection="1">
      <alignment horizontal="center" vertical="center" wrapText="1"/>
      <protection locked="0"/>
    </xf>
    <xf numFmtId="0" fontId="70" fillId="19" borderId="0" xfId="0" applyFont="1" applyFill="1" applyAlignment="1" applyProtection="1">
      <alignment vertical="center" wrapText="1"/>
      <protection locked="0"/>
    </xf>
    <xf numFmtId="0" fontId="71" fillId="19" borderId="0" xfId="0" applyFont="1" applyFill="1" applyAlignment="1" applyProtection="1">
      <alignment vertical="center" wrapText="1"/>
      <protection locked="0"/>
    </xf>
    <xf numFmtId="0" fontId="66" fillId="19" borderId="0" xfId="0" applyFont="1" applyFill="1" applyAlignment="1" applyProtection="1">
      <alignment horizontal="center" vertical="center" wrapText="1"/>
      <protection locked="0"/>
    </xf>
    <xf numFmtId="0" fontId="63" fillId="19" borderId="0" xfId="0" applyFont="1" applyFill="1" applyAlignment="1" applyProtection="1">
      <alignment horizontal="center" vertical="center"/>
      <protection locked="0"/>
    </xf>
    <xf numFmtId="0" fontId="67" fillId="19" borderId="0" xfId="0" applyFont="1" applyFill="1" applyAlignment="1" applyProtection="1">
      <alignment horizontal="center" vertical="center" wrapText="1"/>
      <protection locked="0"/>
    </xf>
    <xf numFmtId="0" fontId="67" fillId="19" borderId="0" xfId="0" applyFont="1" applyFill="1" applyAlignment="1" applyProtection="1">
      <alignment horizontal="center" vertical="center"/>
      <protection locked="0"/>
    </xf>
    <xf numFmtId="0" fontId="72" fillId="19" borderId="0" xfId="0" applyFont="1" applyFill="1" applyAlignment="1" applyProtection="1">
      <alignment horizontal="center" vertical="center"/>
      <protection locked="0"/>
    </xf>
    <xf numFmtId="2" fontId="68" fillId="19" borderId="0" xfId="0" applyNumberFormat="1" applyFont="1" applyFill="1" applyAlignment="1" applyProtection="1">
      <alignment horizontal="center" vertical="center" wrapText="1"/>
      <protection locked="0"/>
    </xf>
    <xf numFmtId="0" fontId="72" fillId="19" borderId="0" xfId="0" applyFont="1" applyFill="1" applyProtection="1">
      <protection locked="0"/>
    </xf>
    <xf numFmtId="0" fontId="72" fillId="19" borderId="0" xfId="0" applyFont="1" applyFill="1" applyAlignment="1" applyProtection="1">
      <alignment horizontal="center"/>
      <protection locked="0"/>
    </xf>
    <xf numFmtId="0" fontId="73" fillId="19" borderId="0" xfId="0" applyFont="1" applyFill="1" applyAlignment="1" applyProtection="1">
      <alignment horizontal="left" vertical="center"/>
      <protection locked="0"/>
    </xf>
    <xf numFmtId="165" fontId="66" fillId="19" borderId="0" xfId="0" applyNumberFormat="1" applyFont="1" applyFill="1" applyAlignment="1" applyProtection="1">
      <alignment horizontal="center" vertical="center"/>
      <protection locked="0"/>
    </xf>
    <xf numFmtId="0" fontId="68" fillId="19" borderId="0" xfId="0" applyFont="1" applyFill="1" applyAlignment="1" applyProtection="1">
      <alignment horizontal="left" vertical="center" wrapText="1"/>
      <protection locked="0"/>
    </xf>
    <xf numFmtId="0" fontId="68" fillId="19" borderId="0" xfId="0" applyFont="1" applyFill="1" applyAlignment="1" applyProtection="1">
      <alignment vertical="justify" wrapText="1"/>
      <protection locked="0"/>
    </xf>
    <xf numFmtId="0" fontId="63" fillId="0" borderId="0" xfId="0" applyFont="1" applyProtection="1">
      <protection locked="0"/>
    </xf>
    <xf numFmtId="0" fontId="48" fillId="19" borderId="0" xfId="0" applyFont="1" applyFill="1" applyAlignment="1" applyProtection="1">
      <alignment vertical="center" wrapText="1"/>
      <protection locked="0"/>
    </xf>
    <xf numFmtId="0" fontId="74" fillId="20" borderId="0" xfId="0" applyFont="1" applyFill="1" applyAlignment="1" applyProtection="1">
      <alignment horizontal="center" vertical="center" wrapText="1"/>
      <protection locked="0"/>
    </xf>
    <xf numFmtId="2" fontId="68" fillId="20" borderId="0" xfId="0" applyNumberFormat="1" applyFont="1" applyFill="1" applyAlignment="1" applyProtection="1">
      <alignment horizontal="center" vertical="center" wrapText="1"/>
      <protection hidden="1"/>
    </xf>
    <xf numFmtId="0" fontId="75" fillId="20" borderId="0" xfId="0" applyFont="1" applyFill="1" applyAlignment="1" applyProtection="1">
      <alignment horizontal="center" vertical="center" wrapText="1"/>
      <protection hidden="1"/>
    </xf>
    <xf numFmtId="0" fontId="68" fillId="20" borderId="0" xfId="0" applyFont="1" applyFill="1" applyAlignment="1" applyProtection="1">
      <alignment horizontal="center" vertical="justify" wrapText="1"/>
      <protection locked="0"/>
    </xf>
    <xf numFmtId="0" fontId="68" fillId="20" borderId="0" xfId="0" applyFont="1" applyFill="1" applyAlignment="1" applyProtection="1">
      <alignment vertical="justify" wrapText="1"/>
      <protection locked="0"/>
    </xf>
    <xf numFmtId="0" fontId="70" fillId="19" borderId="69" xfId="0" applyFont="1" applyFill="1" applyBorder="1" applyAlignment="1" applyProtection="1">
      <alignment vertical="center" wrapText="1"/>
      <protection locked="0"/>
    </xf>
    <xf numFmtId="0" fontId="69" fillId="0" borderId="33" xfId="0" applyFont="1" applyBorder="1" applyAlignment="1" applyProtection="1">
      <alignment horizontal="center" vertical="center" wrapText="1"/>
      <protection locked="0"/>
    </xf>
    <xf numFmtId="0" fontId="69" fillId="19" borderId="0" xfId="0" applyFont="1" applyFill="1" applyAlignment="1" applyProtection="1">
      <alignment horizontal="right" wrapText="1"/>
      <protection locked="0"/>
    </xf>
    <xf numFmtId="49" fontId="64" fillId="19" borderId="0" xfId="0" applyNumberFormat="1" applyFont="1" applyFill="1" applyAlignment="1" applyProtection="1">
      <alignment vertical="center" wrapText="1"/>
      <protection locked="0"/>
    </xf>
    <xf numFmtId="0" fontId="61" fillId="0" borderId="38" xfId="0" applyFont="1" applyBorder="1" applyAlignment="1">
      <alignment horizontal="left" vertical="top" wrapText="1"/>
    </xf>
    <xf numFmtId="0" fontId="61" fillId="0" borderId="33" xfId="0" applyFont="1" applyBorder="1" applyAlignment="1">
      <alignment horizontal="left" vertical="top" wrapText="1"/>
    </xf>
    <xf numFmtId="0" fontId="78" fillId="0" borderId="33" xfId="0" applyFont="1" applyBorder="1" applyAlignment="1">
      <alignment horizontal="left" vertical="top" wrapText="1"/>
    </xf>
    <xf numFmtId="0" fontId="1" fillId="0" borderId="0" xfId="0" applyFont="1" applyAlignment="1">
      <alignment vertical="center"/>
    </xf>
    <xf numFmtId="0" fontId="1" fillId="3" borderId="0" xfId="0" applyFont="1" applyFill="1" applyAlignment="1">
      <alignment vertical="center"/>
    </xf>
    <xf numFmtId="0" fontId="68" fillId="19" borderId="33" xfId="0" applyFont="1" applyFill="1" applyBorder="1" applyAlignment="1" applyProtection="1">
      <alignment horizontal="center" vertical="center" wrapText="1"/>
      <protection locked="0"/>
    </xf>
    <xf numFmtId="14" fontId="68" fillId="19" borderId="33" xfId="0" applyNumberFormat="1" applyFont="1" applyFill="1" applyBorder="1" applyAlignment="1" applyProtection="1">
      <alignment horizontal="center" vertical="center" wrapText="1"/>
      <protection locked="0"/>
    </xf>
    <xf numFmtId="164" fontId="1" fillId="0" borderId="2" xfId="1" applyNumberFormat="1" applyFont="1" applyBorder="1" applyAlignment="1">
      <alignment horizontal="center" vertical="center"/>
    </xf>
    <xf numFmtId="164" fontId="1" fillId="9" borderId="2" xfId="1" applyNumberFormat="1" applyFont="1" applyFill="1" applyBorder="1" applyAlignment="1">
      <alignment horizontal="center" vertical="center"/>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justify" vertical="center"/>
      <protection locked="0"/>
    </xf>
    <xf numFmtId="0" fontId="1" fillId="0" borderId="2" xfId="0" applyFont="1" applyBorder="1" applyAlignment="1">
      <alignment horizontal="left" vertical="center" wrapText="1"/>
    </xf>
    <xf numFmtId="14" fontId="68" fillId="0" borderId="33" xfId="0" applyNumberFormat="1" applyFont="1" applyBorder="1" applyAlignment="1" applyProtection="1">
      <alignment horizontal="center" vertical="center" wrapText="1"/>
      <protection locked="0"/>
    </xf>
    <xf numFmtId="0" fontId="68" fillId="0" borderId="33" xfId="0" applyFont="1" applyBorder="1" applyAlignment="1" applyProtection="1">
      <alignment horizontal="center" vertical="center" wrapText="1"/>
      <protection locked="0"/>
    </xf>
    <xf numFmtId="0" fontId="78" fillId="0" borderId="38" xfId="0" applyFont="1" applyBorder="1" applyAlignment="1">
      <alignment horizontal="left" vertical="top" wrapText="1"/>
    </xf>
    <xf numFmtId="14" fontId="68" fillId="0" borderId="69" xfId="0" applyNumberFormat="1" applyFont="1" applyBorder="1" applyAlignment="1" applyProtection="1">
      <alignment horizontal="right"/>
      <protection locked="0"/>
    </xf>
    <xf numFmtId="0" fontId="55" fillId="3" borderId="64" xfId="2" applyFont="1" applyFill="1" applyBorder="1" applyAlignment="1">
      <alignment horizontal="justify" vertical="center" wrapText="1"/>
    </xf>
    <xf numFmtId="0" fontId="55" fillId="3" borderId="65" xfId="2" applyFont="1" applyFill="1" applyBorder="1" applyAlignment="1">
      <alignment horizontal="justify" vertical="center" wrapText="1"/>
    </xf>
    <xf numFmtId="0" fontId="54" fillId="3" borderId="71" xfId="0" applyFont="1" applyFill="1" applyBorder="1" applyAlignment="1">
      <alignment horizontal="left" vertical="center" wrapText="1"/>
    </xf>
    <xf numFmtId="0" fontId="54" fillId="3" borderId="72" xfId="0" applyFont="1" applyFill="1" applyBorder="1" applyAlignment="1">
      <alignment horizontal="left" vertical="center" wrapText="1"/>
    </xf>
    <xf numFmtId="0" fontId="54" fillId="3" borderId="58" xfId="3" applyFont="1" applyFill="1" applyBorder="1" applyAlignment="1">
      <alignment horizontal="left" vertical="top" wrapText="1" readingOrder="1"/>
    </xf>
    <xf numFmtId="0" fontId="54" fillId="3" borderId="59" xfId="3" applyFont="1" applyFill="1" applyBorder="1" applyAlignment="1">
      <alignment horizontal="left" vertical="top" wrapText="1" readingOrder="1"/>
    </xf>
    <xf numFmtId="0" fontId="55" fillId="3" borderId="60" xfId="2" applyFont="1" applyFill="1" applyBorder="1" applyAlignment="1">
      <alignment horizontal="justify" vertical="center" wrapText="1"/>
    </xf>
    <xf numFmtId="0" fontId="55" fillId="3" borderId="61" xfId="2" applyFont="1" applyFill="1" applyBorder="1" applyAlignment="1">
      <alignment horizontal="justify" vertical="center" wrapText="1"/>
    </xf>
    <xf numFmtId="0" fontId="54" fillId="3" borderId="62" xfId="0" applyFont="1" applyFill="1" applyBorder="1" applyAlignment="1">
      <alignment horizontal="left" vertical="center" wrapText="1"/>
    </xf>
    <xf numFmtId="0" fontId="54" fillId="3" borderId="63" xfId="0" applyFont="1" applyFill="1" applyBorder="1" applyAlignment="1">
      <alignment horizontal="left"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4" fillId="3" borderId="73" xfId="0" applyFont="1" applyFill="1" applyBorder="1" applyAlignment="1">
      <alignment horizontal="left" vertical="center" wrapText="1"/>
    </xf>
    <xf numFmtId="0" fontId="54" fillId="3" borderId="74" xfId="0" applyFont="1" applyFill="1" applyBorder="1" applyAlignment="1">
      <alignment horizontal="left" vertical="center" wrapText="1"/>
    </xf>
    <xf numFmtId="0" fontId="55" fillId="3" borderId="66" xfId="0" applyFont="1" applyFill="1" applyBorder="1" applyAlignment="1">
      <alignment horizontal="justify" vertical="center" wrapText="1"/>
    </xf>
    <xf numFmtId="0" fontId="55" fillId="3" borderId="67" xfId="0" applyFont="1" applyFill="1" applyBorder="1" applyAlignment="1">
      <alignment horizontal="justify" vertical="center" wrapText="1"/>
    </xf>
    <xf numFmtId="0" fontId="62" fillId="3" borderId="48" xfId="2" applyFont="1" applyFill="1" applyBorder="1" applyAlignment="1">
      <alignment horizontal="center" vertical="center" wrapText="1"/>
    </xf>
    <xf numFmtId="0" fontId="62" fillId="3" borderId="49" xfId="2" applyFont="1" applyFill="1" applyBorder="1" applyAlignment="1">
      <alignment horizontal="center" vertical="center" wrapText="1"/>
    </xf>
    <xf numFmtId="0" fontId="62" fillId="3"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1" fillId="3" borderId="51" xfId="2" quotePrefix="1" applyFont="1" applyFill="1" applyBorder="1" applyAlignment="1">
      <alignment horizontal="left" vertical="top" wrapText="1"/>
    </xf>
    <xf numFmtId="0" fontId="52" fillId="3" borderId="52" xfId="2" quotePrefix="1" applyFont="1" applyFill="1" applyBorder="1" applyAlignment="1">
      <alignment horizontal="left" vertical="top" wrapText="1"/>
    </xf>
    <xf numFmtId="0" fontId="52"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4" fillId="14" borderId="54" xfId="3" applyFont="1" applyFill="1" applyBorder="1" applyAlignment="1">
      <alignment horizontal="center" vertical="center" wrapText="1"/>
    </xf>
    <xf numFmtId="0" fontId="54" fillId="14" borderId="55" xfId="3" applyFont="1" applyFill="1" applyBorder="1" applyAlignment="1">
      <alignment horizontal="center" vertical="center" wrapText="1"/>
    </xf>
    <xf numFmtId="0" fontId="54" fillId="14" borderId="56" xfId="2" applyFont="1" applyFill="1" applyBorder="1" applyAlignment="1">
      <alignment horizontal="center" vertical="center"/>
    </xf>
    <xf numFmtId="0" fontId="54"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49" fontId="57" fillId="16" borderId="0" xfId="0" applyNumberFormat="1" applyFont="1" applyFill="1" applyAlignment="1" applyProtection="1">
      <alignment horizontal="right" vertical="center" wrapText="1"/>
      <protection locked="0"/>
    </xf>
    <xf numFmtId="0" fontId="59" fillId="17" borderId="75" xfId="0" applyFont="1" applyFill="1" applyBorder="1" applyAlignment="1">
      <alignment horizontal="center" vertical="center" wrapText="1"/>
    </xf>
    <xf numFmtId="0" fontId="59" fillId="17" borderId="76" xfId="0" applyFont="1" applyFill="1" applyBorder="1" applyAlignment="1">
      <alignment horizontal="center" vertical="center" wrapText="1"/>
    </xf>
    <xf numFmtId="0" fontId="59" fillId="17" borderId="34" xfId="0" applyFont="1" applyFill="1" applyBorder="1" applyAlignment="1">
      <alignment horizontal="center" vertical="center" wrapText="1"/>
    </xf>
    <xf numFmtId="0" fontId="61" fillId="0" borderId="75" xfId="0" applyFont="1" applyBorder="1" applyAlignment="1">
      <alignment horizontal="left" vertical="center" wrapText="1"/>
    </xf>
    <xf numFmtId="0" fontId="61" fillId="0" borderId="34" xfId="0" applyFont="1" applyBorder="1" applyAlignment="1">
      <alignment horizontal="left" vertical="center"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49" fontId="77" fillId="19" borderId="0" xfId="0" applyNumberFormat="1" applyFont="1" applyFill="1" applyAlignment="1" applyProtection="1">
      <alignment horizontal="center" vertical="center" wrapText="1"/>
      <protection locked="0"/>
    </xf>
    <xf numFmtId="2" fontId="68" fillId="20" borderId="0" xfId="0" applyNumberFormat="1" applyFont="1" applyFill="1" applyAlignment="1" applyProtection="1">
      <alignment horizontal="center" vertical="center" wrapText="1"/>
      <protection hidden="1"/>
    </xf>
    <xf numFmtId="0" fontId="68" fillId="20" borderId="0" xfId="0" applyFont="1" applyFill="1" applyAlignment="1" applyProtection="1">
      <alignment horizontal="center" vertical="justify" wrapText="1"/>
      <protection locked="0"/>
    </xf>
    <xf numFmtId="0" fontId="76" fillId="19" borderId="0" xfId="0" applyFont="1" applyFill="1" applyAlignment="1" applyProtection="1">
      <alignment horizontal="left" vertical="top"/>
      <protection locked="0"/>
    </xf>
    <xf numFmtId="0" fontId="69" fillId="0" borderId="77" xfId="0" applyFont="1" applyBorder="1" applyAlignment="1" applyProtection="1">
      <alignment horizontal="center" vertical="center" wrapText="1"/>
      <protection locked="0"/>
    </xf>
    <xf numFmtId="0" fontId="74" fillId="20" borderId="0" xfId="0" applyFont="1" applyFill="1" applyAlignment="1" applyProtection="1">
      <alignment horizontal="center" vertical="center" wrapText="1"/>
      <protection locked="0"/>
    </xf>
    <xf numFmtId="0" fontId="69" fillId="0" borderId="78" xfId="0" applyFont="1" applyBorder="1" applyAlignment="1" applyProtection="1">
      <alignment horizontal="center" vertical="center" wrapText="1"/>
      <protection locked="0"/>
    </xf>
    <xf numFmtId="0" fontId="69" fillId="0" borderId="79" xfId="0" applyFont="1" applyBorder="1" applyAlignment="1" applyProtection="1">
      <alignment horizontal="center" vertical="center" wrapText="1"/>
      <protection locked="0"/>
    </xf>
    <xf numFmtId="0" fontId="69" fillId="0" borderId="80" xfId="0" applyFont="1" applyBorder="1" applyAlignment="1" applyProtection="1">
      <alignment horizontal="center" vertical="center" wrapText="1"/>
      <protection locked="0"/>
    </xf>
    <xf numFmtId="0" fontId="68" fillId="19" borderId="78" xfId="0" applyFont="1" applyFill="1" applyBorder="1" applyAlignment="1" applyProtection="1">
      <alignment horizontal="left" vertical="center" wrapText="1"/>
      <protection locked="0"/>
    </xf>
    <xf numFmtId="0" fontId="68" fillId="19" borderId="79" xfId="0" applyFont="1" applyFill="1" applyBorder="1" applyAlignment="1" applyProtection="1">
      <alignment horizontal="left" vertical="center" wrapText="1"/>
      <protection locked="0"/>
    </xf>
    <xf numFmtId="0" fontId="68" fillId="19" borderId="80" xfId="0" applyFont="1" applyFill="1" applyBorder="1" applyAlignment="1" applyProtection="1">
      <alignment horizontal="left" vertical="center" wrapText="1"/>
      <protection locked="0"/>
    </xf>
    <xf numFmtId="0" fontId="68" fillId="0" borderId="78" xfId="0" applyFont="1" applyBorder="1" applyAlignment="1" applyProtection="1">
      <alignment horizontal="left" vertical="center" wrapText="1"/>
      <protection locked="0"/>
    </xf>
    <xf numFmtId="0" fontId="68" fillId="0" borderId="79" xfId="0" applyFont="1" applyBorder="1" applyAlignment="1" applyProtection="1">
      <alignment horizontal="left" vertical="center" wrapText="1"/>
      <protection locked="0"/>
    </xf>
    <xf numFmtId="0" fontId="68" fillId="0" borderId="80"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1" fillId="0" borderId="4"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textRotation="90"/>
      <protection locked="0"/>
    </xf>
    <xf numFmtId="0" fontId="1" fillId="0" borderId="8"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9" fontId="1" fillId="0" borderId="4" xfId="0" applyNumberFormat="1" applyFont="1" applyBorder="1" applyAlignment="1" applyProtection="1">
      <alignment horizontal="center" vertical="center"/>
      <protection hidden="1"/>
    </xf>
    <xf numFmtId="9" fontId="1" fillId="0" borderId="8" xfId="0" applyNumberFormat="1" applyFont="1" applyBorder="1" applyAlignment="1" applyProtection="1">
      <alignment horizontal="center" vertical="center"/>
      <protection hidden="1"/>
    </xf>
    <xf numFmtId="9" fontId="1" fillId="0" borderId="5"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wrapText="1"/>
      <protection hidden="1"/>
    </xf>
    <xf numFmtId="0" fontId="4" fillId="0" borderId="8"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wrapText="1"/>
      <protection hidden="1"/>
    </xf>
    <xf numFmtId="0" fontId="4" fillId="0" borderId="4" xfId="0" applyFont="1" applyBorder="1" applyAlignment="1" applyProtection="1">
      <alignment horizontal="center" vertical="center" textRotation="90"/>
      <protection hidden="1"/>
    </xf>
    <xf numFmtId="0" fontId="4" fillId="0" borderId="8" xfId="0" applyFont="1" applyBorder="1" applyAlignment="1" applyProtection="1">
      <alignment horizontal="center" vertical="center" textRotation="90"/>
      <protection hidden="1"/>
    </xf>
    <xf numFmtId="0" fontId="4" fillId="0" borderId="5" xfId="0" applyFont="1" applyBorder="1" applyAlignment="1" applyProtection="1">
      <alignment horizontal="center" vertical="center" textRotation="90"/>
      <protection hidden="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50" fillId="0" borderId="2" xfId="0" applyFont="1" applyBorder="1" applyAlignment="1" applyProtection="1">
      <alignment horizontal="justify"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23">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C00000"/>
        </patternFill>
      </fill>
    </dxf>
    <dxf>
      <fill>
        <patternFill>
          <bgColor rgb="FF92D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FF0000"/>
        </patternFill>
      </fill>
    </dxf>
    <dxf>
      <font>
        <color rgb="FF9C0006"/>
      </font>
      <fill>
        <patternFill>
          <bgColor rgb="FFFFC7CE"/>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115454</xdr:colOff>
      <xdr:row>11</xdr:row>
      <xdr:rowOff>242454</xdr:rowOff>
    </xdr:from>
    <xdr:to>
      <xdr:col>2</xdr:col>
      <xdr:colOff>735445</xdr:colOff>
      <xdr:row>11</xdr:row>
      <xdr:rowOff>1013978</xdr:rowOff>
    </xdr:to>
    <xdr:pic>
      <xdr:nvPicPr>
        <xdr:cNvPr id="2" name="Imagen 135">
          <a:extLst>
            <a:ext uri="{FF2B5EF4-FFF2-40B4-BE49-F238E27FC236}">
              <a16:creationId xmlns:a16="http://schemas.microsoft.com/office/drawing/2014/main" id="{8A041215-B7E0-234C-BC46-44CB965B0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818" y="92363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495300</xdr:colOff>
      <xdr:row>2</xdr:row>
      <xdr:rowOff>9526</xdr:rowOff>
    </xdr:from>
    <xdr:to>
      <xdr:col>2</xdr:col>
      <xdr:colOff>2171700</xdr:colOff>
      <xdr:row>3</xdr:row>
      <xdr:rowOff>590550</xdr:rowOff>
    </xdr:to>
    <xdr:pic>
      <xdr:nvPicPr>
        <xdr:cNvPr id="2" name="Imagen 135">
          <a:extLst>
            <a:ext uri="{FF2B5EF4-FFF2-40B4-BE49-F238E27FC236}">
              <a16:creationId xmlns:a16="http://schemas.microsoft.com/office/drawing/2014/main" id="{0446CEC4-8D36-6247-8AE3-2F67F317B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800" y="39052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25400</xdr:colOff>
      <xdr:row>11</xdr:row>
      <xdr:rowOff>0</xdr:rowOff>
    </xdr:from>
    <xdr:to>
      <xdr:col>16</xdr:col>
      <xdr:colOff>320675</xdr:colOff>
      <xdr:row>11</xdr:row>
      <xdr:rowOff>304800</xdr:rowOff>
    </xdr:to>
    <xdr:sp macro="" textlink="">
      <xdr:nvSpPr>
        <xdr:cNvPr id="2" name="AutoShape 38" descr="Resultado de imagen para boton agregar icono">
          <a:extLst>
            <a:ext uri="{FF2B5EF4-FFF2-40B4-BE49-F238E27FC236}">
              <a16:creationId xmlns:a16="http://schemas.microsoft.com/office/drawing/2014/main" id="{5CCAC519-8FCC-4ECD-BBC1-191D238B5548}"/>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11</xdr:row>
      <xdr:rowOff>0</xdr:rowOff>
    </xdr:from>
    <xdr:to>
      <xdr:col>16</xdr:col>
      <xdr:colOff>320675</xdr:colOff>
      <xdr:row>11</xdr:row>
      <xdr:rowOff>304800</xdr:rowOff>
    </xdr:to>
    <xdr:sp macro="" textlink="">
      <xdr:nvSpPr>
        <xdr:cNvPr id="3" name="AutoShape 39" descr="Resultado de imagen para boton agregar icono">
          <a:extLst>
            <a:ext uri="{FF2B5EF4-FFF2-40B4-BE49-F238E27FC236}">
              <a16:creationId xmlns:a16="http://schemas.microsoft.com/office/drawing/2014/main" id="{212298C9-1C90-422A-B33A-5B9110C76EB4}"/>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11</xdr:row>
      <xdr:rowOff>0</xdr:rowOff>
    </xdr:from>
    <xdr:to>
      <xdr:col>16</xdr:col>
      <xdr:colOff>320675</xdr:colOff>
      <xdr:row>11</xdr:row>
      <xdr:rowOff>304800</xdr:rowOff>
    </xdr:to>
    <xdr:sp macro="" textlink="">
      <xdr:nvSpPr>
        <xdr:cNvPr id="4" name="AutoShape 40" descr="Resultado de imagen para boton agregar icono">
          <a:extLst>
            <a:ext uri="{FF2B5EF4-FFF2-40B4-BE49-F238E27FC236}">
              <a16:creationId xmlns:a16="http://schemas.microsoft.com/office/drawing/2014/main" id="{B5279E58-EA1A-4043-A3F3-3775086B4600}"/>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11</xdr:row>
      <xdr:rowOff>0</xdr:rowOff>
    </xdr:from>
    <xdr:to>
      <xdr:col>16</xdr:col>
      <xdr:colOff>320675</xdr:colOff>
      <xdr:row>11</xdr:row>
      <xdr:rowOff>304800</xdr:rowOff>
    </xdr:to>
    <xdr:sp macro="" textlink="">
      <xdr:nvSpPr>
        <xdr:cNvPr id="5" name="AutoShape 42" descr="Z">
          <a:extLst>
            <a:ext uri="{FF2B5EF4-FFF2-40B4-BE49-F238E27FC236}">
              <a16:creationId xmlns:a16="http://schemas.microsoft.com/office/drawing/2014/main" id="{72D5F597-052C-4F5A-9378-56A3A52B91F6}"/>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8</xdr:row>
      <xdr:rowOff>409720</xdr:rowOff>
    </xdr:to>
    <xdr:sp macro="" textlink="">
      <xdr:nvSpPr>
        <xdr:cNvPr id="6" name="Rectangle 53">
          <a:extLst>
            <a:ext uri="{FF2B5EF4-FFF2-40B4-BE49-F238E27FC236}">
              <a16:creationId xmlns:a16="http://schemas.microsoft.com/office/drawing/2014/main" id="{30F52F8A-3743-471F-A917-088E199F2384}"/>
            </a:ext>
          </a:extLst>
        </xdr:cNvPr>
        <xdr:cNvSpPr>
          <a:spLocks noChangeArrowheads="1"/>
        </xdr:cNvSpPr>
      </xdr:nvSpPr>
      <xdr:spPr bwMode="auto">
        <a:xfrm>
          <a:off x="16042105" y="5760843"/>
          <a:ext cx="0" cy="27622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0</xdr:col>
      <xdr:colOff>162791</xdr:colOff>
      <xdr:row>5</xdr:row>
      <xdr:rowOff>30018</xdr:rowOff>
    </xdr:from>
    <xdr:to>
      <xdr:col>32</xdr:col>
      <xdr:colOff>1466561</xdr:colOff>
      <xdr:row>5</xdr:row>
      <xdr:rowOff>95373</xdr:rowOff>
    </xdr:to>
    <xdr:cxnSp macro="">
      <xdr:nvCxnSpPr>
        <xdr:cNvPr id="7" name="Conector recto 6">
          <a:extLst>
            <a:ext uri="{FF2B5EF4-FFF2-40B4-BE49-F238E27FC236}">
              <a16:creationId xmlns:a16="http://schemas.microsoft.com/office/drawing/2014/main" id="{FF79EB7A-1C4D-4552-9713-538E56CE04FB}"/>
            </a:ext>
          </a:extLst>
        </xdr:cNvPr>
        <xdr:cNvCxnSpPr/>
      </xdr:nvCxnSpPr>
      <xdr:spPr>
        <a:xfrm flipV="1">
          <a:off x="162791" y="2608118"/>
          <a:ext cx="35990645" cy="6535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40409</xdr:colOff>
      <xdr:row>0</xdr:row>
      <xdr:rowOff>165101</xdr:rowOff>
    </xdr:from>
    <xdr:to>
      <xdr:col>5</xdr:col>
      <xdr:colOff>76200</xdr:colOff>
      <xdr:row>5</xdr:row>
      <xdr:rowOff>15261</xdr:rowOff>
    </xdr:to>
    <xdr:pic>
      <xdr:nvPicPr>
        <xdr:cNvPr id="8" name="Imagen 7">
          <a:extLst>
            <a:ext uri="{FF2B5EF4-FFF2-40B4-BE49-F238E27FC236}">
              <a16:creationId xmlns:a16="http://schemas.microsoft.com/office/drawing/2014/main" id="{4F137EE6-AF90-4845-9503-7974EF38A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009" y="165101"/>
          <a:ext cx="3744191" cy="125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16</xdr:col>
      <xdr:colOff>25400</xdr:colOff>
      <xdr:row>13</xdr:row>
      <xdr:rowOff>0</xdr:rowOff>
    </xdr:from>
    <xdr:ext cx="295275" cy="304800"/>
    <xdr:sp macro="" textlink="">
      <xdr:nvSpPr>
        <xdr:cNvPr id="9" name="AutoShape 38" descr="Resultado de imagen para boton agregar icono">
          <a:extLst>
            <a:ext uri="{FF2B5EF4-FFF2-40B4-BE49-F238E27FC236}">
              <a16:creationId xmlns:a16="http://schemas.microsoft.com/office/drawing/2014/main" id="{0489A489-72C3-4305-A05D-06BC15D2F60B}"/>
            </a:ext>
          </a:extLst>
        </xdr:cNvPr>
        <xdr:cNvSpPr>
          <a:spLocks noChangeAspect="1" noChangeArrowheads="1"/>
        </xdr:cNvSpPr>
      </xdr:nvSpPr>
      <xdr:spPr bwMode="auto">
        <a:xfrm>
          <a:off x="19770165" y="6611471"/>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13</xdr:row>
      <xdr:rowOff>0</xdr:rowOff>
    </xdr:from>
    <xdr:ext cx="295275" cy="304800"/>
    <xdr:sp macro="" textlink="">
      <xdr:nvSpPr>
        <xdr:cNvPr id="10" name="AutoShape 39" descr="Resultado de imagen para boton agregar icono">
          <a:extLst>
            <a:ext uri="{FF2B5EF4-FFF2-40B4-BE49-F238E27FC236}">
              <a16:creationId xmlns:a16="http://schemas.microsoft.com/office/drawing/2014/main" id="{2AD2177F-B17E-4238-B982-82230F5B7B19}"/>
            </a:ext>
          </a:extLst>
        </xdr:cNvPr>
        <xdr:cNvSpPr>
          <a:spLocks noChangeAspect="1" noChangeArrowheads="1"/>
        </xdr:cNvSpPr>
      </xdr:nvSpPr>
      <xdr:spPr bwMode="auto">
        <a:xfrm>
          <a:off x="19770165" y="6611471"/>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13</xdr:row>
      <xdr:rowOff>0</xdr:rowOff>
    </xdr:from>
    <xdr:ext cx="295275" cy="304800"/>
    <xdr:sp macro="" textlink="">
      <xdr:nvSpPr>
        <xdr:cNvPr id="11" name="AutoShape 40" descr="Resultado de imagen para boton agregar icono">
          <a:extLst>
            <a:ext uri="{FF2B5EF4-FFF2-40B4-BE49-F238E27FC236}">
              <a16:creationId xmlns:a16="http://schemas.microsoft.com/office/drawing/2014/main" id="{5A8756A9-138C-45A1-96FC-7F467E5F4BB4}"/>
            </a:ext>
          </a:extLst>
        </xdr:cNvPr>
        <xdr:cNvSpPr>
          <a:spLocks noChangeAspect="1" noChangeArrowheads="1"/>
        </xdr:cNvSpPr>
      </xdr:nvSpPr>
      <xdr:spPr bwMode="auto">
        <a:xfrm>
          <a:off x="19770165" y="6611471"/>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13</xdr:row>
      <xdr:rowOff>0</xdr:rowOff>
    </xdr:from>
    <xdr:ext cx="295275" cy="304800"/>
    <xdr:sp macro="" textlink="">
      <xdr:nvSpPr>
        <xdr:cNvPr id="12" name="AutoShape 42" descr="Z">
          <a:extLst>
            <a:ext uri="{FF2B5EF4-FFF2-40B4-BE49-F238E27FC236}">
              <a16:creationId xmlns:a16="http://schemas.microsoft.com/office/drawing/2014/main" id="{12802053-8165-4E38-ACAC-CC1B6BF7BD6A}"/>
            </a:ext>
          </a:extLst>
        </xdr:cNvPr>
        <xdr:cNvSpPr>
          <a:spLocks noChangeAspect="1" noChangeArrowheads="1"/>
        </xdr:cNvSpPr>
      </xdr:nvSpPr>
      <xdr:spPr bwMode="auto">
        <a:xfrm>
          <a:off x="19770165" y="6611471"/>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800"/>
    <xdr:sp macro="" textlink="">
      <xdr:nvSpPr>
        <xdr:cNvPr id="13" name="AutoShape 38" descr="Resultado de imagen para boton agregar icono">
          <a:extLst>
            <a:ext uri="{FF2B5EF4-FFF2-40B4-BE49-F238E27FC236}">
              <a16:creationId xmlns:a16="http://schemas.microsoft.com/office/drawing/2014/main" id="{FA4DBADE-6BE7-4E2E-B48E-686601F656B8}"/>
            </a:ext>
          </a:extLst>
        </xdr:cNvPr>
        <xdr:cNvSpPr>
          <a:spLocks noChangeAspect="1" noChangeArrowheads="1"/>
        </xdr:cNvSpPr>
      </xdr:nvSpPr>
      <xdr:spPr bwMode="auto">
        <a:xfrm>
          <a:off x="19796579" y="8164286"/>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800"/>
    <xdr:sp macro="" textlink="">
      <xdr:nvSpPr>
        <xdr:cNvPr id="14" name="AutoShape 39" descr="Resultado de imagen para boton agregar icono">
          <a:extLst>
            <a:ext uri="{FF2B5EF4-FFF2-40B4-BE49-F238E27FC236}">
              <a16:creationId xmlns:a16="http://schemas.microsoft.com/office/drawing/2014/main" id="{427F4F00-00D1-47CB-9CE7-BC7E2224BB5A}"/>
            </a:ext>
          </a:extLst>
        </xdr:cNvPr>
        <xdr:cNvSpPr>
          <a:spLocks noChangeAspect="1" noChangeArrowheads="1"/>
        </xdr:cNvSpPr>
      </xdr:nvSpPr>
      <xdr:spPr bwMode="auto">
        <a:xfrm>
          <a:off x="19796579" y="8164286"/>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800"/>
    <xdr:sp macro="" textlink="">
      <xdr:nvSpPr>
        <xdr:cNvPr id="15" name="AutoShape 40" descr="Resultado de imagen para boton agregar icono">
          <a:extLst>
            <a:ext uri="{FF2B5EF4-FFF2-40B4-BE49-F238E27FC236}">
              <a16:creationId xmlns:a16="http://schemas.microsoft.com/office/drawing/2014/main" id="{B3D6395A-03E5-4776-8DA3-D086FE0715B8}"/>
            </a:ext>
          </a:extLst>
        </xdr:cNvPr>
        <xdr:cNvSpPr>
          <a:spLocks noChangeAspect="1" noChangeArrowheads="1"/>
        </xdr:cNvSpPr>
      </xdr:nvSpPr>
      <xdr:spPr bwMode="auto">
        <a:xfrm>
          <a:off x="19796579" y="8164286"/>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800"/>
    <xdr:sp macro="" textlink="">
      <xdr:nvSpPr>
        <xdr:cNvPr id="16" name="AutoShape 42" descr="Z">
          <a:extLst>
            <a:ext uri="{FF2B5EF4-FFF2-40B4-BE49-F238E27FC236}">
              <a16:creationId xmlns:a16="http://schemas.microsoft.com/office/drawing/2014/main" id="{F34C02AD-81B9-4853-98E3-AD81C05C2044}"/>
            </a:ext>
          </a:extLst>
        </xdr:cNvPr>
        <xdr:cNvSpPr>
          <a:spLocks noChangeAspect="1" noChangeArrowheads="1"/>
        </xdr:cNvSpPr>
      </xdr:nvSpPr>
      <xdr:spPr bwMode="auto">
        <a:xfrm>
          <a:off x="19796579" y="8164286"/>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OSECAR/Downloads/2.%20Mapa%20de%20riesgos%20DIRyPLA__%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 val="_Formatos_Matriz_de_riesgos_x_2"/>
    </sheet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55"/>
  <sheetViews>
    <sheetView topLeftCell="A17" zoomScale="110" zoomScaleNormal="110" workbookViewId="0">
      <selection activeCell="B12" sqref="B12:H12"/>
    </sheetView>
  </sheetViews>
  <sheetFormatPr baseColWidth="10" defaultColWidth="11.42578125" defaultRowHeight="15" x14ac:dyDescent="0.25"/>
  <cols>
    <col min="1" max="1" width="2.85546875" style="81" customWidth="1"/>
    <col min="2" max="3" width="24.7109375" style="81" customWidth="1"/>
    <col min="4" max="4" width="16" style="81" customWidth="1"/>
    <col min="5" max="5" width="24.7109375" style="81" customWidth="1"/>
    <col min="6" max="6" width="27.7109375" style="81" customWidth="1"/>
    <col min="7" max="8" width="24.7109375" style="81" customWidth="1"/>
    <col min="9" max="16384" width="11.42578125" style="81"/>
  </cols>
  <sheetData>
    <row r="4" spans="2:8" ht="6.95" customHeight="1" thickBot="1" x14ac:dyDescent="0.3"/>
    <row r="5" spans="2:8" hidden="1" x14ac:dyDescent="0.25"/>
    <row r="6" spans="2:8" ht="15.75" hidden="1" thickBot="1" x14ac:dyDescent="0.3"/>
    <row r="7" spans="2:8" ht="15.75" hidden="1" thickBot="1" x14ac:dyDescent="0.3"/>
    <row r="8" spans="2:8" ht="0.95" hidden="1" customHeight="1" thickBot="1" x14ac:dyDescent="0.3"/>
    <row r="9" spans="2:8" ht="15.75" hidden="1" thickBot="1" x14ac:dyDescent="0.3"/>
    <row r="10" spans="2:8" ht="15.75" hidden="1" thickBot="1" x14ac:dyDescent="0.3"/>
    <row r="11" spans="2:8" ht="15.75" hidden="1" thickBot="1" x14ac:dyDescent="0.3"/>
    <row r="12" spans="2:8" ht="95.1" customHeight="1" x14ac:dyDescent="0.25">
      <c r="B12" s="200" t="s">
        <v>0</v>
      </c>
      <c r="C12" s="201"/>
      <c r="D12" s="201"/>
      <c r="E12" s="201"/>
      <c r="F12" s="201"/>
      <c r="G12" s="201"/>
      <c r="H12" s="202"/>
    </row>
    <row r="13" spans="2:8" ht="11.1" customHeight="1" x14ac:dyDescent="0.25">
      <c r="B13" s="82"/>
      <c r="C13" s="83"/>
      <c r="D13" s="83"/>
      <c r="E13" s="83"/>
      <c r="F13" s="83"/>
      <c r="G13" s="83"/>
      <c r="H13" s="84"/>
    </row>
    <row r="14" spans="2:8" ht="29.1" hidden="1" customHeight="1" x14ac:dyDescent="0.25">
      <c r="B14" s="203" t="s">
        <v>210</v>
      </c>
      <c r="C14" s="204"/>
      <c r="D14" s="204"/>
      <c r="E14" s="204"/>
      <c r="F14" s="204"/>
      <c r="G14" s="204"/>
      <c r="H14" s="205"/>
    </row>
    <row r="15" spans="2:8" ht="63" hidden="1" customHeight="1" x14ac:dyDescent="0.25">
      <c r="B15" s="206"/>
      <c r="C15" s="207"/>
      <c r="D15" s="207"/>
      <c r="E15" s="207"/>
      <c r="F15" s="207"/>
      <c r="G15" s="207"/>
      <c r="H15" s="208"/>
    </row>
    <row r="16" spans="2:8" ht="16.5" x14ac:dyDescent="0.25">
      <c r="B16" s="209" t="s">
        <v>1</v>
      </c>
      <c r="C16" s="210"/>
      <c r="D16" s="210"/>
      <c r="E16" s="210"/>
      <c r="F16" s="210"/>
      <c r="G16" s="210"/>
      <c r="H16" s="211"/>
    </row>
    <row r="17" spans="2:8" ht="95.25" customHeight="1" x14ac:dyDescent="0.25">
      <c r="B17" s="219" t="s">
        <v>2</v>
      </c>
      <c r="C17" s="220"/>
      <c r="D17" s="220"/>
      <c r="E17" s="220"/>
      <c r="F17" s="220"/>
      <c r="G17" s="220"/>
      <c r="H17" s="221"/>
    </row>
    <row r="18" spans="2:8" ht="16.5" x14ac:dyDescent="0.25">
      <c r="B18" s="118"/>
      <c r="C18" s="119"/>
      <c r="D18" s="119"/>
      <c r="E18" s="119"/>
      <c r="F18" s="119"/>
      <c r="G18" s="119"/>
      <c r="H18" s="120"/>
    </row>
    <row r="19" spans="2:8" ht="16.5" customHeight="1" x14ac:dyDescent="0.25">
      <c r="B19" s="212" t="s">
        <v>218</v>
      </c>
      <c r="C19" s="213"/>
      <c r="D19" s="213"/>
      <c r="E19" s="213"/>
      <c r="F19" s="213"/>
      <c r="G19" s="213"/>
      <c r="H19" s="214"/>
    </row>
    <row r="20" spans="2:8" ht="44.25" customHeight="1" x14ac:dyDescent="0.25">
      <c r="B20" s="212"/>
      <c r="C20" s="213"/>
      <c r="D20" s="213"/>
      <c r="E20" s="213"/>
      <c r="F20" s="213"/>
      <c r="G20" s="213"/>
      <c r="H20" s="214"/>
    </row>
    <row r="21" spans="2:8" ht="15.75" thickBot="1" x14ac:dyDescent="0.3">
      <c r="B21" s="107"/>
      <c r="C21" s="110"/>
      <c r="D21" s="115"/>
      <c r="E21" s="116"/>
      <c r="F21" s="116"/>
      <c r="G21" s="117"/>
      <c r="H21" s="111"/>
    </row>
    <row r="22" spans="2:8" ht="15.75" thickTop="1" x14ac:dyDescent="0.25">
      <c r="B22" s="107"/>
      <c r="C22" s="215" t="s">
        <v>3</v>
      </c>
      <c r="D22" s="216"/>
      <c r="E22" s="217" t="s">
        <v>4</v>
      </c>
      <c r="F22" s="218"/>
      <c r="G22" s="110"/>
      <c r="H22" s="111"/>
    </row>
    <row r="23" spans="2:8" ht="35.25" customHeight="1" x14ac:dyDescent="0.25">
      <c r="B23" s="107"/>
      <c r="C23" s="187" t="s">
        <v>5</v>
      </c>
      <c r="D23" s="188"/>
      <c r="E23" s="189" t="s">
        <v>6</v>
      </c>
      <c r="F23" s="190"/>
      <c r="G23" s="110"/>
      <c r="H23" s="111"/>
    </row>
    <row r="24" spans="2:8" ht="17.25" customHeight="1" x14ac:dyDescent="0.25">
      <c r="B24" s="107"/>
      <c r="C24" s="187" t="s">
        <v>7</v>
      </c>
      <c r="D24" s="188"/>
      <c r="E24" s="189" t="s">
        <v>8</v>
      </c>
      <c r="F24" s="190"/>
      <c r="G24" s="110"/>
      <c r="H24" s="111"/>
    </row>
    <row r="25" spans="2:8" ht="19.5" customHeight="1" x14ac:dyDescent="0.25">
      <c r="B25" s="107"/>
      <c r="C25" s="187" t="s">
        <v>9</v>
      </c>
      <c r="D25" s="188"/>
      <c r="E25" s="189" t="s">
        <v>10</v>
      </c>
      <c r="F25" s="190"/>
      <c r="G25" s="110"/>
      <c r="H25" s="111"/>
    </row>
    <row r="26" spans="2:8" ht="69.75" customHeight="1" x14ac:dyDescent="0.25">
      <c r="B26" s="107"/>
      <c r="C26" s="187" t="s">
        <v>11</v>
      </c>
      <c r="D26" s="188"/>
      <c r="E26" s="189" t="s">
        <v>12</v>
      </c>
      <c r="F26" s="190"/>
      <c r="G26" s="110"/>
      <c r="H26" s="111"/>
    </row>
    <row r="27" spans="2:8" ht="34.5" customHeight="1" x14ac:dyDescent="0.25">
      <c r="B27" s="107"/>
      <c r="C27" s="191" t="s">
        <v>13</v>
      </c>
      <c r="D27" s="192"/>
      <c r="E27" s="183" t="s">
        <v>14</v>
      </c>
      <c r="F27" s="184"/>
      <c r="G27" s="110"/>
      <c r="H27" s="111"/>
    </row>
    <row r="28" spans="2:8" ht="27.75" customHeight="1" x14ac:dyDescent="0.25">
      <c r="B28" s="107"/>
      <c r="C28" s="191" t="s">
        <v>15</v>
      </c>
      <c r="D28" s="192"/>
      <c r="E28" s="183" t="s">
        <v>16</v>
      </c>
      <c r="F28" s="184"/>
      <c r="G28" s="110"/>
      <c r="H28" s="111"/>
    </row>
    <row r="29" spans="2:8" ht="28.5" customHeight="1" x14ac:dyDescent="0.25">
      <c r="B29" s="107"/>
      <c r="C29" s="191" t="s">
        <v>17</v>
      </c>
      <c r="D29" s="192"/>
      <c r="E29" s="183" t="s">
        <v>18</v>
      </c>
      <c r="F29" s="184"/>
      <c r="G29" s="110"/>
      <c r="H29" s="111"/>
    </row>
    <row r="30" spans="2:8" ht="72.75" customHeight="1" x14ac:dyDescent="0.25">
      <c r="B30" s="107"/>
      <c r="C30" s="191" t="s">
        <v>19</v>
      </c>
      <c r="D30" s="192"/>
      <c r="E30" s="183" t="s">
        <v>20</v>
      </c>
      <c r="F30" s="184"/>
      <c r="G30" s="110"/>
      <c r="H30" s="111"/>
    </row>
    <row r="31" spans="2:8" ht="64.5" customHeight="1" x14ac:dyDescent="0.25">
      <c r="B31" s="107"/>
      <c r="C31" s="191" t="s">
        <v>21</v>
      </c>
      <c r="D31" s="192"/>
      <c r="E31" s="183" t="s">
        <v>22</v>
      </c>
      <c r="F31" s="184"/>
      <c r="G31" s="110"/>
      <c r="H31" s="111"/>
    </row>
    <row r="32" spans="2:8" ht="71.25" customHeight="1" x14ac:dyDescent="0.25">
      <c r="B32" s="107"/>
      <c r="C32" s="191" t="s">
        <v>23</v>
      </c>
      <c r="D32" s="192"/>
      <c r="E32" s="183" t="s">
        <v>24</v>
      </c>
      <c r="F32" s="184"/>
      <c r="G32" s="110"/>
      <c r="H32" s="111"/>
    </row>
    <row r="33" spans="2:8" ht="55.5" customHeight="1" x14ac:dyDescent="0.25">
      <c r="B33" s="107"/>
      <c r="C33" s="185" t="s">
        <v>25</v>
      </c>
      <c r="D33" s="186"/>
      <c r="E33" s="183" t="s">
        <v>26</v>
      </c>
      <c r="F33" s="184"/>
      <c r="G33" s="110"/>
      <c r="H33" s="111"/>
    </row>
    <row r="34" spans="2:8" ht="42" customHeight="1" x14ac:dyDescent="0.25">
      <c r="B34" s="107"/>
      <c r="C34" s="185" t="s">
        <v>27</v>
      </c>
      <c r="D34" s="186"/>
      <c r="E34" s="183" t="s">
        <v>28</v>
      </c>
      <c r="F34" s="184"/>
      <c r="G34" s="110"/>
      <c r="H34" s="111"/>
    </row>
    <row r="35" spans="2:8" ht="59.25" customHeight="1" x14ac:dyDescent="0.25">
      <c r="B35" s="107"/>
      <c r="C35" s="185" t="s">
        <v>29</v>
      </c>
      <c r="D35" s="186"/>
      <c r="E35" s="183" t="s">
        <v>30</v>
      </c>
      <c r="F35" s="184"/>
      <c r="G35" s="110"/>
      <c r="H35" s="111"/>
    </row>
    <row r="36" spans="2:8" ht="23.25" customHeight="1" x14ac:dyDescent="0.25">
      <c r="B36" s="107"/>
      <c r="C36" s="185" t="s">
        <v>31</v>
      </c>
      <c r="D36" s="186"/>
      <c r="E36" s="183" t="s">
        <v>32</v>
      </c>
      <c r="F36" s="184"/>
      <c r="G36" s="110"/>
      <c r="H36" s="111"/>
    </row>
    <row r="37" spans="2:8" ht="30.75" customHeight="1" x14ac:dyDescent="0.25">
      <c r="B37" s="107"/>
      <c r="C37" s="185" t="s">
        <v>33</v>
      </c>
      <c r="D37" s="186"/>
      <c r="E37" s="183" t="s">
        <v>34</v>
      </c>
      <c r="F37" s="184"/>
      <c r="G37" s="110"/>
      <c r="H37" s="111"/>
    </row>
    <row r="38" spans="2:8" ht="35.25" customHeight="1" x14ac:dyDescent="0.25">
      <c r="B38" s="107"/>
      <c r="C38" s="185" t="s">
        <v>35</v>
      </c>
      <c r="D38" s="186"/>
      <c r="E38" s="183" t="s">
        <v>36</v>
      </c>
      <c r="F38" s="184"/>
      <c r="G38" s="110"/>
      <c r="H38" s="111"/>
    </row>
    <row r="39" spans="2:8" ht="33" customHeight="1" x14ac:dyDescent="0.25">
      <c r="B39" s="107"/>
      <c r="C39" s="185" t="s">
        <v>35</v>
      </c>
      <c r="D39" s="186"/>
      <c r="E39" s="183" t="s">
        <v>36</v>
      </c>
      <c r="F39" s="184"/>
      <c r="G39" s="110"/>
      <c r="H39" s="111"/>
    </row>
    <row r="40" spans="2:8" ht="30" customHeight="1" x14ac:dyDescent="0.25">
      <c r="B40" s="107"/>
      <c r="C40" s="185" t="s">
        <v>37</v>
      </c>
      <c r="D40" s="186"/>
      <c r="E40" s="183" t="s">
        <v>38</v>
      </c>
      <c r="F40" s="184"/>
      <c r="G40" s="110"/>
      <c r="H40" s="111"/>
    </row>
    <row r="41" spans="2:8" ht="35.25" customHeight="1" x14ac:dyDescent="0.25">
      <c r="B41" s="107"/>
      <c r="C41" s="185" t="s">
        <v>39</v>
      </c>
      <c r="D41" s="186"/>
      <c r="E41" s="183" t="s">
        <v>40</v>
      </c>
      <c r="F41" s="184"/>
      <c r="G41" s="110"/>
      <c r="H41" s="111"/>
    </row>
    <row r="42" spans="2:8" ht="31.5" customHeight="1" x14ac:dyDescent="0.25">
      <c r="B42" s="107"/>
      <c r="C42" s="185" t="s">
        <v>41</v>
      </c>
      <c r="D42" s="186"/>
      <c r="E42" s="183" t="s">
        <v>42</v>
      </c>
      <c r="F42" s="184"/>
      <c r="G42" s="110"/>
      <c r="H42" s="111"/>
    </row>
    <row r="43" spans="2:8" ht="35.25" customHeight="1" x14ac:dyDescent="0.25">
      <c r="B43" s="107"/>
      <c r="C43" s="185" t="s">
        <v>43</v>
      </c>
      <c r="D43" s="186"/>
      <c r="E43" s="183" t="s">
        <v>44</v>
      </c>
      <c r="F43" s="184"/>
      <c r="G43" s="110"/>
      <c r="H43" s="111"/>
    </row>
    <row r="44" spans="2:8" ht="59.25" customHeight="1" x14ac:dyDescent="0.25">
      <c r="B44" s="107"/>
      <c r="C44" s="185" t="s">
        <v>45</v>
      </c>
      <c r="D44" s="186"/>
      <c r="E44" s="183" t="s">
        <v>46</v>
      </c>
      <c r="F44" s="184"/>
      <c r="G44" s="110"/>
      <c r="H44" s="111"/>
    </row>
    <row r="45" spans="2:8" ht="29.25" customHeight="1" x14ac:dyDescent="0.25">
      <c r="B45" s="107"/>
      <c r="C45" s="185" t="s">
        <v>47</v>
      </c>
      <c r="D45" s="186"/>
      <c r="E45" s="183" t="s">
        <v>48</v>
      </c>
      <c r="F45" s="184"/>
      <c r="G45" s="110"/>
      <c r="H45" s="111"/>
    </row>
    <row r="46" spans="2:8" ht="82.5" customHeight="1" x14ac:dyDescent="0.25">
      <c r="B46" s="107"/>
      <c r="C46" s="185" t="s">
        <v>49</v>
      </c>
      <c r="D46" s="186"/>
      <c r="E46" s="183" t="s">
        <v>50</v>
      </c>
      <c r="F46" s="184"/>
      <c r="G46" s="110"/>
      <c r="H46" s="111"/>
    </row>
    <row r="47" spans="2:8" ht="46.5" customHeight="1" x14ac:dyDescent="0.25">
      <c r="B47" s="107"/>
      <c r="C47" s="185" t="s">
        <v>51</v>
      </c>
      <c r="D47" s="186"/>
      <c r="E47" s="183" t="s">
        <v>52</v>
      </c>
      <c r="F47" s="184"/>
      <c r="G47" s="110"/>
      <c r="H47" s="111"/>
    </row>
    <row r="48" spans="2:8" ht="6.75" customHeight="1" thickBot="1" x14ac:dyDescent="0.3">
      <c r="B48" s="107"/>
      <c r="C48" s="196"/>
      <c r="D48" s="197"/>
      <c r="E48" s="198"/>
      <c r="F48" s="199"/>
      <c r="G48" s="110"/>
      <c r="H48" s="111"/>
    </row>
    <row r="49" spans="2:8" ht="15.75" thickTop="1" x14ac:dyDescent="0.25">
      <c r="B49" s="107"/>
      <c r="C49" s="108"/>
      <c r="D49" s="108"/>
      <c r="E49" s="109"/>
      <c r="F49" s="109"/>
      <c r="G49" s="110"/>
      <c r="H49" s="111"/>
    </row>
    <row r="50" spans="2:8" ht="21" customHeight="1" x14ac:dyDescent="0.25">
      <c r="B50" s="193" t="s">
        <v>53</v>
      </c>
      <c r="C50" s="194"/>
      <c r="D50" s="194"/>
      <c r="E50" s="194"/>
      <c r="F50" s="194"/>
      <c r="G50" s="194"/>
      <c r="H50" s="195"/>
    </row>
    <row r="51" spans="2:8" ht="20.25" customHeight="1" x14ac:dyDescent="0.25">
      <c r="B51" s="193" t="s">
        <v>54</v>
      </c>
      <c r="C51" s="194"/>
      <c r="D51" s="194"/>
      <c r="E51" s="194"/>
      <c r="F51" s="194"/>
      <c r="G51" s="194"/>
      <c r="H51" s="195"/>
    </row>
    <row r="52" spans="2:8" ht="20.25" customHeight="1" x14ac:dyDescent="0.25">
      <c r="B52" s="193" t="s">
        <v>55</v>
      </c>
      <c r="C52" s="194"/>
      <c r="D52" s="194"/>
      <c r="E52" s="194"/>
      <c r="F52" s="194"/>
      <c r="G52" s="194"/>
      <c r="H52" s="195"/>
    </row>
    <row r="53" spans="2:8" ht="20.25" customHeight="1" x14ac:dyDescent="0.25">
      <c r="B53" s="193" t="s">
        <v>56</v>
      </c>
      <c r="C53" s="194"/>
      <c r="D53" s="194"/>
      <c r="E53" s="194"/>
      <c r="F53" s="194"/>
      <c r="G53" s="194"/>
      <c r="H53" s="195"/>
    </row>
    <row r="54" spans="2:8" x14ac:dyDescent="0.25">
      <c r="B54" s="193" t="s">
        <v>57</v>
      </c>
      <c r="C54" s="194"/>
      <c r="D54" s="194"/>
      <c r="E54" s="194"/>
      <c r="F54" s="194"/>
      <c r="G54" s="194"/>
      <c r="H54" s="195"/>
    </row>
    <row r="55" spans="2:8" ht="15.75" thickBot="1" x14ac:dyDescent="0.3">
      <c r="B55" s="112"/>
      <c r="C55" s="113"/>
      <c r="D55" s="113"/>
      <c r="E55" s="113"/>
      <c r="F55" s="113"/>
      <c r="G55" s="113"/>
      <c r="H55" s="114"/>
    </row>
  </sheetData>
  <mergeCells count="64">
    <mergeCell ref="B12:H12"/>
    <mergeCell ref="B14:H15"/>
    <mergeCell ref="B16:H16"/>
    <mergeCell ref="B19:H20"/>
    <mergeCell ref="C22:D22"/>
    <mergeCell ref="E22:F22"/>
    <mergeCell ref="B17:H17"/>
    <mergeCell ref="C23:D23"/>
    <mergeCell ref="E23:F23"/>
    <mergeCell ref="C27:D27"/>
    <mergeCell ref="E27:F27"/>
    <mergeCell ref="C31:D31"/>
    <mergeCell ref="C28:D28"/>
    <mergeCell ref="C29:D29"/>
    <mergeCell ref="C30:D30"/>
    <mergeCell ref="E28:F28"/>
    <mergeCell ref="E29:F29"/>
    <mergeCell ref="E30:F30"/>
    <mergeCell ref="E31:F31"/>
    <mergeCell ref="B52:H52"/>
    <mergeCell ref="B53:H53"/>
    <mergeCell ref="B54:H54"/>
    <mergeCell ref="E33:F33"/>
    <mergeCell ref="C33:D33"/>
    <mergeCell ref="C34:D34"/>
    <mergeCell ref="E34:F34"/>
    <mergeCell ref="C36:D36"/>
    <mergeCell ref="E36:F36"/>
    <mergeCell ref="E44:F44"/>
    <mergeCell ref="C42:D42"/>
    <mergeCell ref="C41:D41"/>
    <mergeCell ref="E41:F41"/>
    <mergeCell ref="E42:F42"/>
    <mergeCell ref="C37:D37"/>
    <mergeCell ref="E37:F37"/>
    <mergeCell ref="C43:D43"/>
    <mergeCell ref="B50:H50"/>
    <mergeCell ref="C39:D39"/>
    <mergeCell ref="E39:F39"/>
    <mergeCell ref="C40:D40"/>
    <mergeCell ref="E40:F40"/>
    <mergeCell ref="E43:F43"/>
    <mergeCell ref="C44:D44"/>
    <mergeCell ref="C45:D45"/>
    <mergeCell ref="E45:F45"/>
    <mergeCell ref="C46:D46"/>
    <mergeCell ref="E46:F46"/>
    <mergeCell ref="B51:H51"/>
    <mergeCell ref="C48:D48"/>
    <mergeCell ref="E48:F48"/>
    <mergeCell ref="C47:D47"/>
    <mergeCell ref="E47:F47"/>
    <mergeCell ref="E38:F38"/>
    <mergeCell ref="C38:D38"/>
    <mergeCell ref="C26:D26"/>
    <mergeCell ref="E26:F26"/>
    <mergeCell ref="C24:D24"/>
    <mergeCell ref="E24:F24"/>
    <mergeCell ref="C25:D25"/>
    <mergeCell ref="E25:F25"/>
    <mergeCell ref="E32:F32"/>
    <mergeCell ref="C32:D32"/>
    <mergeCell ref="C35:D35"/>
    <mergeCell ref="E35:F3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164</v>
      </c>
    </row>
    <row r="4" spans="1:1" x14ac:dyDescent="0.2">
      <c r="A4" s="9" t="s">
        <v>166</v>
      </c>
    </row>
    <row r="5" spans="1:1" x14ac:dyDescent="0.2">
      <c r="A5" s="9" t="s">
        <v>168</v>
      </c>
    </row>
    <row r="6" spans="1:1" x14ac:dyDescent="0.2">
      <c r="A6" s="9" t="s">
        <v>170</v>
      </c>
    </row>
    <row r="7" spans="1:1" x14ac:dyDescent="0.2">
      <c r="A7" s="9" t="s">
        <v>172</v>
      </c>
    </row>
    <row r="8" spans="1:1" x14ac:dyDescent="0.2">
      <c r="A8" s="9" t="s">
        <v>175</v>
      </c>
    </row>
    <row r="9" spans="1:1" x14ac:dyDescent="0.2">
      <c r="A9" s="9" t="s">
        <v>178</v>
      </c>
    </row>
    <row r="10" spans="1:1" x14ac:dyDescent="0.2">
      <c r="A10" s="9" t="s">
        <v>180</v>
      </c>
    </row>
    <row r="11" spans="1:1" x14ac:dyDescent="0.2">
      <c r="A11" s="9" t="s">
        <v>182</v>
      </c>
    </row>
    <row r="12" spans="1:1" x14ac:dyDescent="0.2">
      <c r="A12" s="9" t="s">
        <v>206</v>
      </c>
    </row>
    <row r="13" spans="1:1" x14ac:dyDescent="0.2">
      <c r="A13" s="9" t="s">
        <v>207</v>
      </c>
    </row>
    <row r="14" spans="1:1" x14ac:dyDescent="0.2">
      <c r="A14" s="9" t="s">
        <v>208</v>
      </c>
    </row>
    <row r="16" spans="1:1" x14ac:dyDescent="0.2">
      <c r="A16" s="9" t="s">
        <v>209</v>
      </c>
    </row>
    <row r="17" spans="1:1" x14ac:dyDescent="0.2">
      <c r="A17" s="9" t="s">
        <v>189</v>
      </c>
    </row>
    <row r="18" spans="1:1" x14ac:dyDescent="0.2">
      <c r="A18" s="9" t="s">
        <v>191</v>
      </c>
    </row>
    <row r="20" spans="1:1" x14ac:dyDescent="0.2">
      <c r="A20" s="9" t="s">
        <v>197</v>
      </c>
    </row>
    <row r="21" spans="1:1" x14ac:dyDescent="0.2">
      <c r="A21" s="9"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D14"/>
  <sheetViews>
    <sheetView showGridLines="0" workbookViewId="0">
      <selection activeCell="D10" sqref="D10"/>
    </sheetView>
  </sheetViews>
  <sheetFormatPr baseColWidth="10" defaultRowHeight="15" x14ac:dyDescent="0.25"/>
  <cols>
    <col min="3" max="3" width="46.42578125" customWidth="1"/>
    <col min="4" max="4" width="58" customWidth="1"/>
  </cols>
  <sheetData>
    <row r="4" spans="2:4" ht="52.5" customHeight="1" x14ac:dyDescent="0.25">
      <c r="B4" s="222" t="s">
        <v>211</v>
      </c>
      <c r="C4" s="222"/>
      <c r="D4" s="222"/>
    </row>
    <row r="5" spans="2:4" ht="6.75" customHeight="1" x14ac:dyDescent="0.25">
      <c r="D5" s="121"/>
    </row>
    <row r="6" spans="2:4" ht="15" customHeight="1" x14ac:dyDescent="0.25">
      <c r="B6" s="223" t="s">
        <v>212</v>
      </c>
      <c r="C6" s="122" t="s">
        <v>213</v>
      </c>
      <c r="D6" s="122" t="s">
        <v>214</v>
      </c>
    </row>
    <row r="7" spans="2:4" ht="60.75" x14ac:dyDescent="0.25">
      <c r="B7" s="224"/>
      <c r="C7" s="159" t="s">
        <v>230</v>
      </c>
      <c r="D7" s="157" t="s">
        <v>231</v>
      </c>
    </row>
    <row r="8" spans="2:4" ht="60.75" x14ac:dyDescent="0.25">
      <c r="B8" s="224"/>
      <c r="C8" s="158" t="s">
        <v>232</v>
      </c>
      <c r="D8" s="181" t="s">
        <v>264</v>
      </c>
    </row>
    <row r="9" spans="2:4" ht="40.5" x14ac:dyDescent="0.25">
      <c r="B9" s="224"/>
      <c r="C9" s="158" t="s">
        <v>233</v>
      </c>
      <c r="D9" s="181" t="s">
        <v>234</v>
      </c>
    </row>
    <row r="10" spans="2:4" ht="81" x14ac:dyDescent="0.25">
      <c r="B10" s="224"/>
      <c r="C10" s="226" t="s">
        <v>235</v>
      </c>
      <c r="D10" s="157" t="s">
        <v>265</v>
      </c>
    </row>
    <row r="11" spans="2:4" ht="40.5" x14ac:dyDescent="0.25">
      <c r="B11" s="224"/>
      <c r="C11" s="227"/>
      <c r="D11" s="181" t="s">
        <v>266</v>
      </c>
    </row>
    <row r="12" spans="2:4" ht="15.75" customHeight="1" x14ac:dyDescent="0.25">
      <c r="B12" s="223" t="s">
        <v>215</v>
      </c>
      <c r="C12" s="122" t="s">
        <v>216</v>
      </c>
      <c r="D12" s="122" t="s">
        <v>217</v>
      </c>
    </row>
    <row r="13" spans="2:4" ht="40.5" x14ac:dyDescent="0.25">
      <c r="B13" s="224"/>
      <c r="C13" s="159" t="s">
        <v>237</v>
      </c>
      <c r="D13" s="181" t="s">
        <v>267</v>
      </c>
    </row>
    <row r="14" spans="2:4" ht="81" x14ac:dyDescent="0.25">
      <c r="B14" s="225"/>
      <c r="C14" s="159" t="s">
        <v>236</v>
      </c>
      <c r="D14" s="181" t="s">
        <v>268</v>
      </c>
    </row>
  </sheetData>
  <mergeCells count="4">
    <mergeCell ref="B4:D4"/>
    <mergeCell ref="B6:B11"/>
    <mergeCell ref="B12:B14"/>
    <mergeCell ref="C10:C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P76"/>
  <sheetViews>
    <sheetView showGridLines="0" tabSelected="1" topLeftCell="A13" zoomScale="110" zoomScaleNormal="110" workbookViewId="0">
      <selection activeCell="C20" sqref="C20:N20"/>
    </sheetView>
  </sheetViews>
  <sheetFormatPr baseColWidth="10" defaultColWidth="11.42578125" defaultRowHeight="16.5" x14ac:dyDescent="0.3"/>
  <cols>
    <col min="1" max="1" width="4" style="2" bestFit="1" customWidth="1"/>
    <col min="2" max="2" width="14.140625" style="2" customWidth="1"/>
    <col min="3" max="3" width="28.28515625" style="2" customWidth="1"/>
    <col min="4" max="4" width="16.140625" style="2" customWidth="1"/>
    <col min="5" max="5" width="32.42578125" style="1" customWidth="1"/>
    <col min="6" max="6" width="19" style="4"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2.7109375" style="1" customWidth="1"/>
    <col min="15" max="15" width="21.7109375" style="1" customWidth="1"/>
    <col min="16" max="16" width="56.28515625" style="1" customWidth="1"/>
    <col min="17" max="17" width="15.140625" style="1" bestFit="1" customWidth="1"/>
    <col min="18" max="18" width="6.85546875" style="1" customWidth="1"/>
    <col min="19" max="19" width="12"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27.7109375" style="1" customWidth="1"/>
    <col min="34" max="34" width="14.85546875" style="1" customWidth="1"/>
    <col min="35" max="35" width="18.42578125" style="1" customWidth="1"/>
    <col min="36" max="36" width="21" style="1" customWidth="1"/>
    <col min="37" max="16384" width="11.42578125" style="1"/>
  </cols>
  <sheetData>
    <row r="1" spans="1:68" ht="36.950000000000003" customHeight="1" x14ac:dyDescent="0.3">
      <c r="A1" s="291" t="s">
        <v>229</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125" t="s">
        <v>219</v>
      </c>
      <c r="AG1" s="130" t="s">
        <v>220</v>
      </c>
      <c r="AH1" s="156"/>
      <c r="AI1" s="156"/>
      <c r="AJ1" s="156"/>
      <c r="AK1" s="156"/>
      <c r="AL1" s="123"/>
      <c r="AM1" s="123"/>
      <c r="AN1" s="123"/>
      <c r="AO1" s="123"/>
      <c r="AP1" s="124"/>
      <c r="AQ1" s="124"/>
      <c r="AR1" s="124"/>
      <c r="AS1" s="124"/>
      <c r="AT1" s="124"/>
      <c r="AU1" s="124"/>
      <c r="AV1" s="124"/>
      <c r="AW1" s="124"/>
      <c r="AX1" s="124"/>
      <c r="AY1" s="124"/>
      <c r="AZ1" s="124"/>
    </row>
    <row r="2" spans="1:68" x14ac:dyDescent="0.3">
      <c r="A2" s="291"/>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125" t="s">
        <v>221</v>
      </c>
      <c r="AG2" s="130">
        <v>5</v>
      </c>
      <c r="AH2" s="126"/>
      <c r="AI2" s="127"/>
      <c r="AJ2" s="127"/>
      <c r="AK2" s="128"/>
      <c r="AL2" s="127"/>
      <c r="AM2" s="127"/>
      <c r="AN2" s="124"/>
      <c r="AO2" s="129"/>
      <c r="AP2" s="124"/>
      <c r="AQ2" s="124"/>
      <c r="AR2" s="124"/>
      <c r="AS2" s="124"/>
      <c r="AT2" s="124"/>
      <c r="AU2" s="124"/>
      <c r="AV2" s="124"/>
      <c r="AW2" s="124"/>
      <c r="AX2" s="124"/>
      <c r="AY2" s="124"/>
      <c r="AZ2" s="124"/>
    </row>
    <row r="3" spans="1:68" x14ac:dyDescent="0.3">
      <c r="A3" s="291"/>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125" t="s">
        <v>222</v>
      </c>
      <c r="AG3" s="182" t="s">
        <v>263</v>
      </c>
      <c r="AH3" s="126"/>
      <c r="AI3" s="127"/>
      <c r="AJ3" s="127"/>
      <c r="AK3" s="128"/>
      <c r="AL3" s="127"/>
      <c r="AM3" s="127"/>
      <c r="AN3" s="124"/>
      <c r="AO3" s="129"/>
      <c r="AP3" s="124"/>
      <c r="AQ3" s="124"/>
      <c r="AR3" s="124"/>
      <c r="AS3" s="124"/>
      <c r="AT3" s="124"/>
      <c r="AU3" s="124"/>
      <c r="AV3" s="124"/>
      <c r="AW3" s="124"/>
      <c r="AX3" s="124"/>
      <c r="AY3" s="124"/>
      <c r="AZ3" s="124"/>
    </row>
    <row r="4" spans="1:68" ht="15.95" customHeight="1" x14ac:dyDescent="0.3">
      <c r="A4" s="291"/>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133" t="s">
        <v>223</v>
      </c>
      <c r="AG4" s="132">
        <v>209905</v>
      </c>
      <c r="AH4" s="126"/>
      <c r="AI4" s="127"/>
      <c r="AJ4" s="127"/>
      <c r="AK4" s="128"/>
      <c r="AL4" s="127"/>
      <c r="AM4" s="127"/>
      <c r="AN4" s="124"/>
      <c r="AO4" s="129"/>
      <c r="AP4" s="124"/>
      <c r="AQ4" s="124"/>
      <c r="AR4" s="124"/>
      <c r="AS4" s="124"/>
      <c r="AT4" s="124"/>
      <c r="AU4" s="124"/>
      <c r="AV4" s="124"/>
      <c r="AW4" s="124"/>
      <c r="AX4" s="124"/>
      <c r="AY4" s="124"/>
      <c r="AZ4" s="124"/>
    </row>
    <row r="5" spans="1:68" ht="24" customHeight="1" x14ac:dyDescent="0.3">
      <c r="A5" s="291"/>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H5" s="126"/>
      <c r="AI5" s="127"/>
      <c r="AJ5" s="127"/>
      <c r="AK5" s="128"/>
      <c r="AL5" s="127"/>
      <c r="AM5" s="127"/>
      <c r="AN5" s="124"/>
      <c r="AO5" s="129"/>
      <c r="AP5" s="124"/>
      <c r="AQ5" s="124"/>
      <c r="AR5" s="124"/>
      <c r="AS5" s="124"/>
      <c r="AT5" s="124"/>
      <c r="AU5" s="124"/>
      <c r="AV5" s="124"/>
      <c r="AW5" s="124"/>
      <c r="AX5" s="124"/>
      <c r="AY5" s="124"/>
      <c r="AZ5" s="124"/>
    </row>
    <row r="6" spans="1:68" x14ac:dyDescent="0.3">
      <c r="A6" s="131"/>
      <c r="B6" s="131"/>
      <c r="C6" s="155"/>
      <c r="D6" s="132"/>
      <c r="E6" s="132"/>
      <c r="F6" s="132"/>
      <c r="G6" s="132"/>
      <c r="H6" s="132"/>
      <c r="I6" s="132"/>
      <c r="J6" s="132"/>
      <c r="K6" s="153"/>
      <c r="L6" s="132"/>
      <c r="M6" s="124"/>
      <c r="N6" s="124"/>
      <c r="O6" s="124"/>
      <c r="P6" s="132"/>
      <c r="Q6" s="131"/>
      <c r="R6" s="131"/>
      <c r="S6" s="131"/>
      <c r="T6" s="134"/>
      <c r="U6" s="134"/>
      <c r="V6" s="134"/>
      <c r="W6" s="134"/>
      <c r="X6" s="134"/>
      <c r="Y6" s="134"/>
      <c r="Z6" s="134"/>
      <c r="AA6" s="135"/>
      <c r="AB6" s="135"/>
      <c r="AC6" s="135"/>
      <c r="AD6" s="135"/>
      <c r="AE6" s="135"/>
      <c r="AH6" s="136"/>
      <c r="AI6" s="137"/>
      <c r="AJ6" s="137"/>
      <c r="AK6" s="137"/>
      <c r="AL6" s="137"/>
      <c r="AM6" s="137"/>
      <c r="AN6" s="138"/>
      <c r="AO6" s="138"/>
      <c r="AP6" s="138"/>
      <c r="AQ6" s="138"/>
      <c r="AR6" s="135"/>
      <c r="AS6" s="135"/>
      <c r="AT6" s="135"/>
      <c r="AU6" s="135"/>
      <c r="AV6" s="135"/>
      <c r="AW6" s="135"/>
      <c r="AX6" s="135"/>
      <c r="AY6" s="135"/>
      <c r="AZ6" s="135"/>
    </row>
    <row r="7" spans="1:68" ht="27.95" customHeight="1" x14ac:dyDescent="0.3">
      <c r="A7" s="142"/>
      <c r="B7" s="142"/>
      <c r="C7" s="124"/>
      <c r="D7" s="124"/>
      <c r="E7" s="124"/>
      <c r="F7" s="124"/>
      <c r="G7" s="124"/>
      <c r="H7" s="124"/>
      <c r="I7" s="124"/>
      <c r="J7" s="124"/>
      <c r="L7" s="124"/>
      <c r="M7" s="124"/>
      <c r="N7" s="295" t="s">
        <v>224</v>
      </c>
      <c r="O7" s="295"/>
      <c r="P7" s="295"/>
      <c r="Q7" s="295"/>
      <c r="R7" s="295"/>
      <c r="S7" s="295"/>
      <c r="T7" s="125"/>
      <c r="U7" s="125"/>
      <c r="V7" s="125"/>
      <c r="W7" s="125"/>
      <c r="X7" s="125"/>
      <c r="Y7" s="125"/>
      <c r="Z7" s="125"/>
      <c r="AA7" s="139"/>
      <c r="AB7" s="139"/>
      <c r="AC7" s="139"/>
      <c r="AD7" s="139"/>
      <c r="AE7" s="139"/>
      <c r="AF7" s="139"/>
      <c r="AG7" s="139"/>
      <c r="AH7" s="126"/>
      <c r="AI7" s="127"/>
      <c r="AJ7" s="127"/>
      <c r="AK7" s="127"/>
      <c r="AL7" s="127"/>
      <c r="AM7" s="127"/>
      <c r="AN7" s="140">
        <v>0</v>
      </c>
      <c r="AO7" s="141"/>
      <c r="AP7" s="140"/>
      <c r="AQ7" s="140"/>
      <c r="AR7" s="124"/>
      <c r="AS7" s="124"/>
      <c r="AT7" s="124"/>
      <c r="AU7" s="124"/>
      <c r="AV7" s="124"/>
      <c r="AW7" s="124"/>
      <c r="AX7" s="124"/>
      <c r="AY7" s="124"/>
      <c r="AZ7" s="124"/>
    </row>
    <row r="8" spans="1:68" ht="16.5" customHeight="1" x14ac:dyDescent="0.3">
      <c r="A8" s="142"/>
      <c r="B8" s="142"/>
      <c r="C8" s="124"/>
      <c r="D8" s="124"/>
      <c r="E8" s="124"/>
      <c r="F8" s="124"/>
      <c r="G8" s="124"/>
      <c r="H8" s="124"/>
      <c r="I8" s="124"/>
      <c r="J8" s="124"/>
      <c r="L8" s="124"/>
      <c r="M8" s="124"/>
      <c r="N8" s="154" t="s">
        <v>225</v>
      </c>
      <c r="O8" s="154" t="s">
        <v>226</v>
      </c>
      <c r="P8" s="297" t="s">
        <v>227</v>
      </c>
      <c r="Q8" s="298"/>
      <c r="R8" s="298"/>
      <c r="S8" s="299"/>
      <c r="T8" s="125"/>
      <c r="U8" s="125"/>
      <c r="V8" s="125"/>
      <c r="W8" s="125"/>
      <c r="X8" s="125"/>
      <c r="Y8" s="125"/>
      <c r="Z8" s="125"/>
      <c r="AA8" s="139"/>
      <c r="AB8" s="139"/>
      <c r="AC8" s="139"/>
      <c r="AD8" s="139"/>
      <c r="AE8" s="139"/>
      <c r="AF8" s="139"/>
      <c r="AG8" s="139"/>
      <c r="AH8" s="126"/>
      <c r="AI8" s="127"/>
      <c r="AJ8" s="127"/>
      <c r="AK8" s="127"/>
      <c r="AL8" s="127"/>
      <c r="AM8" s="127"/>
      <c r="AN8" s="140">
        <v>0</v>
      </c>
      <c r="AO8" s="141"/>
      <c r="AP8" s="140"/>
      <c r="AQ8" s="140"/>
      <c r="AR8" s="124"/>
      <c r="AS8" s="124"/>
      <c r="AT8" s="124"/>
      <c r="AU8" s="124"/>
      <c r="AV8" s="124"/>
      <c r="AW8" s="124"/>
      <c r="AX8" s="124"/>
      <c r="AY8" s="124"/>
      <c r="AZ8" s="124"/>
    </row>
    <row r="9" spans="1:68" ht="70.5" customHeight="1" x14ac:dyDescent="0.3">
      <c r="A9" s="142"/>
      <c r="B9" s="142"/>
      <c r="C9" s="124"/>
      <c r="D9" s="124"/>
      <c r="E9" s="124"/>
      <c r="F9" s="124"/>
      <c r="G9" s="124"/>
      <c r="H9" s="124"/>
      <c r="I9" s="124"/>
      <c r="J9" s="124"/>
      <c r="L9" s="124"/>
      <c r="M9" s="124"/>
      <c r="N9" s="162">
        <v>1</v>
      </c>
      <c r="O9" s="163">
        <v>43098</v>
      </c>
      <c r="P9" s="300" t="s">
        <v>238</v>
      </c>
      <c r="Q9" s="301"/>
      <c r="R9" s="301"/>
      <c r="S9" s="302"/>
      <c r="T9" s="125"/>
      <c r="U9" s="125"/>
      <c r="V9" s="125"/>
      <c r="W9" s="296"/>
      <c r="X9" s="296"/>
      <c r="Y9" s="296"/>
      <c r="Z9" s="296"/>
      <c r="AA9" s="296"/>
      <c r="AB9" s="296"/>
      <c r="AC9" s="148"/>
      <c r="AD9" s="148"/>
      <c r="AE9" s="148"/>
      <c r="AF9" s="124"/>
      <c r="AG9" s="124"/>
      <c r="AH9" s="126"/>
      <c r="AI9" s="127"/>
      <c r="AJ9" s="127"/>
      <c r="AK9" s="127"/>
      <c r="AL9" s="127"/>
      <c r="AM9" s="127"/>
      <c r="AN9" s="140">
        <v>0</v>
      </c>
      <c r="AO9" s="141"/>
      <c r="AP9" s="140"/>
      <c r="AQ9" s="140"/>
      <c r="AR9" s="124"/>
      <c r="AS9" s="124"/>
      <c r="AT9" s="124"/>
      <c r="AU9" s="124"/>
      <c r="AV9" s="124"/>
      <c r="AW9" s="124"/>
      <c r="AX9" s="124"/>
      <c r="AY9" s="124"/>
      <c r="AZ9" s="124"/>
    </row>
    <row r="10" spans="1:68" ht="111" customHeight="1" x14ac:dyDescent="0.3">
      <c r="A10" s="142"/>
      <c r="B10" s="142"/>
      <c r="C10" s="124"/>
      <c r="D10" s="124"/>
      <c r="E10" s="124"/>
      <c r="F10" s="124"/>
      <c r="G10" s="124"/>
      <c r="H10" s="124"/>
      <c r="I10" s="124"/>
      <c r="J10" s="124"/>
      <c r="L10" s="125"/>
      <c r="M10" s="125"/>
      <c r="N10" s="162">
        <v>2</v>
      </c>
      <c r="O10" s="163">
        <v>43826</v>
      </c>
      <c r="P10" s="300" t="s">
        <v>239</v>
      </c>
      <c r="Q10" s="301"/>
      <c r="R10" s="301"/>
      <c r="S10" s="302"/>
      <c r="T10" s="125"/>
      <c r="U10" s="125"/>
      <c r="V10" s="125"/>
      <c r="W10" s="292"/>
      <c r="X10" s="292"/>
      <c r="Y10" s="292"/>
      <c r="Z10" s="292"/>
      <c r="AA10" s="292"/>
      <c r="AB10" s="292"/>
      <c r="AC10" s="149"/>
      <c r="AD10" s="149"/>
      <c r="AE10" s="150"/>
      <c r="AF10" s="124"/>
      <c r="AG10" s="124"/>
      <c r="AH10" s="126"/>
      <c r="AI10" s="127"/>
      <c r="AJ10" s="127"/>
      <c r="AK10" s="127"/>
      <c r="AL10" s="127"/>
      <c r="AM10" s="127"/>
      <c r="AN10" s="140">
        <v>0</v>
      </c>
      <c r="AO10" s="141"/>
      <c r="AP10" s="140"/>
      <c r="AQ10" s="140"/>
      <c r="AR10" s="124"/>
      <c r="AS10" s="124"/>
      <c r="AT10" s="124"/>
      <c r="AU10" s="124"/>
      <c r="AV10" s="124"/>
      <c r="AW10" s="124"/>
      <c r="AX10" s="124"/>
      <c r="AY10" s="124"/>
      <c r="AZ10" s="124"/>
    </row>
    <row r="11" spans="1:68" ht="89.25" customHeight="1" x14ac:dyDescent="0.3">
      <c r="A11" s="142"/>
      <c r="B11" s="142"/>
      <c r="C11" s="124"/>
      <c r="D11" s="124"/>
      <c r="E11" s="124"/>
      <c r="F11" s="124"/>
      <c r="G11" s="124"/>
      <c r="H11" s="124"/>
      <c r="I11" s="124"/>
      <c r="J11" s="124"/>
      <c r="L11" s="125"/>
      <c r="M11" s="125"/>
      <c r="N11" s="162">
        <v>3</v>
      </c>
      <c r="O11" s="163">
        <v>44273</v>
      </c>
      <c r="P11" s="300" t="s">
        <v>240</v>
      </c>
      <c r="Q11" s="301"/>
      <c r="R11" s="301"/>
      <c r="S11" s="302"/>
      <c r="T11" s="125"/>
      <c r="U11" s="125"/>
      <c r="V11" s="125"/>
      <c r="W11" s="149"/>
      <c r="X11" s="149"/>
      <c r="Y11" s="149"/>
      <c r="Z11" s="149"/>
      <c r="AA11" s="149"/>
      <c r="AB11" s="149"/>
      <c r="AC11" s="149"/>
      <c r="AD11" s="149"/>
      <c r="AE11" s="150"/>
      <c r="AF11" s="124"/>
      <c r="AG11" s="124"/>
      <c r="AH11" s="126"/>
      <c r="AI11" s="127"/>
      <c r="AJ11" s="127"/>
      <c r="AK11" s="127"/>
      <c r="AL11" s="127"/>
      <c r="AM11" s="127"/>
      <c r="AN11" s="140"/>
      <c r="AO11" s="141"/>
      <c r="AP11" s="140"/>
      <c r="AQ11" s="140"/>
      <c r="AR11" s="124"/>
      <c r="AS11" s="124"/>
      <c r="AT11" s="124"/>
      <c r="AU11" s="124"/>
      <c r="AV11" s="124"/>
      <c r="AW11" s="124"/>
      <c r="AX11" s="124"/>
      <c r="AY11" s="124"/>
      <c r="AZ11" s="124"/>
    </row>
    <row r="12" spans="1:68" ht="102" customHeight="1" x14ac:dyDescent="0.3">
      <c r="A12" s="142"/>
      <c r="B12" s="142"/>
      <c r="C12" s="142"/>
      <c r="D12" s="142"/>
      <c r="E12" s="142"/>
      <c r="F12" s="124"/>
      <c r="G12" s="124"/>
      <c r="H12" s="124"/>
      <c r="I12" s="144"/>
      <c r="J12" s="144"/>
      <c r="K12" s="125"/>
      <c r="L12" s="125"/>
      <c r="M12" s="125"/>
      <c r="N12" s="162">
        <v>4</v>
      </c>
      <c r="O12" s="179">
        <v>44679</v>
      </c>
      <c r="P12" s="303" t="s">
        <v>260</v>
      </c>
      <c r="Q12" s="304"/>
      <c r="R12" s="304"/>
      <c r="S12" s="305"/>
      <c r="T12" s="125"/>
      <c r="U12" s="125"/>
      <c r="V12" s="125"/>
      <c r="W12" s="293"/>
      <c r="X12" s="293"/>
      <c r="Y12" s="293"/>
      <c r="Z12" s="293"/>
      <c r="AA12" s="293"/>
      <c r="AB12" s="293"/>
      <c r="AC12" s="151"/>
      <c r="AD12" s="151"/>
      <c r="AE12" s="152"/>
      <c r="AF12" s="145"/>
      <c r="AG12" s="139"/>
      <c r="AH12" s="126"/>
      <c r="AI12" s="127"/>
      <c r="AJ12" s="127"/>
      <c r="AK12" s="127"/>
      <c r="AL12" s="127"/>
      <c r="AM12" s="127"/>
      <c r="AN12" s="140">
        <v>0</v>
      </c>
      <c r="AO12" s="141"/>
      <c r="AP12" s="140"/>
      <c r="AQ12" s="140"/>
      <c r="AR12" s="124"/>
      <c r="AS12" s="124"/>
      <c r="AT12" s="124"/>
      <c r="AU12" s="124"/>
      <c r="AV12" s="124"/>
      <c r="AW12" s="124"/>
      <c r="AX12" s="124"/>
      <c r="AY12" s="124"/>
      <c r="AZ12" s="124"/>
    </row>
    <row r="13" spans="1:68" ht="102" customHeight="1" x14ac:dyDescent="0.3">
      <c r="A13" s="142"/>
      <c r="B13" s="142"/>
      <c r="C13" s="142"/>
      <c r="D13" s="142"/>
      <c r="E13" s="142"/>
      <c r="F13" s="124"/>
      <c r="G13" s="124"/>
      <c r="H13" s="124"/>
      <c r="I13" s="144"/>
      <c r="J13" s="144"/>
      <c r="K13" s="125"/>
      <c r="L13" s="125"/>
      <c r="M13" s="125"/>
      <c r="N13" s="180">
        <v>5</v>
      </c>
      <c r="O13" s="179">
        <v>44804</v>
      </c>
      <c r="P13" s="303" t="s">
        <v>262</v>
      </c>
      <c r="Q13" s="304"/>
      <c r="R13" s="304"/>
      <c r="S13" s="305"/>
      <c r="T13" s="125"/>
      <c r="U13" s="125"/>
      <c r="V13" s="125"/>
      <c r="W13" s="151"/>
      <c r="X13" s="151"/>
      <c r="Y13" s="151"/>
      <c r="Z13" s="151"/>
      <c r="AA13" s="151"/>
      <c r="AB13" s="151"/>
      <c r="AC13" s="151"/>
      <c r="AD13" s="151"/>
      <c r="AE13" s="152"/>
      <c r="AF13" s="145"/>
      <c r="AG13" s="139"/>
      <c r="AH13" s="126"/>
      <c r="AI13" s="127"/>
      <c r="AJ13" s="127"/>
      <c r="AK13" s="127"/>
      <c r="AL13" s="127"/>
      <c r="AM13" s="127"/>
      <c r="AN13" s="140"/>
      <c r="AO13" s="141"/>
      <c r="AP13" s="140"/>
      <c r="AQ13" s="140"/>
      <c r="AR13" s="124"/>
      <c r="AS13" s="124"/>
      <c r="AT13" s="124"/>
      <c r="AU13" s="124"/>
      <c r="AV13" s="124"/>
      <c r="AW13" s="124"/>
      <c r="AX13" s="124"/>
      <c r="AY13" s="124"/>
      <c r="AZ13" s="124"/>
    </row>
    <row r="14" spans="1:68" ht="84" customHeight="1" x14ac:dyDescent="0.3">
      <c r="A14" s="142"/>
      <c r="B14" s="142"/>
      <c r="C14" s="142"/>
      <c r="D14" s="142"/>
      <c r="E14" s="142"/>
      <c r="F14" s="124"/>
      <c r="G14" s="124"/>
      <c r="H14" s="124"/>
      <c r="I14" s="144"/>
      <c r="J14" s="144"/>
      <c r="K14" s="125"/>
      <c r="L14" s="125"/>
      <c r="M14" s="125"/>
      <c r="N14" s="180">
        <v>6</v>
      </c>
      <c r="O14" s="179">
        <v>45272</v>
      </c>
      <c r="P14" s="303" t="s">
        <v>270</v>
      </c>
      <c r="Q14" s="304"/>
      <c r="R14" s="304"/>
      <c r="S14" s="305"/>
      <c r="T14" s="125"/>
      <c r="U14" s="125"/>
      <c r="V14" s="125"/>
      <c r="W14" s="151"/>
      <c r="X14" s="151"/>
      <c r="Y14" s="151"/>
      <c r="Z14" s="151"/>
      <c r="AA14" s="151"/>
      <c r="AB14" s="151"/>
      <c r="AC14" s="151"/>
      <c r="AD14" s="151"/>
      <c r="AE14" s="152"/>
      <c r="AF14" s="145"/>
      <c r="AG14" s="139"/>
      <c r="AH14" s="126"/>
      <c r="AI14" s="127"/>
      <c r="AJ14" s="127"/>
      <c r="AK14" s="127"/>
      <c r="AL14" s="127"/>
      <c r="AM14" s="127"/>
      <c r="AN14" s="140"/>
      <c r="AO14" s="141"/>
      <c r="AP14" s="140"/>
      <c r="AQ14" s="140"/>
      <c r="AR14" s="124"/>
      <c r="AS14" s="124"/>
      <c r="AT14" s="124"/>
      <c r="AU14" s="124"/>
      <c r="AV14" s="124"/>
      <c r="AW14" s="124"/>
      <c r="AX14" s="124"/>
      <c r="AY14" s="124"/>
      <c r="AZ14" s="124"/>
    </row>
    <row r="15" spans="1:68" ht="18.75" x14ac:dyDescent="0.3">
      <c r="A15" s="294" t="s">
        <v>228</v>
      </c>
      <c r="B15" s="294"/>
      <c r="C15" s="294"/>
      <c r="D15" s="294"/>
      <c r="E15" s="294"/>
      <c r="F15" s="294"/>
      <c r="G15" s="294"/>
      <c r="H15" s="294"/>
      <c r="I15" s="294"/>
      <c r="J15" s="294"/>
      <c r="K15" s="125"/>
      <c r="L15" s="125"/>
      <c r="M15" s="125"/>
      <c r="N15" s="125"/>
      <c r="O15" s="143"/>
      <c r="P15" s="125"/>
      <c r="Q15" s="125"/>
      <c r="R15" s="125"/>
      <c r="S15" s="125"/>
      <c r="T15" s="125"/>
      <c r="U15" s="125"/>
      <c r="V15" s="125"/>
      <c r="W15" s="139"/>
      <c r="X15" s="139"/>
      <c r="Y15" s="139"/>
      <c r="Z15" s="139"/>
      <c r="AA15" s="139"/>
      <c r="AB15" s="146"/>
      <c r="AC15" s="146"/>
      <c r="AD15" s="146"/>
      <c r="AE15" s="146"/>
      <c r="AF15" s="147"/>
      <c r="AG15" s="147"/>
      <c r="AH15" s="127"/>
      <c r="AI15" s="127"/>
      <c r="AJ15" s="127"/>
      <c r="AK15" s="127"/>
      <c r="AL15" s="127"/>
      <c r="AM15" s="128"/>
      <c r="AN15" s="140"/>
      <c r="AO15" s="140"/>
      <c r="AP15" s="124"/>
      <c r="AQ15" s="124"/>
      <c r="AR15" s="124"/>
      <c r="AS15" s="124"/>
      <c r="AT15" s="124"/>
      <c r="AU15" s="124"/>
      <c r="AV15" s="124"/>
      <c r="AW15" s="124"/>
      <c r="AX15" s="124"/>
      <c r="AY15" s="124"/>
      <c r="AZ15" s="124"/>
    </row>
    <row r="16" spans="1:68" ht="16.5" customHeight="1" x14ac:dyDescent="0.3">
      <c r="A16" s="232"/>
      <c r="B16" s="233"/>
      <c r="C16" s="233"/>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4"/>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row>
    <row r="17" spans="1:68" ht="24" customHeight="1" x14ac:dyDescent="0.3">
      <c r="A17" s="235"/>
      <c r="B17" s="236"/>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row>
    <row r="18" spans="1:68" x14ac:dyDescent="0.3">
      <c r="A18" s="26"/>
      <c r="B18" s="27"/>
      <c r="C18" s="26"/>
      <c r="D18" s="26"/>
      <c r="E18" s="7"/>
      <c r="F18" s="25"/>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row>
    <row r="19" spans="1:68" ht="26.25" customHeight="1" x14ac:dyDescent="0.3">
      <c r="A19" s="273" t="s">
        <v>58</v>
      </c>
      <c r="B19" s="274"/>
      <c r="C19" s="228" t="s">
        <v>241</v>
      </c>
      <c r="D19" s="229"/>
      <c r="E19" s="229"/>
      <c r="F19" s="229"/>
      <c r="G19" s="229"/>
      <c r="H19" s="229"/>
      <c r="I19" s="229"/>
      <c r="J19" s="229"/>
      <c r="K19" s="229"/>
      <c r="L19" s="229"/>
      <c r="M19" s="229"/>
      <c r="N19" s="230"/>
      <c r="O19" s="231"/>
      <c r="P19" s="231"/>
      <c r="Q19" s="231"/>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row>
    <row r="20" spans="1:68" ht="38.25" customHeight="1" x14ac:dyDescent="0.3">
      <c r="A20" s="273" t="s">
        <v>59</v>
      </c>
      <c r="B20" s="274"/>
      <c r="C20" s="283" t="s">
        <v>242</v>
      </c>
      <c r="D20" s="284"/>
      <c r="E20" s="284"/>
      <c r="F20" s="284"/>
      <c r="G20" s="284"/>
      <c r="H20" s="284"/>
      <c r="I20" s="284"/>
      <c r="J20" s="284"/>
      <c r="K20" s="284"/>
      <c r="L20" s="284"/>
      <c r="M20" s="284"/>
      <c r="N20" s="285"/>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row>
    <row r="21" spans="1:68" ht="49.5" customHeight="1" x14ac:dyDescent="0.3">
      <c r="A21" s="273" t="s">
        <v>60</v>
      </c>
      <c r="B21" s="274"/>
      <c r="C21" s="283" t="s">
        <v>243</v>
      </c>
      <c r="D21" s="284"/>
      <c r="E21" s="284"/>
      <c r="F21" s="284"/>
      <c r="G21" s="284"/>
      <c r="H21" s="284"/>
      <c r="I21" s="284"/>
      <c r="J21" s="284"/>
      <c r="K21" s="284"/>
      <c r="L21" s="284"/>
      <c r="M21" s="284"/>
      <c r="N21" s="285"/>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row>
    <row r="22" spans="1:68" x14ac:dyDescent="0.3">
      <c r="A22" s="238" t="s">
        <v>61</v>
      </c>
      <c r="B22" s="239"/>
      <c r="C22" s="239"/>
      <c r="D22" s="239"/>
      <c r="E22" s="239"/>
      <c r="F22" s="239"/>
      <c r="G22" s="240"/>
      <c r="H22" s="238" t="s">
        <v>62</v>
      </c>
      <c r="I22" s="239"/>
      <c r="J22" s="239"/>
      <c r="K22" s="239"/>
      <c r="L22" s="239"/>
      <c r="M22" s="239"/>
      <c r="N22" s="240"/>
      <c r="O22" s="238" t="s">
        <v>63</v>
      </c>
      <c r="P22" s="239"/>
      <c r="Q22" s="239"/>
      <c r="R22" s="239"/>
      <c r="S22" s="239"/>
      <c r="T22" s="239"/>
      <c r="U22" s="239"/>
      <c r="V22" s="239"/>
      <c r="W22" s="240"/>
      <c r="X22" s="238" t="s">
        <v>64</v>
      </c>
      <c r="Y22" s="239"/>
      <c r="Z22" s="239"/>
      <c r="AA22" s="239"/>
      <c r="AB22" s="239"/>
      <c r="AC22" s="239"/>
      <c r="AD22" s="240"/>
      <c r="AE22" s="238" t="s">
        <v>65</v>
      </c>
      <c r="AF22" s="239"/>
      <c r="AG22" s="239"/>
      <c r="AH22" s="239"/>
      <c r="AI22" s="239"/>
      <c r="AJ22" s="240"/>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row>
    <row r="23" spans="1:68" ht="16.5" customHeight="1" x14ac:dyDescent="0.3">
      <c r="A23" s="275" t="s">
        <v>66</v>
      </c>
      <c r="B23" s="280" t="s">
        <v>13</v>
      </c>
      <c r="C23" s="278" t="s">
        <v>15</v>
      </c>
      <c r="D23" s="278" t="s">
        <v>17</v>
      </c>
      <c r="E23" s="279" t="s">
        <v>19</v>
      </c>
      <c r="F23" s="277" t="s">
        <v>21</v>
      </c>
      <c r="G23" s="278" t="s">
        <v>67</v>
      </c>
      <c r="H23" s="287" t="s">
        <v>68</v>
      </c>
      <c r="I23" s="288" t="s">
        <v>69</v>
      </c>
      <c r="J23" s="277" t="s">
        <v>70</v>
      </c>
      <c r="K23" s="277" t="s">
        <v>71</v>
      </c>
      <c r="L23" s="290" t="s">
        <v>72</v>
      </c>
      <c r="M23" s="288" t="s">
        <v>69</v>
      </c>
      <c r="N23" s="278" t="s">
        <v>27</v>
      </c>
      <c r="O23" s="281" t="s">
        <v>73</v>
      </c>
      <c r="P23" s="272" t="s">
        <v>29</v>
      </c>
      <c r="Q23" s="277" t="s">
        <v>31</v>
      </c>
      <c r="R23" s="272" t="s">
        <v>74</v>
      </c>
      <c r="S23" s="272"/>
      <c r="T23" s="272"/>
      <c r="U23" s="272"/>
      <c r="V23" s="272"/>
      <c r="W23" s="272"/>
      <c r="X23" s="286" t="s">
        <v>75</v>
      </c>
      <c r="Y23" s="286" t="s">
        <v>76</v>
      </c>
      <c r="Z23" s="286" t="s">
        <v>69</v>
      </c>
      <c r="AA23" s="286" t="s">
        <v>77</v>
      </c>
      <c r="AB23" s="286" t="s">
        <v>69</v>
      </c>
      <c r="AC23" s="286" t="s">
        <v>78</v>
      </c>
      <c r="AD23" s="281" t="s">
        <v>47</v>
      </c>
      <c r="AE23" s="272" t="s">
        <v>65</v>
      </c>
      <c r="AF23" s="272" t="s">
        <v>79</v>
      </c>
      <c r="AG23" s="272" t="s">
        <v>80</v>
      </c>
      <c r="AH23" s="272" t="s">
        <v>81</v>
      </c>
      <c r="AI23" s="272" t="s">
        <v>82</v>
      </c>
      <c r="AJ23" s="272" t="s">
        <v>51</v>
      </c>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row>
    <row r="24" spans="1:68" s="3" customFormat="1" ht="94.5" customHeight="1" x14ac:dyDescent="0.25">
      <c r="A24" s="276"/>
      <c r="B24" s="280"/>
      <c r="C24" s="272"/>
      <c r="D24" s="272"/>
      <c r="E24" s="280"/>
      <c r="F24" s="278"/>
      <c r="G24" s="272"/>
      <c r="H24" s="278"/>
      <c r="I24" s="289"/>
      <c r="J24" s="278"/>
      <c r="K24" s="278"/>
      <c r="L24" s="289"/>
      <c r="M24" s="289"/>
      <c r="N24" s="272"/>
      <c r="O24" s="282"/>
      <c r="P24" s="272"/>
      <c r="Q24" s="278"/>
      <c r="R24" s="6" t="s">
        <v>83</v>
      </c>
      <c r="S24" s="6" t="s">
        <v>84</v>
      </c>
      <c r="T24" s="6" t="s">
        <v>85</v>
      </c>
      <c r="U24" s="6" t="s">
        <v>86</v>
      </c>
      <c r="V24" s="6" t="s">
        <v>87</v>
      </c>
      <c r="W24" s="6" t="s">
        <v>88</v>
      </c>
      <c r="X24" s="286"/>
      <c r="Y24" s="286"/>
      <c r="Z24" s="286"/>
      <c r="AA24" s="286"/>
      <c r="AB24" s="286"/>
      <c r="AC24" s="286"/>
      <c r="AD24" s="282"/>
      <c r="AE24" s="272"/>
      <c r="AF24" s="272"/>
      <c r="AG24" s="272"/>
      <c r="AH24" s="272"/>
      <c r="AI24" s="272"/>
      <c r="AJ24" s="272"/>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row>
    <row r="25" spans="1:68" s="160" customFormat="1" ht="138.75" customHeight="1" x14ac:dyDescent="0.25">
      <c r="A25" s="250">
        <v>1</v>
      </c>
      <c r="B25" s="253" t="s">
        <v>194</v>
      </c>
      <c r="C25" s="178" t="s">
        <v>244</v>
      </c>
      <c r="D25" s="253" t="s">
        <v>247</v>
      </c>
      <c r="E25" s="270" t="s">
        <v>248</v>
      </c>
      <c r="F25" s="253" t="s">
        <v>200</v>
      </c>
      <c r="G25" s="259">
        <v>365</v>
      </c>
      <c r="H25" s="262" t="str">
        <f>IF(G25&lt;=0,"",IF(G25&lt;=2,"Muy Baja",IF(G25&lt;=24,"Baja",IF(G25&lt;=500,"Media",IF(G25&lt;=5000,"Alta","Muy Alta")))))</f>
        <v>Media</v>
      </c>
      <c r="I25" s="244">
        <f>IF(H25="","",IF(H25="Muy Baja",0.2,IF(H25="Baja",0.4,IF(H25="Media",0.6,IF(H25="Alta",0.8,IF(H25="Muy Alta",1,))))))</f>
        <v>0.6</v>
      </c>
      <c r="J25" s="265" t="s">
        <v>148</v>
      </c>
      <c r="K25" s="244" t="str">
        <f>IF(NOT(ISERROR(MATCH(J25,'Tabla Impacto'!$B$221:$B$223,0))),'Tabla Impacto'!$F$223&amp;"Por favor no seleccionar los criterios de impacto(Afectación Económica o presupuestal y Pérdida Reputacional)",J25)</f>
        <v xml:space="preserve">     El riesgo afecta la imagen de la entidad con algunos usuarios de relevancia frente al logro de los objetivos</v>
      </c>
      <c r="L25" s="262" t="str">
        <f>IF(OR(K25='Tabla Impacto'!$C$11,K25='Tabla Impacto'!$D$11),"Leve",IF(OR(K25='Tabla Impacto'!$C$12,K25='Tabla Impacto'!$D$12),"Menor",IF(OR(K25='Tabla Impacto'!$C$13,K25='Tabla Impacto'!$D$13),"Moderado",IF(OR(K25='Tabla Impacto'!$C$14,K25='Tabla Impacto'!$D$14),"Mayor",IF(OR(K25='Tabla Impacto'!$C$15,K25='Tabla Impacto'!$D$15),"Catastrófico","")))))</f>
        <v>Moderado</v>
      </c>
      <c r="M25" s="244">
        <f>IF(L25="","",IF(L25="Leve",0.2,IF(L25="Menor",0.4,IF(L25="Moderado",0.6,IF(L25="Mayor",0.8,IF(L25="Catastrófico",1,))))))</f>
        <v>0.6</v>
      </c>
      <c r="N25" s="247" t="str">
        <f>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Moderado</v>
      </c>
      <c r="O25" s="250">
        <v>1</v>
      </c>
      <c r="P25" s="306" t="s">
        <v>261</v>
      </c>
      <c r="Q25" s="309" t="str">
        <f>IF(OR(R25="Preventivo",R25="Detectivo"),"Probabilidad",IF(R25="Correctivo","Impacto",""))</f>
        <v>Probabilidad</v>
      </c>
      <c r="R25" s="312" t="s">
        <v>164</v>
      </c>
      <c r="S25" s="312" t="s">
        <v>172</v>
      </c>
      <c r="T25" s="315" t="str">
        <f>IF(AND(R25="Preventivo",S25="Automático"),"50%",IF(AND(R25="Preventivo",S25="Manual"),"40%",IF(AND(R25="Detectivo",S25="Automático"),"40%",IF(AND(R25="Detectivo",S25="Manual"),"30%",IF(AND(R25="Correctivo",S25="Automático"),"35%",IF(AND(R25="Correctivo",S25="Manual"),"25%",""))))))</f>
        <v>40%</v>
      </c>
      <c r="U25" s="312" t="s">
        <v>178</v>
      </c>
      <c r="V25" s="312" t="s">
        <v>180</v>
      </c>
      <c r="W25" s="312" t="s">
        <v>184</v>
      </c>
      <c r="X25" s="164">
        <f>IFERROR(IF(Q25="Probabilidad",(I25-(+I25*T25)),IF(Q25="Impacto",I25,"")),"")</f>
        <v>0.36</v>
      </c>
      <c r="Y25" s="318" t="str">
        <f>IFERROR(IF(X25="","",IF(X25&lt;=0.2,"Muy Baja",IF(X25&lt;=0.4,"Baja",IF(X25&lt;=0.6,"Media",IF(X25&lt;=0.8,"Alta","Muy Alta"))))),"")</f>
        <v>Baja</v>
      </c>
      <c r="Z25" s="315">
        <f>+X25</f>
        <v>0.36</v>
      </c>
      <c r="AA25" s="318" t="str">
        <f>IFERROR(IF(AB25="","",IF(AB25&lt;=0.2,"Leve",IF(AB25&lt;=0.4,"Menor",IF(AB25&lt;=0.6,"Moderado",IF(AB25&lt;=0.8,"Mayor","Catastrófico"))))),"")</f>
        <v>Moderado</v>
      </c>
      <c r="AB25" s="315">
        <f>IFERROR(IF(Q25="Impacto",(M25-(+M25*T25)),IF(Q25="Probabilidad",M25,"")),"")</f>
        <v>0.6</v>
      </c>
      <c r="AC25" s="32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Moderado</v>
      </c>
      <c r="AD25" s="312" t="s">
        <v>189</v>
      </c>
      <c r="AE25" s="312"/>
      <c r="AF25" s="312"/>
      <c r="AG25" s="312"/>
      <c r="AH25" s="312"/>
      <c r="AI25" s="312"/>
      <c r="AJ25" s="312"/>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1"/>
    </row>
    <row r="26" spans="1:68" s="160" customFormat="1" ht="41.25" customHeight="1" x14ac:dyDescent="0.25">
      <c r="A26" s="251"/>
      <c r="B26" s="254"/>
      <c r="C26" s="178" t="s">
        <v>245</v>
      </c>
      <c r="D26" s="254"/>
      <c r="E26" s="271"/>
      <c r="F26" s="254"/>
      <c r="G26" s="260"/>
      <c r="H26" s="263"/>
      <c r="I26" s="245"/>
      <c r="J26" s="266"/>
      <c r="K26" s="245">
        <f>IF(NOT(ISERROR(MATCH(J26,_xlfn.ANCHORARRAY(E30),0))),#REF!&amp;"Por favor no seleccionar los criterios de impacto",J26)</f>
        <v>0</v>
      </c>
      <c r="L26" s="263"/>
      <c r="M26" s="245"/>
      <c r="N26" s="248"/>
      <c r="O26" s="251"/>
      <c r="P26" s="307"/>
      <c r="Q26" s="310"/>
      <c r="R26" s="313"/>
      <c r="S26" s="313"/>
      <c r="T26" s="316"/>
      <c r="U26" s="313"/>
      <c r="V26" s="313"/>
      <c r="W26" s="313"/>
      <c r="X26" s="164" t="str">
        <f>IFERROR(IF(AND(Q25="Probabilidad",Q26="Probabilidad"),(Z25-(+Z25*T26)),IF(Q26="Probabilidad",(I25-(+I25*T26)),IF(Q26="Impacto",Z25,""))),"")</f>
        <v/>
      </c>
      <c r="Y26" s="319"/>
      <c r="Z26" s="316"/>
      <c r="AA26" s="319"/>
      <c r="AB26" s="316"/>
      <c r="AC26" s="322"/>
      <c r="AD26" s="313"/>
      <c r="AE26" s="313"/>
      <c r="AF26" s="313"/>
      <c r="AG26" s="313"/>
      <c r="AH26" s="313"/>
      <c r="AI26" s="313"/>
      <c r="AJ26" s="313"/>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c r="BL26" s="161"/>
      <c r="BM26" s="161"/>
      <c r="BN26" s="161"/>
      <c r="BO26" s="161"/>
      <c r="BP26" s="161"/>
    </row>
    <row r="27" spans="1:68" s="160" customFormat="1" ht="107.25" customHeight="1" x14ac:dyDescent="0.25">
      <c r="A27" s="251"/>
      <c r="B27" s="254"/>
      <c r="C27" s="178" t="s">
        <v>246</v>
      </c>
      <c r="D27" s="254"/>
      <c r="E27" s="271"/>
      <c r="F27" s="254"/>
      <c r="G27" s="260"/>
      <c r="H27" s="263"/>
      <c r="I27" s="245"/>
      <c r="J27" s="266"/>
      <c r="K27" s="245">
        <f>IF(NOT(ISERROR(MATCH(J27,_xlfn.ANCHORARRAY(E31),0))),#REF!&amp;"Por favor no seleccionar los criterios de impacto",J27)</f>
        <v>0</v>
      </c>
      <c r="L27" s="263"/>
      <c r="M27" s="245"/>
      <c r="N27" s="248"/>
      <c r="O27" s="252"/>
      <c r="P27" s="308"/>
      <c r="Q27" s="311"/>
      <c r="R27" s="314"/>
      <c r="S27" s="314"/>
      <c r="T27" s="317"/>
      <c r="U27" s="314"/>
      <c r="V27" s="314"/>
      <c r="W27" s="314"/>
      <c r="X27" s="164" t="str">
        <f>IFERROR(IF(AND(Q26="Probabilidad",Q27="Probabilidad"),(Z26-(+Z26*T27)),IF(AND(Q26="Impacto",Q27="Probabilidad"),(Z25-(+Z25*T27)),IF(Q27="Impacto",Z26,""))),"")</f>
        <v/>
      </c>
      <c r="Y27" s="320"/>
      <c r="Z27" s="317"/>
      <c r="AA27" s="320"/>
      <c r="AB27" s="317"/>
      <c r="AC27" s="323"/>
      <c r="AD27" s="314"/>
      <c r="AE27" s="314"/>
      <c r="AF27" s="314"/>
      <c r="AG27" s="314"/>
      <c r="AH27" s="314"/>
      <c r="AI27" s="314"/>
      <c r="AJ27" s="314"/>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row>
    <row r="28" spans="1:68" s="160" customFormat="1" ht="183" customHeight="1" x14ac:dyDescent="0.25">
      <c r="A28" s="250">
        <v>2</v>
      </c>
      <c r="B28" s="253" t="s">
        <v>194</v>
      </c>
      <c r="C28" s="178" t="s">
        <v>249</v>
      </c>
      <c r="D28" s="253" t="s">
        <v>251</v>
      </c>
      <c r="E28" s="270" t="s">
        <v>252</v>
      </c>
      <c r="F28" s="253" t="s">
        <v>200</v>
      </c>
      <c r="G28" s="259">
        <v>200</v>
      </c>
      <c r="H28" s="262" t="str">
        <f>IF(G28&lt;=0,"",IF(G28&lt;=2,"Muy Baja",IF(G28&lt;=24,"Baja",IF(G28&lt;=500,"Media",IF(G28&lt;=5000,"Alta","Muy Alta")))))</f>
        <v>Media</v>
      </c>
      <c r="I28" s="244">
        <f>IF(H28="","",IF(H28="Muy Baja",0.2,IF(H28="Baja",0.4,IF(H28="Media",0.6,IF(H28="Alta",0.8,IF(H28="Muy Alta",1,))))))</f>
        <v>0.6</v>
      </c>
      <c r="J28" s="265" t="s">
        <v>148</v>
      </c>
      <c r="K28" s="244" t="str">
        <f>IF(NOT(ISERROR(MATCH(J28,'Tabla Impacto'!$B$221:$B$223,0))),'Tabla Impacto'!$F$223&amp;"Por favor no seleccionar los criterios de impacto(Afectación Económica o presupuestal y Pérdida Reputacional)",J28)</f>
        <v xml:space="preserve">     El riesgo afecta la imagen de la entidad con algunos usuarios de relevancia frente al logro de los objetivos</v>
      </c>
      <c r="L28" s="262" t="str">
        <f>IF(OR(K28='Tabla Impacto'!$C$11,K28='Tabla Impacto'!$D$11),"Leve",IF(OR(K28='Tabla Impacto'!$C$12,K28='Tabla Impacto'!$D$12),"Menor",IF(OR(K28='Tabla Impacto'!$C$13,K28='Tabla Impacto'!$D$13),"Moderado",IF(OR(K28='Tabla Impacto'!$C$14,K28='Tabla Impacto'!$D$14),"Mayor",IF(OR(K28='Tabla Impacto'!$C$15,K28='Tabla Impacto'!$D$15),"Catastrófico","")))))</f>
        <v>Moderado</v>
      </c>
      <c r="M28" s="244">
        <f>IF(L28="","",IF(L28="Leve",0.2,IF(L28="Menor",0.4,IF(L28="Moderado",0.6,IF(L28="Mayor",0.8,IF(L28="Catastrófico",1,))))))</f>
        <v>0.6</v>
      </c>
      <c r="N28" s="247"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Moderado</v>
      </c>
      <c r="O28" s="5">
        <v>1</v>
      </c>
      <c r="P28" s="166" t="s">
        <v>253</v>
      </c>
      <c r="Q28" s="167" t="str">
        <f t="shared" ref="Q28:Q34" si="0">IF(OR(R28="Preventivo",R28="Detectivo"),"Probabilidad",IF(R28="Correctivo","Impacto",""))</f>
        <v>Probabilidad</v>
      </c>
      <c r="R28" s="168" t="s">
        <v>164</v>
      </c>
      <c r="S28" s="168" t="s">
        <v>172</v>
      </c>
      <c r="T28" s="169" t="str">
        <f>IF(AND(R28="Preventivo",S28="Automático"),"50%",IF(AND(R28="Preventivo",S28="Manual"),"40%",IF(AND(R28="Detectivo",S28="Automático"),"40%",IF(AND(R28="Detectivo",S28="Manual"),"30%",IF(AND(R28="Correctivo",S28="Automático"),"35%",IF(AND(R28="Correctivo",S28="Manual"),"25%",""))))))</f>
        <v>40%</v>
      </c>
      <c r="U28" s="168" t="s">
        <v>175</v>
      </c>
      <c r="V28" s="168" t="s">
        <v>180</v>
      </c>
      <c r="W28" s="168" t="s">
        <v>184</v>
      </c>
      <c r="X28" s="164">
        <f>IFERROR(IF(Q28="Probabilidad",(I28-(+I28*T28)),IF(Q28="Impacto",I28,"")),"")</f>
        <v>0.36</v>
      </c>
      <c r="Y28" s="170" t="str">
        <f>IFERROR(IF(X28="","",IF(X28&lt;=0.2,"Muy Baja",IF(X28&lt;=0.4,"Baja",IF(X28&lt;=0.6,"Media",IF(X28&lt;=0.8,"Alta","Muy Alta"))))),"")</f>
        <v>Baja</v>
      </c>
      <c r="Z28" s="171">
        <f>+X28</f>
        <v>0.36</v>
      </c>
      <c r="AA28" s="170" t="str">
        <f>IFERROR(IF(AB28="","",IF(AB28&lt;=0.2,"Leve",IF(AB28&lt;=0.4,"Menor",IF(AB28&lt;=0.6,"Moderado",IF(AB28&lt;=0.8,"Mayor","Catastrófico"))))),"")</f>
        <v>Moderado</v>
      </c>
      <c r="AB28" s="171">
        <f>IFERROR(IF(Q28="Impacto",(M28-(+M28*T28)),IF(Q28="Probabilidad",M28,"")),"")</f>
        <v>0.6</v>
      </c>
      <c r="AC28" s="172"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312" t="s">
        <v>189</v>
      </c>
      <c r="AE28" s="253"/>
      <c r="AF28" s="253"/>
      <c r="AG28" s="253"/>
      <c r="AH28" s="253"/>
      <c r="AI28" s="253"/>
      <c r="AJ28" s="253"/>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c r="BN28" s="161"/>
      <c r="BO28" s="161"/>
      <c r="BP28" s="161"/>
    </row>
    <row r="29" spans="1:68" s="160" customFormat="1" ht="179.25" customHeight="1" x14ac:dyDescent="0.25">
      <c r="A29" s="251"/>
      <c r="B29" s="254"/>
      <c r="C29" s="178" t="s">
        <v>250</v>
      </c>
      <c r="D29" s="254"/>
      <c r="E29" s="271"/>
      <c r="F29" s="254"/>
      <c r="G29" s="260"/>
      <c r="H29" s="263"/>
      <c r="I29" s="245"/>
      <c r="J29" s="266"/>
      <c r="K29" s="245">
        <f>IF(NOT(ISERROR(MATCH(J29,_xlfn.ANCHORARRAY(E32),0))),I34&amp;"Por favor no seleccionar los criterios de impacto",J29)</f>
        <v>0</v>
      </c>
      <c r="L29" s="263"/>
      <c r="M29" s="245"/>
      <c r="N29" s="248"/>
      <c r="O29" s="5">
        <v>2</v>
      </c>
      <c r="P29" s="473" t="s">
        <v>269</v>
      </c>
      <c r="Q29" s="167" t="str">
        <f t="shared" si="0"/>
        <v>Probabilidad</v>
      </c>
      <c r="R29" s="168" t="s">
        <v>164</v>
      </c>
      <c r="S29" s="168" t="s">
        <v>170</v>
      </c>
      <c r="T29" s="169" t="str">
        <f t="shared" ref="T29" si="1">IF(AND(R29="Preventivo",S29="Automático"),"50%",IF(AND(R29="Preventivo",S29="Manual"),"40%",IF(AND(R29="Detectivo",S29="Automático"),"40%",IF(AND(R29="Detectivo",S29="Manual"),"30%",IF(AND(R29="Correctivo",S29="Automático"),"35%",IF(AND(R29="Correctivo",S29="Manual"),"25%",""))))))</f>
        <v>50%</v>
      </c>
      <c r="U29" s="168" t="s">
        <v>175</v>
      </c>
      <c r="V29" s="168" t="s">
        <v>180</v>
      </c>
      <c r="W29" s="168" t="s">
        <v>184</v>
      </c>
      <c r="X29" s="164">
        <f>IFERROR(IF(AND(Q28="Probabilidad",Q29="Probabilidad"),(Z28-(+Z28*T29)),IF(Q29="Probabilidad",(I28-(+I28*T29)),IF(Q29="Impacto",Z28,""))),"")</f>
        <v>0.18</v>
      </c>
      <c r="Y29" s="170" t="str">
        <f t="shared" ref="Y29:Y73" si="2">IFERROR(IF(X29="","",IF(X29&lt;=0.2,"Muy Baja",IF(X29&lt;=0.4,"Baja",IF(X29&lt;=0.6,"Media",IF(X29&lt;=0.8,"Alta","Muy Alta"))))),"")</f>
        <v>Muy Baja</v>
      </c>
      <c r="Z29" s="171">
        <f t="shared" ref="Z29" si="3">+X29</f>
        <v>0.18</v>
      </c>
      <c r="AA29" s="170" t="str">
        <f t="shared" ref="AA29:AA73" si="4">IFERROR(IF(AB29="","",IF(AB29&lt;=0.2,"Leve",IF(AB29&lt;=0.4,"Menor",IF(AB29&lt;=0.6,"Moderado",IF(AB29&lt;=0.8,"Mayor","Catastrófico"))))),"")</f>
        <v>Moderado</v>
      </c>
      <c r="AB29" s="171">
        <f>IFERROR(IF(AND(Q28="Impacto",Q29="Impacto"),(AB28-(+AB28*T29)),IF(Q29="Impacto",(M28-(+M28*T29)),IF(Q29="Probabilidad",AB28,""))),"")</f>
        <v>0.6</v>
      </c>
      <c r="AC29" s="172" t="str">
        <f t="shared" ref="AC29" si="5">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Moderado</v>
      </c>
      <c r="AD29" s="314"/>
      <c r="AE29" s="255"/>
      <c r="AF29" s="255"/>
      <c r="AG29" s="255"/>
      <c r="AH29" s="255"/>
      <c r="AI29" s="255"/>
      <c r="AJ29" s="255"/>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1"/>
      <c r="BJ29" s="161"/>
      <c r="BK29" s="161"/>
      <c r="BL29" s="161"/>
      <c r="BM29" s="161"/>
      <c r="BN29" s="161"/>
      <c r="BO29" s="161"/>
      <c r="BP29" s="161"/>
    </row>
    <row r="30" spans="1:68" s="160" customFormat="1" ht="138.75" customHeight="1" x14ac:dyDescent="0.25">
      <c r="A30" s="250">
        <v>3</v>
      </c>
      <c r="B30" s="253" t="s">
        <v>194</v>
      </c>
      <c r="C30" s="178" t="s">
        <v>254</v>
      </c>
      <c r="D30" s="268" t="s">
        <v>256</v>
      </c>
      <c r="E30" s="270" t="s">
        <v>257</v>
      </c>
      <c r="F30" s="253" t="s">
        <v>200</v>
      </c>
      <c r="G30" s="259">
        <v>4</v>
      </c>
      <c r="H30" s="262" t="str">
        <f>IF(G30&lt;=0,"",IF(G30&lt;=2,"Muy Baja",IF(G30&lt;=24,"Baja",IF(G30&lt;=500,"Media",IF(G30&lt;=5000,"Alta","Muy Alta")))))</f>
        <v>Baja</v>
      </c>
      <c r="I30" s="244">
        <f>IF(H30="","",IF(H30="Muy Baja",0.2,IF(H30="Baja",0.4,IF(H30="Media",0.6,IF(H30="Alta",0.8,IF(H30="Muy Alta",1,))))))</f>
        <v>0.4</v>
      </c>
      <c r="J30" s="265" t="s">
        <v>148</v>
      </c>
      <c r="K30" s="244" t="str">
        <f>IF(NOT(ISERROR(MATCH(J30,'Tabla Impacto'!$B$221:$B$223,0))),'Tabla Impacto'!$F$223&amp;"Por favor no seleccionar los criterios de impacto(Afectación Económica o presupuestal y Pérdida Reputacional)",J30)</f>
        <v xml:space="preserve">     El riesgo afecta la imagen de la entidad con algunos usuarios de relevancia frente al logro de los objetivos</v>
      </c>
      <c r="L30" s="262" t="str">
        <f>IF(OR(K30='Tabla Impacto'!$C$11,K30='Tabla Impacto'!$D$11),"Leve",IF(OR(K30='Tabla Impacto'!$C$12,K30='Tabla Impacto'!$D$12),"Menor",IF(OR(K30='Tabla Impacto'!$C$13,K30='Tabla Impacto'!$D$13),"Moderado",IF(OR(K30='Tabla Impacto'!$C$14,K30='Tabla Impacto'!$D$14),"Mayor",IF(OR(K30='Tabla Impacto'!$C$15,K30='Tabla Impacto'!$D$15),"Catastrófico","")))))</f>
        <v>Moderado</v>
      </c>
      <c r="M30" s="244">
        <f>IF(L30="","",IF(L30="Leve",0.2,IF(L30="Menor",0.4,IF(L30="Moderado",0.6,IF(L30="Mayor",0.8,IF(L30="Catastrófico",1,))))))</f>
        <v>0.6</v>
      </c>
      <c r="N30" s="247"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Moderado</v>
      </c>
      <c r="O30" s="5">
        <v>1</v>
      </c>
      <c r="P30" s="166" t="s">
        <v>258</v>
      </c>
      <c r="Q30" s="167" t="str">
        <f t="shared" si="0"/>
        <v>Probabilidad</v>
      </c>
      <c r="R30" s="168" t="s">
        <v>164</v>
      </c>
      <c r="S30" s="168" t="s">
        <v>172</v>
      </c>
      <c r="T30" s="169" t="str">
        <f>IF(AND(R30="Preventivo",S30="Automático"),"50%",IF(AND(R30="Preventivo",S30="Manual"),"40%",IF(AND(R30="Detectivo",S30="Automático"),"40%",IF(AND(R30="Detectivo",S30="Manual"),"30%",IF(AND(R30="Correctivo",S30="Automático"),"35%",IF(AND(R30="Correctivo",S30="Manual"),"25%",""))))))</f>
        <v>40%</v>
      </c>
      <c r="U30" s="168" t="s">
        <v>175</v>
      </c>
      <c r="V30" s="168" t="s">
        <v>180</v>
      </c>
      <c r="W30" s="168" t="s">
        <v>184</v>
      </c>
      <c r="X30" s="164">
        <f>IFERROR(IF(Q30="Probabilidad",(I30-(+I30*T30)),IF(Q30="Impacto",I30,"")),"")</f>
        <v>0.24</v>
      </c>
      <c r="Y30" s="170" t="str">
        <f>IFERROR(IF(X30="","",IF(X30&lt;=0.2,"Muy Baja",IF(X30&lt;=0.4,"Baja",IF(X30&lt;=0.6,"Media",IF(X30&lt;=0.8,"Alta","Muy Alta"))))),"")</f>
        <v>Baja</v>
      </c>
      <c r="Z30" s="171">
        <f>+X30</f>
        <v>0.24</v>
      </c>
      <c r="AA30" s="170" t="str">
        <f>IFERROR(IF(AB30="","",IF(AB30&lt;=0.2,"Leve",IF(AB30&lt;=0.4,"Menor",IF(AB30&lt;=0.6,"Moderado",IF(AB30&lt;=0.8,"Mayor","Catastrófico"))))),"")</f>
        <v>Moderado</v>
      </c>
      <c r="AB30" s="171">
        <f>IFERROR(IF(Q30="Impacto",(M30-(+M30*T30)),IF(Q30="Probabilidad",M30,"")),"")</f>
        <v>0.6</v>
      </c>
      <c r="AC30" s="172"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312" t="s">
        <v>189</v>
      </c>
      <c r="AE30" s="253"/>
      <c r="AF30" s="253"/>
      <c r="AG30" s="253"/>
      <c r="AH30" s="253"/>
      <c r="AI30" s="253"/>
      <c r="AJ30" s="253"/>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1"/>
      <c r="BI30" s="161"/>
      <c r="BJ30" s="161"/>
      <c r="BK30" s="161"/>
      <c r="BL30" s="161"/>
      <c r="BM30" s="161"/>
      <c r="BN30" s="161"/>
      <c r="BO30" s="161"/>
      <c r="BP30" s="161"/>
    </row>
    <row r="31" spans="1:68" s="160" customFormat="1" ht="149.25" customHeight="1" x14ac:dyDescent="0.25">
      <c r="A31" s="251"/>
      <c r="B31" s="254"/>
      <c r="C31" s="178" t="s">
        <v>255</v>
      </c>
      <c r="D31" s="269"/>
      <c r="E31" s="271"/>
      <c r="F31" s="254"/>
      <c r="G31" s="260"/>
      <c r="H31" s="263"/>
      <c r="I31" s="245"/>
      <c r="J31" s="266"/>
      <c r="K31" s="245">
        <f>IF(NOT(ISERROR(MATCH(J31,_xlfn.ANCHORARRAY(E38),0))),I40&amp;"Por favor no seleccionar los criterios de impacto",J31)</f>
        <v>0</v>
      </c>
      <c r="L31" s="263"/>
      <c r="M31" s="245"/>
      <c r="N31" s="248"/>
      <c r="O31" s="5">
        <v>2</v>
      </c>
      <c r="P31" s="166" t="s">
        <v>259</v>
      </c>
      <c r="Q31" s="167" t="str">
        <f t="shared" si="0"/>
        <v>Probabilidad</v>
      </c>
      <c r="R31" s="168" t="s">
        <v>166</v>
      </c>
      <c r="S31" s="168" t="s">
        <v>172</v>
      </c>
      <c r="T31" s="169" t="str">
        <f t="shared" ref="T31" si="6">IF(AND(R31="Preventivo",S31="Automático"),"50%",IF(AND(R31="Preventivo",S31="Manual"),"40%",IF(AND(R31="Detectivo",S31="Automático"),"40%",IF(AND(R31="Detectivo",S31="Manual"),"30%",IF(AND(R31="Correctivo",S31="Automático"),"35%",IF(AND(R31="Correctivo",S31="Manual"),"25%",""))))))</f>
        <v>30%</v>
      </c>
      <c r="U31" s="168" t="s">
        <v>175</v>
      </c>
      <c r="V31" s="168" t="s">
        <v>180</v>
      </c>
      <c r="W31" s="168" t="s">
        <v>184</v>
      </c>
      <c r="X31" s="165">
        <f>IFERROR(IF(AND(Q30="Probabilidad",Q31="Probabilidad"),(Z30-(+Z30*T31)),IF(Q31="Probabilidad",(I30-(+I30*T31)),IF(Q31="Impacto",Z30,""))),"")</f>
        <v>0.16799999999999998</v>
      </c>
      <c r="Y31" s="170" t="str">
        <f t="shared" si="2"/>
        <v>Muy Baja</v>
      </c>
      <c r="Z31" s="171">
        <f t="shared" ref="Z31" si="7">+X31</f>
        <v>0.16799999999999998</v>
      </c>
      <c r="AA31" s="170" t="str">
        <f t="shared" si="4"/>
        <v>Moderado</v>
      </c>
      <c r="AB31" s="171">
        <f>IFERROR(IF(AND(Q30="Impacto",Q31="Impacto"),(AB30-(+AB30*T31)),IF(Q31="Impacto",(M30-(+M30*T31)),IF(Q31="Probabilidad",AB30,""))),"")</f>
        <v>0.6</v>
      </c>
      <c r="AC31" s="172" t="str">
        <f t="shared" ref="AC31" si="8">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Moderado</v>
      </c>
      <c r="AD31" s="314"/>
      <c r="AE31" s="255"/>
      <c r="AF31" s="255"/>
      <c r="AG31" s="255"/>
      <c r="AH31" s="255"/>
      <c r="AI31" s="255"/>
      <c r="AJ31" s="255"/>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161"/>
      <c r="BN31" s="161"/>
      <c r="BO31" s="161"/>
      <c r="BP31" s="161"/>
    </row>
    <row r="32" spans="1:68" s="160" customFormat="1" ht="14.25" hidden="1" customHeight="1" x14ac:dyDescent="0.25">
      <c r="A32" s="250">
        <v>4</v>
      </c>
      <c r="B32" s="253"/>
      <c r="C32" s="253"/>
      <c r="D32" s="253"/>
      <c r="E32" s="256"/>
      <c r="F32" s="253"/>
      <c r="G32" s="259"/>
      <c r="H32" s="262" t="str">
        <f>IF(G32&lt;=0,"",IF(G32&lt;=2,"Muy Baja",IF(G32&lt;=24,"Baja",IF(G32&lt;=500,"Media",IF(G32&lt;=5000,"Alta","Muy Alta")))))</f>
        <v/>
      </c>
      <c r="I32" s="244" t="str">
        <f>IF(H32="","",IF(H32="Muy Baja",0.2,IF(H32="Baja",0.4,IF(H32="Media",0.6,IF(H32="Alta",0.8,IF(H32="Muy Alta",1,))))))</f>
        <v/>
      </c>
      <c r="J32" s="265"/>
      <c r="K32" s="244">
        <f>IF(NOT(ISERROR(MATCH(J32,'Tabla Impacto'!$B$221:$B$223,0))),'Tabla Impacto'!$F$223&amp;"Por favor no seleccionar los criterios de impacto(Afectación Económica o presupuestal y Pérdida Reputacional)",J32)</f>
        <v>0</v>
      </c>
      <c r="L32" s="262" t="str">
        <f>IF(OR(K32='Tabla Impacto'!$C$11,K32='Tabla Impacto'!$D$11),"Leve",IF(OR(K32='Tabla Impacto'!$C$12,K32='Tabla Impacto'!$D$12),"Menor",IF(OR(K32='Tabla Impacto'!$C$13,K32='Tabla Impacto'!$D$13),"Moderado",IF(OR(K32='Tabla Impacto'!$C$14,K32='Tabla Impacto'!$D$14),"Mayor",IF(OR(K32='Tabla Impacto'!$C$15,K32='Tabla Impacto'!$D$15),"Catastrófico","")))))</f>
        <v/>
      </c>
      <c r="M32" s="244" t="str">
        <f>IF(L32="","",IF(L32="Leve",0.2,IF(L32="Menor",0.4,IF(L32="Moderado",0.6,IF(L32="Mayor",0.8,IF(L32="Catastrófico",1,))))))</f>
        <v/>
      </c>
      <c r="N32" s="247" t="str">
        <f>IF(OR(AND(H32="Muy Baja",L32="Leve"),AND(H32="Muy Baja",L32="Menor"),AND(H32="Baja",L32="Leve")),"Bajo",IF(OR(AND(H32="Muy baja",L32="Moderado"),AND(H32="Baja",L32="Menor"),AND(H32="Baja",L32="Moderado"),AND(H32="Media",L32="Leve"),AND(H32="Media",L32="Menor"),AND(H32="Media",L32="Moderado"),AND(H32="Alta",L32="Leve"),AND(H32="Alta",L32="Menor")),"Moderado",IF(OR(AND(H32="Muy Baja",L32="Mayor"),AND(H32="Baja",L32="Mayor"),AND(H32="Media",L32="Mayor"),AND(H32="Alta",L32="Moderado"),AND(H32="Alta",L32="Mayor"),AND(H32="Muy Alta",L32="Leve"),AND(H32="Muy Alta",L32="Menor"),AND(H32="Muy Alta",L32="Moderado"),AND(H32="Muy Alta",L32="Mayor")),"Alto",IF(OR(AND(H32="Muy Baja",L32="Catastrófico"),AND(H32="Baja",L32="Catastrófico"),AND(H32="Media",L32="Catastrófico"),AND(H32="Alta",L32="Catastrófico"),AND(H32="Muy Alta",L32="Catastrófico")),"Extremo",""))))</f>
        <v/>
      </c>
      <c r="O32" s="5">
        <v>1</v>
      </c>
      <c r="P32" s="166"/>
      <c r="Q32" s="167" t="str">
        <f t="shared" si="0"/>
        <v/>
      </c>
      <c r="R32" s="168"/>
      <c r="S32" s="168"/>
      <c r="T32" s="169" t="str">
        <f>IF(AND(R32="Preventivo",S32="Automático"),"50%",IF(AND(R32="Preventivo",S32="Manual"),"40%",IF(AND(R32="Detectivo",S32="Automático"),"40%",IF(AND(R32="Detectivo",S32="Manual"),"30%",IF(AND(R32="Correctivo",S32="Automático"),"35%",IF(AND(R32="Correctivo",S32="Manual"),"25%",""))))))</f>
        <v/>
      </c>
      <c r="U32" s="168"/>
      <c r="V32" s="168"/>
      <c r="W32" s="168"/>
      <c r="X32" s="164" t="str">
        <f>IFERROR(IF(Q32="Probabilidad",(I32-(+I32*T32)),IF(Q32="Impacto",I32,"")),"")</f>
        <v/>
      </c>
      <c r="Y32" s="170" t="str">
        <f>IFERROR(IF(X32="","",IF(X32&lt;=0.2,"Muy Baja",IF(X32&lt;=0.4,"Baja",IF(X32&lt;=0.6,"Media",IF(X32&lt;=0.8,"Alta","Muy Alta"))))),"")</f>
        <v/>
      </c>
      <c r="Z32" s="171" t="str">
        <f>+X32</f>
        <v/>
      </c>
      <c r="AA32" s="170" t="str">
        <f>IFERROR(IF(AB32="","",IF(AB32&lt;=0.2,"Leve",IF(AB32&lt;=0.4,"Menor",IF(AB32&lt;=0.6,"Moderado",IF(AB32&lt;=0.8,"Mayor","Catastrófico"))))),"")</f>
        <v/>
      </c>
      <c r="AB32" s="171" t="str">
        <f>IFERROR(IF(Q32="Impacto",(M32-(+M32*T32)),IF(Q32="Probabilidad",M32,"")),"")</f>
        <v/>
      </c>
      <c r="AC32" s="172"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73"/>
      <c r="AE32" s="174"/>
      <c r="AF32" s="175"/>
      <c r="AG32" s="176"/>
      <c r="AH32" s="176"/>
      <c r="AI32" s="174"/>
      <c r="AJ32" s="175"/>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1"/>
      <c r="BM32" s="161"/>
      <c r="BN32" s="161"/>
      <c r="BO32" s="161"/>
      <c r="BP32" s="161"/>
    </row>
    <row r="33" spans="1:68" s="160" customFormat="1" ht="14.25" hidden="1" customHeight="1" x14ac:dyDescent="0.25">
      <c r="A33" s="251"/>
      <c r="B33" s="254"/>
      <c r="C33" s="254"/>
      <c r="D33" s="254"/>
      <c r="E33" s="257"/>
      <c r="F33" s="254"/>
      <c r="G33" s="260"/>
      <c r="H33" s="263"/>
      <c r="I33" s="245"/>
      <c r="J33" s="266"/>
      <c r="K33" s="245">
        <f t="shared" ref="K33:K37" si="9">IF(NOT(ISERROR(MATCH(J33,_xlfn.ANCHORARRAY(E44),0))),I46&amp;"Por favor no seleccionar los criterios de impacto",J33)</f>
        <v>0</v>
      </c>
      <c r="L33" s="263"/>
      <c r="M33" s="245"/>
      <c r="N33" s="248"/>
      <c r="O33" s="5">
        <v>2</v>
      </c>
      <c r="P33" s="166"/>
      <c r="Q33" s="167" t="str">
        <f t="shared" si="0"/>
        <v/>
      </c>
      <c r="R33" s="168"/>
      <c r="S33" s="168"/>
      <c r="T33" s="169" t="str">
        <f t="shared" ref="T33:T37" si="10">IF(AND(R33="Preventivo",S33="Automático"),"50%",IF(AND(R33="Preventivo",S33="Manual"),"40%",IF(AND(R33="Detectivo",S33="Automático"),"40%",IF(AND(R33="Detectivo",S33="Manual"),"30%",IF(AND(R33="Correctivo",S33="Automático"),"35%",IF(AND(R33="Correctivo",S33="Manual"),"25%",""))))))</f>
        <v/>
      </c>
      <c r="U33" s="168"/>
      <c r="V33" s="168"/>
      <c r="W33" s="168"/>
      <c r="X33" s="164" t="str">
        <f>IFERROR(IF(AND(Q32="Probabilidad",Q33="Probabilidad"),(Z32-(+Z32*T33)),IF(Q33="Probabilidad",(I32-(+I32*T33)),IF(Q33="Impacto",Z32,""))),"")</f>
        <v/>
      </c>
      <c r="Y33" s="170" t="str">
        <f t="shared" si="2"/>
        <v/>
      </c>
      <c r="Z33" s="171" t="str">
        <f t="shared" ref="Z33:Z37" si="11">+X33</f>
        <v/>
      </c>
      <c r="AA33" s="170" t="str">
        <f t="shared" si="4"/>
        <v/>
      </c>
      <c r="AB33" s="171" t="str">
        <f>IFERROR(IF(AND(Q32="Impacto",Q33="Impacto"),(AB32-(+AB32*T33)),IF(Q33="Impacto",(M32-(+M32*T33)),IF(Q33="Probabilidad",AB32,""))),"")</f>
        <v/>
      </c>
      <c r="AC33" s="172" t="str">
        <f t="shared" ref="AC33:AC34" si="12">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73"/>
      <c r="AE33" s="174"/>
      <c r="AF33" s="175"/>
      <c r="AG33" s="176"/>
      <c r="AH33" s="176"/>
      <c r="AI33" s="174"/>
      <c r="AJ33" s="175"/>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c r="BN33" s="161"/>
      <c r="BO33" s="161"/>
      <c r="BP33" s="161"/>
    </row>
    <row r="34" spans="1:68" s="160" customFormat="1" ht="14.25" hidden="1" customHeight="1" x14ac:dyDescent="0.25">
      <c r="A34" s="251"/>
      <c r="B34" s="254"/>
      <c r="C34" s="254"/>
      <c r="D34" s="254"/>
      <c r="E34" s="257"/>
      <c r="F34" s="254"/>
      <c r="G34" s="260"/>
      <c r="H34" s="263"/>
      <c r="I34" s="245"/>
      <c r="J34" s="266"/>
      <c r="K34" s="245">
        <f t="shared" si="9"/>
        <v>0</v>
      </c>
      <c r="L34" s="263"/>
      <c r="M34" s="245"/>
      <c r="N34" s="248"/>
      <c r="O34" s="5">
        <v>3</v>
      </c>
      <c r="P34" s="177"/>
      <c r="Q34" s="167" t="str">
        <f t="shared" si="0"/>
        <v/>
      </c>
      <c r="R34" s="168"/>
      <c r="S34" s="168"/>
      <c r="T34" s="169" t="str">
        <f t="shared" si="10"/>
        <v/>
      </c>
      <c r="U34" s="168"/>
      <c r="V34" s="168"/>
      <c r="W34" s="168"/>
      <c r="X34" s="164" t="str">
        <f>IFERROR(IF(AND(Q33="Probabilidad",Q34="Probabilidad"),(Z33-(+Z33*T34)),IF(AND(Q33="Impacto",Q34="Probabilidad"),(Z32-(+Z32*T34)),IF(Q34="Impacto",Z33,""))),"")</f>
        <v/>
      </c>
      <c r="Y34" s="170" t="str">
        <f t="shared" si="2"/>
        <v/>
      </c>
      <c r="Z34" s="171" t="str">
        <f t="shared" si="11"/>
        <v/>
      </c>
      <c r="AA34" s="170" t="str">
        <f t="shared" si="4"/>
        <v/>
      </c>
      <c r="AB34" s="171" t="str">
        <f>IFERROR(IF(AND(Q33="Impacto",Q34="Impacto"),(AB33-(+AB33*T34)),IF(AND(Q33="Probabilidad",Q34="Impacto"),(AB32-(+AB32*T34)),IF(Q34="Probabilidad",AB33,""))),"")</f>
        <v/>
      </c>
      <c r="AC34" s="172" t="str">
        <f t="shared" si="12"/>
        <v/>
      </c>
      <c r="AD34" s="173"/>
      <c r="AE34" s="174"/>
      <c r="AF34" s="175"/>
      <c r="AG34" s="176"/>
      <c r="AH34" s="176"/>
      <c r="AI34" s="174"/>
      <c r="AJ34" s="175"/>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row>
    <row r="35" spans="1:68" s="160" customFormat="1" ht="14.25" hidden="1" customHeight="1" x14ac:dyDescent="0.25">
      <c r="A35" s="251"/>
      <c r="B35" s="254"/>
      <c r="C35" s="254"/>
      <c r="D35" s="254"/>
      <c r="E35" s="257"/>
      <c r="F35" s="254"/>
      <c r="G35" s="260"/>
      <c r="H35" s="263"/>
      <c r="I35" s="245"/>
      <c r="J35" s="266"/>
      <c r="K35" s="245">
        <f t="shared" si="9"/>
        <v>0</v>
      </c>
      <c r="L35" s="263"/>
      <c r="M35" s="245"/>
      <c r="N35" s="248"/>
      <c r="O35" s="5">
        <v>4</v>
      </c>
      <c r="P35" s="166"/>
      <c r="Q35" s="167" t="str">
        <f t="shared" ref="Q35:Q37" si="13">IF(OR(R35="Preventivo",R35="Detectivo"),"Probabilidad",IF(R35="Correctivo","Impacto",""))</f>
        <v/>
      </c>
      <c r="R35" s="168"/>
      <c r="S35" s="168"/>
      <c r="T35" s="169" t="str">
        <f t="shared" si="10"/>
        <v/>
      </c>
      <c r="U35" s="168"/>
      <c r="V35" s="168"/>
      <c r="W35" s="168"/>
      <c r="X35" s="164" t="str">
        <f t="shared" ref="X35:X37" si="14">IFERROR(IF(AND(Q34="Probabilidad",Q35="Probabilidad"),(Z34-(+Z34*T35)),IF(AND(Q34="Impacto",Q35="Probabilidad"),(Z33-(+Z33*T35)),IF(Q35="Impacto",Z34,""))),"")</f>
        <v/>
      </c>
      <c r="Y35" s="170" t="str">
        <f t="shared" si="2"/>
        <v/>
      </c>
      <c r="Z35" s="171" t="str">
        <f t="shared" si="11"/>
        <v/>
      </c>
      <c r="AA35" s="170" t="str">
        <f t="shared" si="4"/>
        <v/>
      </c>
      <c r="AB35" s="171" t="str">
        <f t="shared" ref="AB35:AB37" si="15">IFERROR(IF(AND(Q34="Impacto",Q35="Impacto"),(AB34-(+AB34*T35)),IF(AND(Q34="Probabilidad",Q35="Impacto"),(AB33-(+AB33*T35)),IF(Q35="Probabilidad",AB34,""))),"")</f>
        <v/>
      </c>
      <c r="AC35" s="172"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73"/>
      <c r="AE35" s="174"/>
      <c r="AF35" s="175"/>
      <c r="AG35" s="176"/>
      <c r="AH35" s="176"/>
      <c r="AI35" s="174"/>
      <c r="AJ35" s="175"/>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row>
    <row r="36" spans="1:68" s="160" customFormat="1" ht="14.25" hidden="1" customHeight="1" x14ac:dyDescent="0.25">
      <c r="A36" s="251"/>
      <c r="B36" s="254"/>
      <c r="C36" s="254"/>
      <c r="D36" s="254"/>
      <c r="E36" s="257"/>
      <c r="F36" s="254"/>
      <c r="G36" s="260"/>
      <c r="H36" s="263"/>
      <c r="I36" s="245"/>
      <c r="J36" s="266"/>
      <c r="K36" s="245">
        <f t="shared" si="9"/>
        <v>0</v>
      </c>
      <c r="L36" s="263"/>
      <c r="M36" s="245"/>
      <c r="N36" s="248"/>
      <c r="O36" s="5">
        <v>5</v>
      </c>
      <c r="P36" s="166"/>
      <c r="Q36" s="167" t="str">
        <f t="shared" si="13"/>
        <v/>
      </c>
      <c r="R36" s="168"/>
      <c r="S36" s="168"/>
      <c r="T36" s="169" t="str">
        <f t="shared" si="10"/>
        <v/>
      </c>
      <c r="U36" s="168"/>
      <c r="V36" s="168"/>
      <c r="W36" s="168"/>
      <c r="X36" s="165" t="str">
        <f t="shared" si="14"/>
        <v/>
      </c>
      <c r="Y36" s="170" t="str">
        <f>IFERROR(IF(X36="","",IF(X36&lt;=0.2,"Muy Baja",IF(X36&lt;=0.4,"Baja",IF(X36&lt;=0.6,"Media",IF(X36&lt;=0.8,"Alta","Muy Alta"))))),"")</f>
        <v/>
      </c>
      <c r="Z36" s="171" t="str">
        <f t="shared" si="11"/>
        <v/>
      </c>
      <c r="AA36" s="170" t="str">
        <f t="shared" si="4"/>
        <v/>
      </c>
      <c r="AB36" s="171" t="str">
        <f t="shared" si="15"/>
        <v/>
      </c>
      <c r="AC36" s="172" t="str">
        <f t="shared" ref="AC36:AC37" si="16">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73"/>
      <c r="AE36" s="174"/>
      <c r="AF36" s="175"/>
      <c r="AG36" s="176"/>
      <c r="AH36" s="176"/>
      <c r="AI36" s="174"/>
      <c r="AJ36" s="175"/>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row>
    <row r="37" spans="1:68" s="160" customFormat="1" ht="14.25" hidden="1" customHeight="1" x14ac:dyDescent="0.25">
      <c r="A37" s="252"/>
      <c r="B37" s="255"/>
      <c r="C37" s="255"/>
      <c r="D37" s="255"/>
      <c r="E37" s="258"/>
      <c r="F37" s="255"/>
      <c r="G37" s="261"/>
      <c r="H37" s="264"/>
      <c r="I37" s="246"/>
      <c r="J37" s="267"/>
      <c r="K37" s="246">
        <f t="shared" si="9"/>
        <v>0</v>
      </c>
      <c r="L37" s="264"/>
      <c r="M37" s="246"/>
      <c r="N37" s="249"/>
      <c r="O37" s="5">
        <v>6</v>
      </c>
      <c r="P37" s="166"/>
      <c r="Q37" s="167" t="str">
        <f t="shared" si="13"/>
        <v/>
      </c>
      <c r="R37" s="168"/>
      <c r="S37" s="168"/>
      <c r="T37" s="169" t="str">
        <f t="shared" si="10"/>
        <v/>
      </c>
      <c r="U37" s="168"/>
      <c r="V37" s="168"/>
      <c r="W37" s="168"/>
      <c r="X37" s="164" t="str">
        <f t="shared" si="14"/>
        <v/>
      </c>
      <c r="Y37" s="170" t="str">
        <f t="shared" si="2"/>
        <v/>
      </c>
      <c r="Z37" s="171" t="str">
        <f t="shared" si="11"/>
        <v/>
      </c>
      <c r="AA37" s="170" t="str">
        <f t="shared" si="4"/>
        <v/>
      </c>
      <c r="AB37" s="171" t="str">
        <f t="shared" si="15"/>
        <v/>
      </c>
      <c r="AC37" s="172" t="str">
        <f t="shared" si="16"/>
        <v/>
      </c>
      <c r="AD37" s="173"/>
      <c r="AE37" s="174"/>
      <c r="AF37" s="175"/>
      <c r="AG37" s="176"/>
      <c r="AH37" s="176"/>
      <c r="AI37" s="174"/>
      <c r="AJ37" s="175"/>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row>
    <row r="38" spans="1:68" s="160" customFormat="1" ht="14.25" hidden="1" customHeight="1" x14ac:dyDescent="0.25">
      <c r="A38" s="250">
        <v>5</v>
      </c>
      <c r="B38" s="253"/>
      <c r="C38" s="253"/>
      <c r="D38" s="253"/>
      <c r="E38" s="256"/>
      <c r="F38" s="253"/>
      <c r="G38" s="259"/>
      <c r="H38" s="262" t="str">
        <f>IF(G38&lt;=0,"",IF(G38&lt;=2,"Muy Baja",IF(G38&lt;=24,"Baja",IF(G38&lt;=500,"Media",IF(G38&lt;=5000,"Alta","Muy Alta")))))</f>
        <v/>
      </c>
      <c r="I38" s="244" t="str">
        <f>IF(H38="","",IF(H38="Muy Baja",0.2,IF(H38="Baja",0.4,IF(H38="Media",0.6,IF(H38="Alta",0.8,IF(H38="Muy Alta",1,))))))</f>
        <v/>
      </c>
      <c r="J38" s="265"/>
      <c r="K38" s="244">
        <f>IF(NOT(ISERROR(MATCH(J38,'Tabla Impacto'!$B$221:$B$223,0))),'Tabla Impacto'!$F$223&amp;"Por favor no seleccionar los criterios de impacto(Afectación Económica o presupuestal y Pérdida Reputacional)",J38)</f>
        <v>0</v>
      </c>
      <c r="L38" s="262" t="str">
        <f>IF(OR(K38='Tabla Impacto'!$C$11,K38='Tabla Impacto'!$D$11),"Leve",IF(OR(K38='Tabla Impacto'!$C$12,K38='Tabla Impacto'!$D$12),"Menor",IF(OR(K38='Tabla Impacto'!$C$13,K38='Tabla Impacto'!$D$13),"Moderado",IF(OR(K38='Tabla Impacto'!$C$14,K38='Tabla Impacto'!$D$14),"Mayor",IF(OR(K38='Tabla Impacto'!$C$15,K38='Tabla Impacto'!$D$15),"Catastrófico","")))))</f>
        <v/>
      </c>
      <c r="M38" s="244" t="str">
        <f>IF(L38="","",IF(L38="Leve",0.2,IF(L38="Menor",0.4,IF(L38="Moderado",0.6,IF(L38="Mayor",0.8,IF(L38="Catastrófico",1,))))))</f>
        <v/>
      </c>
      <c r="N38" s="247" t="str">
        <f>IF(OR(AND(H38="Muy Baja",L38="Leve"),AND(H38="Muy Baja",L38="Menor"),AND(H38="Baja",L38="Leve")),"Bajo",IF(OR(AND(H38="Muy baja",L38="Moderado"),AND(H38="Baja",L38="Menor"),AND(H38="Baja",L38="Moderado"),AND(H38="Media",L38="Leve"),AND(H38="Media",L38="Menor"),AND(H38="Media",L38="Moderado"),AND(H38="Alta",L38="Leve"),AND(H38="Alta",L38="Menor")),"Moderado",IF(OR(AND(H38="Muy Baja",L38="Mayor"),AND(H38="Baja",L38="Mayor"),AND(H38="Media",L38="Mayor"),AND(H38="Alta",L38="Moderado"),AND(H38="Alta",L38="Mayor"),AND(H38="Muy Alta",L38="Leve"),AND(H38="Muy Alta",L38="Menor"),AND(H38="Muy Alta",L38="Moderado"),AND(H38="Muy Alta",L38="Mayor")),"Alto",IF(OR(AND(H38="Muy Baja",L38="Catastrófico"),AND(H38="Baja",L38="Catastrófico"),AND(H38="Media",L38="Catastrófico"),AND(H38="Alta",L38="Catastrófico"),AND(H38="Muy Alta",L38="Catastrófico")),"Extremo",""))))</f>
        <v/>
      </c>
      <c r="O38" s="5">
        <v>1</v>
      </c>
      <c r="P38" s="166"/>
      <c r="Q38" s="167" t="str">
        <f>IF(OR(R38="Preventivo",R38="Detectivo"),"Probabilidad",IF(R38="Correctivo","Impacto",""))</f>
        <v/>
      </c>
      <c r="R38" s="168"/>
      <c r="S38" s="168"/>
      <c r="T38" s="169" t="str">
        <f>IF(AND(R38="Preventivo",S38="Automático"),"50%",IF(AND(R38="Preventivo",S38="Manual"),"40%",IF(AND(R38="Detectivo",S38="Automático"),"40%",IF(AND(R38="Detectivo",S38="Manual"),"30%",IF(AND(R38="Correctivo",S38="Automático"),"35%",IF(AND(R38="Correctivo",S38="Manual"),"25%",""))))))</f>
        <v/>
      </c>
      <c r="U38" s="168"/>
      <c r="V38" s="168"/>
      <c r="W38" s="168"/>
      <c r="X38" s="164" t="str">
        <f>IFERROR(IF(Q38="Probabilidad",(I38-(+I38*T38)),IF(Q38="Impacto",I38,"")),"")</f>
        <v/>
      </c>
      <c r="Y38" s="170" t="str">
        <f>IFERROR(IF(X38="","",IF(X38&lt;=0.2,"Muy Baja",IF(X38&lt;=0.4,"Baja",IF(X38&lt;=0.6,"Media",IF(X38&lt;=0.8,"Alta","Muy Alta"))))),"")</f>
        <v/>
      </c>
      <c r="Z38" s="171" t="str">
        <f>+X38</f>
        <v/>
      </c>
      <c r="AA38" s="170" t="str">
        <f>IFERROR(IF(AB38="","",IF(AB38&lt;=0.2,"Leve",IF(AB38&lt;=0.4,"Menor",IF(AB38&lt;=0.6,"Moderado",IF(AB38&lt;=0.8,"Mayor","Catastrófico"))))),"")</f>
        <v/>
      </c>
      <c r="AB38" s="171" t="str">
        <f>IFERROR(IF(Q38="Impacto",(M38-(+M38*T38)),IF(Q38="Probabilidad",M38,"")),"")</f>
        <v/>
      </c>
      <c r="AC38" s="172" t="str">
        <f>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73"/>
      <c r="AE38" s="174"/>
      <c r="AF38" s="175"/>
      <c r="AG38" s="176"/>
      <c r="AH38" s="176"/>
      <c r="AI38" s="174"/>
      <c r="AJ38" s="175"/>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row>
    <row r="39" spans="1:68" s="160" customFormat="1" ht="14.25" hidden="1" customHeight="1" x14ac:dyDescent="0.25">
      <c r="A39" s="251"/>
      <c r="B39" s="254"/>
      <c r="C39" s="254"/>
      <c r="D39" s="254"/>
      <c r="E39" s="257"/>
      <c r="F39" s="254"/>
      <c r="G39" s="260"/>
      <c r="H39" s="263"/>
      <c r="I39" s="245"/>
      <c r="J39" s="266"/>
      <c r="K39" s="245">
        <f t="shared" ref="K39:K43" si="17">IF(NOT(ISERROR(MATCH(J39,_xlfn.ANCHORARRAY(E50),0))),I52&amp;"Por favor no seleccionar los criterios de impacto",J39)</f>
        <v>0</v>
      </c>
      <c r="L39" s="263"/>
      <c r="M39" s="245"/>
      <c r="N39" s="248"/>
      <c r="O39" s="5">
        <v>2</v>
      </c>
      <c r="P39" s="166"/>
      <c r="Q39" s="167" t="str">
        <f>IF(OR(R39="Preventivo",R39="Detectivo"),"Probabilidad",IF(R39="Correctivo","Impacto",""))</f>
        <v/>
      </c>
      <c r="R39" s="168"/>
      <c r="S39" s="168"/>
      <c r="T39" s="169" t="str">
        <f t="shared" ref="T39:T43" si="18">IF(AND(R39="Preventivo",S39="Automático"),"50%",IF(AND(R39="Preventivo",S39="Manual"),"40%",IF(AND(R39="Detectivo",S39="Automático"),"40%",IF(AND(R39="Detectivo",S39="Manual"),"30%",IF(AND(R39="Correctivo",S39="Automático"),"35%",IF(AND(R39="Correctivo",S39="Manual"),"25%",""))))))</f>
        <v/>
      </c>
      <c r="U39" s="168"/>
      <c r="V39" s="168"/>
      <c r="W39" s="168"/>
      <c r="X39" s="164" t="str">
        <f>IFERROR(IF(AND(Q38="Probabilidad",Q39="Probabilidad"),(Z38-(+Z38*T39)),IF(Q39="Probabilidad",(I38-(+I38*T39)),IF(Q39="Impacto",Z38,""))),"")</f>
        <v/>
      </c>
      <c r="Y39" s="170" t="str">
        <f t="shared" si="2"/>
        <v/>
      </c>
      <c r="Z39" s="171" t="str">
        <f t="shared" ref="Z39:Z43" si="19">+X39</f>
        <v/>
      </c>
      <c r="AA39" s="170" t="str">
        <f t="shared" si="4"/>
        <v/>
      </c>
      <c r="AB39" s="171" t="str">
        <f>IFERROR(IF(AND(Q38="Impacto",Q39="Impacto"),(AB38-(+AB38*T39)),IF(Q39="Impacto",(M38-(+M38*T39)),IF(Q39="Probabilidad",AB38,""))),"")</f>
        <v/>
      </c>
      <c r="AC39" s="172" t="str">
        <f t="shared" ref="AC39:AC40" si="20">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73"/>
      <c r="AE39" s="174"/>
      <c r="AF39" s="175"/>
      <c r="AG39" s="176"/>
      <c r="AH39" s="176"/>
      <c r="AI39" s="174"/>
      <c r="AJ39" s="175"/>
      <c r="AK39" s="161"/>
      <c r="AL39" s="161"/>
      <c r="AM39" s="161"/>
      <c r="AN39" s="161"/>
      <c r="AO39" s="161"/>
      <c r="AP39" s="161"/>
      <c r="AQ39" s="161"/>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1"/>
    </row>
    <row r="40" spans="1:68" s="160" customFormat="1" ht="14.25" hidden="1" customHeight="1" x14ac:dyDescent="0.25">
      <c r="A40" s="251"/>
      <c r="B40" s="254"/>
      <c r="C40" s="254"/>
      <c r="D40" s="254"/>
      <c r="E40" s="257"/>
      <c r="F40" s="254"/>
      <c r="G40" s="260"/>
      <c r="H40" s="263"/>
      <c r="I40" s="245"/>
      <c r="J40" s="266"/>
      <c r="K40" s="245">
        <f t="shared" si="17"/>
        <v>0</v>
      </c>
      <c r="L40" s="263"/>
      <c r="M40" s="245"/>
      <c r="N40" s="248"/>
      <c r="O40" s="5">
        <v>3</v>
      </c>
      <c r="P40" s="177"/>
      <c r="Q40" s="167" t="str">
        <f>IF(OR(R40="Preventivo",R40="Detectivo"),"Probabilidad",IF(R40="Correctivo","Impacto",""))</f>
        <v/>
      </c>
      <c r="R40" s="168"/>
      <c r="S40" s="168"/>
      <c r="T40" s="169" t="str">
        <f t="shared" si="18"/>
        <v/>
      </c>
      <c r="U40" s="168"/>
      <c r="V40" s="168"/>
      <c r="W40" s="168"/>
      <c r="X40" s="164" t="str">
        <f>IFERROR(IF(AND(Q39="Probabilidad",Q40="Probabilidad"),(Z39-(+Z39*T40)),IF(AND(Q39="Impacto",Q40="Probabilidad"),(Z38-(+Z38*T40)),IF(Q40="Impacto",Z39,""))),"")</f>
        <v/>
      </c>
      <c r="Y40" s="170" t="str">
        <f t="shared" si="2"/>
        <v/>
      </c>
      <c r="Z40" s="171" t="str">
        <f t="shared" si="19"/>
        <v/>
      </c>
      <c r="AA40" s="170" t="str">
        <f t="shared" si="4"/>
        <v/>
      </c>
      <c r="AB40" s="171" t="str">
        <f>IFERROR(IF(AND(Q39="Impacto",Q40="Impacto"),(AB39-(+AB39*T40)),IF(AND(Q39="Probabilidad",Q40="Impacto"),(AB38-(+AB38*T40)),IF(Q40="Probabilidad",AB39,""))),"")</f>
        <v/>
      </c>
      <c r="AC40" s="172" t="str">
        <f t="shared" si="20"/>
        <v/>
      </c>
      <c r="AD40" s="173"/>
      <c r="AE40" s="174"/>
      <c r="AF40" s="175"/>
      <c r="AG40" s="176"/>
      <c r="AH40" s="176"/>
      <c r="AI40" s="174"/>
      <c r="AJ40" s="175"/>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1"/>
    </row>
    <row r="41" spans="1:68" s="160" customFormat="1" ht="14.25" hidden="1" customHeight="1" x14ac:dyDescent="0.25">
      <c r="A41" s="251"/>
      <c r="B41" s="254"/>
      <c r="C41" s="254"/>
      <c r="D41" s="254"/>
      <c r="E41" s="257"/>
      <c r="F41" s="254"/>
      <c r="G41" s="260"/>
      <c r="H41" s="263"/>
      <c r="I41" s="245"/>
      <c r="J41" s="266"/>
      <c r="K41" s="245">
        <f t="shared" si="17"/>
        <v>0</v>
      </c>
      <c r="L41" s="263"/>
      <c r="M41" s="245"/>
      <c r="N41" s="248"/>
      <c r="O41" s="5">
        <v>4</v>
      </c>
      <c r="P41" s="166"/>
      <c r="Q41" s="167" t="str">
        <f t="shared" ref="Q41:Q43" si="21">IF(OR(R41="Preventivo",R41="Detectivo"),"Probabilidad",IF(R41="Correctivo","Impacto",""))</f>
        <v/>
      </c>
      <c r="R41" s="168"/>
      <c r="S41" s="168"/>
      <c r="T41" s="169" t="str">
        <f t="shared" si="18"/>
        <v/>
      </c>
      <c r="U41" s="168"/>
      <c r="V41" s="168"/>
      <c r="W41" s="168"/>
      <c r="X41" s="164" t="str">
        <f t="shared" ref="X41:X43" si="22">IFERROR(IF(AND(Q40="Probabilidad",Q41="Probabilidad"),(Z40-(+Z40*T41)),IF(AND(Q40="Impacto",Q41="Probabilidad"),(Z39-(+Z39*T41)),IF(Q41="Impacto",Z40,""))),"")</f>
        <v/>
      </c>
      <c r="Y41" s="170" t="str">
        <f t="shared" si="2"/>
        <v/>
      </c>
      <c r="Z41" s="171" t="str">
        <f t="shared" si="19"/>
        <v/>
      </c>
      <c r="AA41" s="170" t="str">
        <f t="shared" si="4"/>
        <v/>
      </c>
      <c r="AB41" s="171" t="str">
        <f t="shared" ref="AB41:AB43" si="23">IFERROR(IF(AND(Q40="Impacto",Q41="Impacto"),(AB40-(+AB40*T41)),IF(AND(Q40="Probabilidad",Q41="Impacto"),(AB39-(+AB39*T41)),IF(Q41="Probabilidad",AB40,""))),"")</f>
        <v/>
      </c>
      <c r="AC41" s="172" t="str">
        <f>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73"/>
      <c r="AE41" s="174"/>
      <c r="AF41" s="175"/>
      <c r="AG41" s="176"/>
      <c r="AH41" s="176"/>
      <c r="AI41" s="174"/>
      <c r="AJ41" s="175"/>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row>
    <row r="42" spans="1:68" s="160" customFormat="1" ht="14.25" hidden="1" customHeight="1" x14ac:dyDescent="0.25">
      <c r="A42" s="251"/>
      <c r="B42" s="254"/>
      <c r="C42" s="254"/>
      <c r="D42" s="254"/>
      <c r="E42" s="257"/>
      <c r="F42" s="254"/>
      <c r="G42" s="260"/>
      <c r="H42" s="263"/>
      <c r="I42" s="245"/>
      <c r="J42" s="266"/>
      <c r="K42" s="245">
        <f t="shared" si="17"/>
        <v>0</v>
      </c>
      <c r="L42" s="263"/>
      <c r="M42" s="245"/>
      <c r="N42" s="248"/>
      <c r="O42" s="5">
        <v>5</v>
      </c>
      <c r="P42" s="166"/>
      <c r="Q42" s="167" t="str">
        <f t="shared" si="21"/>
        <v/>
      </c>
      <c r="R42" s="168"/>
      <c r="S42" s="168"/>
      <c r="T42" s="169" t="str">
        <f t="shared" si="18"/>
        <v/>
      </c>
      <c r="U42" s="168"/>
      <c r="V42" s="168"/>
      <c r="W42" s="168"/>
      <c r="X42" s="164" t="str">
        <f t="shared" si="22"/>
        <v/>
      </c>
      <c r="Y42" s="170" t="str">
        <f t="shared" si="2"/>
        <v/>
      </c>
      <c r="Z42" s="171" t="str">
        <f t="shared" si="19"/>
        <v/>
      </c>
      <c r="AA42" s="170" t="str">
        <f t="shared" si="4"/>
        <v/>
      </c>
      <c r="AB42" s="171" t="str">
        <f t="shared" si="23"/>
        <v/>
      </c>
      <c r="AC42" s="172" t="str">
        <f t="shared" ref="AC42:AC43" si="24">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73"/>
      <c r="AE42" s="174"/>
      <c r="AF42" s="175"/>
      <c r="AG42" s="176"/>
      <c r="AH42" s="176"/>
      <c r="AI42" s="174"/>
      <c r="AJ42" s="175"/>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c r="BN42" s="161"/>
      <c r="BO42" s="161"/>
      <c r="BP42" s="161"/>
    </row>
    <row r="43" spans="1:68" s="160" customFormat="1" ht="14.25" hidden="1" customHeight="1" x14ac:dyDescent="0.25">
      <c r="A43" s="252"/>
      <c r="B43" s="255"/>
      <c r="C43" s="255"/>
      <c r="D43" s="255"/>
      <c r="E43" s="258"/>
      <c r="F43" s="255"/>
      <c r="G43" s="261"/>
      <c r="H43" s="264"/>
      <c r="I43" s="246"/>
      <c r="J43" s="267"/>
      <c r="K43" s="246">
        <f t="shared" si="17"/>
        <v>0</v>
      </c>
      <c r="L43" s="264"/>
      <c r="M43" s="246"/>
      <c r="N43" s="249"/>
      <c r="O43" s="5">
        <v>6</v>
      </c>
      <c r="P43" s="166"/>
      <c r="Q43" s="167" t="str">
        <f t="shared" si="21"/>
        <v/>
      </c>
      <c r="R43" s="168"/>
      <c r="S43" s="168"/>
      <c r="T43" s="169" t="str">
        <f t="shared" si="18"/>
        <v/>
      </c>
      <c r="U43" s="168"/>
      <c r="V43" s="168"/>
      <c r="W43" s="168"/>
      <c r="X43" s="164" t="str">
        <f t="shared" si="22"/>
        <v/>
      </c>
      <c r="Y43" s="170" t="str">
        <f t="shared" si="2"/>
        <v/>
      </c>
      <c r="Z43" s="171" t="str">
        <f t="shared" si="19"/>
        <v/>
      </c>
      <c r="AA43" s="170" t="str">
        <f t="shared" si="4"/>
        <v/>
      </c>
      <c r="AB43" s="171" t="str">
        <f t="shared" si="23"/>
        <v/>
      </c>
      <c r="AC43" s="172" t="str">
        <f t="shared" si="24"/>
        <v/>
      </c>
      <c r="AD43" s="173"/>
      <c r="AE43" s="174"/>
      <c r="AF43" s="175"/>
      <c r="AG43" s="176"/>
      <c r="AH43" s="176"/>
      <c r="AI43" s="174"/>
      <c r="AJ43" s="175"/>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c r="BI43" s="161"/>
      <c r="BJ43" s="161"/>
      <c r="BK43" s="161"/>
      <c r="BL43" s="161"/>
      <c r="BM43" s="161"/>
      <c r="BN43" s="161"/>
      <c r="BO43" s="161"/>
      <c r="BP43" s="161"/>
    </row>
    <row r="44" spans="1:68" s="160" customFormat="1" ht="14.25" hidden="1" customHeight="1" x14ac:dyDescent="0.25">
      <c r="A44" s="250">
        <v>6</v>
      </c>
      <c r="B44" s="253"/>
      <c r="C44" s="253"/>
      <c r="D44" s="253"/>
      <c r="E44" s="256"/>
      <c r="F44" s="253"/>
      <c r="G44" s="259"/>
      <c r="H44" s="262" t="str">
        <f>IF(G44&lt;=0,"",IF(G44&lt;=2,"Muy Baja",IF(G44&lt;=24,"Baja",IF(G44&lt;=500,"Media",IF(G44&lt;=5000,"Alta","Muy Alta")))))</f>
        <v/>
      </c>
      <c r="I44" s="244" t="str">
        <f>IF(H44="","",IF(H44="Muy Baja",0.2,IF(H44="Baja",0.4,IF(H44="Media",0.6,IF(H44="Alta",0.8,IF(H44="Muy Alta",1,))))))</f>
        <v/>
      </c>
      <c r="J44" s="265"/>
      <c r="K44" s="244">
        <f>IF(NOT(ISERROR(MATCH(J44,'Tabla Impacto'!$B$221:$B$223,0))),'Tabla Impacto'!$F$223&amp;"Por favor no seleccionar los criterios de impacto(Afectación Económica o presupuestal y Pérdida Reputacional)",J44)</f>
        <v>0</v>
      </c>
      <c r="L44" s="262" t="str">
        <f>IF(OR(K44='Tabla Impacto'!$C$11,K44='Tabla Impacto'!$D$11),"Leve",IF(OR(K44='Tabla Impacto'!$C$12,K44='Tabla Impacto'!$D$12),"Menor",IF(OR(K44='Tabla Impacto'!$C$13,K44='Tabla Impacto'!$D$13),"Moderado",IF(OR(K44='Tabla Impacto'!$C$14,K44='Tabla Impacto'!$D$14),"Mayor",IF(OR(K44='Tabla Impacto'!$C$15,K44='Tabla Impacto'!$D$15),"Catastrófico","")))))</f>
        <v/>
      </c>
      <c r="M44" s="244" t="str">
        <f>IF(L44="","",IF(L44="Leve",0.2,IF(L44="Menor",0.4,IF(L44="Moderado",0.6,IF(L44="Mayor",0.8,IF(L44="Catastrófico",1,))))))</f>
        <v/>
      </c>
      <c r="N44" s="247" t="str">
        <f>IF(OR(AND(H44="Muy Baja",L44="Leve"),AND(H44="Muy Baja",L44="Menor"),AND(H44="Baja",L44="Leve")),"Bajo",IF(OR(AND(H44="Muy baja",L44="Moderado"),AND(H44="Baja",L44="Menor"),AND(H44="Baja",L44="Moderado"),AND(H44="Media",L44="Leve"),AND(H44="Media",L44="Menor"),AND(H44="Media",L44="Moderado"),AND(H44="Alta",L44="Leve"),AND(H44="Alta",L44="Menor")),"Moderado",IF(OR(AND(H44="Muy Baja",L44="Mayor"),AND(H44="Baja",L44="Mayor"),AND(H44="Media",L44="Mayor"),AND(H44="Alta",L44="Moderado"),AND(H44="Alta",L44="Mayor"),AND(H44="Muy Alta",L44="Leve"),AND(H44="Muy Alta",L44="Menor"),AND(H44="Muy Alta",L44="Moderado"),AND(H44="Muy Alta",L44="Mayor")),"Alto",IF(OR(AND(H44="Muy Baja",L44="Catastrófico"),AND(H44="Baja",L44="Catastrófico"),AND(H44="Media",L44="Catastrófico"),AND(H44="Alta",L44="Catastrófico"),AND(H44="Muy Alta",L44="Catastrófico")),"Extremo",""))))</f>
        <v/>
      </c>
      <c r="O44" s="5">
        <v>1</v>
      </c>
      <c r="P44" s="166"/>
      <c r="Q44" s="167" t="str">
        <f>IF(OR(R44="Preventivo",R44="Detectivo"),"Probabilidad",IF(R44="Correctivo","Impacto",""))</f>
        <v/>
      </c>
      <c r="R44" s="168"/>
      <c r="S44" s="168"/>
      <c r="T44" s="169" t="str">
        <f>IF(AND(R44="Preventivo",S44="Automático"),"50%",IF(AND(R44="Preventivo",S44="Manual"),"40%",IF(AND(R44="Detectivo",S44="Automático"),"40%",IF(AND(R44="Detectivo",S44="Manual"),"30%",IF(AND(R44="Correctivo",S44="Automático"),"35%",IF(AND(R44="Correctivo",S44="Manual"),"25%",""))))))</f>
        <v/>
      </c>
      <c r="U44" s="168"/>
      <c r="V44" s="168"/>
      <c r="W44" s="168"/>
      <c r="X44" s="164" t="str">
        <f>IFERROR(IF(Q44="Probabilidad",(I44-(+I44*T44)),IF(Q44="Impacto",I44,"")),"")</f>
        <v/>
      </c>
      <c r="Y44" s="170" t="str">
        <f>IFERROR(IF(X44="","",IF(X44&lt;=0.2,"Muy Baja",IF(X44&lt;=0.4,"Baja",IF(X44&lt;=0.6,"Media",IF(X44&lt;=0.8,"Alta","Muy Alta"))))),"")</f>
        <v/>
      </c>
      <c r="Z44" s="171" t="str">
        <f>+X44</f>
        <v/>
      </c>
      <c r="AA44" s="170" t="str">
        <f>IFERROR(IF(AB44="","",IF(AB44&lt;=0.2,"Leve",IF(AB44&lt;=0.4,"Menor",IF(AB44&lt;=0.6,"Moderado",IF(AB44&lt;=0.8,"Mayor","Catastrófico"))))),"")</f>
        <v/>
      </c>
      <c r="AB44" s="171" t="str">
        <f>IFERROR(IF(Q44="Impacto",(M44-(+M44*T44)),IF(Q44="Probabilidad",M44,"")),"")</f>
        <v/>
      </c>
      <c r="AC44" s="172" t="str">
        <f>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73"/>
      <c r="AE44" s="174"/>
      <c r="AF44" s="175"/>
      <c r="AG44" s="176"/>
      <c r="AH44" s="176"/>
      <c r="AI44" s="174"/>
      <c r="AJ44" s="175"/>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row>
    <row r="45" spans="1:68" s="160" customFormat="1" ht="14.25" hidden="1" customHeight="1" x14ac:dyDescent="0.25">
      <c r="A45" s="251"/>
      <c r="B45" s="254"/>
      <c r="C45" s="254"/>
      <c r="D45" s="254"/>
      <c r="E45" s="257"/>
      <c r="F45" s="254"/>
      <c r="G45" s="260"/>
      <c r="H45" s="263"/>
      <c r="I45" s="245"/>
      <c r="J45" s="266"/>
      <c r="K45" s="245">
        <f t="shared" ref="K45:K49" si="25">IF(NOT(ISERROR(MATCH(J45,_xlfn.ANCHORARRAY(E56),0))),I58&amp;"Por favor no seleccionar los criterios de impacto",J45)</f>
        <v>0</v>
      </c>
      <c r="L45" s="263"/>
      <c r="M45" s="245"/>
      <c r="N45" s="248"/>
      <c r="O45" s="5">
        <v>2</v>
      </c>
      <c r="P45" s="166"/>
      <c r="Q45" s="167" t="str">
        <f>IF(OR(R45="Preventivo",R45="Detectivo"),"Probabilidad",IF(R45="Correctivo","Impacto",""))</f>
        <v/>
      </c>
      <c r="R45" s="168"/>
      <c r="S45" s="168"/>
      <c r="T45" s="169" t="str">
        <f t="shared" ref="T45:T49" si="26">IF(AND(R45="Preventivo",S45="Automático"),"50%",IF(AND(R45="Preventivo",S45="Manual"),"40%",IF(AND(R45="Detectivo",S45="Automático"),"40%",IF(AND(R45="Detectivo",S45="Manual"),"30%",IF(AND(R45="Correctivo",S45="Automático"),"35%",IF(AND(R45="Correctivo",S45="Manual"),"25%",""))))))</f>
        <v/>
      </c>
      <c r="U45" s="168"/>
      <c r="V45" s="168"/>
      <c r="W45" s="168"/>
      <c r="X45" s="164" t="str">
        <f>IFERROR(IF(AND(Q44="Probabilidad",Q45="Probabilidad"),(Z44-(+Z44*T45)),IF(Q45="Probabilidad",(I44-(+I44*T45)),IF(Q45="Impacto",Z44,""))),"")</f>
        <v/>
      </c>
      <c r="Y45" s="170" t="str">
        <f t="shared" si="2"/>
        <v/>
      </c>
      <c r="Z45" s="171" t="str">
        <f t="shared" ref="Z45:Z49" si="27">+X45</f>
        <v/>
      </c>
      <c r="AA45" s="170" t="str">
        <f t="shared" si="4"/>
        <v/>
      </c>
      <c r="AB45" s="171" t="str">
        <f>IFERROR(IF(AND(Q44="Impacto",Q45="Impacto"),(AB44-(+AB44*T45)),IF(Q45="Impacto",(M44-(+M44*T45)),IF(Q45="Probabilidad",AB44,""))),"")</f>
        <v/>
      </c>
      <c r="AC45" s="172" t="str">
        <f t="shared" ref="AC45:AC46" si="28">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73"/>
      <c r="AE45" s="174"/>
      <c r="AF45" s="175"/>
      <c r="AG45" s="176"/>
      <c r="AH45" s="176"/>
      <c r="AI45" s="174"/>
      <c r="AJ45" s="175"/>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row>
    <row r="46" spans="1:68" s="160" customFormat="1" ht="14.25" hidden="1" customHeight="1" x14ac:dyDescent="0.25">
      <c r="A46" s="251"/>
      <c r="B46" s="254"/>
      <c r="C46" s="254"/>
      <c r="D46" s="254"/>
      <c r="E46" s="257"/>
      <c r="F46" s="254"/>
      <c r="G46" s="260"/>
      <c r="H46" s="263"/>
      <c r="I46" s="245"/>
      <c r="J46" s="266"/>
      <c r="K46" s="245">
        <f t="shared" si="25"/>
        <v>0</v>
      </c>
      <c r="L46" s="263"/>
      <c r="M46" s="245"/>
      <c r="N46" s="248"/>
      <c r="O46" s="5">
        <v>3</v>
      </c>
      <c r="P46" s="177"/>
      <c r="Q46" s="167" t="str">
        <f>IF(OR(R46="Preventivo",R46="Detectivo"),"Probabilidad",IF(R46="Correctivo","Impacto",""))</f>
        <v/>
      </c>
      <c r="R46" s="168"/>
      <c r="S46" s="168"/>
      <c r="T46" s="169" t="str">
        <f t="shared" si="26"/>
        <v/>
      </c>
      <c r="U46" s="168"/>
      <c r="V46" s="168"/>
      <c r="W46" s="168"/>
      <c r="X46" s="164" t="str">
        <f>IFERROR(IF(AND(Q45="Probabilidad",Q46="Probabilidad"),(Z45-(+Z45*T46)),IF(AND(Q45="Impacto",Q46="Probabilidad"),(Z44-(+Z44*T46)),IF(Q46="Impacto",Z45,""))),"")</f>
        <v/>
      </c>
      <c r="Y46" s="170" t="str">
        <f t="shared" si="2"/>
        <v/>
      </c>
      <c r="Z46" s="171" t="str">
        <f t="shared" si="27"/>
        <v/>
      </c>
      <c r="AA46" s="170" t="str">
        <f t="shared" si="4"/>
        <v/>
      </c>
      <c r="AB46" s="171" t="str">
        <f>IFERROR(IF(AND(Q45="Impacto",Q46="Impacto"),(AB45-(+AB45*T46)),IF(AND(Q45="Probabilidad",Q46="Impacto"),(AB44-(+AB44*T46)),IF(Q46="Probabilidad",AB45,""))),"")</f>
        <v/>
      </c>
      <c r="AC46" s="172" t="str">
        <f t="shared" si="28"/>
        <v/>
      </c>
      <c r="AD46" s="173"/>
      <c r="AE46" s="174"/>
      <c r="AF46" s="175"/>
      <c r="AG46" s="176"/>
      <c r="AH46" s="176"/>
      <c r="AI46" s="174"/>
      <c r="AJ46" s="175"/>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1"/>
    </row>
    <row r="47" spans="1:68" s="160" customFormat="1" ht="14.25" hidden="1" customHeight="1" x14ac:dyDescent="0.25">
      <c r="A47" s="251"/>
      <c r="B47" s="254"/>
      <c r="C47" s="254"/>
      <c r="D47" s="254"/>
      <c r="E47" s="257"/>
      <c r="F47" s="254"/>
      <c r="G47" s="260"/>
      <c r="H47" s="263"/>
      <c r="I47" s="245"/>
      <c r="J47" s="266"/>
      <c r="K47" s="245">
        <f t="shared" si="25"/>
        <v>0</v>
      </c>
      <c r="L47" s="263"/>
      <c r="M47" s="245"/>
      <c r="N47" s="248"/>
      <c r="O47" s="5">
        <v>4</v>
      </c>
      <c r="P47" s="166"/>
      <c r="Q47" s="167" t="str">
        <f t="shared" ref="Q47:Q49" si="29">IF(OR(R47="Preventivo",R47="Detectivo"),"Probabilidad",IF(R47="Correctivo","Impacto",""))</f>
        <v/>
      </c>
      <c r="R47" s="168"/>
      <c r="S47" s="168"/>
      <c r="T47" s="169" t="str">
        <f t="shared" si="26"/>
        <v/>
      </c>
      <c r="U47" s="168"/>
      <c r="V47" s="168"/>
      <c r="W47" s="168"/>
      <c r="X47" s="164" t="str">
        <f t="shared" ref="X47:X49" si="30">IFERROR(IF(AND(Q46="Probabilidad",Q47="Probabilidad"),(Z46-(+Z46*T47)),IF(AND(Q46="Impacto",Q47="Probabilidad"),(Z45-(+Z45*T47)),IF(Q47="Impacto",Z46,""))),"")</f>
        <v/>
      </c>
      <c r="Y47" s="170" t="str">
        <f t="shared" si="2"/>
        <v/>
      </c>
      <c r="Z47" s="171" t="str">
        <f t="shared" si="27"/>
        <v/>
      </c>
      <c r="AA47" s="170" t="str">
        <f t="shared" si="4"/>
        <v/>
      </c>
      <c r="AB47" s="171" t="str">
        <f t="shared" ref="AB47:AB49" si="31">IFERROR(IF(AND(Q46="Impacto",Q47="Impacto"),(AB46-(+AB46*T47)),IF(AND(Q46="Probabilidad",Q47="Impacto"),(AB45-(+AB45*T47)),IF(Q47="Probabilidad",AB46,""))),"")</f>
        <v/>
      </c>
      <c r="AC47" s="172"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73"/>
      <c r="AE47" s="174"/>
      <c r="AF47" s="175"/>
      <c r="AG47" s="176"/>
      <c r="AH47" s="176"/>
      <c r="AI47" s="174"/>
      <c r="AJ47" s="175"/>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row>
    <row r="48" spans="1:68" s="160" customFormat="1" ht="14.25" hidden="1" customHeight="1" x14ac:dyDescent="0.25">
      <c r="A48" s="251"/>
      <c r="B48" s="254"/>
      <c r="C48" s="254"/>
      <c r="D48" s="254"/>
      <c r="E48" s="257"/>
      <c r="F48" s="254"/>
      <c r="G48" s="260"/>
      <c r="H48" s="263"/>
      <c r="I48" s="245"/>
      <c r="J48" s="266"/>
      <c r="K48" s="245">
        <f t="shared" si="25"/>
        <v>0</v>
      </c>
      <c r="L48" s="263"/>
      <c r="M48" s="245"/>
      <c r="N48" s="248"/>
      <c r="O48" s="5">
        <v>5</v>
      </c>
      <c r="P48" s="166"/>
      <c r="Q48" s="167" t="str">
        <f t="shared" si="29"/>
        <v/>
      </c>
      <c r="R48" s="168"/>
      <c r="S48" s="168"/>
      <c r="T48" s="169" t="str">
        <f t="shared" si="26"/>
        <v/>
      </c>
      <c r="U48" s="168"/>
      <c r="V48" s="168"/>
      <c r="W48" s="168"/>
      <c r="X48" s="164" t="str">
        <f t="shared" si="30"/>
        <v/>
      </c>
      <c r="Y48" s="170" t="str">
        <f t="shared" si="2"/>
        <v/>
      </c>
      <c r="Z48" s="171" t="str">
        <f t="shared" si="27"/>
        <v/>
      </c>
      <c r="AA48" s="170" t="str">
        <f t="shared" si="4"/>
        <v/>
      </c>
      <c r="AB48" s="171" t="str">
        <f t="shared" si="31"/>
        <v/>
      </c>
      <c r="AC48" s="172" t="str">
        <f t="shared" ref="AC48" si="32">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73"/>
      <c r="AE48" s="174"/>
      <c r="AF48" s="175"/>
      <c r="AG48" s="176"/>
      <c r="AH48" s="176"/>
      <c r="AI48" s="174"/>
      <c r="AJ48" s="175"/>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row>
    <row r="49" spans="1:68" s="160" customFormat="1" ht="14.25" hidden="1" customHeight="1" x14ac:dyDescent="0.25">
      <c r="A49" s="252"/>
      <c r="B49" s="255"/>
      <c r="C49" s="255"/>
      <c r="D49" s="255"/>
      <c r="E49" s="258"/>
      <c r="F49" s="255"/>
      <c r="G49" s="261"/>
      <c r="H49" s="264"/>
      <c r="I49" s="246"/>
      <c r="J49" s="267"/>
      <c r="K49" s="246">
        <f t="shared" si="25"/>
        <v>0</v>
      </c>
      <c r="L49" s="264"/>
      <c r="M49" s="246"/>
      <c r="N49" s="249"/>
      <c r="O49" s="5">
        <v>6</v>
      </c>
      <c r="P49" s="166"/>
      <c r="Q49" s="167" t="str">
        <f t="shared" si="29"/>
        <v/>
      </c>
      <c r="R49" s="168"/>
      <c r="S49" s="168"/>
      <c r="T49" s="169" t="str">
        <f t="shared" si="26"/>
        <v/>
      </c>
      <c r="U49" s="168"/>
      <c r="V49" s="168"/>
      <c r="W49" s="168"/>
      <c r="X49" s="164" t="str">
        <f t="shared" si="30"/>
        <v/>
      </c>
      <c r="Y49" s="170" t="str">
        <f t="shared" si="2"/>
        <v/>
      </c>
      <c r="Z49" s="171" t="str">
        <f t="shared" si="27"/>
        <v/>
      </c>
      <c r="AA49" s="170" t="str">
        <f>IFERROR(IF(AB49="","",IF(AB49&lt;=0.2,"Leve",IF(AB49&lt;=0.4,"Menor",IF(AB49&lt;=0.6,"Moderado",IF(AB49&lt;=0.8,"Mayor","Catastrófico"))))),"")</f>
        <v/>
      </c>
      <c r="AB49" s="171" t="str">
        <f t="shared" si="31"/>
        <v/>
      </c>
      <c r="AC49" s="172"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73"/>
      <c r="AE49" s="174"/>
      <c r="AF49" s="175"/>
      <c r="AG49" s="176"/>
      <c r="AH49" s="176"/>
      <c r="AI49" s="174"/>
      <c r="AJ49" s="175"/>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1"/>
    </row>
    <row r="50" spans="1:68" s="160" customFormat="1" ht="14.25" hidden="1" customHeight="1" x14ac:dyDescent="0.25">
      <c r="A50" s="250">
        <v>7</v>
      </c>
      <c r="B50" s="253"/>
      <c r="C50" s="253"/>
      <c r="D50" s="253"/>
      <c r="E50" s="256"/>
      <c r="F50" s="253"/>
      <c r="G50" s="259"/>
      <c r="H50" s="262" t="str">
        <f>IF(G50&lt;=0,"",IF(G50&lt;=2,"Muy Baja",IF(G50&lt;=24,"Baja",IF(G50&lt;=500,"Media",IF(G50&lt;=5000,"Alta","Muy Alta")))))</f>
        <v/>
      </c>
      <c r="I50" s="244" t="str">
        <f>IF(H50="","",IF(H50="Muy Baja",0.2,IF(H50="Baja",0.4,IF(H50="Media",0.6,IF(H50="Alta",0.8,IF(H50="Muy Alta",1,))))))</f>
        <v/>
      </c>
      <c r="J50" s="265"/>
      <c r="K50" s="244">
        <f>IF(NOT(ISERROR(MATCH(J50,'Tabla Impacto'!$B$221:$B$223,0))),'Tabla Impacto'!$F$223&amp;"Por favor no seleccionar los criterios de impacto(Afectación Económica o presupuestal y Pérdida Reputacional)",J50)</f>
        <v>0</v>
      </c>
      <c r="L50" s="262" t="str">
        <f>IF(OR(K50='Tabla Impacto'!$C$11,K50='Tabla Impacto'!$D$11),"Leve",IF(OR(K50='Tabla Impacto'!$C$12,K50='Tabla Impacto'!$D$12),"Menor",IF(OR(K50='Tabla Impacto'!$C$13,K50='Tabla Impacto'!$D$13),"Moderado",IF(OR(K50='Tabla Impacto'!$C$14,K50='Tabla Impacto'!$D$14),"Mayor",IF(OR(K50='Tabla Impacto'!$C$15,K50='Tabla Impacto'!$D$15),"Catastrófico","")))))</f>
        <v/>
      </c>
      <c r="M50" s="244" t="str">
        <f>IF(L50="","",IF(L50="Leve",0.2,IF(L50="Menor",0.4,IF(L50="Moderado",0.6,IF(L50="Mayor",0.8,IF(L50="Catastrófico",1,))))))</f>
        <v/>
      </c>
      <c r="N50" s="247" t="str">
        <f>IF(OR(AND(H50="Muy Baja",L50="Leve"),AND(H50="Muy Baja",L50="Menor"),AND(H50="Baja",L50="Leve")),"Bajo",IF(OR(AND(H50="Muy baja",L50="Moderado"),AND(H50="Baja",L50="Menor"),AND(H50="Baja",L50="Moderado"),AND(H50="Media",L50="Leve"),AND(H50="Media",L50="Menor"),AND(H50="Media",L50="Moderado"),AND(H50="Alta",L50="Leve"),AND(H50="Alta",L50="Menor")),"Moderado",IF(OR(AND(H50="Muy Baja",L50="Mayor"),AND(H50="Baja",L50="Mayor"),AND(H50="Media",L50="Mayor"),AND(H50="Alta",L50="Moderado"),AND(H50="Alta",L50="Mayor"),AND(H50="Muy Alta",L50="Leve"),AND(H50="Muy Alta",L50="Menor"),AND(H50="Muy Alta",L50="Moderado"),AND(H50="Muy Alta",L50="Mayor")),"Alto",IF(OR(AND(H50="Muy Baja",L50="Catastrófico"),AND(H50="Baja",L50="Catastrófico"),AND(H50="Media",L50="Catastrófico"),AND(H50="Alta",L50="Catastrófico"),AND(H50="Muy Alta",L50="Catastrófico")),"Extremo",""))))</f>
        <v/>
      </c>
      <c r="O50" s="5">
        <v>1</v>
      </c>
      <c r="P50" s="166"/>
      <c r="Q50" s="167" t="str">
        <f>IF(OR(R50="Preventivo",R50="Detectivo"),"Probabilidad",IF(R50="Correctivo","Impacto",""))</f>
        <v/>
      </c>
      <c r="R50" s="168"/>
      <c r="S50" s="168"/>
      <c r="T50" s="169" t="str">
        <f>IF(AND(R50="Preventivo",S50="Automático"),"50%",IF(AND(R50="Preventivo",S50="Manual"),"40%",IF(AND(R50="Detectivo",S50="Automático"),"40%",IF(AND(R50="Detectivo",S50="Manual"),"30%",IF(AND(R50="Correctivo",S50="Automático"),"35%",IF(AND(R50="Correctivo",S50="Manual"),"25%",""))))))</f>
        <v/>
      </c>
      <c r="U50" s="168"/>
      <c r="V50" s="168"/>
      <c r="W50" s="168"/>
      <c r="X50" s="164" t="str">
        <f>IFERROR(IF(Q50="Probabilidad",(I50-(+I50*T50)),IF(Q50="Impacto",I50,"")),"")</f>
        <v/>
      </c>
      <c r="Y50" s="170" t="str">
        <f>IFERROR(IF(X50="","",IF(X50&lt;=0.2,"Muy Baja",IF(X50&lt;=0.4,"Baja",IF(X50&lt;=0.6,"Media",IF(X50&lt;=0.8,"Alta","Muy Alta"))))),"")</f>
        <v/>
      </c>
      <c r="Z50" s="171" t="str">
        <f>+X50</f>
        <v/>
      </c>
      <c r="AA50" s="170" t="str">
        <f>IFERROR(IF(AB50="","",IF(AB50&lt;=0.2,"Leve",IF(AB50&lt;=0.4,"Menor",IF(AB50&lt;=0.6,"Moderado",IF(AB50&lt;=0.8,"Mayor","Catastrófico"))))),"")</f>
        <v/>
      </c>
      <c r="AB50" s="171" t="str">
        <f>IFERROR(IF(Q50="Impacto",(M50-(+M50*T50)),IF(Q50="Probabilidad",M50,"")),"")</f>
        <v/>
      </c>
      <c r="AC50" s="172" t="str">
        <f>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73"/>
      <c r="AE50" s="174"/>
      <c r="AF50" s="175"/>
      <c r="AG50" s="176"/>
      <c r="AH50" s="176"/>
      <c r="AI50" s="174"/>
      <c r="AJ50" s="175"/>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row>
    <row r="51" spans="1:68" s="160" customFormat="1" ht="14.25" hidden="1" customHeight="1" x14ac:dyDescent="0.25">
      <c r="A51" s="251"/>
      <c r="B51" s="254"/>
      <c r="C51" s="254"/>
      <c r="D51" s="254"/>
      <c r="E51" s="257"/>
      <c r="F51" s="254"/>
      <c r="G51" s="260"/>
      <c r="H51" s="263"/>
      <c r="I51" s="245"/>
      <c r="J51" s="266"/>
      <c r="K51" s="245">
        <f t="shared" ref="K51:K55" si="33">IF(NOT(ISERROR(MATCH(J51,_xlfn.ANCHORARRAY(E62),0))),I64&amp;"Por favor no seleccionar los criterios de impacto",J51)</f>
        <v>0</v>
      </c>
      <c r="L51" s="263"/>
      <c r="M51" s="245"/>
      <c r="N51" s="248"/>
      <c r="O51" s="5">
        <v>2</v>
      </c>
      <c r="P51" s="166"/>
      <c r="Q51" s="167" t="str">
        <f>IF(OR(R51="Preventivo",R51="Detectivo"),"Probabilidad",IF(R51="Correctivo","Impacto",""))</f>
        <v/>
      </c>
      <c r="R51" s="168"/>
      <c r="S51" s="168"/>
      <c r="T51" s="169" t="str">
        <f t="shared" ref="T51:T55" si="34">IF(AND(R51="Preventivo",S51="Automático"),"50%",IF(AND(R51="Preventivo",S51="Manual"),"40%",IF(AND(R51="Detectivo",S51="Automático"),"40%",IF(AND(R51="Detectivo",S51="Manual"),"30%",IF(AND(R51="Correctivo",S51="Automático"),"35%",IF(AND(R51="Correctivo",S51="Manual"),"25%",""))))))</f>
        <v/>
      </c>
      <c r="U51" s="168"/>
      <c r="V51" s="168"/>
      <c r="W51" s="168"/>
      <c r="X51" s="164" t="str">
        <f>IFERROR(IF(AND(Q50="Probabilidad",Q51="Probabilidad"),(Z50-(+Z50*T51)),IF(Q51="Probabilidad",(I50-(+I50*T51)),IF(Q51="Impacto",Z50,""))),"")</f>
        <v/>
      </c>
      <c r="Y51" s="170" t="str">
        <f t="shared" si="2"/>
        <v/>
      </c>
      <c r="Z51" s="171" t="str">
        <f t="shared" ref="Z51:Z55" si="35">+X51</f>
        <v/>
      </c>
      <c r="AA51" s="170" t="str">
        <f t="shared" si="4"/>
        <v/>
      </c>
      <c r="AB51" s="171" t="str">
        <f>IFERROR(IF(AND(Q50="Impacto",Q51="Impacto"),(AB50-(+AB50*T51)),IF(Q51="Impacto",(M50-(+M50*T51)),IF(Q51="Probabilidad",AB50,""))),"")</f>
        <v/>
      </c>
      <c r="AC51" s="172" t="str">
        <f t="shared" ref="AC51:AC52" si="36">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73"/>
      <c r="AE51" s="174"/>
      <c r="AF51" s="175"/>
      <c r="AG51" s="176"/>
      <c r="AH51" s="176"/>
      <c r="AI51" s="174"/>
      <c r="AJ51" s="175"/>
      <c r="AK51" s="161"/>
      <c r="AL51" s="161"/>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row>
    <row r="52" spans="1:68" s="160" customFormat="1" ht="14.25" hidden="1" customHeight="1" x14ac:dyDescent="0.25">
      <c r="A52" s="251"/>
      <c r="B52" s="254"/>
      <c r="C52" s="254"/>
      <c r="D52" s="254"/>
      <c r="E52" s="257"/>
      <c r="F52" s="254"/>
      <c r="G52" s="260"/>
      <c r="H52" s="263"/>
      <c r="I52" s="245"/>
      <c r="J52" s="266"/>
      <c r="K52" s="245">
        <f t="shared" si="33"/>
        <v>0</v>
      </c>
      <c r="L52" s="263"/>
      <c r="M52" s="245"/>
      <c r="N52" s="248"/>
      <c r="O52" s="5">
        <v>3</v>
      </c>
      <c r="P52" s="177"/>
      <c r="Q52" s="167" t="str">
        <f>IF(OR(R52="Preventivo",R52="Detectivo"),"Probabilidad",IF(R52="Correctivo","Impacto",""))</f>
        <v/>
      </c>
      <c r="R52" s="168"/>
      <c r="S52" s="168"/>
      <c r="T52" s="169" t="str">
        <f t="shared" si="34"/>
        <v/>
      </c>
      <c r="U52" s="168"/>
      <c r="V52" s="168"/>
      <c r="W52" s="168"/>
      <c r="X52" s="164" t="str">
        <f>IFERROR(IF(AND(Q51="Probabilidad",Q52="Probabilidad"),(Z51-(+Z51*T52)),IF(AND(Q51="Impacto",Q52="Probabilidad"),(Z50-(+Z50*T52)),IF(Q52="Impacto",Z51,""))),"")</f>
        <v/>
      </c>
      <c r="Y52" s="170" t="str">
        <f t="shared" si="2"/>
        <v/>
      </c>
      <c r="Z52" s="171" t="str">
        <f t="shared" si="35"/>
        <v/>
      </c>
      <c r="AA52" s="170" t="str">
        <f t="shared" si="4"/>
        <v/>
      </c>
      <c r="AB52" s="171" t="str">
        <f>IFERROR(IF(AND(Q51="Impacto",Q52="Impacto"),(AB51-(+AB51*T52)),IF(AND(Q51="Probabilidad",Q52="Impacto"),(AB50-(+AB50*T52)),IF(Q52="Probabilidad",AB51,""))),"")</f>
        <v/>
      </c>
      <c r="AC52" s="172" t="str">
        <f t="shared" si="36"/>
        <v/>
      </c>
      <c r="AD52" s="173"/>
      <c r="AE52" s="174"/>
      <c r="AF52" s="175"/>
      <c r="AG52" s="176"/>
      <c r="AH52" s="176"/>
      <c r="AI52" s="174"/>
      <c r="AJ52" s="175"/>
      <c r="AK52" s="161"/>
      <c r="AL52" s="161"/>
      <c r="AM52" s="161"/>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1"/>
    </row>
    <row r="53" spans="1:68" s="160" customFormat="1" ht="14.25" hidden="1" customHeight="1" x14ac:dyDescent="0.25">
      <c r="A53" s="251"/>
      <c r="B53" s="254"/>
      <c r="C53" s="254"/>
      <c r="D53" s="254"/>
      <c r="E53" s="257"/>
      <c r="F53" s="254"/>
      <c r="G53" s="260"/>
      <c r="H53" s="263"/>
      <c r="I53" s="245"/>
      <c r="J53" s="266"/>
      <c r="K53" s="245">
        <f t="shared" si="33"/>
        <v>0</v>
      </c>
      <c r="L53" s="263"/>
      <c r="M53" s="245"/>
      <c r="N53" s="248"/>
      <c r="O53" s="5">
        <v>4</v>
      </c>
      <c r="P53" s="166"/>
      <c r="Q53" s="167" t="str">
        <f t="shared" ref="Q53:Q55" si="37">IF(OR(R53="Preventivo",R53="Detectivo"),"Probabilidad",IF(R53="Correctivo","Impacto",""))</f>
        <v/>
      </c>
      <c r="R53" s="168"/>
      <c r="S53" s="168"/>
      <c r="T53" s="169" t="str">
        <f t="shared" si="34"/>
        <v/>
      </c>
      <c r="U53" s="168"/>
      <c r="V53" s="168"/>
      <c r="W53" s="168"/>
      <c r="X53" s="164" t="str">
        <f t="shared" ref="X53:X55" si="38">IFERROR(IF(AND(Q52="Probabilidad",Q53="Probabilidad"),(Z52-(+Z52*T53)),IF(AND(Q52="Impacto",Q53="Probabilidad"),(Z51-(+Z51*T53)),IF(Q53="Impacto",Z52,""))),"")</f>
        <v/>
      </c>
      <c r="Y53" s="170" t="str">
        <f t="shared" si="2"/>
        <v/>
      </c>
      <c r="Z53" s="171" t="str">
        <f t="shared" si="35"/>
        <v/>
      </c>
      <c r="AA53" s="170" t="str">
        <f t="shared" si="4"/>
        <v/>
      </c>
      <c r="AB53" s="171" t="str">
        <f t="shared" ref="AB53:AB55" si="39">IFERROR(IF(AND(Q52="Impacto",Q53="Impacto"),(AB52-(+AB52*T53)),IF(AND(Q52="Probabilidad",Q53="Impacto"),(AB51-(+AB51*T53)),IF(Q53="Probabilidad",AB52,""))),"")</f>
        <v/>
      </c>
      <c r="AC53" s="172" t="str">
        <f>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73"/>
      <c r="AE53" s="174"/>
      <c r="AF53" s="175"/>
      <c r="AG53" s="176"/>
      <c r="AH53" s="176"/>
      <c r="AI53" s="174"/>
      <c r="AJ53" s="175"/>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row>
    <row r="54" spans="1:68" s="160" customFormat="1" ht="14.25" hidden="1" customHeight="1" x14ac:dyDescent="0.25">
      <c r="A54" s="251"/>
      <c r="B54" s="254"/>
      <c r="C54" s="254"/>
      <c r="D54" s="254"/>
      <c r="E54" s="257"/>
      <c r="F54" s="254"/>
      <c r="G54" s="260"/>
      <c r="H54" s="263"/>
      <c r="I54" s="245"/>
      <c r="J54" s="266"/>
      <c r="K54" s="245">
        <f t="shared" si="33"/>
        <v>0</v>
      </c>
      <c r="L54" s="263"/>
      <c r="M54" s="245"/>
      <c r="N54" s="248"/>
      <c r="O54" s="5">
        <v>5</v>
      </c>
      <c r="P54" s="166"/>
      <c r="Q54" s="167" t="str">
        <f t="shared" si="37"/>
        <v/>
      </c>
      <c r="R54" s="168"/>
      <c r="S54" s="168"/>
      <c r="T54" s="169" t="str">
        <f t="shared" si="34"/>
        <v/>
      </c>
      <c r="U54" s="168"/>
      <c r="V54" s="168"/>
      <c r="W54" s="168"/>
      <c r="X54" s="164" t="str">
        <f t="shared" si="38"/>
        <v/>
      </c>
      <c r="Y54" s="170" t="str">
        <f t="shared" si="2"/>
        <v/>
      </c>
      <c r="Z54" s="171" t="str">
        <f t="shared" si="35"/>
        <v/>
      </c>
      <c r="AA54" s="170" t="str">
        <f t="shared" si="4"/>
        <v/>
      </c>
      <c r="AB54" s="171" t="str">
        <f t="shared" si="39"/>
        <v/>
      </c>
      <c r="AC54" s="172" t="str">
        <f t="shared" ref="AC54:AC55" si="40">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73"/>
      <c r="AE54" s="174"/>
      <c r="AF54" s="175"/>
      <c r="AG54" s="176"/>
      <c r="AH54" s="176"/>
      <c r="AI54" s="174"/>
      <c r="AJ54" s="175"/>
      <c r="AK54" s="161"/>
      <c r="AL54" s="161"/>
      <c r="AM54" s="161"/>
      <c r="AN54" s="161"/>
      <c r="AO54" s="161"/>
      <c r="AP54" s="161"/>
      <c r="AQ54" s="161"/>
      <c r="AR54" s="161"/>
      <c r="AS54" s="161"/>
      <c r="AT54" s="161"/>
      <c r="AU54" s="161"/>
      <c r="AV54" s="161"/>
      <c r="AW54" s="161"/>
      <c r="AX54" s="161"/>
      <c r="AY54" s="161"/>
      <c r="AZ54" s="161"/>
      <c r="BA54" s="161"/>
      <c r="BB54" s="161"/>
      <c r="BC54" s="161"/>
      <c r="BD54" s="161"/>
      <c r="BE54" s="161"/>
      <c r="BF54" s="161"/>
      <c r="BG54" s="161"/>
      <c r="BH54" s="161"/>
      <c r="BI54" s="161"/>
      <c r="BJ54" s="161"/>
      <c r="BK54" s="161"/>
      <c r="BL54" s="161"/>
      <c r="BM54" s="161"/>
      <c r="BN54" s="161"/>
      <c r="BO54" s="161"/>
      <c r="BP54" s="161"/>
    </row>
    <row r="55" spans="1:68" s="160" customFormat="1" ht="14.25" hidden="1" customHeight="1" x14ac:dyDescent="0.25">
      <c r="A55" s="252"/>
      <c r="B55" s="255"/>
      <c r="C55" s="255"/>
      <c r="D55" s="255"/>
      <c r="E55" s="258"/>
      <c r="F55" s="255"/>
      <c r="G55" s="261"/>
      <c r="H55" s="264"/>
      <c r="I55" s="246"/>
      <c r="J55" s="267"/>
      <c r="K55" s="246">
        <f t="shared" si="33"/>
        <v>0</v>
      </c>
      <c r="L55" s="264"/>
      <c r="M55" s="246"/>
      <c r="N55" s="249"/>
      <c r="O55" s="5">
        <v>6</v>
      </c>
      <c r="P55" s="166"/>
      <c r="Q55" s="167" t="str">
        <f t="shared" si="37"/>
        <v/>
      </c>
      <c r="R55" s="168"/>
      <c r="S55" s="168"/>
      <c r="T55" s="169" t="str">
        <f t="shared" si="34"/>
        <v/>
      </c>
      <c r="U55" s="168"/>
      <c r="V55" s="168"/>
      <c r="W55" s="168"/>
      <c r="X55" s="164" t="str">
        <f t="shared" si="38"/>
        <v/>
      </c>
      <c r="Y55" s="170" t="str">
        <f t="shared" si="2"/>
        <v/>
      </c>
      <c r="Z55" s="171" t="str">
        <f t="shared" si="35"/>
        <v/>
      </c>
      <c r="AA55" s="170" t="str">
        <f t="shared" si="4"/>
        <v/>
      </c>
      <c r="AB55" s="171" t="str">
        <f t="shared" si="39"/>
        <v/>
      </c>
      <c r="AC55" s="172" t="str">
        <f t="shared" si="40"/>
        <v/>
      </c>
      <c r="AD55" s="173"/>
      <c r="AE55" s="174"/>
      <c r="AF55" s="175"/>
      <c r="AG55" s="176"/>
      <c r="AH55" s="176"/>
      <c r="AI55" s="174"/>
      <c r="AJ55" s="175"/>
      <c r="AK55" s="161"/>
      <c r="AL55" s="161"/>
      <c r="AM55" s="161"/>
      <c r="AN55" s="161"/>
      <c r="AO55" s="161"/>
      <c r="AP55" s="161"/>
      <c r="AQ55" s="161"/>
      <c r="AR55" s="161"/>
      <c r="AS55" s="161"/>
      <c r="AT55" s="161"/>
      <c r="AU55" s="161"/>
      <c r="AV55" s="161"/>
      <c r="AW55" s="161"/>
      <c r="AX55" s="161"/>
      <c r="AY55" s="161"/>
      <c r="AZ55" s="161"/>
      <c r="BA55" s="161"/>
      <c r="BB55" s="161"/>
      <c r="BC55" s="161"/>
      <c r="BD55" s="161"/>
      <c r="BE55" s="161"/>
      <c r="BF55" s="161"/>
      <c r="BG55" s="161"/>
      <c r="BH55" s="161"/>
      <c r="BI55" s="161"/>
      <c r="BJ55" s="161"/>
      <c r="BK55" s="161"/>
      <c r="BL55" s="161"/>
      <c r="BM55" s="161"/>
      <c r="BN55" s="161"/>
      <c r="BO55" s="161"/>
      <c r="BP55" s="161"/>
    </row>
    <row r="56" spans="1:68" s="160" customFormat="1" ht="14.25" hidden="1" customHeight="1" x14ac:dyDescent="0.25">
      <c r="A56" s="250">
        <v>8</v>
      </c>
      <c r="B56" s="253"/>
      <c r="C56" s="253"/>
      <c r="D56" s="253"/>
      <c r="E56" s="256"/>
      <c r="F56" s="253"/>
      <c r="G56" s="259"/>
      <c r="H56" s="262" t="str">
        <f>IF(G56&lt;=0,"",IF(G56&lt;=2,"Muy Baja",IF(G56&lt;=24,"Baja",IF(G56&lt;=500,"Media",IF(G56&lt;=5000,"Alta","Muy Alta")))))</f>
        <v/>
      </c>
      <c r="I56" s="244" t="str">
        <f>IF(H56="","",IF(H56="Muy Baja",0.2,IF(H56="Baja",0.4,IF(H56="Media",0.6,IF(H56="Alta",0.8,IF(H56="Muy Alta",1,))))))</f>
        <v/>
      </c>
      <c r="J56" s="265"/>
      <c r="K56" s="244">
        <f>IF(NOT(ISERROR(MATCH(J56,'Tabla Impacto'!$B$221:$B$223,0))),'Tabla Impacto'!$F$223&amp;"Por favor no seleccionar los criterios de impacto(Afectación Económica o presupuestal y Pérdida Reputacional)",J56)</f>
        <v>0</v>
      </c>
      <c r="L56" s="262" t="str">
        <f>IF(OR(K56='Tabla Impacto'!$C$11,K56='Tabla Impacto'!$D$11),"Leve",IF(OR(K56='Tabla Impacto'!$C$12,K56='Tabla Impacto'!$D$12),"Menor",IF(OR(K56='Tabla Impacto'!$C$13,K56='Tabla Impacto'!$D$13),"Moderado",IF(OR(K56='Tabla Impacto'!$C$14,K56='Tabla Impacto'!$D$14),"Mayor",IF(OR(K56='Tabla Impacto'!$C$15,K56='Tabla Impacto'!$D$15),"Catastrófico","")))))</f>
        <v/>
      </c>
      <c r="M56" s="244" t="str">
        <f>IF(L56="","",IF(L56="Leve",0.2,IF(L56="Menor",0.4,IF(L56="Moderado",0.6,IF(L56="Mayor",0.8,IF(L56="Catastrófico",1,))))))</f>
        <v/>
      </c>
      <c r="N56" s="247" t="str">
        <f>IF(OR(AND(H56="Muy Baja",L56="Leve"),AND(H56="Muy Baja",L56="Menor"),AND(H56="Baja",L56="Leve")),"Bajo",IF(OR(AND(H56="Muy baja",L56="Moderado"),AND(H56="Baja",L56="Menor"),AND(H56="Baja",L56="Moderado"),AND(H56="Media",L56="Leve"),AND(H56="Media",L56="Menor"),AND(H56="Media",L56="Moderado"),AND(H56="Alta",L56="Leve"),AND(H56="Alta",L56="Menor")),"Moderado",IF(OR(AND(H56="Muy Baja",L56="Mayor"),AND(H56="Baja",L56="Mayor"),AND(H56="Media",L56="Mayor"),AND(H56="Alta",L56="Moderado"),AND(H56="Alta",L56="Mayor"),AND(H56="Muy Alta",L56="Leve"),AND(H56="Muy Alta",L56="Menor"),AND(H56="Muy Alta",L56="Moderado"),AND(H56="Muy Alta",L56="Mayor")),"Alto",IF(OR(AND(H56="Muy Baja",L56="Catastrófico"),AND(H56="Baja",L56="Catastrófico"),AND(H56="Media",L56="Catastrófico"),AND(H56="Alta",L56="Catastrófico"),AND(H56="Muy Alta",L56="Catastrófico")),"Extremo",""))))</f>
        <v/>
      </c>
      <c r="O56" s="5">
        <v>1</v>
      </c>
      <c r="P56" s="166"/>
      <c r="Q56" s="167" t="str">
        <f>IF(OR(R56="Preventivo",R56="Detectivo"),"Probabilidad",IF(R56="Correctivo","Impacto",""))</f>
        <v/>
      </c>
      <c r="R56" s="168"/>
      <c r="S56" s="168"/>
      <c r="T56" s="169" t="str">
        <f>IF(AND(R56="Preventivo",S56="Automático"),"50%",IF(AND(R56="Preventivo",S56="Manual"),"40%",IF(AND(R56="Detectivo",S56="Automático"),"40%",IF(AND(R56="Detectivo",S56="Manual"),"30%",IF(AND(R56="Correctivo",S56="Automático"),"35%",IF(AND(R56="Correctivo",S56="Manual"),"25%",""))))))</f>
        <v/>
      </c>
      <c r="U56" s="168"/>
      <c r="V56" s="168"/>
      <c r="W56" s="168"/>
      <c r="X56" s="164" t="str">
        <f>IFERROR(IF(Q56="Probabilidad",(I56-(+I56*T56)),IF(Q56="Impacto",I56,"")),"")</f>
        <v/>
      </c>
      <c r="Y56" s="170" t="str">
        <f>IFERROR(IF(X56="","",IF(X56&lt;=0.2,"Muy Baja",IF(X56&lt;=0.4,"Baja",IF(X56&lt;=0.6,"Media",IF(X56&lt;=0.8,"Alta","Muy Alta"))))),"")</f>
        <v/>
      </c>
      <c r="Z56" s="171" t="str">
        <f>+X56</f>
        <v/>
      </c>
      <c r="AA56" s="170" t="str">
        <f>IFERROR(IF(AB56="","",IF(AB56&lt;=0.2,"Leve",IF(AB56&lt;=0.4,"Menor",IF(AB56&lt;=0.6,"Moderado",IF(AB56&lt;=0.8,"Mayor","Catastrófico"))))),"")</f>
        <v/>
      </c>
      <c r="AB56" s="171" t="str">
        <f>IFERROR(IF(Q56="Impacto",(M56-(+M56*T56)),IF(Q56="Probabilidad",M56,"")),"")</f>
        <v/>
      </c>
      <c r="AC56" s="172" t="str">
        <f>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73"/>
      <c r="AE56" s="174"/>
      <c r="AF56" s="175"/>
      <c r="AG56" s="176"/>
      <c r="AH56" s="176"/>
      <c r="AI56" s="174"/>
      <c r="AJ56" s="175"/>
      <c r="AK56" s="161"/>
      <c r="AL56" s="161"/>
      <c r="AM56" s="161"/>
      <c r="AN56" s="161"/>
      <c r="AO56" s="161"/>
      <c r="AP56" s="161"/>
      <c r="AQ56" s="161"/>
      <c r="AR56" s="161"/>
      <c r="AS56" s="161"/>
      <c r="AT56" s="161"/>
      <c r="AU56" s="161"/>
      <c r="AV56" s="161"/>
      <c r="AW56" s="161"/>
      <c r="AX56" s="161"/>
      <c r="AY56" s="161"/>
      <c r="AZ56" s="161"/>
      <c r="BA56" s="161"/>
      <c r="BB56" s="161"/>
      <c r="BC56" s="161"/>
      <c r="BD56" s="161"/>
      <c r="BE56" s="161"/>
      <c r="BF56" s="161"/>
      <c r="BG56" s="161"/>
      <c r="BH56" s="161"/>
      <c r="BI56" s="161"/>
      <c r="BJ56" s="161"/>
      <c r="BK56" s="161"/>
      <c r="BL56" s="161"/>
      <c r="BM56" s="161"/>
      <c r="BN56" s="161"/>
      <c r="BO56" s="161"/>
      <c r="BP56" s="161"/>
    </row>
    <row r="57" spans="1:68" s="160" customFormat="1" ht="14.25" hidden="1" customHeight="1" x14ac:dyDescent="0.25">
      <c r="A57" s="251"/>
      <c r="B57" s="254"/>
      <c r="C57" s="254"/>
      <c r="D57" s="254"/>
      <c r="E57" s="257"/>
      <c r="F57" s="254"/>
      <c r="G57" s="260"/>
      <c r="H57" s="263"/>
      <c r="I57" s="245"/>
      <c r="J57" s="266"/>
      <c r="K57" s="245">
        <f>IF(NOT(ISERROR(MATCH(J57,_xlfn.ANCHORARRAY(E68),0))),I70&amp;"Por favor no seleccionar los criterios de impacto",J57)</f>
        <v>0</v>
      </c>
      <c r="L57" s="263"/>
      <c r="M57" s="245"/>
      <c r="N57" s="248"/>
      <c r="O57" s="5">
        <v>2</v>
      </c>
      <c r="P57" s="166"/>
      <c r="Q57" s="167" t="str">
        <f>IF(OR(R57="Preventivo",R57="Detectivo"),"Probabilidad",IF(R57="Correctivo","Impacto",""))</f>
        <v/>
      </c>
      <c r="R57" s="168"/>
      <c r="S57" s="168"/>
      <c r="T57" s="169" t="str">
        <f t="shared" ref="T57:T61" si="41">IF(AND(R57="Preventivo",S57="Automático"),"50%",IF(AND(R57="Preventivo",S57="Manual"),"40%",IF(AND(R57="Detectivo",S57="Automático"),"40%",IF(AND(R57="Detectivo",S57="Manual"),"30%",IF(AND(R57="Correctivo",S57="Automático"),"35%",IF(AND(R57="Correctivo",S57="Manual"),"25%",""))))))</f>
        <v/>
      </c>
      <c r="U57" s="168"/>
      <c r="V57" s="168"/>
      <c r="W57" s="168"/>
      <c r="X57" s="164" t="str">
        <f>IFERROR(IF(AND(Q56="Probabilidad",Q57="Probabilidad"),(Z56-(+Z56*T57)),IF(Q57="Probabilidad",(I56-(+I56*T57)),IF(Q57="Impacto",Z56,""))),"")</f>
        <v/>
      </c>
      <c r="Y57" s="170" t="str">
        <f t="shared" si="2"/>
        <v/>
      </c>
      <c r="Z57" s="171" t="str">
        <f t="shared" ref="Z57:Z61" si="42">+X57</f>
        <v/>
      </c>
      <c r="AA57" s="170" t="str">
        <f t="shared" si="4"/>
        <v/>
      </c>
      <c r="AB57" s="171" t="str">
        <f>IFERROR(IF(AND(Q56="Impacto",Q57="Impacto"),(AB56-(+AB56*T57)),IF(Q57="Impacto",(M56-(+M56*T57)),IF(Q57="Probabilidad",AB56,""))),"")</f>
        <v/>
      </c>
      <c r="AC57" s="172" t="str">
        <f t="shared" ref="AC57:AC58" si="43">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73"/>
      <c r="AE57" s="174"/>
      <c r="AF57" s="175"/>
      <c r="AG57" s="176"/>
      <c r="AH57" s="176"/>
      <c r="AI57" s="174"/>
      <c r="AJ57" s="175"/>
      <c r="AK57" s="161"/>
      <c r="AL57" s="161"/>
      <c r="AM57" s="161"/>
      <c r="AN57" s="161"/>
      <c r="AO57" s="161"/>
      <c r="AP57" s="161"/>
      <c r="AQ57" s="161"/>
      <c r="AR57" s="161"/>
      <c r="AS57" s="161"/>
      <c r="AT57" s="161"/>
      <c r="AU57" s="161"/>
      <c r="AV57" s="161"/>
      <c r="AW57" s="161"/>
      <c r="AX57" s="161"/>
      <c r="AY57" s="161"/>
      <c r="AZ57" s="161"/>
      <c r="BA57" s="161"/>
      <c r="BB57" s="161"/>
      <c r="BC57" s="161"/>
      <c r="BD57" s="161"/>
      <c r="BE57" s="161"/>
      <c r="BF57" s="161"/>
      <c r="BG57" s="161"/>
      <c r="BH57" s="161"/>
      <c r="BI57" s="161"/>
      <c r="BJ57" s="161"/>
      <c r="BK57" s="161"/>
      <c r="BL57" s="161"/>
      <c r="BM57" s="161"/>
      <c r="BN57" s="161"/>
      <c r="BO57" s="161"/>
      <c r="BP57" s="161"/>
    </row>
    <row r="58" spans="1:68" s="160" customFormat="1" ht="14.25" hidden="1" customHeight="1" x14ac:dyDescent="0.25">
      <c r="A58" s="251"/>
      <c r="B58" s="254"/>
      <c r="C58" s="254"/>
      <c r="D58" s="254"/>
      <c r="E58" s="257"/>
      <c r="F58" s="254"/>
      <c r="G58" s="260"/>
      <c r="H58" s="263"/>
      <c r="I58" s="245"/>
      <c r="J58" s="266"/>
      <c r="K58" s="245">
        <f>IF(NOT(ISERROR(MATCH(J58,_xlfn.ANCHORARRAY(E69),0))),I71&amp;"Por favor no seleccionar los criterios de impacto",J58)</f>
        <v>0</v>
      </c>
      <c r="L58" s="263"/>
      <c r="M58" s="245"/>
      <c r="N58" s="248"/>
      <c r="O58" s="5">
        <v>3</v>
      </c>
      <c r="P58" s="177"/>
      <c r="Q58" s="167" t="str">
        <f>IF(OR(R58="Preventivo",R58="Detectivo"),"Probabilidad",IF(R58="Correctivo","Impacto",""))</f>
        <v/>
      </c>
      <c r="R58" s="168"/>
      <c r="S58" s="168"/>
      <c r="T58" s="169" t="str">
        <f t="shared" si="41"/>
        <v/>
      </c>
      <c r="U58" s="168"/>
      <c r="V58" s="168"/>
      <c r="W58" s="168"/>
      <c r="X58" s="164" t="str">
        <f>IFERROR(IF(AND(Q57="Probabilidad",Q58="Probabilidad"),(Z57-(+Z57*T58)),IF(AND(Q57="Impacto",Q58="Probabilidad"),(Z56-(+Z56*T58)),IF(Q58="Impacto",Z57,""))),"")</f>
        <v/>
      </c>
      <c r="Y58" s="170" t="str">
        <f t="shared" si="2"/>
        <v/>
      </c>
      <c r="Z58" s="171" t="str">
        <f t="shared" si="42"/>
        <v/>
      </c>
      <c r="AA58" s="170" t="str">
        <f t="shared" si="4"/>
        <v/>
      </c>
      <c r="AB58" s="171" t="str">
        <f>IFERROR(IF(AND(Q57="Impacto",Q58="Impacto"),(AB57-(+AB57*T58)),IF(AND(Q57="Probabilidad",Q58="Impacto"),(AB56-(+AB56*T58)),IF(Q58="Probabilidad",AB57,""))),"")</f>
        <v/>
      </c>
      <c r="AC58" s="172" t="str">
        <f t="shared" si="43"/>
        <v/>
      </c>
      <c r="AD58" s="173"/>
      <c r="AE58" s="174"/>
      <c r="AF58" s="175"/>
      <c r="AG58" s="176"/>
      <c r="AH58" s="176"/>
      <c r="AI58" s="174"/>
      <c r="AJ58" s="175"/>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1"/>
      <c r="BN58" s="161"/>
      <c r="BO58" s="161"/>
      <c r="BP58" s="161"/>
    </row>
    <row r="59" spans="1:68" s="160" customFormat="1" ht="14.25" hidden="1" customHeight="1" x14ac:dyDescent="0.25">
      <c r="A59" s="251"/>
      <c r="B59" s="254"/>
      <c r="C59" s="254"/>
      <c r="D59" s="254"/>
      <c r="E59" s="257"/>
      <c r="F59" s="254"/>
      <c r="G59" s="260"/>
      <c r="H59" s="263"/>
      <c r="I59" s="245"/>
      <c r="J59" s="266"/>
      <c r="K59" s="245">
        <f>IF(NOT(ISERROR(MATCH(J59,_xlfn.ANCHORARRAY(E70),0))),I72&amp;"Por favor no seleccionar los criterios de impacto",J59)</f>
        <v>0</v>
      </c>
      <c r="L59" s="263"/>
      <c r="M59" s="245"/>
      <c r="N59" s="248"/>
      <c r="O59" s="5">
        <v>4</v>
      </c>
      <c r="P59" s="166"/>
      <c r="Q59" s="167" t="str">
        <f t="shared" ref="Q59:Q61" si="44">IF(OR(R59="Preventivo",R59="Detectivo"),"Probabilidad",IF(R59="Correctivo","Impacto",""))</f>
        <v/>
      </c>
      <c r="R59" s="168"/>
      <c r="S59" s="168"/>
      <c r="T59" s="169" t="str">
        <f t="shared" si="41"/>
        <v/>
      </c>
      <c r="U59" s="168"/>
      <c r="V59" s="168"/>
      <c r="W59" s="168"/>
      <c r="X59" s="164" t="str">
        <f t="shared" ref="X59:X61" si="45">IFERROR(IF(AND(Q58="Probabilidad",Q59="Probabilidad"),(Z58-(+Z58*T59)),IF(AND(Q58="Impacto",Q59="Probabilidad"),(Z57-(+Z57*T59)),IF(Q59="Impacto",Z58,""))),"")</f>
        <v/>
      </c>
      <c r="Y59" s="170" t="str">
        <f t="shared" si="2"/>
        <v/>
      </c>
      <c r="Z59" s="171" t="str">
        <f t="shared" si="42"/>
        <v/>
      </c>
      <c r="AA59" s="170" t="str">
        <f t="shared" si="4"/>
        <v/>
      </c>
      <c r="AB59" s="171" t="str">
        <f t="shared" ref="AB59:AB61" si="46">IFERROR(IF(AND(Q58="Impacto",Q59="Impacto"),(AB58-(+AB58*T59)),IF(AND(Q58="Probabilidad",Q59="Impacto"),(AB57-(+AB57*T59)),IF(Q59="Probabilidad",AB58,""))),"")</f>
        <v/>
      </c>
      <c r="AC59" s="172" t="str">
        <f>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73"/>
      <c r="AE59" s="174"/>
      <c r="AF59" s="175"/>
      <c r="AG59" s="176"/>
      <c r="AH59" s="176"/>
      <c r="AI59" s="174"/>
      <c r="AJ59" s="175"/>
      <c r="AK59" s="161"/>
      <c r="AL59" s="161"/>
      <c r="AM59" s="161"/>
      <c r="AN59" s="161"/>
      <c r="AO59" s="161"/>
      <c r="AP59" s="161"/>
      <c r="AQ59" s="161"/>
      <c r="AR59" s="161"/>
      <c r="AS59" s="161"/>
      <c r="AT59" s="161"/>
      <c r="AU59" s="161"/>
      <c r="AV59" s="161"/>
      <c r="AW59" s="161"/>
      <c r="AX59" s="161"/>
      <c r="AY59" s="161"/>
      <c r="AZ59" s="161"/>
      <c r="BA59" s="161"/>
      <c r="BB59" s="161"/>
      <c r="BC59" s="161"/>
      <c r="BD59" s="161"/>
      <c r="BE59" s="161"/>
      <c r="BF59" s="161"/>
      <c r="BG59" s="161"/>
      <c r="BH59" s="161"/>
      <c r="BI59" s="161"/>
      <c r="BJ59" s="161"/>
      <c r="BK59" s="161"/>
      <c r="BL59" s="161"/>
      <c r="BM59" s="161"/>
      <c r="BN59" s="161"/>
      <c r="BO59" s="161"/>
      <c r="BP59" s="161"/>
    </row>
    <row r="60" spans="1:68" s="160" customFormat="1" ht="14.25" hidden="1" customHeight="1" x14ac:dyDescent="0.25">
      <c r="A60" s="251"/>
      <c r="B60" s="254"/>
      <c r="C60" s="254"/>
      <c r="D60" s="254"/>
      <c r="E60" s="257"/>
      <c r="F60" s="254"/>
      <c r="G60" s="260"/>
      <c r="H60" s="263"/>
      <c r="I60" s="245"/>
      <c r="J60" s="266"/>
      <c r="K60" s="245">
        <f>IF(NOT(ISERROR(MATCH(J60,_xlfn.ANCHORARRAY(E71),0))),I73&amp;"Por favor no seleccionar los criterios de impacto",J60)</f>
        <v>0</v>
      </c>
      <c r="L60" s="263"/>
      <c r="M60" s="245"/>
      <c r="N60" s="248"/>
      <c r="O60" s="5">
        <v>5</v>
      </c>
      <c r="P60" s="166"/>
      <c r="Q60" s="167" t="str">
        <f t="shared" si="44"/>
        <v/>
      </c>
      <c r="R60" s="168"/>
      <c r="S60" s="168"/>
      <c r="T60" s="169" t="str">
        <f t="shared" si="41"/>
        <v/>
      </c>
      <c r="U60" s="168"/>
      <c r="V60" s="168"/>
      <c r="W60" s="168"/>
      <c r="X60" s="164" t="str">
        <f t="shared" si="45"/>
        <v/>
      </c>
      <c r="Y60" s="170" t="str">
        <f t="shared" si="2"/>
        <v/>
      </c>
      <c r="Z60" s="171" t="str">
        <f t="shared" si="42"/>
        <v/>
      </c>
      <c r="AA60" s="170" t="str">
        <f t="shared" si="4"/>
        <v/>
      </c>
      <c r="AB60" s="171" t="str">
        <f t="shared" si="46"/>
        <v/>
      </c>
      <c r="AC60" s="172" t="str">
        <f t="shared" ref="AC60:AC61" si="47">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73"/>
      <c r="AE60" s="174"/>
      <c r="AF60" s="175"/>
      <c r="AG60" s="176"/>
      <c r="AH60" s="176"/>
      <c r="AI60" s="174"/>
      <c r="AJ60" s="175"/>
      <c r="AK60" s="161"/>
      <c r="AL60" s="161"/>
      <c r="AM60" s="161"/>
      <c r="AN60" s="161"/>
      <c r="AO60" s="161"/>
      <c r="AP60" s="161"/>
      <c r="AQ60" s="161"/>
      <c r="AR60" s="161"/>
      <c r="AS60" s="161"/>
      <c r="AT60" s="161"/>
      <c r="AU60" s="161"/>
      <c r="AV60" s="161"/>
      <c r="AW60" s="161"/>
      <c r="AX60" s="161"/>
      <c r="AY60" s="161"/>
      <c r="AZ60" s="161"/>
      <c r="BA60" s="161"/>
      <c r="BB60" s="161"/>
      <c r="BC60" s="161"/>
      <c r="BD60" s="161"/>
      <c r="BE60" s="161"/>
      <c r="BF60" s="161"/>
      <c r="BG60" s="161"/>
      <c r="BH60" s="161"/>
      <c r="BI60" s="161"/>
      <c r="BJ60" s="161"/>
      <c r="BK60" s="161"/>
      <c r="BL60" s="161"/>
      <c r="BM60" s="161"/>
      <c r="BN60" s="161"/>
      <c r="BO60" s="161"/>
      <c r="BP60" s="161"/>
    </row>
    <row r="61" spans="1:68" s="160" customFormat="1" ht="14.25" hidden="1" customHeight="1" x14ac:dyDescent="0.25">
      <c r="A61" s="252"/>
      <c r="B61" s="255"/>
      <c r="C61" s="255"/>
      <c r="D61" s="255"/>
      <c r="E61" s="258"/>
      <c r="F61" s="255"/>
      <c r="G61" s="261"/>
      <c r="H61" s="264"/>
      <c r="I61" s="246"/>
      <c r="J61" s="267"/>
      <c r="K61" s="246">
        <f>IF(NOT(ISERROR(MATCH(J61,_xlfn.ANCHORARRAY(E72),0))),I74&amp;"Por favor no seleccionar los criterios de impacto",J61)</f>
        <v>0</v>
      </c>
      <c r="L61" s="264"/>
      <c r="M61" s="246"/>
      <c r="N61" s="249"/>
      <c r="O61" s="5">
        <v>6</v>
      </c>
      <c r="P61" s="166"/>
      <c r="Q61" s="167" t="str">
        <f t="shared" si="44"/>
        <v/>
      </c>
      <c r="R61" s="168"/>
      <c r="S61" s="168"/>
      <c r="T61" s="169" t="str">
        <f t="shared" si="41"/>
        <v/>
      </c>
      <c r="U61" s="168"/>
      <c r="V61" s="168"/>
      <c r="W61" s="168"/>
      <c r="X61" s="164" t="str">
        <f t="shared" si="45"/>
        <v/>
      </c>
      <c r="Y61" s="170" t="str">
        <f t="shared" si="2"/>
        <v/>
      </c>
      <c r="Z61" s="171" t="str">
        <f t="shared" si="42"/>
        <v/>
      </c>
      <c r="AA61" s="170" t="str">
        <f t="shared" si="4"/>
        <v/>
      </c>
      <c r="AB61" s="171" t="str">
        <f t="shared" si="46"/>
        <v/>
      </c>
      <c r="AC61" s="172" t="str">
        <f t="shared" si="47"/>
        <v/>
      </c>
      <c r="AD61" s="173"/>
      <c r="AE61" s="174"/>
      <c r="AF61" s="175"/>
      <c r="AG61" s="176"/>
      <c r="AH61" s="176"/>
      <c r="AI61" s="174"/>
      <c r="AJ61" s="175"/>
      <c r="AK61" s="161"/>
      <c r="AL61" s="161"/>
      <c r="AM61" s="161"/>
      <c r="AN61" s="161"/>
      <c r="AO61" s="161"/>
      <c r="AP61" s="161"/>
      <c r="AQ61" s="161"/>
      <c r="AR61" s="161"/>
      <c r="AS61" s="161"/>
      <c r="AT61" s="161"/>
      <c r="AU61" s="161"/>
      <c r="AV61" s="161"/>
      <c r="AW61" s="161"/>
      <c r="AX61" s="161"/>
      <c r="AY61" s="161"/>
      <c r="AZ61" s="161"/>
      <c r="BA61" s="161"/>
      <c r="BB61" s="161"/>
      <c r="BC61" s="161"/>
      <c r="BD61" s="161"/>
      <c r="BE61" s="161"/>
      <c r="BF61" s="161"/>
      <c r="BG61" s="161"/>
      <c r="BH61" s="161"/>
      <c r="BI61" s="161"/>
      <c r="BJ61" s="161"/>
      <c r="BK61" s="161"/>
      <c r="BL61" s="161"/>
      <c r="BM61" s="161"/>
      <c r="BN61" s="161"/>
      <c r="BO61" s="161"/>
      <c r="BP61" s="161"/>
    </row>
    <row r="62" spans="1:68" s="160" customFormat="1" ht="14.25" hidden="1" customHeight="1" x14ac:dyDescent="0.25">
      <c r="A62" s="250">
        <v>9</v>
      </c>
      <c r="B62" s="253"/>
      <c r="C62" s="253"/>
      <c r="D62" s="253"/>
      <c r="E62" s="256"/>
      <c r="F62" s="253"/>
      <c r="G62" s="259"/>
      <c r="H62" s="262" t="str">
        <f>IF(G62&lt;=0,"",IF(G62&lt;=2,"Muy Baja",IF(G62&lt;=24,"Baja",IF(G62&lt;=500,"Media",IF(G62&lt;=5000,"Alta","Muy Alta")))))</f>
        <v/>
      </c>
      <c r="I62" s="244" t="str">
        <f>IF(H62="","",IF(H62="Muy Baja",0.2,IF(H62="Baja",0.4,IF(H62="Media",0.6,IF(H62="Alta",0.8,IF(H62="Muy Alta",1,))))))</f>
        <v/>
      </c>
      <c r="J62" s="265"/>
      <c r="K62" s="244">
        <f>IF(NOT(ISERROR(MATCH(J62,'Tabla Impacto'!$B$221:$B$223,0))),'Tabla Impacto'!$F$223&amp;"Por favor no seleccionar los criterios de impacto(Afectación Económica o presupuestal y Pérdida Reputacional)",J62)</f>
        <v>0</v>
      </c>
      <c r="L62" s="262" t="str">
        <f>IF(OR(K62='Tabla Impacto'!$C$11,K62='Tabla Impacto'!$D$11),"Leve",IF(OR(K62='Tabla Impacto'!$C$12,K62='Tabla Impacto'!$D$12),"Menor",IF(OR(K62='Tabla Impacto'!$C$13,K62='Tabla Impacto'!$D$13),"Moderado",IF(OR(K62='Tabla Impacto'!$C$14,K62='Tabla Impacto'!$D$14),"Mayor",IF(OR(K62='Tabla Impacto'!$C$15,K62='Tabla Impacto'!$D$15),"Catastrófico","")))))</f>
        <v/>
      </c>
      <c r="M62" s="244" t="str">
        <f>IF(L62="","",IF(L62="Leve",0.2,IF(L62="Menor",0.4,IF(L62="Moderado",0.6,IF(L62="Mayor",0.8,IF(L62="Catastrófico",1,))))))</f>
        <v/>
      </c>
      <c r="N62" s="247" t="str">
        <f>IF(OR(AND(H62="Muy Baja",L62="Leve"),AND(H62="Muy Baja",L62="Menor"),AND(H62="Baja",L62="Leve")),"Bajo",IF(OR(AND(H62="Muy baja",L62="Moderado"),AND(H62="Baja",L62="Menor"),AND(H62="Baja",L62="Moderado"),AND(H62="Media",L62="Leve"),AND(H62="Media",L62="Menor"),AND(H62="Media",L62="Moderado"),AND(H62="Alta",L62="Leve"),AND(H62="Alta",L62="Menor")),"Moderado",IF(OR(AND(H62="Muy Baja",L62="Mayor"),AND(H62="Baja",L62="Mayor"),AND(H62="Media",L62="Mayor"),AND(H62="Alta",L62="Moderado"),AND(H62="Alta",L62="Mayor"),AND(H62="Muy Alta",L62="Leve"),AND(H62="Muy Alta",L62="Menor"),AND(H62="Muy Alta",L62="Moderado"),AND(H62="Muy Alta",L62="Mayor")),"Alto",IF(OR(AND(H62="Muy Baja",L62="Catastrófico"),AND(H62="Baja",L62="Catastrófico"),AND(H62="Media",L62="Catastrófico"),AND(H62="Alta",L62="Catastrófico"),AND(H62="Muy Alta",L62="Catastrófico")),"Extremo",""))))</f>
        <v/>
      </c>
      <c r="O62" s="5">
        <v>1</v>
      </c>
      <c r="P62" s="166"/>
      <c r="Q62" s="167" t="str">
        <f>IF(OR(R62="Preventivo",R62="Detectivo"),"Probabilidad",IF(R62="Correctivo","Impacto",""))</f>
        <v/>
      </c>
      <c r="R62" s="168"/>
      <c r="S62" s="168"/>
      <c r="T62" s="169" t="str">
        <f>IF(AND(R62="Preventivo",S62="Automático"),"50%",IF(AND(R62="Preventivo",S62="Manual"),"40%",IF(AND(R62="Detectivo",S62="Automático"),"40%",IF(AND(R62="Detectivo",S62="Manual"),"30%",IF(AND(R62="Correctivo",S62="Automático"),"35%",IF(AND(R62="Correctivo",S62="Manual"),"25%",""))))))</f>
        <v/>
      </c>
      <c r="U62" s="168"/>
      <c r="V62" s="168"/>
      <c r="W62" s="168"/>
      <c r="X62" s="164" t="str">
        <f>IFERROR(IF(Q62="Probabilidad",(I62-(+I62*T62)),IF(Q62="Impacto",I62,"")),"")</f>
        <v/>
      </c>
      <c r="Y62" s="170" t="str">
        <f>IFERROR(IF(X62="","",IF(X62&lt;=0.2,"Muy Baja",IF(X62&lt;=0.4,"Baja",IF(X62&lt;=0.6,"Media",IF(X62&lt;=0.8,"Alta","Muy Alta"))))),"")</f>
        <v/>
      </c>
      <c r="Z62" s="171" t="str">
        <f>+X62</f>
        <v/>
      </c>
      <c r="AA62" s="170" t="str">
        <f>IFERROR(IF(AB62="","",IF(AB62&lt;=0.2,"Leve",IF(AB62&lt;=0.4,"Menor",IF(AB62&lt;=0.6,"Moderado",IF(AB62&lt;=0.8,"Mayor","Catastrófico"))))),"")</f>
        <v/>
      </c>
      <c r="AB62" s="171" t="str">
        <f>IFERROR(IF(Q62="Impacto",(M62-(+M62*T62)),IF(Q62="Probabilidad",M62,"")),"")</f>
        <v/>
      </c>
      <c r="AC62" s="172" t="str">
        <f>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73"/>
      <c r="AE62" s="174"/>
      <c r="AF62" s="175"/>
      <c r="AG62" s="176"/>
      <c r="AH62" s="176"/>
      <c r="AI62" s="174"/>
      <c r="AJ62" s="175"/>
      <c r="AK62" s="161"/>
      <c r="AL62" s="161"/>
      <c r="AM62" s="161"/>
      <c r="AN62" s="161"/>
      <c r="AO62" s="161"/>
      <c r="AP62" s="161"/>
      <c r="AQ62" s="161"/>
      <c r="AR62" s="161"/>
      <c r="AS62" s="161"/>
      <c r="AT62" s="161"/>
      <c r="AU62" s="161"/>
      <c r="AV62" s="161"/>
      <c r="AW62" s="161"/>
      <c r="AX62" s="161"/>
      <c r="AY62" s="161"/>
      <c r="AZ62" s="161"/>
      <c r="BA62" s="161"/>
      <c r="BB62" s="161"/>
      <c r="BC62" s="161"/>
      <c r="BD62" s="161"/>
      <c r="BE62" s="161"/>
      <c r="BF62" s="161"/>
      <c r="BG62" s="161"/>
      <c r="BH62" s="161"/>
      <c r="BI62" s="161"/>
      <c r="BJ62" s="161"/>
      <c r="BK62" s="161"/>
      <c r="BL62" s="161"/>
      <c r="BM62" s="161"/>
      <c r="BN62" s="161"/>
      <c r="BO62" s="161"/>
      <c r="BP62" s="161"/>
    </row>
    <row r="63" spans="1:68" s="160" customFormat="1" ht="14.25" hidden="1" customHeight="1" x14ac:dyDescent="0.25">
      <c r="A63" s="251"/>
      <c r="B63" s="254"/>
      <c r="C63" s="254"/>
      <c r="D63" s="254"/>
      <c r="E63" s="257"/>
      <c r="F63" s="254"/>
      <c r="G63" s="260"/>
      <c r="H63" s="263"/>
      <c r="I63" s="245"/>
      <c r="J63" s="266"/>
      <c r="K63" s="245">
        <f>IF(NOT(ISERROR(MATCH(J63,_xlfn.ANCHORARRAY(E74),0))),I76&amp;"Por favor no seleccionar los criterios de impacto",J63)</f>
        <v>0</v>
      </c>
      <c r="L63" s="263"/>
      <c r="M63" s="245"/>
      <c r="N63" s="248"/>
      <c r="O63" s="5">
        <v>2</v>
      </c>
      <c r="P63" s="166"/>
      <c r="Q63" s="167" t="str">
        <f>IF(OR(R63="Preventivo",R63="Detectivo"),"Probabilidad",IF(R63="Correctivo","Impacto",""))</f>
        <v/>
      </c>
      <c r="R63" s="168"/>
      <c r="S63" s="168"/>
      <c r="T63" s="169" t="str">
        <f t="shared" ref="T63:T67" si="48">IF(AND(R63="Preventivo",S63="Automático"),"50%",IF(AND(R63="Preventivo",S63="Manual"),"40%",IF(AND(R63="Detectivo",S63="Automático"),"40%",IF(AND(R63="Detectivo",S63="Manual"),"30%",IF(AND(R63="Correctivo",S63="Automático"),"35%",IF(AND(R63="Correctivo",S63="Manual"),"25%",""))))))</f>
        <v/>
      </c>
      <c r="U63" s="168"/>
      <c r="V63" s="168"/>
      <c r="W63" s="168"/>
      <c r="X63" s="164" t="str">
        <f>IFERROR(IF(AND(Q62="Probabilidad",Q63="Probabilidad"),(Z62-(+Z62*T63)),IF(Q63="Probabilidad",(I62-(+I62*T63)),IF(Q63="Impacto",Z62,""))),"")</f>
        <v/>
      </c>
      <c r="Y63" s="170" t="str">
        <f t="shared" si="2"/>
        <v/>
      </c>
      <c r="Z63" s="171" t="str">
        <f t="shared" ref="Z63:Z67" si="49">+X63</f>
        <v/>
      </c>
      <c r="AA63" s="170" t="str">
        <f t="shared" si="4"/>
        <v/>
      </c>
      <c r="AB63" s="171" t="str">
        <f>IFERROR(IF(AND(Q62="Impacto",Q63="Impacto"),(AB62-(+AB62*T63)),IF(Q63="Impacto",(M62-(+M62*T63)),IF(Q63="Probabilidad",AB62,""))),"")</f>
        <v/>
      </c>
      <c r="AC63" s="172" t="str">
        <f t="shared" ref="AC63:AC64" si="50">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73"/>
      <c r="AE63" s="174"/>
      <c r="AF63" s="175"/>
      <c r="AG63" s="176"/>
      <c r="AH63" s="176"/>
      <c r="AI63" s="174"/>
      <c r="AJ63" s="175"/>
      <c r="AK63" s="161"/>
      <c r="AL63" s="161"/>
      <c r="AM63" s="161"/>
      <c r="AN63" s="161"/>
      <c r="AO63" s="161"/>
      <c r="AP63" s="161"/>
      <c r="AQ63" s="161"/>
      <c r="AR63" s="161"/>
      <c r="AS63" s="161"/>
      <c r="AT63" s="161"/>
      <c r="AU63" s="161"/>
      <c r="AV63" s="161"/>
      <c r="AW63" s="161"/>
      <c r="AX63" s="161"/>
      <c r="AY63" s="161"/>
      <c r="AZ63" s="161"/>
      <c r="BA63" s="161"/>
      <c r="BB63" s="161"/>
      <c r="BC63" s="161"/>
      <c r="BD63" s="161"/>
      <c r="BE63" s="161"/>
      <c r="BF63" s="161"/>
      <c r="BG63" s="161"/>
      <c r="BH63" s="161"/>
      <c r="BI63" s="161"/>
      <c r="BJ63" s="161"/>
      <c r="BK63" s="161"/>
      <c r="BL63" s="161"/>
      <c r="BM63" s="161"/>
      <c r="BN63" s="161"/>
      <c r="BO63" s="161"/>
      <c r="BP63" s="161"/>
    </row>
    <row r="64" spans="1:68" s="160" customFormat="1" ht="14.25" hidden="1" customHeight="1" x14ac:dyDescent="0.25">
      <c r="A64" s="251"/>
      <c r="B64" s="254"/>
      <c r="C64" s="254"/>
      <c r="D64" s="254"/>
      <c r="E64" s="257"/>
      <c r="F64" s="254"/>
      <c r="G64" s="260"/>
      <c r="H64" s="263"/>
      <c r="I64" s="245"/>
      <c r="J64" s="266"/>
      <c r="K64" s="245">
        <f>IF(NOT(ISERROR(MATCH(J64,_xlfn.ANCHORARRAY(E75),0))),I77&amp;"Por favor no seleccionar los criterios de impacto",J64)</f>
        <v>0</v>
      </c>
      <c r="L64" s="263"/>
      <c r="M64" s="245"/>
      <c r="N64" s="248"/>
      <c r="O64" s="5">
        <v>3</v>
      </c>
      <c r="P64" s="177"/>
      <c r="Q64" s="167" t="str">
        <f>IF(OR(R64="Preventivo",R64="Detectivo"),"Probabilidad",IF(R64="Correctivo","Impacto",""))</f>
        <v/>
      </c>
      <c r="R64" s="168"/>
      <c r="S64" s="168"/>
      <c r="T64" s="169" t="str">
        <f t="shared" si="48"/>
        <v/>
      </c>
      <c r="U64" s="168"/>
      <c r="V64" s="168"/>
      <c r="W64" s="168"/>
      <c r="X64" s="164" t="str">
        <f>IFERROR(IF(AND(Q63="Probabilidad",Q64="Probabilidad"),(Z63-(+Z63*T64)),IF(AND(Q63="Impacto",Q64="Probabilidad"),(Z62-(+Z62*T64)),IF(Q64="Impacto",Z63,""))),"")</f>
        <v/>
      </c>
      <c r="Y64" s="170" t="str">
        <f t="shared" si="2"/>
        <v/>
      </c>
      <c r="Z64" s="171" t="str">
        <f t="shared" si="49"/>
        <v/>
      </c>
      <c r="AA64" s="170" t="str">
        <f t="shared" si="4"/>
        <v/>
      </c>
      <c r="AB64" s="171" t="str">
        <f>IFERROR(IF(AND(Q63="Impacto",Q64="Impacto"),(AB63-(+AB63*T64)),IF(AND(Q63="Probabilidad",Q64="Impacto"),(AB62-(+AB62*T64)),IF(Q64="Probabilidad",AB63,""))),"")</f>
        <v/>
      </c>
      <c r="AC64" s="172" t="str">
        <f t="shared" si="50"/>
        <v/>
      </c>
      <c r="AD64" s="173"/>
      <c r="AE64" s="174"/>
      <c r="AF64" s="175"/>
      <c r="AG64" s="176"/>
      <c r="AH64" s="176"/>
      <c r="AI64" s="174"/>
      <c r="AJ64" s="175"/>
      <c r="AK64" s="161"/>
      <c r="AL64" s="161"/>
      <c r="AM64" s="161"/>
      <c r="AN64" s="161"/>
      <c r="AO64" s="161"/>
      <c r="AP64" s="161"/>
      <c r="AQ64" s="161"/>
      <c r="AR64" s="161"/>
      <c r="AS64" s="161"/>
      <c r="AT64" s="161"/>
      <c r="AU64" s="161"/>
      <c r="AV64" s="161"/>
      <c r="AW64" s="161"/>
      <c r="AX64" s="161"/>
      <c r="AY64" s="161"/>
      <c r="AZ64" s="161"/>
      <c r="BA64" s="161"/>
      <c r="BB64" s="161"/>
      <c r="BC64" s="161"/>
      <c r="BD64" s="161"/>
      <c r="BE64" s="161"/>
      <c r="BF64" s="161"/>
      <c r="BG64" s="161"/>
      <c r="BH64" s="161"/>
      <c r="BI64" s="161"/>
      <c r="BJ64" s="161"/>
      <c r="BK64" s="161"/>
      <c r="BL64" s="161"/>
      <c r="BM64" s="161"/>
      <c r="BN64" s="161"/>
      <c r="BO64" s="161"/>
      <c r="BP64" s="161"/>
    </row>
    <row r="65" spans="1:68" s="160" customFormat="1" ht="14.25" hidden="1" customHeight="1" x14ac:dyDescent="0.25">
      <c r="A65" s="251"/>
      <c r="B65" s="254"/>
      <c r="C65" s="254"/>
      <c r="D65" s="254"/>
      <c r="E65" s="257"/>
      <c r="F65" s="254"/>
      <c r="G65" s="260"/>
      <c r="H65" s="263"/>
      <c r="I65" s="245"/>
      <c r="J65" s="266"/>
      <c r="K65" s="245">
        <f>IF(NOT(ISERROR(MATCH(J65,_xlfn.ANCHORARRAY(E76),0))),I78&amp;"Por favor no seleccionar los criterios de impacto",J65)</f>
        <v>0</v>
      </c>
      <c r="L65" s="263"/>
      <c r="M65" s="245"/>
      <c r="N65" s="248"/>
      <c r="O65" s="5">
        <v>4</v>
      </c>
      <c r="P65" s="166"/>
      <c r="Q65" s="167" t="str">
        <f t="shared" ref="Q65:Q67" si="51">IF(OR(R65="Preventivo",R65="Detectivo"),"Probabilidad",IF(R65="Correctivo","Impacto",""))</f>
        <v/>
      </c>
      <c r="R65" s="168"/>
      <c r="S65" s="168"/>
      <c r="T65" s="169" t="str">
        <f t="shared" si="48"/>
        <v/>
      </c>
      <c r="U65" s="168"/>
      <c r="V65" s="168"/>
      <c r="W65" s="168"/>
      <c r="X65" s="164" t="str">
        <f t="shared" ref="X65:X67" si="52">IFERROR(IF(AND(Q64="Probabilidad",Q65="Probabilidad"),(Z64-(+Z64*T65)),IF(AND(Q64="Impacto",Q65="Probabilidad"),(Z63-(+Z63*T65)),IF(Q65="Impacto",Z64,""))),"")</f>
        <v/>
      </c>
      <c r="Y65" s="170" t="str">
        <f t="shared" si="2"/>
        <v/>
      </c>
      <c r="Z65" s="171" t="str">
        <f t="shared" si="49"/>
        <v/>
      </c>
      <c r="AA65" s="170" t="str">
        <f t="shared" si="4"/>
        <v/>
      </c>
      <c r="AB65" s="171" t="str">
        <f t="shared" ref="AB65:AB67" si="53">IFERROR(IF(AND(Q64="Impacto",Q65="Impacto"),(AB64-(+AB64*T65)),IF(AND(Q64="Probabilidad",Q65="Impacto"),(AB63-(+AB63*T65)),IF(Q65="Probabilidad",AB64,""))),"")</f>
        <v/>
      </c>
      <c r="AC65" s="172" t="str">
        <f>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73"/>
      <c r="AE65" s="174"/>
      <c r="AF65" s="175"/>
      <c r="AG65" s="176"/>
      <c r="AH65" s="176"/>
      <c r="AI65" s="174"/>
      <c r="AJ65" s="175"/>
      <c r="AK65" s="161"/>
      <c r="AL65" s="161"/>
      <c r="AM65" s="161"/>
      <c r="AN65" s="161"/>
      <c r="AO65" s="161"/>
      <c r="AP65" s="161"/>
      <c r="AQ65" s="161"/>
      <c r="AR65" s="161"/>
      <c r="AS65" s="161"/>
      <c r="AT65" s="161"/>
      <c r="AU65" s="161"/>
      <c r="AV65" s="161"/>
      <c r="AW65" s="161"/>
      <c r="AX65" s="161"/>
      <c r="AY65" s="161"/>
      <c r="AZ65" s="161"/>
      <c r="BA65" s="161"/>
      <c r="BB65" s="161"/>
      <c r="BC65" s="161"/>
      <c r="BD65" s="161"/>
      <c r="BE65" s="161"/>
      <c r="BF65" s="161"/>
      <c r="BG65" s="161"/>
      <c r="BH65" s="161"/>
      <c r="BI65" s="161"/>
      <c r="BJ65" s="161"/>
      <c r="BK65" s="161"/>
      <c r="BL65" s="161"/>
      <c r="BM65" s="161"/>
      <c r="BN65" s="161"/>
      <c r="BO65" s="161"/>
      <c r="BP65" s="161"/>
    </row>
    <row r="66" spans="1:68" s="160" customFormat="1" ht="14.25" hidden="1" customHeight="1" x14ac:dyDescent="0.25">
      <c r="A66" s="251"/>
      <c r="B66" s="254"/>
      <c r="C66" s="254"/>
      <c r="D66" s="254"/>
      <c r="E66" s="257"/>
      <c r="F66" s="254"/>
      <c r="G66" s="260"/>
      <c r="H66" s="263"/>
      <c r="I66" s="245"/>
      <c r="J66" s="266"/>
      <c r="K66" s="245">
        <f>IF(NOT(ISERROR(MATCH(J66,_xlfn.ANCHORARRAY(E77),0))),I79&amp;"Por favor no seleccionar los criterios de impacto",J66)</f>
        <v>0</v>
      </c>
      <c r="L66" s="263"/>
      <c r="M66" s="245"/>
      <c r="N66" s="248"/>
      <c r="O66" s="5">
        <v>5</v>
      </c>
      <c r="P66" s="166"/>
      <c r="Q66" s="167" t="str">
        <f t="shared" si="51"/>
        <v/>
      </c>
      <c r="R66" s="168"/>
      <c r="S66" s="168"/>
      <c r="T66" s="169" t="str">
        <f t="shared" si="48"/>
        <v/>
      </c>
      <c r="U66" s="168"/>
      <c r="V66" s="168"/>
      <c r="W66" s="168"/>
      <c r="X66" s="164" t="str">
        <f t="shared" si="52"/>
        <v/>
      </c>
      <c r="Y66" s="170" t="str">
        <f t="shared" si="2"/>
        <v/>
      </c>
      <c r="Z66" s="171" t="str">
        <f t="shared" si="49"/>
        <v/>
      </c>
      <c r="AA66" s="170" t="str">
        <f t="shared" si="4"/>
        <v/>
      </c>
      <c r="AB66" s="171" t="str">
        <f t="shared" si="53"/>
        <v/>
      </c>
      <c r="AC66" s="172" t="str">
        <f t="shared" ref="AC66:AC67" si="54">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73"/>
      <c r="AE66" s="174"/>
      <c r="AF66" s="175"/>
      <c r="AG66" s="176"/>
      <c r="AH66" s="176"/>
      <c r="AI66" s="174"/>
      <c r="AJ66" s="175"/>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row>
    <row r="67" spans="1:68" s="160" customFormat="1" ht="14.25" hidden="1" customHeight="1" x14ac:dyDescent="0.25">
      <c r="A67" s="252"/>
      <c r="B67" s="255"/>
      <c r="C67" s="255"/>
      <c r="D67" s="255"/>
      <c r="E67" s="258"/>
      <c r="F67" s="255"/>
      <c r="G67" s="261"/>
      <c r="H67" s="264"/>
      <c r="I67" s="246"/>
      <c r="J67" s="267"/>
      <c r="K67" s="246">
        <f>IF(NOT(ISERROR(MATCH(J67,_xlfn.ANCHORARRAY(E78),0))),I80&amp;"Por favor no seleccionar los criterios de impacto",J67)</f>
        <v>0</v>
      </c>
      <c r="L67" s="264"/>
      <c r="M67" s="246"/>
      <c r="N67" s="249"/>
      <c r="O67" s="5">
        <v>6</v>
      </c>
      <c r="P67" s="166"/>
      <c r="Q67" s="167" t="str">
        <f t="shared" si="51"/>
        <v/>
      </c>
      <c r="R67" s="168"/>
      <c r="S67" s="168"/>
      <c r="T67" s="169" t="str">
        <f t="shared" si="48"/>
        <v/>
      </c>
      <c r="U67" s="168"/>
      <c r="V67" s="168"/>
      <c r="W67" s="168"/>
      <c r="X67" s="164" t="str">
        <f t="shared" si="52"/>
        <v/>
      </c>
      <c r="Y67" s="170" t="str">
        <f t="shared" si="2"/>
        <v/>
      </c>
      <c r="Z67" s="171" t="str">
        <f t="shared" si="49"/>
        <v/>
      </c>
      <c r="AA67" s="170" t="str">
        <f t="shared" si="4"/>
        <v/>
      </c>
      <c r="AB67" s="171" t="str">
        <f t="shared" si="53"/>
        <v/>
      </c>
      <c r="AC67" s="172" t="str">
        <f t="shared" si="54"/>
        <v/>
      </c>
      <c r="AD67" s="173"/>
      <c r="AE67" s="174"/>
      <c r="AF67" s="175"/>
      <c r="AG67" s="176"/>
      <c r="AH67" s="176"/>
      <c r="AI67" s="174"/>
      <c r="AJ67" s="175"/>
      <c r="AK67" s="161"/>
      <c r="AL67" s="161"/>
      <c r="AM67" s="161"/>
      <c r="AN67" s="161"/>
      <c r="AO67" s="161"/>
      <c r="AP67" s="161"/>
      <c r="AQ67" s="161"/>
      <c r="AR67" s="161"/>
      <c r="AS67" s="161"/>
      <c r="AT67" s="161"/>
      <c r="AU67" s="161"/>
      <c r="AV67" s="161"/>
      <c r="AW67" s="161"/>
      <c r="AX67" s="161"/>
      <c r="AY67" s="161"/>
      <c r="AZ67" s="161"/>
      <c r="BA67" s="161"/>
      <c r="BB67" s="161"/>
      <c r="BC67" s="161"/>
      <c r="BD67" s="161"/>
      <c r="BE67" s="161"/>
      <c r="BF67" s="161"/>
      <c r="BG67" s="161"/>
      <c r="BH67" s="161"/>
      <c r="BI67" s="161"/>
      <c r="BJ67" s="161"/>
      <c r="BK67" s="161"/>
      <c r="BL67" s="161"/>
      <c r="BM67" s="161"/>
      <c r="BN67" s="161"/>
      <c r="BO67" s="161"/>
      <c r="BP67" s="161"/>
    </row>
    <row r="68" spans="1:68" s="160" customFormat="1" ht="14.25" hidden="1" customHeight="1" x14ac:dyDescent="0.25">
      <c r="A68" s="250">
        <v>10</v>
      </c>
      <c r="B68" s="253"/>
      <c r="C68" s="253"/>
      <c r="D68" s="253"/>
      <c r="E68" s="256"/>
      <c r="F68" s="253"/>
      <c r="G68" s="259"/>
      <c r="H68" s="262" t="str">
        <f>IF(G68&lt;=0,"",IF(G68&lt;=2,"Muy Baja",IF(G68&lt;=24,"Baja",IF(G68&lt;=500,"Media",IF(G68&lt;=5000,"Alta","Muy Alta")))))</f>
        <v/>
      </c>
      <c r="I68" s="244" t="str">
        <f>IF(H68="","",IF(H68="Muy Baja",0.2,IF(H68="Baja",0.4,IF(H68="Media",0.6,IF(H68="Alta",0.8,IF(H68="Muy Alta",1,))))))</f>
        <v/>
      </c>
      <c r="J68" s="265"/>
      <c r="K68" s="244">
        <f>IF(NOT(ISERROR(MATCH(J68,'Tabla Impacto'!$B$221:$B$223,0))),'Tabla Impacto'!$F$223&amp;"Por favor no seleccionar los criterios de impacto(Afectación Económica o presupuestal y Pérdida Reputacional)",J68)</f>
        <v>0</v>
      </c>
      <c r="L68" s="262" t="str">
        <f>IF(OR(K68='Tabla Impacto'!$C$11,K68='Tabla Impacto'!$D$11),"Leve",IF(OR(K68='Tabla Impacto'!$C$12,K68='Tabla Impacto'!$D$12),"Menor",IF(OR(K68='Tabla Impacto'!$C$13,K68='Tabla Impacto'!$D$13),"Moderado",IF(OR(K68='Tabla Impacto'!$C$14,K68='Tabla Impacto'!$D$14),"Mayor",IF(OR(K68='Tabla Impacto'!$C$15,K68='Tabla Impacto'!$D$15),"Catastrófico","")))))</f>
        <v/>
      </c>
      <c r="M68" s="244" t="str">
        <f>IF(L68="","",IF(L68="Leve",0.2,IF(L68="Menor",0.4,IF(L68="Moderado",0.6,IF(L68="Mayor",0.8,IF(L68="Catastrófico",1,))))))</f>
        <v/>
      </c>
      <c r="N68" s="247" t="str">
        <f>IF(OR(AND(H68="Muy Baja",L68="Leve"),AND(H68="Muy Baja",L68="Menor"),AND(H68="Baja",L68="Leve")),"Bajo",IF(OR(AND(H68="Muy baja",L68="Moderado"),AND(H68="Baja",L68="Menor"),AND(H68="Baja",L68="Moderado"),AND(H68="Media",L68="Leve"),AND(H68="Media",L68="Menor"),AND(H68="Media",L68="Moderado"),AND(H68="Alta",L68="Leve"),AND(H68="Alta",L68="Menor")),"Moderado",IF(OR(AND(H68="Muy Baja",L68="Mayor"),AND(H68="Baja",L68="Mayor"),AND(H68="Media",L68="Mayor"),AND(H68="Alta",L68="Moderado"),AND(H68="Alta",L68="Mayor"),AND(H68="Muy Alta",L68="Leve"),AND(H68="Muy Alta",L68="Menor"),AND(H68="Muy Alta",L68="Moderado"),AND(H68="Muy Alta",L68="Mayor")),"Alto",IF(OR(AND(H68="Muy Baja",L68="Catastrófico"),AND(H68="Baja",L68="Catastrófico"),AND(H68="Media",L68="Catastrófico"),AND(H68="Alta",L68="Catastrófico"),AND(H68="Muy Alta",L68="Catastrófico")),"Extremo",""))))</f>
        <v/>
      </c>
      <c r="O68" s="5">
        <v>1</v>
      </c>
      <c r="P68" s="166"/>
      <c r="Q68" s="167" t="str">
        <f>IF(OR(R68="Preventivo",R68="Detectivo"),"Probabilidad",IF(R68="Correctivo","Impacto",""))</f>
        <v/>
      </c>
      <c r="R68" s="168"/>
      <c r="S68" s="168"/>
      <c r="T68" s="169" t="str">
        <f>IF(AND(R68="Preventivo",S68="Automático"),"50%",IF(AND(R68="Preventivo",S68="Manual"),"40%",IF(AND(R68="Detectivo",S68="Automático"),"40%",IF(AND(R68="Detectivo",S68="Manual"),"30%",IF(AND(R68="Correctivo",S68="Automático"),"35%",IF(AND(R68="Correctivo",S68="Manual"),"25%",""))))))</f>
        <v/>
      </c>
      <c r="U68" s="168"/>
      <c r="V68" s="168"/>
      <c r="W68" s="168"/>
      <c r="X68" s="164" t="str">
        <f>IFERROR(IF(Q68="Probabilidad",(I68-(+I68*T68)),IF(Q68="Impacto",I68,"")),"")</f>
        <v/>
      </c>
      <c r="Y68" s="170" t="str">
        <f>IFERROR(IF(X68="","",IF(X68&lt;=0.2,"Muy Baja",IF(X68&lt;=0.4,"Baja",IF(X68&lt;=0.6,"Media",IF(X68&lt;=0.8,"Alta","Muy Alta"))))),"")</f>
        <v/>
      </c>
      <c r="Z68" s="171" t="str">
        <f>+X68</f>
        <v/>
      </c>
      <c r="AA68" s="170" t="str">
        <f>IFERROR(IF(AB68="","",IF(AB68&lt;=0.2,"Leve",IF(AB68&lt;=0.4,"Menor",IF(AB68&lt;=0.6,"Moderado",IF(AB68&lt;=0.8,"Mayor","Catastrófico"))))),"")</f>
        <v/>
      </c>
      <c r="AB68" s="171" t="str">
        <f>IFERROR(IF(Q68="Impacto",(M68-(+M68*T68)),IF(Q68="Probabilidad",M68,"")),"")</f>
        <v/>
      </c>
      <c r="AC68" s="172" t="str">
        <f>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73"/>
      <c r="AE68" s="174"/>
      <c r="AF68" s="175"/>
      <c r="AG68" s="176"/>
      <c r="AH68" s="176"/>
      <c r="AI68" s="174"/>
      <c r="AJ68" s="175"/>
      <c r="AK68" s="161"/>
      <c r="AL68" s="161"/>
      <c r="AM68" s="161"/>
      <c r="AN68" s="161"/>
      <c r="AO68" s="161"/>
      <c r="AP68" s="161"/>
      <c r="AQ68" s="161"/>
      <c r="AR68" s="161"/>
      <c r="AS68" s="161"/>
      <c r="AT68" s="161"/>
      <c r="AU68" s="161"/>
      <c r="AV68" s="161"/>
      <c r="AW68" s="161"/>
      <c r="AX68" s="161"/>
      <c r="AY68" s="161"/>
      <c r="AZ68" s="161"/>
      <c r="BA68" s="161"/>
      <c r="BB68" s="161"/>
      <c r="BC68" s="161"/>
      <c r="BD68" s="161"/>
      <c r="BE68" s="161"/>
      <c r="BF68" s="161"/>
      <c r="BG68" s="161"/>
      <c r="BH68" s="161"/>
      <c r="BI68" s="161"/>
      <c r="BJ68" s="161"/>
      <c r="BK68" s="161"/>
      <c r="BL68" s="161"/>
      <c r="BM68" s="161"/>
      <c r="BN68" s="161"/>
      <c r="BO68" s="161"/>
      <c r="BP68" s="161"/>
    </row>
    <row r="69" spans="1:68" s="160" customFormat="1" ht="14.25" hidden="1" customHeight="1" x14ac:dyDescent="0.25">
      <c r="A69" s="251"/>
      <c r="B69" s="254"/>
      <c r="C69" s="254"/>
      <c r="D69" s="254"/>
      <c r="E69" s="257"/>
      <c r="F69" s="254"/>
      <c r="G69" s="260"/>
      <c r="H69" s="263"/>
      <c r="I69" s="245"/>
      <c r="J69" s="266"/>
      <c r="K69" s="245">
        <f>IF(NOT(ISERROR(MATCH(J69,_xlfn.ANCHORARRAY(E80),0))),I82&amp;"Por favor no seleccionar los criterios de impacto",J69)</f>
        <v>0</v>
      </c>
      <c r="L69" s="263"/>
      <c r="M69" s="245"/>
      <c r="N69" s="248"/>
      <c r="O69" s="5">
        <v>2</v>
      </c>
      <c r="P69" s="166"/>
      <c r="Q69" s="167" t="str">
        <f>IF(OR(R69="Preventivo",R69="Detectivo"),"Probabilidad",IF(R69="Correctivo","Impacto",""))</f>
        <v/>
      </c>
      <c r="R69" s="168"/>
      <c r="S69" s="168"/>
      <c r="T69" s="169" t="str">
        <f t="shared" ref="T69:T73" si="55">IF(AND(R69="Preventivo",S69="Automático"),"50%",IF(AND(R69="Preventivo",S69="Manual"),"40%",IF(AND(R69="Detectivo",S69="Automático"),"40%",IF(AND(R69="Detectivo",S69="Manual"),"30%",IF(AND(R69="Correctivo",S69="Automático"),"35%",IF(AND(R69="Correctivo",S69="Manual"),"25%",""))))))</f>
        <v/>
      </c>
      <c r="U69" s="168"/>
      <c r="V69" s="168"/>
      <c r="W69" s="168"/>
      <c r="X69" s="164" t="str">
        <f>IFERROR(IF(AND(Q68="Probabilidad",Q69="Probabilidad"),(Z68-(+Z68*T69)),IF(Q69="Probabilidad",(I68-(+I68*T69)),IF(Q69="Impacto",Z68,""))),"")</f>
        <v/>
      </c>
      <c r="Y69" s="170" t="str">
        <f t="shared" si="2"/>
        <v/>
      </c>
      <c r="Z69" s="171" t="str">
        <f t="shared" ref="Z69:Z73" si="56">+X69</f>
        <v/>
      </c>
      <c r="AA69" s="170" t="str">
        <f t="shared" si="4"/>
        <v/>
      </c>
      <c r="AB69" s="171" t="str">
        <f>IFERROR(IF(AND(Q68="Impacto",Q69="Impacto"),(AB68-(+AB68*T69)),IF(Q69="Impacto",(M68-(+M68*T69)),IF(Q69="Probabilidad",AB68,""))),"")</f>
        <v/>
      </c>
      <c r="AC69" s="172" t="str">
        <f t="shared" ref="AC69:AC70" si="57">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73"/>
      <c r="AE69" s="174"/>
      <c r="AF69" s="175"/>
      <c r="AG69" s="176"/>
      <c r="AH69" s="176"/>
      <c r="AI69" s="174"/>
      <c r="AJ69" s="175"/>
    </row>
    <row r="70" spans="1:68" s="160" customFormat="1" ht="14.25" hidden="1" customHeight="1" x14ac:dyDescent="0.25">
      <c r="A70" s="251"/>
      <c r="B70" s="254"/>
      <c r="C70" s="254"/>
      <c r="D70" s="254"/>
      <c r="E70" s="257"/>
      <c r="F70" s="254"/>
      <c r="G70" s="260"/>
      <c r="H70" s="263"/>
      <c r="I70" s="245"/>
      <c r="J70" s="266"/>
      <c r="K70" s="245">
        <f>IF(NOT(ISERROR(MATCH(J70,_xlfn.ANCHORARRAY(E81),0))),I83&amp;"Por favor no seleccionar los criterios de impacto",J70)</f>
        <v>0</v>
      </c>
      <c r="L70" s="263"/>
      <c r="M70" s="245"/>
      <c r="N70" s="248"/>
      <c r="O70" s="5">
        <v>3</v>
      </c>
      <c r="P70" s="177"/>
      <c r="Q70" s="167" t="str">
        <f>IF(OR(R70="Preventivo",R70="Detectivo"),"Probabilidad",IF(R70="Correctivo","Impacto",""))</f>
        <v/>
      </c>
      <c r="R70" s="168"/>
      <c r="S70" s="168"/>
      <c r="T70" s="169" t="str">
        <f t="shared" si="55"/>
        <v/>
      </c>
      <c r="U70" s="168"/>
      <c r="V70" s="168"/>
      <c r="W70" s="168"/>
      <c r="X70" s="164" t="str">
        <f>IFERROR(IF(AND(Q69="Probabilidad",Q70="Probabilidad"),(Z69-(+Z69*T70)),IF(AND(Q69="Impacto",Q70="Probabilidad"),(Z68-(+Z68*T70)),IF(Q70="Impacto",Z69,""))),"")</f>
        <v/>
      </c>
      <c r="Y70" s="170" t="str">
        <f t="shared" si="2"/>
        <v/>
      </c>
      <c r="Z70" s="171" t="str">
        <f t="shared" si="56"/>
        <v/>
      </c>
      <c r="AA70" s="170" t="str">
        <f t="shared" si="4"/>
        <v/>
      </c>
      <c r="AB70" s="171" t="str">
        <f>IFERROR(IF(AND(Q69="Impacto",Q70="Impacto"),(AB69-(+AB69*T70)),IF(AND(Q69="Probabilidad",Q70="Impacto"),(AB68-(+AB68*T70)),IF(Q70="Probabilidad",AB69,""))),"")</f>
        <v/>
      </c>
      <c r="AC70" s="172" t="str">
        <f t="shared" si="57"/>
        <v/>
      </c>
      <c r="AD70" s="173"/>
      <c r="AE70" s="174"/>
      <c r="AF70" s="175"/>
      <c r="AG70" s="176"/>
      <c r="AH70" s="176"/>
      <c r="AI70" s="174"/>
      <c r="AJ70" s="175"/>
    </row>
    <row r="71" spans="1:68" s="160" customFormat="1" ht="14.25" hidden="1" customHeight="1" x14ac:dyDescent="0.25">
      <c r="A71" s="251"/>
      <c r="B71" s="254"/>
      <c r="C71" s="254"/>
      <c r="D71" s="254"/>
      <c r="E71" s="257"/>
      <c r="F71" s="254"/>
      <c r="G71" s="260"/>
      <c r="H71" s="263"/>
      <c r="I71" s="245"/>
      <c r="J71" s="266"/>
      <c r="K71" s="245">
        <f>IF(NOT(ISERROR(MATCH(J71,_xlfn.ANCHORARRAY(E82),0))),I84&amp;"Por favor no seleccionar los criterios de impacto",J71)</f>
        <v>0</v>
      </c>
      <c r="L71" s="263"/>
      <c r="M71" s="245"/>
      <c r="N71" s="248"/>
      <c r="O71" s="5">
        <v>4</v>
      </c>
      <c r="P71" s="166"/>
      <c r="Q71" s="167" t="str">
        <f t="shared" ref="Q71:Q73" si="58">IF(OR(R71="Preventivo",R71="Detectivo"),"Probabilidad",IF(R71="Correctivo","Impacto",""))</f>
        <v/>
      </c>
      <c r="R71" s="168"/>
      <c r="S71" s="168"/>
      <c r="T71" s="169" t="str">
        <f t="shared" si="55"/>
        <v/>
      </c>
      <c r="U71" s="168"/>
      <c r="V71" s="168"/>
      <c r="W71" s="168"/>
      <c r="X71" s="164" t="str">
        <f t="shared" ref="X71:X73" si="59">IFERROR(IF(AND(Q70="Probabilidad",Q71="Probabilidad"),(Z70-(+Z70*T71)),IF(AND(Q70="Impacto",Q71="Probabilidad"),(Z69-(+Z69*T71)),IF(Q71="Impacto",Z70,""))),"")</f>
        <v/>
      </c>
      <c r="Y71" s="170" t="str">
        <f t="shared" si="2"/>
        <v/>
      </c>
      <c r="Z71" s="171" t="str">
        <f t="shared" si="56"/>
        <v/>
      </c>
      <c r="AA71" s="170" t="str">
        <f t="shared" si="4"/>
        <v/>
      </c>
      <c r="AB71" s="171" t="str">
        <f t="shared" ref="AB71:AB73" si="60">IFERROR(IF(AND(Q70="Impacto",Q71="Impacto"),(AB70-(+AB70*T71)),IF(AND(Q70="Probabilidad",Q71="Impacto"),(AB69-(+AB69*T71)),IF(Q71="Probabilidad",AB70,""))),"")</f>
        <v/>
      </c>
      <c r="AC71" s="172" t="str">
        <f>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173"/>
      <c r="AE71" s="174"/>
      <c r="AF71" s="175"/>
      <c r="AG71" s="176"/>
      <c r="AH71" s="176"/>
      <c r="AI71" s="174"/>
      <c r="AJ71" s="175"/>
    </row>
    <row r="72" spans="1:68" s="160" customFormat="1" ht="14.25" hidden="1" customHeight="1" x14ac:dyDescent="0.25">
      <c r="A72" s="251"/>
      <c r="B72" s="254"/>
      <c r="C72" s="254"/>
      <c r="D72" s="254"/>
      <c r="E72" s="257"/>
      <c r="F72" s="254"/>
      <c r="G72" s="260"/>
      <c r="H72" s="263"/>
      <c r="I72" s="245"/>
      <c r="J72" s="266"/>
      <c r="K72" s="245">
        <f>IF(NOT(ISERROR(MATCH(J72,_xlfn.ANCHORARRAY(E83),0))),I85&amp;"Por favor no seleccionar los criterios de impacto",J72)</f>
        <v>0</v>
      </c>
      <c r="L72" s="263"/>
      <c r="M72" s="245"/>
      <c r="N72" s="248"/>
      <c r="O72" s="5">
        <v>5</v>
      </c>
      <c r="P72" s="166"/>
      <c r="Q72" s="167" t="str">
        <f t="shared" si="58"/>
        <v/>
      </c>
      <c r="R72" s="168"/>
      <c r="S72" s="168"/>
      <c r="T72" s="169" t="str">
        <f t="shared" si="55"/>
        <v/>
      </c>
      <c r="U72" s="168"/>
      <c r="V72" s="168"/>
      <c r="W72" s="168"/>
      <c r="X72" s="164" t="str">
        <f t="shared" si="59"/>
        <v/>
      </c>
      <c r="Y72" s="170" t="str">
        <f t="shared" si="2"/>
        <v/>
      </c>
      <c r="Z72" s="171" t="str">
        <f t="shared" si="56"/>
        <v/>
      </c>
      <c r="AA72" s="170" t="str">
        <f t="shared" si="4"/>
        <v/>
      </c>
      <c r="AB72" s="171" t="str">
        <f t="shared" si="60"/>
        <v/>
      </c>
      <c r="AC72" s="172" t="str">
        <f t="shared" ref="AC72:AC73" si="61">IFERROR(IF(OR(AND(Y72="Muy Baja",AA72="Leve"),AND(Y72="Muy Baja",AA72="Menor"),AND(Y72="Baja",AA72="Leve")),"Bajo",IF(OR(AND(Y72="Muy baja",AA72="Moderado"),AND(Y72="Baja",AA72="Menor"),AND(Y72="Baja",AA72="Moderado"),AND(Y72="Media",AA72="Leve"),AND(Y72="Media",AA72="Menor"),AND(Y72="Media",AA72="Moderado"),AND(Y72="Alta",AA72="Leve"),AND(Y72="Alta",AA72="Menor")),"Moderado",IF(OR(AND(Y72="Muy Baja",AA72="Mayor"),AND(Y72="Baja",AA72="Mayor"),AND(Y72="Media",AA72="Mayor"),AND(Y72="Alta",AA72="Moderado"),AND(Y72="Alta",AA72="Mayor"),AND(Y72="Muy Alta",AA72="Leve"),AND(Y72="Muy Alta",AA72="Menor"),AND(Y72="Muy Alta",AA72="Moderado"),AND(Y72="Muy Alta",AA72="Mayor")),"Alto",IF(OR(AND(Y72="Muy Baja",AA72="Catastrófico"),AND(Y72="Baja",AA72="Catastrófico"),AND(Y72="Media",AA72="Catastrófico"),AND(Y72="Alta",AA72="Catastrófico"),AND(Y72="Muy Alta",AA72="Catastrófico")),"Extremo","")))),"")</f>
        <v/>
      </c>
      <c r="AD72" s="173"/>
      <c r="AE72" s="174"/>
      <c r="AF72" s="175"/>
      <c r="AG72" s="176"/>
      <c r="AH72" s="176"/>
      <c r="AI72" s="174"/>
      <c r="AJ72" s="175"/>
    </row>
    <row r="73" spans="1:68" s="160" customFormat="1" ht="14.25" hidden="1" customHeight="1" x14ac:dyDescent="0.25">
      <c r="A73" s="252"/>
      <c r="B73" s="255"/>
      <c r="C73" s="255"/>
      <c r="D73" s="255"/>
      <c r="E73" s="258"/>
      <c r="F73" s="255"/>
      <c r="G73" s="261"/>
      <c r="H73" s="264"/>
      <c r="I73" s="246"/>
      <c r="J73" s="267"/>
      <c r="K73" s="246">
        <f>IF(NOT(ISERROR(MATCH(J73,_xlfn.ANCHORARRAY(E84),0))),I86&amp;"Por favor no seleccionar los criterios de impacto",J73)</f>
        <v>0</v>
      </c>
      <c r="L73" s="264"/>
      <c r="M73" s="246"/>
      <c r="N73" s="249"/>
      <c r="O73" s="5">
        <v>6</v>
      </c>
      <c r="P73" s="166"/>
      <c r="Q73" s="167" t="str">
        <f t="shared" si="58"/>
        <v/>
      </c>
      <c r="R73" s="168"/>
      <c r="S73" s="168"/>
      <c r="T73" s="169" t="str">
        <f t="shared" si="55"/>
        <v/>
      </c>
      <c r="U73" s="168"/>
      <c r="V73" s="168"/>
      <c r="W73" s="168"/>
      <c r="X73" s="164" t="str">
        <f t="shared" si="59"/>
        <v/>
      </c>
      <c r="Y73" s="170" t="str">
        <f t="shared" si="2"/>
        <v/>
      </c>
      <c r="Z73" s="171" t="str">
        <f t="shared" si="56"/>
        <v/>
      </c>
      <c r="AA73" s="170" t="str">
        <f t="shared" si="4"/>
        <v/>
      </c>
      <c r="AB73" s="171" t="str">
        <f t="shared" si="60"/>
        <v/>
      </c>
      <c r="AC73" s="172" t="str">
        <f t="shared" si="61"/>
        <v/>
      </c>
      <c r="AD73" s="173"/>
      <c r="AE73" s="174"/>
      <c r="AF73" s="175"/>
      <c r="AG73" s="176"/>
      <c r="AH73" s="176"/>
      <c r="AI73" s="174"/>
      <c r="AJ73" s="175"/>
    </row>
    <row r="74" spans="1:68" ht="49.5" customHeight="1" x14ac:dyDescent="0.3">
      <c r="A74" s="5"/>
      <c r="B74" s="241" t="s">
        <v>89</v>
      </c>
      <c r="C74" s="242"/>
      <c r="D74" s="242"/>
      <c r="E74" s="242"/>
      <c r="F74" s="242"/>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42"/>
      <c r="AG74" s="242"/>
      <c r="AH74" s="242"/>
      <c r="AI74" s="242"/>
      <c r="AJ74" s="243"/>
    </row>
    <row r="76" spans="1:68" x14ac:dyDescent="0.3">
      <c r="A76" s="1"/>
      <c r="B76" s="23"/>
      <c r="C76" s="1"/>
      <c r="D76" s="1"/>
      <c r="F76" s="1"/>
    </row>
  </sheetData>
  <dataConsolidate/>
  <mergeCells count="230">
    <mergeCell ref="AD30:AD31"/>
    <mergeCell ref="AE30:AE31"/>
    <mergeCell ref="AF30:AF31"/>
    <mergeCell ref="AG30:AG31"/>
    <mergeCell ref="AH30:AH31"/>
    <mergeCell ref="AI30:AI31"/>
    <mergeCell ref="AJ30:AJ31"/>
    <mergeCell ref="AH25:AH27"/>
    <mergeCell ref="AI25:AI27"/>
    <mergeCell ref="AJ25:AJ27"/>
    <mergeCell ref="AD28:AD29"/>
    <mergeCell ref="AE28:AE29"/>
    <mergeCell ref="AF28:AF29"/>
    <mergeCell ref="AG28:AG29"/>
    <mergeCell ref="AH28:AH29"/>
    <mergeCell ref="AI28:AI29"/>
    <mergeCell ref="AJ28:AJ29"/>
    <mergeCell ref="Y25:Y27"/>
    <mergeCell ref="Z25:Z27"/>
    <mergeCell ref="AA25:AA27"/>
    <mergeCell ref="AB25:AB27"/>
    <mergeCell ref="AC25:AC27"/>
    <mergeCell ref="AD25:AD27"/>
    <mergeCell ref="AE25:AE27"/>
    <mergeCell ref="AF25:AF27"/>
    <mergeCell ref="AG25:AG27"/>
    <mergeCell ref="O25:O27"/>
    <mergeCell ref="P25:P27"/>
    <mergeCell ref="Q25:Q27"/>
    <mergeCell ref="R25:R27"/>
    <mergeCell ref="S25:S27"/>
    <mergeCell ref="T25:T27"/>
    <mergeCell ref="U25:U27"/>
    <mergeCell ref="V25:V27"/>
    <mergeCell ref="W25:W27"/>
    <mergeCell ref="A1:AE5"/>
    <mergeCell ref="W10:AB10"/>
    <mergeCell ref="W12:AB12"/>
    <mergeCell ref="A15:J15"/>
    <mergeCell ref="N7:S7"/>
    <mergeCell ref="W9:AB9"/>
    <mergeCell ref="P8:S8"/>
    <mergeCell ref="P9:S9"/>
    <mergeCell ref="P10:S10"/>
    <mergeCell ref="P12:S12"/>
    <mergeCell ref="P11:S11"/>
    <mergeCell ref="P14:S14"/>
    <mergeCell ref="P13:S13"/>
    <mergeCell ref="F25:F27"/>
    <mergeCell ref="G25:G27"/>
    <mergeCell ref="H25:H27"/>
    <mergeCell ref="A25:A27"/>
    <mergeCell ref="B25:B27"/>
    <mergeCell ref="D25:D27"/>
    <mergeCell ref="E25:E27"/>
    <mergeCell ref="N25:N27"/>
    <mergeCell ref="I25:I27"/>
    <mergeCell ref="J25:J27"/>
    <mergeCell ref="K25:K27"/>
    <mergeCell ref="L25:L27"/>
    <mergeCell ref="M25:M27"/>
    <mergeCell ref="AA23:AA24"/>
    <mergeCell ref="Y23:Y24"/>
    <mergeCell ref="Z23:Z24"/>
    <mergeCell ref="G23:G24"/>
    <mergeCell ref="H23:H24"/>
    <mergeCell ref="I23:I24"/>
    <mergeCell ref="L23:L24"/>
    <mergeCell ref="M23:M24"/>
    <mergeCell ref="B23:B24"/>
    <mergeCell ref="N23:N24"/>
    <mergeCell ref="J23:J24"/>
    <mergeCell ref="K23:K24"/>
    <mergeCell ref="Q23:Q24"/>
    <mergeCell ref="R23:W23"/>
    <mergeCell ref="D28:D29"/>
    <mergeCell ref="E28:E29"/>
    <mergeCell ref="AE23:AE24"/>
    <mergeCell ref="AJ23:AJ24"/>
    <mergeCell ref="AI23:AI24"/>
    <mergeCell ref="AH23:AH24"/>
    <mergeCell ref="AG23:AG24"/>
    <mergeCell ref="AF23:AF24"/>
    <mergeCell ref="A19:B19"/>
    <mergeCell ref="A20:B20"/>
    <mergeCell ref="A21:B21"/>
    <mergeCell ref="A23:A24"/>
    <mergeCell ref="F23:F24"/>
    <mergeCell ref="E23:E24"/>
    <mergeCell ref="D23:D24"/>
    <mergeCell ref="C23:C24"/>
    <mergeCell ref="AD23:AD24"/>
    <mergeCell ref="C20:N20"/>
    <mergeCell ref="C21:N21"/>
    <mergeCell ref="O23:O24"/>
    <mergeCell ref="AC23:AC24"/>
    <mergeCell ref="AB23:AB24"/>
    <mergeCell ref="X23:X24"/>
    <mergeCell ref="P23:P24"/>
    <mergeCell ref="K28:K29"/>
    <mergeCell ref="L28:L29"/>
    <mergeCell ref="M28:M29"/>
    <mergeCell ref="N28:N29"/>
    <mergeCell ref="A30:A31"/>
    <mergeCell ref="B30:B31"/>
    <mergeCell ref="D30:D31"/>
    <mergeCell ref="E30:E31"/>
    <mergeCell ref="F30:F31"/>
    <mergeCell ref="G30:G31"/>
    <mergeCell ref="H30:H31"/>
    <mergeCell ref="I30:I31"/>
    <mergeCell ref="J30:J31"/>
    <mergeCell ref="K30:K31"/>
    <mergeCell ref="L30:L31"/>
    <mergeCell ref="F28:F29"/>
    <mergeCell ref="G28:G29"/>
    <mergeCell ref="H28:H29"/>
    <mergeCell ref="I28:I29"/>
    <mergeCell ref="J28:J29"/>
    <mergeCell ref="A28:A29"/>
    <mergeCell ref="B28:B29"/>
    <mergeCell ref="M30:M31"/>
    <mergeCell ref="N30:N31"/>
    <mergeCell ref="A32:A37"/>
    <mergeCell ref="B32:B37"/>
    <mergeCell ref="C32:C37"/>
    <mergeCell ref="D32:D37"/>
    <mergeCell ref="E32:E37"/>
    <mergeCell ref="F32:F37"/>
    <mergeCell ref="G32:G37"/>
    <mergeCell ref="H32:H37"/>
    <mergeCell ref="I32:I37"/>
    <mergeCell ref="J32:J37"/>
    <mergeCell ref="K32:K37"/>
    <mergeCell ref="L32:L37"/>
    <mergeCell ref="M32:M37"/>
    <mergeCell ref="N32:N37"/>
    <mergeCell ref="M38:M43"/>
    <mergeCell ref="N38:N43"/>
    <mergeCell ref="M44:M49"/>
    <mergeCell ref="N44:N49"/>
    <mergeCell ref="F44:F49"/>
    <mergeCell ref="D38:D43"/>
    <mergeCell ref="E38:E43"/>
    <mergeCell ref="J44:J49"/>
    <mergeCell ref="K44:K49"/>
    <mergeCell ref="L44:L49"/>
    <mergeCell ref="F38:F43"/>
    <mergeCell ref="G38:G43"/>
    <mergeCell ref="H38:H43"/>
    <mergeCell ref="I38:I43"/>
    <mergeCell ref="J38:J43"/>
    <mergeCell ref="G44:G49"/>
    <mergeCell ref="H44:H49"/>
    <mergeCell ref="I44:I49"/>
    <mergeCell ref="K38:K43"/>
    <mergeCell ref="L38:L43"/>
    <mergeCell ref="A38:A43"/>
    <mergeCell ref="B38:B43"/>
    <mergeCell ref="C38:C43"/>
    <mergeCell ref="A44:A49"/>
    <mergeCell ref="B44:B49"/>
    <mergeCell ref="C44:C49"/>
    <mergeCell ref="D44:D49"/>
    <mergeCell ref="E44:E49"/>
    <mergeCell ref="A56:A61"/>
    <mergeCell ref="B56:B61"/>
    <mergeCell ref="C56:C61"/>
    <mergeCell ref="D56:D61"/>
    <mergeCell ref="E56:E61"/>
    <mergeCell ref="A50:A55"/>
    <mergeCell ref="B50:B55"/>
    <mergeCell ref="C50:C55"/>
    <mergeCell ref="D50:D55"/>
    <mergeCell ref="E50:E55"/>
    <mergeCell ref="M50:M55"/>
    <mergeCell ref="N50:N55"/>
    <mergeCell ref="F56:F61"/>
    <mergeCell ref="G56:G61"/>
    <mergeCell ref="H56:H61"/>
    <mergeCell ref="I56:I61"/>
    <mergeCell ref="J56:J61"/>
    <mergeCell ref="F50:F55"/>
    <mergeCell ref="G50:G55"/>
    <mergeCell ref="H50:H55"/>
    <mergeCell ref="I50:I55"/>
    <mergeCell ref="K56:K61"/>
    <mergeCell ref="L56:L61"/>
    <mergeCell ref="M56:M61"/>
    <mergeCell ref="N56:N61"/>
    <mergeCell ref="J50:J55"/>
    <mergeCell ref="K50:K55"/>
    <mergeCell ref="L50:L55"/>
    <mergeCell ref="N68:N73"/>
    <mergeCell ref="J62:J67"/>
    <mergeCell ref="K62:K67"/>
    <mergeCell ref="L62:L67"/>
    <mergeCell ref="A62:A67"/>
    <mergeCell ref="B62:B67"/>
    <mergeCell ref="C62:C67"/>
    <mergeCell ref="D62:D67"/>
    <mergeCell ref="E62:E67"/>
    <mergeCell ref="F62:F67"/>
    <mergeCell ref="G62:G67"/>
    <mergeCell ref="H62:H67"/>
    <mergeCell ref="I62:I67"/>
    <mergeCell ref="C19:N19"/>
    <mergeCell ref="O19:Q19"/>
    <mergeCell ref="A16:AJ17"/>
    <mergeCell ref="A22:G22"/>
    <mergeCell ref="H22:N22"/>
    <mergeCell ref="O22:W22"/>
    <mergeCell ref="X22:AD22"/>
    <mergeCell ref="AE22:AJ22"/>
    <mergeCell ref="B74:AJ74"/>
    <mergeCell ref="M62:M67"/>
    <mergeCell ref="N62:N67"/>
    <mergeCell ref="A68:A73"/>
    <mergeCell ref="B68:B73"/>
    <mergeCell ref="C68:C73"/>
    <mergeCell ref="D68:D73"/>
    <mergeCell ref="E68:E73"/>
    <mergeCell ref="F68:F73"/>
    <mergeCell ref="G68:G73"/>
    <mergeCell ref="H68:H73"/>
    <mergeCell ref="I68:I73"/>
    <mergeCell ref="J68:J73"/>
    <mergeCell ref="K68:K73"/>
    <mergeCell ref="L68:L73"/>
    <mergeCell ref="M68:M73"/>
  </mergeCells>
  <conditionalFormatting sqref="H25 H28">
    <cfRule type="cellIs" dxfId="122" priority="322" operator="equal">
      <formula>"Baja"</formula>
    </cfRule>
    <cfRule type="cellIs" dxfId="121" priority="321" operator="equal">
      <formula>"Media"</formula>
    </cfRule>
    <cfRule type="cellIs" dxfId="120" priority="320" operator="equal">
      <formula>"Alta"</formula>
    </cfRule>
    <cfRule type="cellIs" dxfId="119" priority="323" operator="equal">
      <formula>"Muy Baja"</formula>
    </cfRule>
    <cfRule type="cellIs" dxfId="118" priority="319" operator="equal">
      <formula>"Muy Alta"</formula>
    </cfRule>
  </conditionalFormatting>
  <conditionalFormatting sqref="H30">
    <cfRule type="cellIs" dxfId="117" priority="223" operator="equal">
      <formula>"Media"</formula>
    </cfRule>
    <cfRule type="cellIs" dxfId="116" priority="224" operator="equal">
      <formula>"Baja"</formula>
    </cfRule>
    <cfRule type="cellIs" dxfId="115" priority="225" operator="equal">
      <formula>"Muy Baja"</formula>
    </cfRule>
    <cfRule type="cellIs" dxfId="114" priority="221" operator="equal">
      <formula>"Muy Alta"</formula>
    </cfRule>
    <cfRule type="cellIs" dxfId="113" priority="222" operator="equal">
      <formula>"Alta"</formula>
    </cfRule>
  </conditionalFormatting>
  <conditionalFormatting sqref="H32">
    <cfRule type="cellIs" dxfId="112" priority="193" operator="equal">
      <formula>"Muy Alta"</formula>
    </cfRule>
    <cfRule type="cellIs" dxfId="111" priority="194" operator="equal">
      <formula>"Alta"</formula>
    </cfRule>
    <cfRule type="cellIs" dxfId="110" priority="195" operator="equal">
      <formula>"Media"</formula>
    </cfRule>
    <cfRule type="cellIs" dxfId="109" priority="196" operator="equal">
      <formula>"Baja"</formula>
    </cfRule>
    <cfRule type="cellIs" dxfId="108" priority="197" operator="equal">
      <formula>"Muy Baja"</formula>
    </cfRule>
  </conditionalFormatting>
  <conditionalFormatting sqref="H38">
    <cfRule type="cellIs" dxfId="107" priority="165" operator="equal">
      <formula>"Muy Alta"</formula>
    </cfRule>
    <cfRule type="cellIs" dxfId="106" priority="167" operator="equal">
      <formula>"Media"</formula>
    </cfRule>
    <cfRule type="cellIs" dxfId="105" priority="166" operator="equal">
      <formula>"Alta"</formula>
    </cfRule>
    <cfRule type="cellIs" dxfId="104" priority="169" operator="equal">
      <formula>"Muy Baja"</formula>
    </cfRule>
    <cfRule type="cellIs" dxfId="103" priority="168" operator="equal">
      <formula>"Baja"</formula>
    </cfRule>
  </conditionalFormatting>
  <conditionalFormatting sqref="H44">
    <cfRule type="cellIs" dxfId="102" priority="140" operator="equal">
      <formula>"Baja"</formula>
    </cfRule>
    <cfRule type="cellIs" dxfId="101" priority="141" operator="equal">
      <formula>"Muy Baja"</formula>
    </cfRule>
    <cfRule type="cellIs" dxfId="100" priority="139" operator="equal">
      <formula>"Media"</formula>
    </cfRule>
    <cfRule type="cellIs" dxfId="99" priority="138" operator="equal">
      <formula>"Alta"</formula>
    </cfRule>
    <cfRule type="cellIs" dxfId="98" priority="137" operator="equal">
      <formula>"Muy Alta"</formula>
    </cfRule>
  </conditionalFormatting>
  <conditionalFormatting sqref="H50">
    <cfRule type="cellIs" dxfId="97" priority="109" operator="equal">
      <formula>"Muy Alta"</formula>
    </cfRule>
    <cfRule type="cellIs" dxfId="96" priority="110" operator="equal">
      <formula>"Alta"</formula>
    </cfRule>
    <cfRule type="cellIs" dxfId="95" priority="111" operator="equal">
      <formula>"Media"</formula>
    </cfRule>
    <cfRule type="cellIs" dxfId="94" priority="112" operator="equal">
      <formula>"Baja"</formula>
    </cfRule>
    <cfRule type="cellIs" dxfId="93" priority="113" operator="equal">
      <formula>"Muy Baja"</formula>
    </cfRule>
  </conditionalFormatting>
  <conditionalFormatting sqref="H56">
    <cfRule type="cellIs" dxfId="92" priority="81" operator="equal">
      <formula>"Muy Alta"</formula>
    </cfRule>
    <cfRule type="cellIs" dxfId="91" priority="82" operator="equal">
      <formula>"Alta"</formula>
    </cfRule>
    <cfRule type="cellIs" dxfId="90" priority="84" operator="equal">
      <formula>"Baja"</formula>
    </cfRule>
    <cfRule type="cellIs" dxfId="89" priority="85" operator="equal">
      <formula>"Muy Baja"</formula>
    </cfRule>
    <cfRule type="cellIs" dxfId="88" priority="83" operator="equal">
      <formula>"Media"</formula>
    </cfRule>
  </conditionalFormatting>
  <conditionalFormatting sqref="H62">
    <cfRule type="cellIs" dxfId="87" priority="54" operator="equal">
      <formula>"Alta"</formula>
    </cfRule>
    <cfRule type="cellIs" dxfId="86" priority="55" operator="equal">
      <formula>"Media"</formula>
    </cfRule>
    <cfRule type="cellIs" dxfId="85" priority="56" operator="equal">
      <formula>"Baja"</formula>
    </cfRule>
    <cfRule type="cellIs" dxfId="84" priority="57" operator="equal">
      <formula>"Muy Baja"</formula>
    </cfRule>
    <cfRule type="cellIs" dxfId="83" priority="53" operator="equal">
      <formula>"Muy Alta"</formula>
    </cfRule>
  </conditionalFormatting>
  <conditionalFormatting sqref="H68">
    <cfRule type="cellIs" dxfId="82" priority="29" operator="equal">
      <formula>"Muy Baja"</formula>
    </cfRule>
    <cfRule type="cellIs" dxfId="81" priority="27" operator="equal">
      <formula>"Media"</formula>
    </cfRule>
    <cfRule type="cellIs" dxfId="80" priority="26" operator="equal">
      <formula>"Alta"</formula>
    </cfRule>
    <cfRule type="cellIs" dxfId="79" priority="25" operator="equal">
      <formula>"Muy Alta"</formula>
    </cfRule>
    <cfRule type="cellIs" dxfId="78" priority="28" operator="equal">
      <formula>"Baja"</formula>
    </cfRule>
  </conditionalFormatting>
  <conditionalFormatting sqref="K25:K73">
    <cfRule type="containsText" dxfId="77" priority="1" operator="containsText" text="❌">
      <formula>NOT(ISERROR(SEARCH("❌",K25)))</formula>
    </cfRule>
  </conditionalFormatting>
  <conditionalFormatting sqref="L25 L28 L30 L32 L38 L44 L50 L56 L62 L68">
    <cfRule type="cellIs" dxfId="76" priority="314" operator="equal">
      <formula>"Catastrófico"</formula>
    </cfRule>
    <cfRule type="cellIs" dxfId="75" priority="316" operator="equal">
      <formula>"Moderado"</formula>
    </cfRule>
    <cfRule type="cellIs" dxfId="74" priority="315" operator="equal">
      <formula>"Mayor"</formula>
    </cfRule>
    <cfRule type="cellIs" dxfId="73" priority="317" operator="equal">
      <formula>"Menor"</formula>
    </cfRule>
    <cfRule type="cellIs" dxfId="72" priority="318" operator="equal">
      <formula>"Leve"</formula>
    </cfRule>
  </conditionalFormatting>
  <conditionalFormatting sqref="N25">
    <cfRule type="cellIs" dxfId="71" priority="312" operator="equal">
      <formula>"Moderado"</formula>
    </cfRule>
    <cfRule type="cellIs" dxfId="70" priority="311" operator="equal">
      <formula>"Alto"</formula>
    </cfRule>
    <cfRule type="cellIs" dxfId="69" priority="310" operator="equal">
      <formula>"Extremo"</formula>
    </cfRule>
    <cfRule type="cellIs" dxfId="68" priority="313" operator="equal">
      <formula>"Bajo"</formula>
    </cfRule>
  </conditionalFormatting>
  <conditionalFormatting sqref="N28">
    <cfRule type="cellIs" dxfId="67" priority="243" operator="equal">
      <formula>"Bajo"</formula>
    </cfRule>
    <cfRule type="cellIs" dxfId="66" priority="240" operator="equal">
      <formula>"Extremo"</formula>
    </cfRule>
    <cfRule type="cellIs" dxfId="65" priority="242" operator="equal">
      <formula>"Moderado"</formula>
    </cfRule>
    <cfRule type="cellIs" dxfId="64" priority="241" operator="equal">
      <formula>"Alto"</formula>
    </cfRule>
  </conditionalFormatting>
  <conditionalFormatting sqref="N30">
    <cfRule type="cellIs" dxfId="63" priority="215" operator="equal">
      <formula>"Bajo"</formula>
    </cfRule>
    <cfRule type="cellIs" dxfId="62" priority="214" operator="equal">
      <formula>"Moderado"</formula>
    </cfRule>
    <cfRule type="cellIs" dxfId="61" priority="212" operator="equal">
      <formula>"Extremo"</formula>
    </cfRule>
    <cfRule type="cellIs" dxfId="60" priority="213" operator="equal">
      <formula>"Alto"</formula>
    </cfRule>
  </conditionalFormatting>
  <conditionalFormatting sqref="N32">
    <cfRule type="cellIs" dxfId="59" priority="187" operator="equal">
      <formula>"Bajo"</formula>
    </cfRule>
    <cfRule type="cellIs" dxfId="58" priority="184" operator="equal">
      <formula>"Extremo"</formula>
    </cfRule>
    <cfRule type="cellIs" dxfId="57" priority="185" operator="equal">
      <formula>"Alto"</formula>
    </cfRule>
    <cfRule type="cellIs" dxfId="56" priority="186" operator="equal">
      <formula>"Moderado"</formula>
    </cfRule>
  </conditionalFormatting>
  <conditionalFormatting sqref="N38">
    <cfRule type="cellIs" dxfId="55" priority="156" operator="equal">
      <formula>"Extremo"</formula>
    </cfRule>
    <cfRule type="cellIs" dxfId="54" priority="157" operator="equal">
      <formula>"Alto"</formula>
    </cfRule>
    <cfRule type="cellIs" dxfId="53" priority="158" operator="equal">
      <formula>"Moderado"</formula>
    </cfRule>
    <cfRule type="cellIs" dxfId="52" priority="159" operator="equal">
      <formula>"Bajo"</formula>
    </cfRule>
  </conditionalFormatting>
  <conditionalFormatting sqref="N44">
    <cfRule type="cellIs" dxfId="51" priority="131" operator="equal">
      <formula>"Bajo"</formula>
    </cfRule>
    <cfRule type="cellIs" dxfId="50" priority="128" operator="equal">
      <formula>"Extremo"</formula>
    </cfRule>
    <cfRule type="cellIs" dxfId="49" priority="129" operator="equal">
      <formula>"Alto"</formula>
    </cfRule>
    <cfRule type="cellIs" dxfId="48" priority="130" operator="equal">
      <formula>"Moderado"</formula>
    </cfRule>
  </conditionalFormatting>
  <conditionalFormatting sqref="N50">
    <cfRule type="cellIs" dxfId="47" priority="103" operator="equal">
      <formula>"Bajo"</formula>
    </cfRule>
    <cfRule type="cellIs" dxfId="46" priority="101" operator="equal">
      <formula>"Alto"</formula>
    </cfRule>
    <cfRule type="cellIs" dxfId="45" priority="100" operator="equal">
      <formula>"Extremo"</formula>
    </cfRule>
    <cfRule type="cellIs" dxfId="44" priority="102" operator="equal">
      <formula>"Moderado"</formula>
    </cfRule>
  </conditionalFormatting>
  <conditionalFormatting sqref="N56">
    <cfRule type="cellIs" dxfId="43" priority="73" operator="equal">
      <formula>"Alto"</formula>
    </cfRule>
    <cfRule type="cellIs" dxfId="42" priority="75" operator="equal">
      <formula>"Bajo"</formula>
    </cfRule>
    <cfRule type="cellIs" dxfId="41" priority="74" operator="equal">
      <formula>"Moderado"</formula>
    </cfRule>
    <cfRule type="cellIs" dxfId="40" priority="72" operator="equal">
      <formula>"Extremo"</formula>
    </cfRule>
  </conditionalFormatting>
  <conditionalFormatting sqref="N62">
    <cfRule type="cellIs" dxfId="39" priority="45" operator="equal">
      <formula>"Alto"</formula>
    </cfRule>
    <cfRule type="cellIs" dxfId="38" priority="46" operator="equal">
      <formula>"Moderado"</formula>
    </cfRule>
    <cfRule type="cellIs" dxfId="37" priority="47" operator="equal">
      <formula>"Bajo"</formula>
    </cfRule>
    <cfRule type="cellIs" dxfId="36" priority="44" operator="equal">
      <formula>"Extremo"</formula>
    </cfRule>
  </conditionalFormatting>
  <conditionalFormatting sqref="N68">
    <cfRule type="cellIs" dxfId="35" priority="16" operator="equal">
      <formula>"Extremo"</formula>
    </cfRule>
    <cfRule type="cellIs" dxfId="34" priority="19" operator="equal">
      <formula>"Bajo"</formula>
    </cfRule>
    <cfRule type="cellIs" dxfId="33" priority="18" operator="equal">
      <formula>"Moderado"</formula>
    </cfRule>
    <cfRule type="cellIs" dxfId="32" priority="17" operator="equal">
      <formula>"Alto"</formula>
    </cfRule>
  </conditionalFormatting>
  <conditionalFormatting sqref="Y25">
    <cfRule type="cellIs" dxfId="31" priority="306" operator="equal">
      <formula>"Alta"</formula>
    </cfRule>
    <cfRule type="cellIs" dxfId="30" priority="307" operator="equal">
      <formula>"Media"</formula>
    </cfRule>
    <cfRule type="cellIs" dxfId="29" priority="308" operator="equal">
      <formula>"Baja"</formula>
    </cfRule>
    <cfRule type="cellIs" dxfId="28" priority="305" operator="equal">
      <formula>"Muy Alta"</formula>
    </cfRule>
    <cfRule type="cellIs" dxfId="27" priority="309" operator="equal">
      <formula>"Muy Baja"</formula>
    </cfRule>
  </conditionalFormatting>
  <conditionalFormatting sqref="Y28:Y73">
    <cfRule type="cellIs" dxfId="26" priority="15" operator="equal">
      <formula>"Muy Baja"</formula>
    </cfRule>
    <cfRule type="cellIs" dxfId="25" priority="14" operator="equal">
      <formula>"Baja"</formula>
    </cfRule>
    <cfRule type="cellIs" dxfId="24" priority="13" operator="equal">
      <formula>"Media"</formula>
    </cfRule>
    <cfRule type="cellIs" dxfId="23" priority="11" operator="equal">
      <formula>"Muy Alta"</formula>
    </cfRule>
    <cfRule type="cellIs" dxfId="22" priority="12" operator="equal">
      <formula>"Alta"</formula>
    </cfRule>
  </conditionalFormatting>
  <conditionalFormatting sqref="AA25">
    <cfRule type="cellIs" dxfId="21" priority="301" operator="equal">
      <formula>"Mayor"</formula>
    </cfRule>
    <cfRule type="cellIs" dxfId="20" priority="302" operator="equal">
      <formula>"Moderado"</formula>
    </cfRule>
    <cfRule type="cellIs" dxfId="19" priority="303" operator="equal">
      <formula>"Menor"</formula>
    </cfRule>
    <cfRule type="cellIs" dxfId="18" priority="304" operator="equal">
      <formula>"Leve"</formula>
    </cfRule>
    <cfRule type="cellIs" dxfId="17" priority="300" operator="equal">
      <formula>"Catastrófico"</formula>
    </cfRule>
  </conditionalFormatting>
  <conditionalFormatting sqref="AA28:AA73">
    <cfRule type="cellIs" dxfId="16" priority="7" operator="equal">
      <formula>"Mayor"</formula>
    </cfRule>
    <cfRule type="cellIs" dxfId="15" priority="6" operator="equal">
      <formula>"Catastrófico"</formula>
    </cfRule>
    <cfRule type="cellIs" dxfId="14" priority="10" operator="equal">
      <formula>"Leve"</formula>
    </cfRule>
    <cfRule type="cellIs" dxfId="13" priority="9" operator="equal">
      <formula>"Menor"</formula>
    </cfRule>
    <cfRule type="cellIs" dxfId="12" priority="8" operator="equal">
      <formula>"Moderado"</formula>
    </cfRule>
  </conditionalFormatting>
  <conditionalFormatting sqref="AC25">
    <cfRule type="cellIs" dxfId="11" priority="296" operator="equal">
      <formula>"Extremo"</formula>
    </cfRule>
    <cfRule type="cellIs" dxfId="10" priority="297" operator="equal">
      <formula>"Alto"</formula>
    </cfRule>
    <cfRule type="cellIs" dxfId="9" priority="298" operator="equal">
      <formula>"Moderado"</formula>
    </cfRule>
    <cfRule type="cellIs" dxfId="8" priority="299" operator="equal">
      <formula>"Bajo"</formula>
    </cfRule>
  </conditionalFormatting>
  <conditionalFormatting sqref="AC28:AC73">
    <cfRule type="cellIs" dxfId="7" priority="2" operator="equal">
      <formula>"Extremo"</formula>
    </cfRule>
    <cfRule type="cellIs" dxfId="6" priority="5" operator="equal">
      <formula>"Bajo"</formula>
    </cfRule>
    <cfRule type="cellIs" dxfId="5" priority="4" operator="equal">
      <formula>"Moderado"</formula>
    </cfRule>
    <cfRule type="cellIs" dxfId="4" priority="3" operator="equal">
      <formula>"Alto"</formula>
    </cfRule>
  </conditionalFormatting>
  <pageMargins left="0.7" right="0.7" top="0.75" bottom="0.75" header="0.3" footer="0.3"/>
  <pageSetup orientation="portrait" r:id="rId1"/>
  <ignoredErrors>
    <ignoredError sqref="AB29:AB31"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00000000}">
          <x14:formula1>
            <xm:f>'Opciones Tratamiento'!$B$9:$B$10</xm:f>
          </x14:formula1>
          <xm:sqref>AJ25:AJ26 AJ28:AJ33 AJ35:AJ36 AJ38:AJ39 AJ41:AJ42 AJ44:AJ45 AJ47:AJ48 AJ50:AJ51 AJ53:AJ54 AJ56:AJ57 AJ59:AJ60 AJ62:AJ63 AJ65:AJ66 AJ68:AJ69 AJ71:AJ72</xm:sqref>
        </x14:dataValidation>
        <x14:dataValidation type="list" allowBlank="1" showInputMessage="1" showErrorMessage="1" xr:uid="{00000000-0002-0000-0200-000001000000}">
          <x14:formula1>
            <xm:f>'Tabla Valoración controles'!$D$4:$D$6</xm:f>
          </x14:formula1>
          <xm:sqref>R25 R28:R73</xm:sqref>
        </x14:dataValidation>
        <x14:dataValidation type="list" allowBlank="1" showInputMessage="1" showErrorMessage="1" xr:uid="{00000000-0002-0000-0200-000002000000}">
          <x14:formula1>
            <xm:f>'Tabla Valoración controles'!$D$7:$D$8</xm:f>
          </x14:formula1>
          <xm:sqref>S25 S28:S73</xm:sqref>
        </x14:dataValidation>
        <x14:dataValidation type="list" allowBlank="1" showInputMessage="1" showErrorMessage="1" xr:uid="{00000000-0002-0000-0200-000003000000}">
          <x14:formula1>
            <xm:f>'Tabla Valoración controles'!$D$9:$D$10</xm:f>
          </x14:formula1>
          <xm:sqref>U25 U28:U73</xm:sqref>
        </x14:dataValidation>
        <x14:dataValidation type="list" allowBlank="1" showInputMessage="1" showErrorMessage="1" xr:uid="{00000000-0002-0000-0200-000004000000}">
          <x14:formula1>
            <xm:f>'Tabla Valoración controles'!$D$11:$D$12</xm:f>
          </x14:formula1>
          <xm:sqref>V25 V28:V73</xm:sqref>
        </x14:dataValidation>
        <x14:dataValidation type="list" allowBlank="1" showInputMessage="1" showErrorMessage="1" xr:uid="{00000000-0002-0000-0200-000005000000}">
          <x14:formula1>
            <xm:f>'Tabla Valoración controles'!$D$13:$D$14</xm:f>
          </x14:formula1>
          <xm:sqref>W25 W28:W73</xm:sqref>
        </x14:dataValidation>
        <x14:dataValidation type="list" allowBlank="1" showInputMessage="1" showErrorMessage="1" xr:uid="{00000000-0002-0000-0200-000006000000}">
          <x14:formula1>
            <xm:f>'Opciones Tratamiento'!$B$2:$B$5</xm:f>
          </x14:formula1>
          <xm:sqref>AD25 AD28 AD30 AD32:AD73</xm:sqref>
        </x14:dataValidation>
        <x14:dataValidation type="custom" allowBlank="1" showInputMessage="1" showErrorMessage="1" error="Recuerde que las acciones se generan bajo la medida de mitigar el riesgo" xr:uid="{00000000-0002-0000-0200-000007000000}">
          <x14:formula1>
            <xm:f>IF(OR(AD25='Opciones Tratamiento'!$B$2,AD25='Opciones Tratamiento'!$B$3,AD25='Opciones Tratamiento'!$B$4),ISBLANK(AD25),ISTEXT(AD25))</xm:f>
          </x14:formula1>
          <xm:sqref>AE25:AE28 AE30 AE32:AE73</xm:sqref>
        </x14:dataValidation>
        <x14:dataValidation type="list" allowBlank="1" showInputMessage="1" showErrorMessage="1" xr:uid="{00000000-0002-0000-0200-000008000000}">
          <x14:formula1>
            <xm:f>'Opciones Tratamiento'!$B$13:$B$19</xm:f>
          </x14:formula1>
          <xm:sqref>F25:F73</xm:sqref>
        </x14:dataValidation>
        <x14:dataValidation type="list" allowBlank="1" showInputMessage="1" showErrorMessage="1" xr:uid="{00000000-0002-0000-0200-000009000000}">
          <x14:formula1>
            <xm:f>'Opciones Tratamiento'!$E$2:$E$4</xm:f>
          </x14:formula1>
          <xm:sqref>B25:B73</xm:sqref>
        </x14:dataValidation>
        <x14:dataValidation type="list" allowBlank="1" showInputMessage="1" showErrorMessage="1" xr:uid="{00000000-0002-0000-0200-00000A000000}">
          <x14:formula1>
            <xm:f>'Tabla Impacto'!$F$210:$F$221</xm:f>
          </x14:formula1>
          <xm:sqref>J25:J73</xm:sqref>
        </x14:dataValidation>
        <x14:dataValidation type="custom" allowBlank="1" showInputMessage="1" showErrorMessage="1" error="Recuerde que las acciones se generan bajo la medida de mitigar el riesgo" xr:uid="{00000000-0002-0000-0200-00000B000000}">
          <x14:formula1>
            <xm:f>IF(OR(AD25='Opciones Tratamiento'!$B$2,AD25='Opciones Tratamiento'!$B$3,AD25='Opciones Tratamiento'!$B$4),ISBLANK(AD25),ISTEXT(AD25))</xm:f>
          </x14:formula1>
          <xm:sqref>AF25:AF73</xm:sqref>
        </x14:dataValidation>
        <x14:dataValidation type="custom" allowBlank="1" showInputMessage="1" showErrorMessage="1" error="Recuerde que las acciones se generan bajo la medida de mitigar el riesgo" xr:uid="{00000000-0002-0000-0200-00000C000000}">
          <x14:formula1>
            <xm:f>IF(OR(AD25='Opciones Tratamiento'!$B$2,AD25='Opciones Tratamiento'!$B$3,AD25='Opciones Tratamiento'!$B$4),ISBLANK(AD25),ISTEXT(AD25))</xm:f>
          </x14:formula1>
          <xm:sqref>AG25:AG73</xm:sqref>
        </x14:dataValidation>
        <x14:dataValidation type="custom" allowBlank="1" showInputMessage="1" showErrorMessage="1" error="Recuerde que las acciones se generan bajo la medida de mitigar el riesgo" xr:uid="{00000000-0002-0000-0200-00000D000000}">
          <x14:formula1>
            <xm:f>IF(OR(AD25='Opciones Tratamiento'!$B$2,AD25='Opciones Tratamiento'!$B$3,AD25='Opciones Tratamiento'!$B$4),ISBLANK(AD25),ISTEXT(AD25))</xm:f>
          </x14:formula1>
          <xm:sqref>AH25:AH73</xm:sqref>
        </x14:dataValidation>
        <x14:dataValidation type="custom" allowBlank="1" showInputMessage="1" showErrorMessage="1" error="Recuerde que las acciones se generan bajo la medida de mitigar el riesgo" xr:uid="{00000000-0002-0000-0200-00000E000000}">
          <x14:formula1>
            <xm:f>IF(OR(AD25='Opciones Tratamiento'!$B$2,AD25='Opciones Tratamiento'!$B$3,AD25='Opciones Tratamiento'!$B$4),ISBLANK(AD25),ISTEXT(AD25))</xm:f>
          </x14:formula1>
          <xm:sqref>AI25:AI73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50" zoomScaleNormal="50" workbookViewId="0">
      <selection activeCell="L12" sqref="L12:M13"/>
    </sheetView>
  </sheetViews>
  <sheetFormatPr baseColWidth="10" defaultColWidth="11.42578125" defaultRowHeight="15" x14ac:dyDescent="0.25"/>
  <cols>
    <col min="2" max="39" width="5.7109375" customWidth="1"/>
    <col min="41" max="46" width="5.7109375" customWidth="1"/>
  </cols>
  <sheetData>
    <row r="1" spans="1:99"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row>
    <row r="2" spans="1:99" ht="18" customHeight="1" x14ac:dyDescent="0.25">
      <c r="A2" s="81"/>
      <c r="B2" s="409" t="s">
        <v>90</v>
      </c>
      <c r="C2" s="409"/>
      <c r="D2" s="409"/>
      <c r="E2" s="409"/>
      <c r="F2" s="409"/>
      <c r="G2" s="409"/>
      <c r="H2" s="409"/>
      <c r="I2" s="409"/>
      <c r="J2" s="377" t="s">
        <v>13</v>
      </c>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row>
    <row r="3" spans="1:99" ht="18.75" customHeight="1" x14ac:dyDescent="0.25">
      <c r="A3" s="81"/>
      <c r="B3" s="409"/>
      <c r="C3" s="409"/>
      <c r="D3" s="409"/>
      <c r="E3" s="409"/>
      <c r="F3" s="409"/>
      <c r="G3" s="409"/>
      <c r="H3" s="409"/>
      <c r="I3" s="409"/>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row>
    <row r="4" spans="1:99" ht="15" customHeight="1" x14ac:dyDescent="0.25">
      <c r="A4" s="81"/>
      <c r="B4" s="409"/>
      <c r="C4" s="409"/>
      <c r="D4" s="409"/>
      <c r="E4" s="409"/>
      <c r="F4" s="409"/>
      <c r="G4" s="409"/>
      <c r="H4" s="409"/>
      <c r="I4" s="409"/>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row>
    <row r="5" spans="1:99"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row>
    <row r="6" spans="1:99" ht="15" customHeight="1" x14ac:dyDescent="0.25">
      <c r="A6" s="81"/>
      <c r="B6" s="324" t="s">
        <v>91</v>
      </c>
      <c r="C6" s="324"/>
      <c r="D6" s="325"/>
      <c r="E6" s="362" t="s">
        <v>92</v>
      </c>
      <c r="F6" s="363"/>
      <c r="G6" s="363"/>
      <c r="H6" s="363"/>
      <c r="I6" s="364"/>
      <c r="J6" s="373" t="str">
        <f>IF(AND('Mapa final'!$H$25="Muy Alta",'Mapa final'!$L$25="Leve"),CONCATENATE("R",'Mapa final'!$A$25),"")</f>
        <v/>
      </c>
      <c r="K6" s="374"/>
      <c r="L6" s="374" t="str">
        <f>IF(AND('Mapa final'!$H$28="Muy Alta",'Mapa final'!$L$28="Leve"),CONCATENATE("R",'Mapa final'!$A$28),"")</f>
        <v/>
      </c>
      <c r="M6" s="374"/>
      <c r="N6" s="374" t="str">
        <f>IF(AND('Mapa final'!$H$30="Muy Alta",'Mapa final'!$L$30="Leve"),CONCATENATE("R",'Mapa final'!$A$30),"")</f>
        <v/>
      </c>
      <c r="O6" s="376"/>
      <c r="P6" s="373" t="str">
        <f>IF(AND('Mapa final'!$H$25="Muy Alta",'Mapa final'!$L$25="Menor"),CONCATENATE("R",'Mapa final'!$A$25),"")</f>
        <v/>
      </c>
      <c r="Q6" s="374"/>
      <c r="R6" s="374" t="str">
        <f>IF(AND('Mapa final'!$H$28="Muy Alta",'Mapa final'!$L$28="Menor"),CONCATENATE("R",'Mapa final'!$A$28),"")</f>
        <v/>
      </c>
      <c r="S6" s="374"/>
      <c r="T6" s="374" t="str">
        <f>IF(AND('Mapa final'!$H$30="Muy Alta",'Mapa final'!$L$30="Menor"),CONCATENATE("R",'Mapa final'!$A$30),"")</f>
        <v/>
      </c>
      <c r="U6" s="376"/>
      <c r="V6" s="373" t="str">
        <f>IF(AND('Mapa final'!$H$25="Muy Alta",'Mapa final'!$L$25="Moderado"),CONCATENATE("R",'Mapa final'!$A$25),"")</f>
        <v/>
      </c>
      <c r="W6" s="374"/>
      <c r="X6" s="374" t="str">
        <f>IF(AND('Mapa final'!$H$28="Muy Alta",'Mapa final'!$L$28="Moderado"),CONCATENATE("R",'Mapa final'!$A$28),"")</f>
        <v/>
      </c>
      <c r="Y6" s="374"/>
      <c r="Z6" s="374" t="str">
        <f>IF(AND('Mapa final'!$H$30="Muy Alta",'Mapa final'!$L$30="Moderado"),CONCATENATE("R",'Mapa final'!$A$30),"")</f>
        <v/>
      </c>
      <c r="AA6" s="376"/>
      <c r="AB6" s="373" t="str">
        <f>IF(AND('Mapa final'!$H$25="Muy Alta",'Mapa final'!$L$25="Mayor"),CONCATENATE("R",'Mapa final'!$A$25),"")</f>
        <v/>
      </c>
      <c r="AC6" s="374"/>
      <c r="AD6" s="374" t="str">
        <f>IF(AND('Mapa final'!$H$28="Muy Alta",'Mapa final'!$L$28="Mayor"),CONCATENATE("R",'Mapa final'!$A$28),"")</f>
        <v/>
      </c>
      <c r="AE6" s="374"/>
      <c r="AF6" s="374" t="str">
        <f>IF(AND('Mapa final'!$H$30="Muy Alta",'Mapa final'!$L$30="Mayor"),CONCATENATE("R",'Mapa final'!$A$30),"")</f>
        <v/>
      </c>
      <c r="AG6" s="376"/>
      <c r="AH6" s="388" t="str">
        <f>IF(AND('Mapa final'!$H$25="Muy Alta",'Mapa final'!$L$25="Catastrófico"),CONCATENATE("R",'Mapa final'!$A$25),"")</f>
        <v/>
      </c>
      <c r="AI6" s="389"/>
      <c r="AJ6" s="389" t="str">
        <f>IF(AND('Mapa final'!$H$28="Muy Alta",'Mapa final'!$L$28="Catastrófico"),CONCATENATE("R",'Mapa final'!$A$28),"")</f>
        <v/>
      </c>
      <c r="AK6" s="389"/>
      <c r="AL6" s="389" t="str">
        <f>IF(AND('Mapa final'!$H$30="Muy Alta",'Mapa final'!$L$30="Catastrófico"),CONCATENATE("R",'Mapa final'!$A$30),"")</f>
        <v/>
      </c>
      <c r="AM6" s="390"/>
      <c r="AO6" s="326" t="s">
        <v>93</v>
      </c>
      <c r="AP6" s="327"/>
      <c r="AQ6" s="327"/>
      <c r="AR6" s="327"/>
      <c r="AS6" s="327"/>
      <c r="AT6" s="328"/>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row>
    <row r="7" spans="1:99" ht="15" customHeight="1" x14ac:dyDescent="0.25">
      <c r="A7" s="81"/>
      <c r="B7" s="324"/>
      <c r="C7" s="324"/>
      <c r="D7" s="325"/>
      <c r="E7" s="365"/>
      <c r="F7" s="366"/>
      <c r="G7" s="366"/>
      <c r="H7" s="366"/>
      <c r="I7" s="367"/>
      <c r="J7" s="375"/>
      <c r="K7" s="371"/>
      <c r="L7" s="371"/>
      <c r="M7" s="371"/>
      <c r="N7" s="371"/>
      <c r="O7" s="372"/>
      <c r="P7" s="375"/>
      <c r="Q7" s="371"/>
      <c r="R7" s="371"/>
      <c r="S7" s="371"/>
      <c r="T7" s="371"/>
      <c r="U7" s="372"/>
      <c r="V7" s="375"/>
      <c r="W7" s="371"/>
      <c r="X7" s="371"/>
      <c r="Y7" s="371"/>
      <c r="Z7" s="371"/>
      <c r="AA7" s="372"/>
      <c r="AB7" s="375"/>
      <c r="AC7" s="371"/>
      <c r="AD7" s="371"/>
      <c r="AE7" s="371"/>
      <c r="AF7" s="371"/>
      <c r="AG7" s="372"/>
      <c r="AH7" s="382"/>
      <c r="AI7" s="383"/>
      <c r="AJ7" s="383"/>
      <c r="AK7" s="383"/>
      <c r="AL7" s="383"/>
      <c r="AM7" s="384"/>
      <c r="AN7" s="81"/>
      <c r="AO7" s="329"/>
      <c r="AP7" s="330"/>
      <c r="AQ7" s="330"/>
      <c r="AR7" s="330"/>
      <c r="AS7" s="330"/>
      <c r="AT7" s="33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row>
    <row r="8" spans="1:99" ht="15" customHeight="1" x14ac:dyDescent="0.25">
      <c r="A8" s="81"/>
      <c r="B8" s="324"/>
      <c r="C8" s="324"/>
      <c r="D8" s="325"/>
      <c r="E8" s="365"/>
      <c r="F8" s="366"/>
      <c r="G8" s="366"/>
      <c r="H8" s="366"/>
      <c r="I8" s="367"/>
      <c r="J8" s="375" t="str">
        <f>IF(AND('Mapa final'!$H$32="Muy Alta",'Mapa final'!$L$32="Leve"),CONCATENATE("R",'Mapa final'!$A$32),"")</f>
        <v/>
      </c>
      <c r="K8" s="371"/>
      <c r="L8" s="371" t="str">
        <f>IF(AND('Mapa final'!$H$38="Muy Alta",'Mapa final'!$L$38="Leve"),CONCATENATE("R",'Mapa final'!$A$38),"")</f>
        <v/>
      </c>
      <c r="M8" s="371"/>
      <c r="N8" s="371" t="str">
        <f>IF(AND('Mapa final'!$H$44="Muy Alta",'Mapa final'!$L$44="Leve"),CONCATENATE("R",'Mapa final'!$A$44),"")</f>
        <v/>
      </c>
      <c r="O8" s="372"/>
      <c r="P8" s="375" t="str">
        <f>IF(AND('Mapa final'!$H$32="Muy Alta",'Mapa final'!$L$32="Menor"),CONCATENATE("R",'Mapa final'!$A$32),"")</f>
        <v/>
      </c>
      <c r="Q8" s="371"/>
      <c r="R8" s="371" t="str">
        <f>IF(AND('Mapa final'!$H$38="Muy Alta",'Mapa final'!$L$38="Menor"),CONCATENATE("R",'Mapa final'!$A$38),"")</f>
        <v/>
      </c>
      <c r="S8" s="371"/>
      <c r="T8" s="371" t="str">
        <f>IF(AND('Mapa final'!$H$44="Muy Alta",'Mapa final'!$L$44="Menor"),CONCATENATE("R",'Mapa final'!$A$44),"")</f>
        <v/>
      </c>
      <c r="U8" s="372"/>
      <c r="V8" s="375" t="str">
        <f>IF(AND('Mapa final'!$H$32="Muy Alta",'Mapa final'!$L$32="Moderado"),CONCATENATE("R",'Mapa final'!$A$32),"")</f>
        <v/>
      </c>
      <c r="W8" s="371"/>
      <c r="X8" s="371" t="str">
        <f>IF(AND('Mapa final'!$H$38="Muy Alta",'Mapa final'!$L$38="Moderado"),CONCATENATE("R",'Mapa final'!$A$38),"")</f>
        <v/>
      </c>
      <c r="Y8" s="371"/>
      <c r="Z8" s="371" t="str">
        <f>IF(AND('Mapa final'!$H$44="Muy Alta",'Mapa final'!$L$44="Moderado"),CONCATENATE("R",'Mapa final'!$A$44),"")</f>
        <v/>
      </c>
      <c r="AA8" s="372"/>
      <c r="AB8" s="375" t="str">
        <f>IF(AND('Mapa final'!$H$32="Muy Alta",'Mapa final'!$L$32="Mayor"),CONCATENATE("R",'Mapa final'!$A$32),"")</f>
        <v/>
      </c>
      <c r="AC8" s="371"/>
      <c r="AD8" s="371" t="str">
        <f>IF(AND('Mapa final'!$H$38="Muy Alta",'Mapa final'!$L$38="Mayor"),CONCATENATE("R",'Mapa final'!$A$38),"")</f>
        <v/>
      </c>
      <c r="AE8" s="371"/>
      <c r="AF8" s="371" t="str">
        <f>IF(AND('Mapa final'!$H$44="Muy Alta",'Mapa final'!$L$44="Mayor"),CONCATENATE("R",'Mapa final'!$A$44),"")</f>
        <v/>
      </c>
      <c r="AG8" s="372"/>
      <c r="AH8" s="382" t="str">
        <f>IF(AND('Mapa final'!$H$32="Muy Alta",'Mapa final'!$L$32="Catastrófico"),CONCATENATE("R",'Mapa final'!$A$32),"")</f>
        <v/>
      </c>
      <c r="AI8" s="383"/>
      <c r="AJ8" s="383" t="str">
        <f>IF(AND('Mapa final'!$H$38="Muy Alta",'Mapa final'!$L$38="Catastrófico"),CONCATENATE("R",'Mapa final'!$A$38),"")</f>
        <v/>
      </c>
      <c r="AK8" s="383"/>
      <c r="AL8" s="383" t="str">
        <f>IF(AND('Mapa final'!$H$44="Muy Alta",'Mapa final'!$L$44="Catastrófico"),CONCATENATE("R",'Mapa final'!$A$44),"")</f>
        <v/>
      </c>
      <c r="AM8" s="384"/>
      <c r="AN8" s="81"/>
      <c r="AO8" s="329"/>
      <c r="AP8" s="330"/>
      <c r="AQ8" s="330"/>
      <c r="AR8" s="330"/>
      <c r="AS8" s="330"/>
      <c r="AT8" s="33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row>
    <row r="9" spans="1:99" ht="15" customHeight="1" x14ac:dyDescent="0.25">
      <c r="A9" s="81"/>
      <c r="B9" s="324"/>
      <c r="C9" s="324"/>
      <c r="D9" s="325"/>
      <c r="E9" s="365"/>
      <c r="F9" s="366"/>
      <c r="G9" s="366"/>
      <c r="H9" s="366"/>
      <c r="I9" s="367"/>
      <c r="J9" s="375"/>
      <c r="K9" s="371"/>
      <c r="L9" s="371"/>
      <c r="M9" s="371"/>
      <c r="N9" s="371"/>
      <c r="O9" s="372"/>
      <c r="P9" s="375"/>
      <c r="Q9" s="371"/>
      <c r="R9" s="371"/>
      <c r="S9" s="371"/>
      <c r="T9" s="371"/>
      <c r="U9" s="372"/>
      <c r="V9" s="375"/>
      <c r="W9" s="371"/>
      <c r="X9" s="371"/>
      <c r="Y9" s="371"/>
      <c r="Z9" s="371"/>
      <c r="AA9" s="372"/>
      <c r="AB9" s="375"/>
      <c r="AC9" s="371"/>
      <c r="AD9" s="371"/>
      <c r="AE9" s="371"/>
      <c r="AF9" s="371"/>
      <c r="AG9" s="372"/>
      <c r="AH9" s="382"/>
      <c r="AI9" s="383"/>
      <c r="AJ9" s="383"/>
      <c r="AK9" s="383"/>
      <c r="AL9" s="383"/>
      <c r="AM9" s="384"/>
      <c r="AN9" s="81"/>
      <c r="AO9" s="329"/>
      <c r="AP9" s="330"/>
      <c r="AQ9" s="330"/>
      <c r="AR9" s="330"/>
      <c r="AS9" s="330"/>
      <c r="AT9" s="33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row>
    <row r="10" spans="1:99" ht="15" customHeight="1" x14ac:dyDescent="0.25">
      <c r="A10" s="81"/>
      <c r="B10" s="324"/>
      <c r="C10" s="324"/>
      <c r="D10" s="325"/>
      <c r="E10" s="365"/>
      <c r="F10" s="366"/>
      <c r="G10" s="366"/>
      <c r="H10" s="366"/>
      <c r="I10" s="367"/>
      <c r="J10" s="375" t="str">
        <f>IF(AND('Mapa final'!$H$50="Muy Alta",'Mapa final'!$L$50="Leve"),CONCATENATE("R",'Mapa final'!$A$50),"")</f>
        <v/>
      </c>
      <c r="K10" s="371"/>
      <c r="L10" s="371" t="str">
        <f>IF(AND('Mapa final'!$H$56="Muy Alta",'Mapa final'!$L$56="Leve"),CONCATENATE("R",'Mapa final'!$A$56),"")</f>
        <v/>
      </c>
      <c r="M10" s="371"/>
      <c r="N10" s="371" t="str">
        <f>IF(AND('Mapa final'!$H$62="Muy Alta",'Mapa final'!$L$62="Leve"),CONCATENATE("R",'Mapa final'!$A$62),"")</f>
        <v/>
      </c>
      <c r="O10" s="372"/>
      <c r="P10" s="375" t="str">
        <f>IF(AND('Mapa final'!$H$50="Muy Alta",'Mapa final'!$L$50="Menor"),CONCATENATE("R",'Mapa final'!$A$50),"")</f>
        <v/>
      </c>
      <c r="Q10" s="371"/>
      <c r="R10" s="371" t="str">
        <f>IF(AND('Mapa final'!$H$56="Muy Alta",'Mapa final'!$L$56="Menor"),CONCATENATE("R",'Mapa final'!$A$56),"")</f>
        <v/>
      </c>
      <c r="S10" s="371"/>
      <c r="T10" s="371" t="str">
        <f>IF(AND('Mapa final'!$H$62="Muy Alta",'Mapa final'!$L$62="Menor"),CONCATENATE("R",'Mapa final'!$A$62),"")</f>
        <v/>
      </c>
      <c r="U10" s="372"/>
      <c r="V10" s="375" t="str">
        <f>IF(AND('Mapa final'!$H$50="Muy Alta",'Mapa final'!$L$50="Moderado"),CONCATENATE("R",'Mapa final'!$A$50),"")</f>
        <v/>
      </c>
      <c r="W10" s="371"/>
      <c r="X10" s="371" t="str">
        <f>IF(AND('Mapa final'!$H$56="Muy Alta",'Mapa final'!$L$56="Moderado"),CONCATENATE("R",'Mapa final'!$A$56),"")</f>
        <v/>
      </c>
      <c r="Y10" s="371"/>
      <c r="Z10" s="371" t="str">
        <f>IF(AND('Mapa final'!$H$62="Muy Alta",'Mapa final'!$L$62="Moderado"),CONCATENATE("R",'Mapa final'!$A$62),"")</f>
        <v/>
      </c>
      <c r="AA10" s="372"/>
      <c r="AB10" s="375" t="str">
        <f>IF(AND('Mapa final'!$H$50="Muy Alta",'Mapa final'!$L$50="Mayor"),CONCATENATE("R",'Mapa final'!$A$50),"")</f>
        <v/>
      </c>
      <c r="AC10" s="371"/>
      <c r="AD10" s="371" t="str">
        <f>IF(AND('Mapa final'!$H$56="Muy Alta",'Mapa final'!$L$56="Mayor"),CONCATENATE("R",'Mapa final'!$A$56),"")</f>
        <v/>
      </c>
      <c r="AE10" s="371"/>
      <c r="AF10" s="371" t="str">
        <f>IF(AND('Mapa final'!$H$62="Muy Alta",'Mapa final'!$L$62="Mayor"),CONCATENATE("R",'Mapa final'!$A$62),"")</f>
        <v/>
      </c>
      <c r="AG10" s="372"/>
      <c r="AH10" s="382" t="str">
        <f>IF(AND('Mapa final'!$H$50="Muy Alta",'Mapa final'!$L$50="Catastrófico"),CONCATENATE("R",'Mapa final'!$A$50),"")</f>
        <v/>
      </c>
      <c r="AI10" s="383"/>
      <c r="AJ10" s="383" t="str">
        <f>IF(AND('Mapa final'!$H$56="Muy Alta",'Mapa final'!$L$56="Catastrófico"),CONCATENATE("R",'Mapa final'!$A$56),"")</f>
        <v/>
      </c>
      <c r="AK10" s="383"/>
      <c r="AL10" s="383" t="str">
        <f>IF(AND('Mapa final'!$H$62="Muy Alta",'Mapa final'!$L$62="Catastrófico"),CONCATENATE("R",'Mapa final'!$A$62),"")</f>
        <v/>
      </c>
      <c r="AM10" s="384"/>
      <c r="AN10" s="81"/>
      <c r="AO10" s="329"/>
      <c r="AP10" s="330"/>
      <c r="AQ10" s="330"/>
      <c r="AR10" s="330"/>
      <c r="AS10" s="330"/>
      <c r="AT10" s="33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row>
    <row r="11" spans="1:99" ht="15" customHeight="1" x14ac:dyDescent="0.25">
      <c r="A11" s="81"/>
      <c r="B11" s="324"/>
      <c r="C11" s="324"/>
      <c r="D11" s="325"/>
      <c r="E11" s="365"/>
      <c r="F11" s="366"/>
      <c r="G11" s="366"/>
      <c r="H11" s="366"/>
      <c r="I11" s="367"/>
      <c r="J11" s="375"/>
      <c r="K11" s="371"/>
      <c r="L11" s="371"/>
      <c r="M11" s="371"/>
      <c r="N11" s="371"/>
      <c r="O11" s="372"/>
      <c r="P11" s="375"/>
      <c r="Q11" s="371"/>
      <c r="R11" s="371"/>
      <c r="S11" s="371"/>
      <c r="T11" s="371"/>
      <c r="U11" s="372"/>
      <c r="V11" s="375"/>
      <c r="W11" s="371"/>
      <c r="X11" s="371"/>
      <c r="Y11" s="371"/>
      <c r="Z11" s="371"/>
      <c r="AA11" s="372"/>
      <c r="AB11" s="375"/>
      <c r="AC11" s="371"/>
      <c r="AD11" s="371"/>
      <c r="AE11" s="371"/>
      <c r="AF11" s="371"/>
      <c r="AG11" s="372"/>
      <c r="AH11" s="382"/>
      <c r="AI11" s="383"/>
      <c r="AJ11" s="383"/>
      <c r="AK11" s="383"/>
      <c r="AL11" s="383"/>
      <c r="AM11" s="384"/>
      <c r="AN11" s="81"/>
      <c r="AO11" s="329"/>
      <c r="AP11" s="330"/>
      <c r="AQ11" s="330"/>
      <c r="AR11" s="330"/>
      <c r="AS11" s="330"/>
      <c r="AT11" s="33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row>
    <row r="12" spans="1:99" ht="15" customHeight="1" x14ac:dyDescent="0.25">
      <c r="A12" s="81"/>
      <c r="B12" s="324"/>
      <c r="C12" s="324"/>
      <c r="D12" s="325"/>
      <c r="E12" s="365"/>
      <c r="F12" s="366"/>
      <c r="G12" s="366"/>
      <c r="H12" s="366"/>
      <c r="I12" s="367"/>
      <c r="J12" s="375" t="str">
        <f>IF(AND('Mapa final'!$H$68="Muy Alta",'Mapa final'!$L$68="Leve"),CONCATENATE("R",'Mapa final'!$A$68),"")</f>
        <v/>
      </c>
      <c r="K12" s="371"/>
      <c r="L12" s="371" t="str">
        <f>IF(AND('Mapa final'!$H$74="Muy Alta",'Mapa final'!$L$74="Leve"),CONCATENATE("R",'Mapa final'!$A$74),"")</f>
        <v/>
      </c>
      <c r="M12" s="371"/>
      <c r="N12" s="371" t="str">
        <f>IF(AND('Mapa final'!$H$80="Muy Alta",'Mapa final'!$L$80="Leve"),CONCATENATE("R",'Mapa final'!$A$80),"")</f>
        <v/>
      </c>
      <c r="O12" s="372"/>
      <c r="P12" s="375" t="str">
        <f>IF(AND('Mapa final'!$H$68="Muy Alta",'Mapa final'!$L$68="Menor"),CONCATENATE("R",'Mapa final'!$A$68),"")</f>
        <v/>
      </c>
      <c r="Q12" s="371"/>
      <c r="R12" s="371" t="str">
        <f>IF(AND('Mapa final'!$H$74="Muy Alta",'Mapa final'!$L$74="Menor"),CONCATENATE("R",'Mapa final'!$A$74),"")</f>
        <v/>
      </c>
      <c r="S12" s="371"/>
      <c r="T12" s="371" t="str">
        <f>IF(AND('Mapa final'!$H$80="Muy Alta",'Mapa final'!$L$80="Menor"),CONCATENATE("R",'Mapa final'!$A$80),"")</f>
        <v/>
      </c>
      <c r="U12" s="372"/>
      <c r="V12" s="375" t="str">
        <f>IF(AND('Mapa final'!$H$68="Muy Alta",'Mapa final'!$L$68="Moderado"),CONCATENATE("R",'Mapa final'!$A$68),"")</f>
        <v/>
      </c>
      <c r="W12" s="371"/>
      <c r="X12" s="371" t="str">
        <f>IF(AND('Mapa final'!$H$74="Muy Alta",'Mapa final'!$L$74="Moderado"),CONCATENATE("R",'Mapa final'!$A$74),"")</f>
        <v/>
      </c>
      <c r="Y12" s="371"/>
      <c r="Z12" s="371" t="str">
        <f>IF(AND('Mapa final'!$H$80="Muy Alta",'Mapa final'!$L$80="Moderado"),CONCATENATE("R",'Mapa final'!$A$80),"")</f>
        <v/>
      </c>
      <c r="AA12" s="372"/>
      <c r="AB12" s="375" t="str">
        <f>IF(AND('Mapa final'!$H$68="Muy Alta",'Mapa final'!$L$68="Mayor"),CONCATENATE("R",'Mapa final'!$A$68),"")</f>
        <v/>
      </c>
      <c r="AC12" s="371"/>
      <c r="AD12" s="371" t="str">
        <f>IF(AND('Mapa final'!$H$74="Muy Alta",'Mapa final'!$L$74="Mayor"),CONCATENATE("R",'Mapa final'!$A$74),"")</f>
        <v/>
      </c>
      <c r="AE12" s="371"/>
      <c r="AF12" s="371" t="str">
        <f>IF(AND('Mapa final'!$H$80="Muy Alta",'Mapa final'!$L$80="Mayor"),CONCATENATE("R",'Mapa final'!$A$80),"")</f>
        <v/>
      </c>
      <c r="AG12" s="372"/>
      <c r="AH12" s="382" t="str">
        <f>IF(AND('Mapa final'!$H$68="Muy Alta",'Mapa final'!$L$68="Catastrófico"),CONCATENATE("R",'Mapa final'!$A$68),"")</f>
        <v/>
      </c>
      <c r="AI12" s="383"/>
      <c r="AJ12" s="383" t="str">
        <f>IF(AND('Mapa final'!$H$74="Muy Alta",'Mapa final'!$L$74="Catastrófico"),CONCATENATE("R",'Mapa final'!$A$74),"")</f>
        <v/>
      </c>
      <c r="AK12" s="383"/>
      <c r="AL12" s="383" t="str">
        <f>IF(AND('Mapa final'!$H$80="Muy Alta",'Mapa final'!$L$80="Catastrófico"),CONCATENATE("R",'Mapa final'!$A$80),"")</f>
        <v/>
      </c>
      <c r="AM12" s="384"/>
      <c r="AN12" s="81"/>
      <c r="AO12" s="329"/>
      <c r="AP12" s="330"/>
      <c r="AQ12" s="330"/>
      <c r="AR12" s="330"/>
      <c r="AS12" s="330"/>
      <c r="AT12" s="33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row>
    <row r="13" spans="1:99" ht="15.75" customHeight="1" thickBot="1" x14ac:dyDescent="0.3">
      <c r="A13" s="81"/>
      <c r="B13" s="324"/>
      <c r="C13" s="324"/>
      <c r="D13" s="325"/>
      <c r="E13" s="368"/>
      <c r="F13" s="369"/>
      <c r="G13" s="369"/>
      <c r="H13" s="369"/>
      <c r="I13" s="370"/>
      <c r="J13" s="375"/>
      <c r="K13" s="371"/>
      <c r="L13" s="371"/>
      <c r="M13" s="371"/>
      <c r="N13" s="371"/>
      <c r="O13" s="372"/>
      <c r="P13" s="375"/>
      <c r="Q13" s="371"/>
      <c r="R13" s="371"/>
      <c r="S13" s="371"/>
      <c r="T13" s="371"/>
      <c r="U13" s="372"/>
      <c r="V13" s="375"/>
      <c r="W13" s="371"/>
      <c r="X13" s="371"/>
      <c r="Y13" s="371"/>
      <c r="Z13" s="371"/>
      <c r="AA13" s="372"/>
      <c r="AB13" s="375"/>
      <c r="AC13" s="371"/>
      <c r="AD13" s="371"/>
      <c r="AE13" s="371"/>
      <c r="AF13" s="371"/>
      <c r="AG13" s="372"/>
      <c r="AH13" s="385"/>
      <c r="AI13" s="386"/>
      <c r="AJ13" s="386"/>
      <c r="AK13" s="386"/>
      <c r="AL13" s="386"/>
      <c r="AM13" s="387"/>
      <c r="AN13" s="81"/>
      <c r="AO13" s="332"/>
      <c r="AP13" s="333"/>
      <c r="AQ13" s="333"/>
      <c r="AR13" s="333"/>
      <c r="AS13" s="333"/>
      <c r="AT13" s="334"/>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row>
    <row r="14" spans="1:99" ht="15" customHeight="1" x14ac:dyDescent="0.25">
      <c r="A14" s="81"/>
      <c r="B14" s="324"/>
      <c r="C14" s="324"/>
      <c r="D14" s="325"/>
      <c r="E14" s="362" t="s">
        <v>94</v>
      </c>
      <c r="F14" s="363"/>
      <c r="G14" s="363"/>
      <c r="H14" s="363"/>
      <c r="I14" s="363"/>
      <c r="J14" s="397" t="str">
        <f>IF(AND('Mapa final'!$H$25="Alta",'Mapa final'!$L$25="Leve"),CONCATENATE("R",'Mapa final'!$A$25),"")</f>
        <v/>
      </c>
      <c r="K14" s="398"/>
      <c r="L14" s="398" t="str">
        <f>IF(AND('Mapa final'!$H$28="Alta",'Mapa final'!$L$28="Leve"),CONCATENATE("R",'Mapa final'!$A$28),"")</f>
        <v/>
      </c>
      <c r="M14" s="398"/>
      <c r="N14" s="398" t="str">
        <f>IF(AND('Mapa final'!$H$30="Alta",'Mapa final'!$L$30="Leve"),CONCATENATE("R",'Mapa final'!$A$30),"")</f>
        <v/>
      </c>
      <c r="O14" s="399"/>
      <c r="P14" s="397" t="str">
        <f>IF(AND('Mapa final'!$H$25="Alta",'Mapa final'!$L$25="Menor"),CONCATENATE("R",'Mapa final'!$A$25),"")</f>
        <v/>
      </c>
      <c r="Q14" s="398"/>
      <c r="R14" s="398" t="str">
        <f>IF(AND('Mapa final'!$H$28="Alta",'Mapa final'!$L$28="Menor"),CONCATENATE("R",'Mapa final'!$A$28),"")</f>
        <v/>
      </c>
      <c r="S14" s="398"/>
      <c r="T14" s="398" t="str">
        <f>IF(AND('Mapa final'!$H$30="Alta",'Mapa final'!$L$30="Menor"),CONCATENATE("R",'Mapa final'!$A$30),"")</f>
        <v/>
      </c>
      <c r="U14" s="399"/>
      <c r="V14" s="373" t="str">
        <f>IF(AND('Mapa final'!$H$25="Alta",'Mapa final'!$L$25="Moderado"),CONCATENATE("R",'Mapa final'!$A$25),"")</f>
        <v/>
      </c>
      <c r="W14" s="374"/>
      <c r="X14" s="374" t="str">
        <f>IF(AND('Mapa final'!$H$28="Alta",'Mapa final'!$L$28="Moderado"),CONCATENATE("R",'Mapa final'!$A$28),"")</f>
        <v/>
      </c>
      <c r="Y14" s="374"/>
      <c r="Z14" s="374" t="str">
        <f>IF(AND('Mapa final'!$H$30="Alta",'Mapa final'!$L$30="Moderado"),CONCATENATE("R",'Mapa final'!$A$30),"")</f>
        <v/>
      </c>
      <c r="AA14" s="376"/>
      <c r="AB14" s="373" t="str">
        <f>IF(AND('Mapa final'!$H$25="Alta",'Mapa final'!$L$25="Mayor"),CONCATENATE("R",'Mapa final'!$A$25),"")</f>
        <v/>
      </c>
      <c r="AC14" s="374"/>
      <c r="AD14" s="374" t="str">
        <f>IF(AND('Mapa final'!$H$28="Alta",'Mapa final'!$L$28="Mayor"),CONCATENATE("R",'Mapa final'!$A$28),"")</f>
        <v/>
      </c>
      <c r="AE14" s="374"/>
      <c r="AF14" s="374" t="str">
        <f>IF(AND('Mapa final'!$H$30="Alta",'Mapa final'!$L$30="Mayor"),CONCATENATE("R",'Mapa final'!$A$30),"")</f>
        <v/>
      </c>
      <c r="AG14" s="376"/>
      <c r="AH14" s="388" t="str">
        <f>IF(AND('Mapa final'!$H$25="Alta",'Mapa final'!$L$25="Catastrófico"),CONCATENATE("R",'Mapa final'!$A$25),"")</f>
        <v/>
      </c>
      <c r="AI14" s="389"/>
      <c r="AJ14" s="389" t="str">
        <f>IF(AND('Mapa final'!$H$28="Alta",'Mapa final'!$L$28="Catastrófico"),CONCATENATE("R",'Mapa final'!$A$28),"")</f>
        <v/>
      </c>
      <c r="AK14" s="389"/>
      <c r="AL14" s="389" t="str">
        <f>IF(AND('Mapa final'!$H$30="Alta",'Mapa final'!$L$30="Catastrófico"),CONCATENATE("R",'Mapa final'!$A$30),"")</f>
        <v/>
      </c>
      <c r="AM14" s="390"/>
      <c r="AN14" s="81"/>
      <c r="AO14" s="335" t="s">
        <v>95</v>
      </c>
      <c r="AP14" s="336"/>
      <c r="AQ14" s="336"/>
      <c r="AR14" s="336"/>
      <c r="AS14" s="336"/>
      <c r="AT14" s="337"/>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row>
    <row r="15" spans="1:99" ht="15" customHeight="1" x14ac:dyDescent="0.25">
      <c r="A15" s="81"/>
      <c r="B15" s="324"/>
      <c r="C15" s="324"/>
      <c r="D15" s="325"/>
      <c r="E15" s="365"/>
      <c r="F15" s="366"/>
      <c r="G15" s="366"/>
      <c r="H15" s="366"/>
      <c r="I15" s="366"/>
      <c r="J15" s="391"/>
      <c r="K15" s="392"/>
      <c r="L15" s="392"/>
      <c r="M15" s="392"/>
      <c r="N15" s="392"/>
      <c r="O15" s="393"/>
      <c r="P15" s="391"/>
      <c r="Q15" s="392"/>
      <c r="R15" s="392"/>
      <c r="S15" s="392"/>
      <c r="T15" s="392"/>
      <c r="U15" s="393"/>
      <c r="V15" s="375"/>
      <c r="W15" s="371"/>
      <c r="X15" s="371"/>
      <c r="Y15" s="371"/>
      <c r="Z15" s="371"/>
      <c r="AA15" s="372"/>
      <c r="AB15" s="375"/>
      <c r="AC15" s="371"/>
      <c r="AD15" s="371"/>
      <c r="AE15" s="371"/>
      <c r="AF15" s="371"/>
      <c r="AG15" s="372"/>
      <c r="AH15" s="382"/>
      <c r="AI15" s="383"/>
      <c r="AJ15" s="383"/>
      <c r="AK15" s="383"/>
      <c r="AL15" s="383"/>
      <c r="AM15" s="384"/>
      <c r="AN15" s="81"/>
      <c r="AO15" s="338"/>
      <c r="AP15" s="339"/>
      <c r="AQ15" s="339"/>
      <c r="AR15" s="339"/>
      <c r="AS15" s="339"/>
      <c r="AT15" s="340"/>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row>
    <row r="16" spans="1:99" ht="15" customHeight="1" x14ac:dyDescent="0.25">
      <c r="A16" s="81"/>
      <c r="B16" s="324"/>
      <c r="C16" s="324"/>
      <c r="D16" s="325"/>
      <c r="E16" s="365"/>
      <c r="F16" s="366"/>
      <c r="G16" s="366"/>
      <c r="H16" s="366"/>
      <c r="I16" s="366"/>
      <c r="J16" s="391" t="str">
        <f>IF(AND('Mapa final'!$H$32="Alta",'Mapa final'!$L$32="Leve"),CONCATENATE("R",'Mapa final'!$A$32),"")</f>
        <v/>
      </c>
      <c r="K16" s="392"/>
      <c r="L16" s="392" t="str">
        <f>IF(AND('Mapa final'!$H$38="Alta",'Mapa final'!$L$38="Leve"),CONCATENATE("R",'Mapa final'!$A$38),"")</f>
        <v/>
      </c>
      <c r="M16" s="392"/>
      <c r="N16" s="392" t="str">
        <f>IF(AND('Mapa final'!$H$44="Alta",'Mapa final'!$L$44="Leve"),CONCATENATE("R",'Mapa final'!$A$44),"")</f>
        <v/>
      </c>
      <c r="O16" s="393"/>
      <c r="P16" s="391" t="str">
        <f>IF(AND('Mapa final'!$H$32="Alta",'Mapa final'!$L$32="Menor"),CONCATENATE("R",'Mapa final'!$A$32),"")</f>
        <v/>
      </c>
      <c r="Q16" s="392"/>
      <c r="R16" s="392" t="str">
        <f>IF(AND('Mapa final'!$H$38="Alta",'Mapa final'!$L$38="Menor"),CONCATENATE("R",'Mapa final'!$A$38),"")</f>
        <v/>
      </c>
      <c r="S16" s="392"/>
      <c r="T16" s="392" t="str">
        <f>IF(AND('Mapa final'!$H$44="Alta",'Mapa final'!$L$44="Menor"),CONCATENATE("R",'Mapa final'!$A$44),"")</f>
        <v/>
      </c>
      <c r="U16" s="393"/>
      <c r="V16" s="375" t="str">
        <f>IF(AND('Mapa final'!$H$32="Alta",'Mapa final'!$L$32="Moderado"),CONCATENATE("R",'Mapa final'!$A$32),"")</f>
        <v/>
      </c>
      <c r="W16" s="371"/>
      <c r="X16" s="371" t="str">
        <f>IF(AND('Mapa final'!$H$38="Alta",'Mapa final'!$L$38="Moderado"),CONCATENATE("R",'Mapa final'!$A$38),"")</f>
        <v/>
      </c>
      <c r="Y16" s="371"/>
      <c r="Z16" s="371" t="str">
        <f>IF(AND('Mapa final'!$H$44="Alta",'Mapa final'!$L$44="Moderado"),CONCATENATE("R",'Mapa final'!$A$44),"")</f>
        <v/>
      </c>
      <c r="AA16" s="372"/>
      <c r="AB16" s="375" t="str">
        <f>IF(AND('Mapa final'!$H$32="Alta",'Mapa final'!$L$32="Mayor"),CONCATENATE("R",'Mapa final'!$A$32),"")</f>
        <v/>
      </c>
      <c r="AC16" s="371"/>
      <c r="AD16" s="371" t="str">
        <f>IF(AND('Mapa final'!$H$38="Alta",'Mapa final'!$L$38="Mayor"),CONCATENATE("R",'Mapa final'!$A$38),"")</f>
        <v/>
      </c>
      <c r="AE16" s="371"/>
      <c r="AF16" s="371" t="str">
        <f>IF(AND('Mapa final'!$H$44="Alta",'Mapa final'!$L$44="Mayor"),CONCATENATE("R",'Mapa final'!$A$44),"")</f>
        <v/>
      </c>
      <c r="AG16" s="372"/>
      <c r="AH16" s="382" t="str">
        <f>IF(AND('Mapa final'!$H$32="Alta",'Mapa final'!$L$32="Catastrófico"),CONCATENATE("R",'Mapa final'!$A$32),"")</f>
        <v/>
      </c>
      <c r="AI16" s="383"/>
      <c r="AJ16" s="383" t="str">
        <f>IF(AND('Mapa final'!$H$38="Alta",'Mapa final'!$L$38="Catastrófico"),CONCATENATE("R",'Mapa final'!$A$38),"")</f>
        <v/>
      </c>
      <c r="AK16" s="383"/>
      <c r="AL16" s="383" t="str">
        <f>IF(AND('Mapa final'!$H$44="Alta",'Mapa final'!$L$44="Catastrófico"),CONCATENATE("R",'Mapa final'!$A$44),"")</f>
        <v/>
      </c>
      <c r="AM16" s="384"/>
      <c r="AN16" s="81"/>
      <c r="AO16" s="338"/>
      <c r="AP16" s="339"/>
      <c r="AQ16" s="339"/>
      <c r="AR16" s="339"/>
      <c r="AS16" s="339"/>
      <c r="AT16" s="340"/>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row>
    <row r="17" spans="1:80" ht="15" customHeight="1" x14ac:dyDescent="0.25">
      <c r="A17" s="81"/>
      <c r="B17" s="324"/>
      <c r="C17" s="324"/>
      <c r="D17" s="325"/>
      <c r="E17" s="365"/>
      <c r="F17" s="366"/>
      <c r="G17" s="366"/>
      <c r="H17" s="366"/>
      <c r="I17" s="366"/>
      <c r="J17" s="391"/>
      <c r="K17" s="392"/>
      <c r="L17" s="392"/>
      <c r="M17" s="392"/>
      <c r="N17" s="392"/>
      <c r="O17" s="393"/>
      <c r="P17" s="391"/>
      <c r="Q17" s="392"/>
      <c r="R17" s="392"/>
      <c r="S17" s="392"/>
      <c r="T17" s="392"/>
      <c r="U17" s="393"/>
      <c r="V17" s="375"/>
      <c r="W17" s="371"/>
      <c r="X17" s="371"/>
      <c r="Y17" s="371"/>
      <c r="Z17" s="371"/>
      <c r="AA17" s="372"/>
      <c r="AB17" s="375"/>
      <c r="AC17" s="371"/>
      <c r="AD17" s="371"/>
      <c r="AE17" s="371"/>
      <c r="AF17" s="371"/>
      <c r="AG17" s="372"/>
      <c r="AH17" s="382"/>
      <c r="AI17" s="383"/>
      <c r="AJ17" s="383"/>
      <c r="AK17" s="383"/>
      <c r="AL17" s="383"/>
      <c r="AM17" s="384"/>
      <c r="AN17" s="81"/>
      <c r="AO17" s="338"/>
      <c r="AP17" s="339"/>
      <c r="AQ17" s="339"/>
      <c r="AR17" s="339"/>
      <c r="AS17" s="339"/>
      <c r="AT17" s="340"/>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row>
    <row r="18" spans="1:80" ht="15" customHeight="1" x14ac:dyDescent="0.25">
      <c r="A18" s="81"/>
      <c r="B18" s="324"/>
      <c r="C18" s="324"/>
      <c r="D18" s="325"/>
      <c r="E18" s="365"/>
      <c r="F18" s="366"/>
      <c r="G18" s="366"/>
      <c r="H18" s="366"/>
      <c r="I18" s="366"/>
      <c r="J18" s="391" t="str">
        <f>IF(AND('Mapa final'!$H$50="Alta",'Mapa final'!$L$50="Leve"),CONCATENATE("R",'Mapa final'!$A$50),"")</f>
        <v/>
      </c>
      <c r="K18" s="392"/>
      <c r="L18" s="392" t="str">
        <f>IF(AND('Mapa final'!$H$56="Alta",'Mapa final'!$L$56="Leve"),CONCATENATE("R",'Mapa final'!$A$56),"")</f>
        <v/>
      </c>
      <c r="M18" s="392"/>
      <c r="N18" s="392" t="str">
        <f>IF(AND('Mapa final'!$H$62="Alta",'Mapa final'!$L$62="Leve"),CONCATENATE("R",'Mapa final'!$A$62),"")</f>
        <v/>
      </c>
      <c r="O18" s="393"/>
      <c r="P18" s="391" t="str">
        <f>IF(AND('Mapa final'!$H$50="Alta",'Mapa final'!$L$50="Menor"),CONCATENATE("R",'Mapa final'!$A$50),"")</f>
        <v/>
      </c>
      <c r="Q18" s="392"/>
      <c r="R18" s="392" t="str">
        <f>IF(AND('Mapa final'!$H$56="Alta",'Mapa final'!$L$56="Menor"),CONCATENATE("R",'Mapa final'!$A$56),"")</f>
        <v/>
      </c>
      <c r="S18" s="392"/>
      <c r="T18" s="392" t="str">
        <f>IF(AND('Mapa final'!$H$62="Alta",'Mapa final'!$L$62="Menor"),CONCATENATE("R",'Mapa final'!$A$62),"")</f>
        <v/>
      </c>
      <c r="U18" s="393"/>
      <c r="V18" s="375" t="str">
        <f>IF(AND('Mapa final'!$H$50="Alta",'Mapa final'!$L$50="Moderado"),CONCATENATE("R",'Mapa final'!$A$50),"")</f>
        <v/>
      </c>
      <c r="W18" s="371"/>
      <c r="X18" s="371" t="str">
        <f>IF(AND('Mapa final'!$H$56="Alta",'Mapa final'!$L$56="Moderado"),CONCATENATE("R",'Mapa final'!$A$56),"")</f>
        <v/>
      </c>
      <c r="Y18" s="371"/>
      <c r="Z18" s="371" t="str">
        <f>IF(AND('Mapa final'!$H$62="Alta",'Mapa final'!$L$62="Moderado"),CONCATENATE("R",'Mapa final'!$A$62),"")</f>
        <v/>
      </c>
      <c r="AA18" s="372"/>
      <c r="AB18" s="375" t="str">
        <f>IF(AND('Mapa final'!$H$50="Alta",'Mapa final'!$L$50="Mayor"),CONCATENATE("R",'Mapa final'!$A$50),"")</f>
        <v/>
      </c>
      <c r="AC18" s="371"/>
      <c r="AD18" s="371" t="str">
        <f>IF(AND('Mapa final'!$H$56="Alta",'Mapa final'!$L$56="Mayor"),CONCATENATE("R",'Mapa final'!$A$56),"")</f>
        <v/>
      </c>
      <c r="AE18" s="371"/>
      <c r="AF18" s="371" t="str">
        <f>IF(AND('Mapa final'!$H$62="Alta",'Mapa final'!$L$62="Mayor"),CONCATENATE("R",'Mapa final'!$A$62),"")</f>
        <v/>
      </c>
      <c r="AG18" s="372"/>
      <c r="AH18" s="382" t="str">
        <f>IF(AND('Mapa final'!$H$50="Alta",'Mapa final'!$L$50="Catastrófico"),CONCATENATE("R",'Mapa final'!$A$50),"")</f>
        <v/>
      </c>
      <c r="AI18" s="383"/>
      <c r="AJ18" s="383" t="str">
        <f>IF(AND('Mapa final'!$H$56="Alta",'Mapa final'!$L$56="Catastrófico"),CONCATENATE("R",'Mapa final'!$A$56),"")</f>
        <v/>
      </c>
      <c r="AK18" s="383"/>
      <c r="AL18" s="383" t="str">
        <f>IF(AND('Mapa final'!$H$62="Alta",'Mapa final'!$L$62="Catastrófico"),CONCATENATE("R",'Mapa final'!$A$62),"")</f>
        <v/>
      </c>
      <c r="AM18" s="384"/>
      <c r="AN18" s="81"/>
      <c r="AO18" s="338"/>
      <c r="AP18" s="339"/>
      <c r="AQ18" s="339"/>
      <c r="AR18" s="339"/>
      <c r="AS18" s="339"/>
      <c r="AT18" s="340"/>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row>
    <row r="19" spans="1:80" ht="15" customHeight="1" x14ac:dyDescent="0.25">
      <c r="A19" s="81"/>
      <c r="B19" s="324"/>
      <c r="C19" s="324"/>
      <c r="D19" s="325"/>
      <c r="E19" s="365"/>
      <c r="F19" s="366"/>
      <c r="G19" s="366"/>
      <c r="H19" s="366"/>
      <c r="I19" s="366"/>
      <c r="J19" s="391"/>
      <c r="K19" s="392"/>
      <c r="L19" s="392"/>
      <c r="M19" s="392"/>
      <c r="N19" s="392"/>
      <c r="O19" s="393"/>
      <c r="P19" s="391"/>
      <c r="Q19" s="392"/>
      <c r="R19" s="392"/>
      <c r="S19" s="392"/>
      <c r="T19" s="392"/>
      <c r="U19" s="393"/>
      <c r="V19" s="375"/>
      <c r="W19" s="371"/>
      <c r="X19" s="371"/>
      <c r="Y19" s="371"/>
      <c r="Z19" s="371"/>
      <c r="AA19" s="372"/>
      <c r="AB19" s="375"/>
      <c r="AC19" s="371"/>
      <c r="AD19" s="371"/>
      <c r="AE19" s="371"/>
      <c r="AF19" s="371"/>
      <c r="AG19" s="372"/>
      <c r="AH19" s="382"/>
      <c r="AI19" s="383"/>
      <c r="AJ19" s="383"/>
      <c r="AK19" s="383"/>
      <c r="AL19" s="383"/>
      <c r="AM19" s="384"/>
      <c r="AN19" s="81"/>
      <c r="AO19" s="338"/>
      <c r="AP19" s="339"/>
      <c r="AQ19" s="339"/>
      <c r="AR19" s="339"/>
      <c r="AS19" s="339"/>
      <c r="AT19" s="340"/>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row>
    <row r="20" spans="1:80" ht="15" customHeight="1" x14ac:dyDescent="0.25">
      <c r="A20" s="81"/>
      <c r="B20" s="324"/>
      <c r="C20" s="324"/>
      <c r="D20" s="325"/>
      <c r="E20" s="365"/>
      <c r="F20" s="366"/>
      <c r="G20" s="366"/>
      <c r="H20" s="366"/>
      <c r="I20" s="366"/>
      <c r="J20" s="391" t="str">
        <f>IF(AND('Mapa final'!$H$68="Alta",'Mapa final'!$L$68="Leve"),CONCATENATE("R",'Mapa final'!$A$68),"")</f>
        <v/>
      </c>
      <c r="K20" s="392"/>
      <c r="L20" s="392" t="str">
        <f>IF(AND('Mapa final'!$H$74="Alta",'Mapa final'!$L$74="Leve"),CONCATENATE("R",'Mapa final'!$A$74),"")</f>
        <v/>
      </c>
      <c r="M20" s="392"/>
      <c r="N20" s="392" t="str">
        <f>IF(AND('Mapa final'!$H$80="Alta",'Mapa final'!$L$80="Leve"),CONCATENATE("R",'Mapa final'!$A$80),"")</f>
        <v/>
      </c>
      <c r="O20" s="393"/>
      <c r="P20" s="391" t="str">
        <f>IF(AND('Mapa final'!$H$68="Alta",'Mapa final'!$L$68="Menor"),CONCATENATE("R",'Mapa final'!$A$68),"")</f>
        <v/>
      </c>
      <c r="Q20" s="392"/>
      <c r="R20" s="392" t="str">
        <f>IF(AND('Mapa final'!$H$74="Alta",'Mapa final'!$L$74="Menor"),CONCATENATE("R",'Mapa final'!$A$74),"")</f>
        <v/>
      </c>
      <c r="S20" s="392"/>
      <c r="T20" s="392" t="str">
        <f>IF(AND('Mapa final'!$H$80="Alta",'Mapa final'!$L$80="Menor"),CONCATENATE("R",'Mapa final'!$A$80),"")</f>
        <v/>
      </c>
      <c r="U20" s="393"/>
      <c r="V20" s="375" t="str">
        <f>IF(AND('Mapa final'!$H$68="Alta",'Mapa final'!$L$68="Moderado"),CONCATENATE("R",'Mapa final'!$A$68),"")</f>
        <v/>
      </c>
      <c r="W20" s="371"/>
      <c r="X20" s="371" t="str">
        <f>IF(AND('Mapa final'!$H$74="Alta",'Mapa final'!$L$74="Moderado"),CONCATENATE("R",'Mapa final'!$A$74),"")</f>
        <v/>
      </c>
      <c r="Y20" s="371"/>
      <c r="Z20" s="371" t="str">
        <f>IF(AND('Mapa final'!$H$80="Alta",'Mapa final'!$L$80="Moderado"),CONCATENATE("R",'Mapa final'!$A$80),"")</f>
        <v/>
      </c>
      <c r="AA20" s="372"/>
      <c r="AB20" s="375" t="str">
        <f>IF(AND('Mapa final'!$H$68="Alta",'Mapa final'!$L$68="Mayor"),CONCATENATE("R",'Mapa final'!$A$68),"")</f>
        <v/>
      </c>
      <c r="AC20" s="371"/>
      <c r="AD20" s="371" t="str">
        <f>IF(AND('Mapa final'!$H$74="Alta",'Mapa final'!$L$74="Mayor"),CONCATENATE("R",'Mapa final'!$A$74),"")</f>
        <v/>
      </c>
      <c r="AE20" s="371"/>
      <c r="AF20" s="371" t="str">
        <f>IF(AND('Mapa final'!$H$80="Alta",'Mapa final'!$L$80="Mayor"),CONCATENATE("R",'Mapa final'!$A$80),"")</f>
        <v/>
      </c>
      <c r="AG20" s="372"/>
      <c r="AH20" s="382" t="str">
        <f>IF(AND('Mapa final'!$H$68="Alta",'Mapa final'!$L$68="Catastrófico"),CONCATENATE("R",'Mapa final'!$A$68),"")</f>
        <v/>
      </c>
      <c r="AI20" s="383"/>
      <c r="AJ20" s="383" t="str">
        <f>IF(AND('Mapa final'!$H$74="Alta",'Mapa final'!$L$74="Catastrófico"),CONCATENATE("R",'Mapa final'!$A$74),"")</f>
        <v/>
      </c>
      <c r="AK20" s="383"/>
      <c r="AL20" s="383" t="str">
        <f>IF(AND('Mapa final'!$H$80="Alta",'Mapa final'!$L$80="Catastrófico"),CONCATENATE("R",'Mapa final'!$A$80),"")</f>
        <v/>
      </c>
      <c r="AM20" s="384"/>
      <c r="AN20" s="81"/>
      <c r="AO20" s="338"/>
      <c r="AP20" s="339"/>
      <c r="AQ20" s="339"/>
      <c r="AR20" s="339"/>
      <c r="AS20" s="339"/>
      <c r="AT20" s="340"/>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row>
    <row r="21" spans="1:80" ht="15.75" customHeight="1" thickBot="1" x14ac:dyDescent="0.3">
      <c r="A21" s="81"/>
      <c r="B21" s="324"/>
      <c r="C21" s="324"/>
      <c r="D21" s="325"/>
      <c r="E21" s="368"/>
      <c r="F21" s="369"/>
      <c r="G21" s="369"/>
      <c r="H21" s="369"/>
      <c r="I21" s="369"/>
      <c r="J21" s="394"/>
      <c r="K21" s="395"/>
      <c r="L21" s="395"/>
      <c r="M21" s="395"/>
      <c r="N21" s="395"/>
      <c r="O21" s="396"/>
      <c r="P21" s="394"/>
      <c r="Q21" s="395"/>
      <c r="R21" s="395"/>
      <c r="S21" s="395"/>
      <c r="T21" s="395"/>
      <c r="U21" s="396"/>
      <c r="V21" s="379"/>
      <c r="W21" s="380"/>
      <c r="X21" s="380"/>
      <c r="Y21" s="380"/>
      <c r="Z21" s="380"/>
      <c r="AA21" s="381"/>
      <c r="AB21" s="379"/>
      <c r="AC21" s="380"/>
      <c r="AD21" s="380"/>
      <c r="AE21" s="380"/>
      <c r="AF21" s="380"/>
      <c r="AG21" s="381"/>
      <c r="AH21" s="385"/>
      <c r="AI21" s="386"/>
      <c r="AJ21" s="386"/>
      <c r="AK21" s="386"/>
      <c r="AL21" s="386"/>
      <c r="AM21" s="387"/>
      <c r="AN21" s="81"/>
      <c r="AO21" s="341"/>
      <c r="AP21" s="342"/>
      <c r="AQ21" s="342"/>
      <c r="AR21" s="342"/>
      <c r="AS21" s="342"/>
      <c r="AT21" s="343"/>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row>
    <row r="22" spans="1:80" x14ac:dyDescent="0.25">
      <c r="A22" s="81"/>
      <c r="B22" s="324"/>
      <c r="C22" s="324"/>
      <c r="D22" s="325"/>
      <c r="E22" s="362" t="s">
        <v>96</v>
      </c>
      <c r="F22" s="363"/>
      <c r="G22" s="363"/>
      <c r="H22" s="363"/>
      <c r="I22" s="364"/>
      <c r="J22" s="397" t="str">
        <f>IF(AND('Mapa final'!$H$25="Media",'Mapa final'!$L$25="Leve"),CONCATENATE("R",'Mapa final'!$A$25),"")</f>
        <v/>
      </c>
      <c r="K22" s="398"/>
      <c r="L22" s="398" t="str">
        <f>IF(AND('Mapa final'!$H$28="Media",'Mapa final'!$L$28="Leve"),CONCATENATE("R",'Mapa final'!$A$28),"")</f>
        <v/>
      </c>
      <c r="M22" s="398"/>
      <c r="N22" s="398" t="str">
        <f>IF(AND('Mapa final'!$H$30="Media",'Mapa final'!$L$30="Leve"),CONCATENATE("R",'Mapa final'!$A$30),"")</f>
        <v/>
      </c>
      <c r="O22" s="399"/>
      <c r="P22" s="397" t="str">
        <f>IF(AND('Mapa final'!$H$25="Media",'Mapa final'!$L$25="Menor"),CONCATENATE("R",'Mapa final'!$A$25),"")</f>
        <v/>
      </c>
      <c r="Q22" s="398"/>
      <c r="R22" s="398" t="str">
        <f>IF(AND('Mapa final'!$H$28="Media",'Mapa final'!$L$28="Menor"),CONCATENATE("R",'Mapa final'!$A$28),"")</f>
        <v/>
      </c>
      <c r="S22" s="398"/>
      <c r="T22" s="398" t="str">
        <f>IF(AND('Mapa final'!$H$30="Media",'Mapa final'!$L$30="Menor"),CONCATENATE("R",'Mapa final'!$A$30),"")</f>
        <v/>
      </c>
      <c r="U22" s="399"/>
      <c r="V22" s="397" t="str">
        <f>IF(AND('Mapa final'!$H$25="Media",'Mapa final'!$L$25="Moderado"),CONCATENATE("R",'Mapa final'!$A$25),"")</f>
        <v>R1</v>
      </c>
      <c r="W22" s="398"/>
      <c r="X22" s="398" t="str">
        <f>IF(AND('Mapa final'!$H$28="Media",'Mapa final'!$L$28="Moderado"),CONCATENATE("R",'Mapa final'!$A$28),"")</f>
        <v>R2</v>
      </c>
      <c r="Y22" s="398"/>
      <c r="Z22" s="398" t="str">
        <f>IF(AND('Mapa final'!$H$30="Media",'Mapa final'!$L$30="Moderado"),CONCATENATE("R",'Mapa final'!$A$30),"")</f>
        <v/>
      </c>
      <c r="AA22" s="399"/>
      <c r="AB22" s="373" t="str">
        <f>IF(AND('Mapa final'!$H$25="Media",'Mapa final'!$L$25="Mayor"),CONCATENATE("R",'Mapa final'!$A$25),"")</f>
        <v/>
      </c>
      <c r="AC22" s="374"/>
      <c r="AD22" s="374" t="str">
        <f>IF(AND('Mapa final'!$H$28="Media",'Mapa final'!$L$28="Mayor"),CONCATENATE("R",'Mapa final'!$A$28),"")</f>
        <v/>
      </c>
      <c r="AE22" s="374"/>
      <c r="AF22" s="374" t="str">
        <f>IF(AND('Mapa final'!$H$30="Media",'Mapa final'!$L$30="Mayor"),CONCATENATE("R",'Mapa final'!$A$30),"")</f>
        <v/>
      </c>
      <c r="AG22" s="376"/>
      <c r="AH22" s="388" t="str">
        <f>IF(AND('Mapa final'!$H$25="Media",'Mapa final'!$L$25="Catastrófico"),CONCATENATE("R",'Mapa final'!$A$25),"")</f>
        <v/>
      </c>
      <c r="AI22" s="389"/>
      <c r="AJ22" s="389" t="str">
        <f>IF(AND('Mapa final'!$H$28="Media",'Mapa final'!$L$28="Catastrófico"),CONCATENATE("R",'Mapa final'!$A$28),"")</f>
        <v/>
      </c>
      <c r="AK22" s="389"/>
      <c r="AL22" s="389" t="str">
        <f>IF(AND('Mapa final'!$H$30="Media",'Mapa final'!$L$30="Catastrófico"),CONCATENATE("R",'Mapa final'!$A$30),"")</f>
        <v/>
      </c>
      <c r="AM22" s="390"/>
      <c r="AN22" s="81"/>
      <c r="AO22" s="344" t="s">
        <v>97</v>
      </c>
      <c r="AP22" s="345"/>
      <c r="AQ22" s="345"/>
      <c r="AR22" s="345"/>
      <c r="AS22" s="345"/>
      <c r="AT22" s="346"/>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row>
    <row r="23" spans="1:80" x14ac:dyDescent="0.25">
      <c r="A23" s="81"/>
      <c r="B23" s="324"/>
      <c r="C23" s="324"/>
      <c r="D23" s="325"/>
      <c r="E23" s="365"/>
      <c r="F23" s="366"/>
      <c r="G23" s="366"/>
      <c r="H23" s="366"/>
      <c r="I23" s="367"/>
      <c r="J23" s="391"/>
      <c r="K23" s="392"/>
      <c r="L23" s="392"/>
      <c r="M23" s="392"/>
      <c r="N23" s="392"/>
      <c r="O23" s="393"/>
      <c r="P23" s="391"/>
      <c r="Q23" s="392"/>
      <c r="R23" s="392"/>
      <c r="S23" s="392"/>
      <c r="T23" s="392"/>
      <c r="U23" s="393"/>
      <c r="V23" s="391"/>
      <c r="W23" s="392"/>
      <c r="X23" s="392"/>
      <c r="Y23" s="392"/>
      <c r="Z23" s="392"/>
      <c r="AA23" s="393"/>
      <c r="AB23" s="375"/>
      <c r="AC23" s="371"/>
      <c r="AD23" s="371"/>
      <c r="AE23" s="371"/>
      <c r="AF23" s="371"/>
      <c r="AG23" s="372"/>
      <c r="AH23" s="382"/>
      <c r="AI23" s="383"/>
      <c r="AJ23" s="383"/>
      <c r="AK23" s="383"/>
      <c r="AL23" s="383"/>
      <c r="AM23" s="384"/>
      <c r="AN23" s="81"/>
      <c r="AO23" s="347"/>
      <c r="AP23" s="348"/>
      <c r="AQ23" s="348"/>
      <c r="AR23" s="348"/>
      <c r="AS23" s="348"/>
      <c r="AT23" s="349"/>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row>
    <row r="24" spans="1:80" x14ac:dyDescent="0.25">
      <c r="A24" s="81"/>
      <c r="B24" s="324"/>
      <c r="C24" s="324"/>
      <c r="D24" s="325"/>
      <c r="E24" s="365"/>
      <c r="F24" s="366"/>
      <c r="G24" s="366"/>
      <c r="H24" s="366"/>
      <c r="I24" s="367"/>
      <c r="J24" s="391" t="str">
        <f>IF(AND('Mapa final'!$H$32="Media",'Mapa final'!$L$32="Leve"),CONCATENATE("R",'Mapa final'!$A$32),"")</f>
        <v/>
      </c>
      <c r="K24" s="392"/>
      <c r="L24" s="392" t="str">
        <f>IF(AND('Mapa final'!$H$38="Media",'Mapa final'!$L$38="Leve"),CONCATENATE("R",'Mapa final'!$A$38),"")</f>
        <v/>
      </c>
      <c r="M24" s="392"/>
      <c r="N24" s="392" t="str">
        <f>IF(AND('Mapa final'!$H$44="Media",'Mapa final'!$L$44="Leve"),CONCATENATE("R",'Mapa final'!$A$44),"")</f>
        <v/>
      </c>
      <c r="O24" s="393"/>
      <c r="P24" s="391" t="str">
        <f>IF(AND('Mapa final'!$H$32="Media",'Mapa final'!$L$32="Menor"),CONCATENATE("R",'Mapa final'!$A$32),"")</f>
        <v/>
      </c>
      <c r="Q24" s="392"/>
      <c r="R24" s="392" t="str">
        <f>IF(AND('Mapa final'!$H$38="Media",'Mapa final'!$L$38="Menor"),CONCATENATE("R",'Mapa final'!$A$38),"")</f>
        <v/>
      </c>
      <c r="S24" s="392"/>
      <c r="T24" s="392" t="str">
        <f>IF(AND('Mapa final'!$H$44="Media",'Mapa final'!$L$44="Menor"),CONCATENATE("R",'Mapa final'!$A$44),"")</f>
        <v/>
      </c>
      <c r="U24" s="393"/>
      <c r="V24" s="391" t="str">
        <f>IF(AND('Mapa final'!$H$32="Media",'Mapa final'!$L$32="Moderado"),CONCATENATE("R",'Mapa final'!$A$32),"")</f>
        <v/>
      </c>
      <c r="W24" s="392"/>
      <c r="X24" s="392" t="str">
        <f>IF(AND('Mapa final'!$H$38="Media",'Mapa final'!$L$38="Moderado"),CONCATENATE("R",'Mapa final'!$A$38),"")</f>
        <v/>
      </c>
      <c r="Y24" s="392"/>
      <c r="Z24" s="392" t="str">
        <f>IF(AND('Mapa final'!$H$44="Media",'Mapa final'!$L$44="Moderado"),CONCATENATE("R",'Mapa final'!$A$44),"")</f>
        <v/>
      </c>
      <c r="AA24" s="393"/>
      <c r="AB24" s="375" t="str">
        <f>IF(AND('Mapa final'!$H$32="Media",'Mapa final'!$L$32="Mayor"),CONCATENATE("R",'Mapa final'!$A$32),"")</f>
        <v/>
      </c>
      <c r="AC24" s="371"/>
      <c r="AD24" s="371" t="str">
        <f>IF(AND('Mapa final'!$H$38="Media",'Mapa final'!$L$38="Mayor"),CONCATENATE("R",'Mapa final'!$A$38),"")</f>
        <v/>
      </c>
      <c r="AE24" s="371"/>
      <c r="AF24" s="371" t="str">
        <f>IF(AND('Mapa final'!$H$44="Media",'Mapa final'!$L$44="Mayor"),CONCATENATE("R",'Mapa final'!$A$44),"")</f>
        <v/>
      </c>
      <c r="AG24" s="372"/>
      <c r="AH24" s="382" t="str">
        <f>IF(AND('Mapa final'!$H$32="Media",'Mapa final'!$L$32="Catastrófico"),CONCATENATE("R",'Mapa final'!$A$32),"")</f>
        <v/>
      </c>
      <c r="AI24" s="383"/>
      <c r="AJ24" s="383" t="str">
        <f>IF(AND('Mapa final'!$H$38="Media",'Mapa final'!$L$38="Catastrófico"),CONCATENATE("R",'Mapa final'!$A$38),"")</f>
        <v/>
      </c>
      <c r="AK24" s="383"/>
      <c r="AL24" s="383" t="str">
        <f>IF(AND('Mapa final'!$H$44="Media",'Mapa final'!$L$44="Catastrófico"),CONCATENATE("R",'Mapa final'!$A$44),"")</f>
        <v/>
      </c>
      <c r="AM24" s="384"/>
      <c r="AN24" s="81"/>
      <c r="AO24" s="347"/>
      <c r="AP24" s="348"/>
      <c r="AQ24" s="348"/>
      <c r="AR24" s="348"/>
      <c r="AS24" s="348"/>
      <c r="AT24" s="349"/>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row>
    <row r="25" spans="1:80" x14ac:dyDescent="0.25">
      <c r="A25" s="81"/>
      <c r="B25" s="324"/>
      <c r="C25" s="324"/>
      <c r="D25" s="325"/>
      <c r="E25" s="365"/>
      <c r="F25" s="366"/>
      <c r="G25" s="366"/>
      <c r="H25" s="366"/>
      <c r="I25" s="367"/>
      <c r="J25" s="391"/>
      <c r="K25" s="392"/>
      <c r="L25" s="392"/>
      <c r="M25" s="392"/>
      <c r="N25" s="392"/>
      <c r="O25" s="393"/>
      <c r="P25" s="391"/>
      <c r="Q25" s="392"/>
      <c r="R25" s="392"/>
      <c r="S25" s="392"/>
      <c r="T25" s="392"/>
      <c r="U25" s="393"/>
      <c r="V25" s="391"/>
      <c r="W25" s="392"/>
      <c r="X25" s="392"/>
      <c r="Y25" s="392"/>
      <c r="Z25" s="392"/>
      <c r="AA25" s="393"/>
      <c r="AB25" s="375"/>
      <c r="AC25" s="371"/>
      <c r="AD25" s="371"/>
      <c r="AE25" s="371"/>
      <c r="AF25" s="371"/>
      <c r="AG25" s="372"/>
      <c r="AH25" s="382"/>
      <c r="AI25" s="383"/>
      <c r="AJ25" s="383"/>
      <c r="AK25" s="383"/>
      <c r="AL25" s="383"/>
      <c r="AM25" s="384"/>
      <c r="AN25" s="81"/>
      <c r="AO25" s="347"/>
      <c r="AP25" s="348"/>
      <c r="AQ25" s="348"/>
      <c r="AR25" s="348"/>
      <c r="AS25" s="348"/>
      <c r="AT25" s="349"/>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row>
    <row r="26" spans="1:80" x14ac:dyDescent="0.25">
      <c r="A26" s="81"/>
      <c r="B26" s="324"/>
      <c r="C26" s="324"/>
      <c r="D26" s="325"/>
      <c r="E26" s="365"/>
      <c r="F26" s="366"/>
      <c r="G26" s="366"/>
      <c r="H26" s="366"/>
      <c r="I26" s="367"/>
      <c r="J26" s="391" t="str">
        <f>IF(AND('Mapa final'!$H$50="Media",'Mapa final'!$L$50="Leve"),CONCATENATE("R",'Mapa final'!$A$50),"")</f>
        <v/>
      </c>
      <c r="K26" s="392"/>
      <c r="L26" s="392" t="str">
        <f>IF(AND('Mapa final'!$H$56="Media",'Mapa final'!$L$56="Leve"),CONCATENATE("R",'Mapa final'!$A$56),"")</f>
        <v/>
      </c>
      <c r="M26" s="392"/>
      <c r="N26" s="392" t="str">
        <f>IF(AND('Mapa final'!$H$62="Media",'Mapa final'!$L$62="Leve"),CONCATENATE("R",'Mapa final'!$A$62),"")</f>
        <v/>
      </c>
      <c r="O26" s="393"/>
      <c r="P26" s="391" t="str">
        <f>IF(AND('Mapa final'!$H$50="Media",'Mapa final'!$L$50="Menor"),CONCATENATE("R",'Mapa final'!$A$50),"")</f>
        <v/>
      </c>
      <c r="Q26" s="392"/>
      <c r="R26" s="392" t="str">
        <f>IF(AND('Mapa final'!$H$56="Media",'Mapa final'!$L$56="Menor"),CONCATENATE("R",'Mapa final'!$A$56),"")</f>
        <v/>
      </c>
      <c r="S26" s="392"/>
      <c r="T26" s="392" t="str">
        <f>IF(AND('Mapa final'!$H$62="Media",'Mapa final'!$L$62="Menor"),CONCATENATE("R",'Mapa final'!$A$62),"")</f>
        <v/>
      </c>
      <c r="U26" s="393"/>
      <c r="V26" s="391" t="str">
        <f>IF(AND('Mapa final'!$H$50="Media",'Mapa final'!$L$50="Moderado"),CONCATENATE("R",'Mapa final'!$A$50),"")</f>
        <v/>
      </c>
      <c r="W26" s="392"/>
      <c r="X26" s="392" t="str">
        <f>IF(AND('Mapa final'!$H$56="Media",'Mapa final'!$L$56="Moderado"),CONCATENATE("R",'Mapa final'!$A$56),"")</f>
        <v/>
      </c>
      <c r="Y26" s="392"/>
      <c r="Z26" s="392" t="str">
        <f>IF(AND('Mapa final'!$H$62="Media",'Mapa final'!$L$62="Moderado"),CONCATENATE("R",'Mapa final'!$A$62),"")</f>
        <v/>
      </c>
      <c r="AA26" s="393"/>
      <c r="AB26" s="375" t="str">
        <f>IF(AND('Mapa final'!$H$50="Media",'Mapa final'!$L$50="Mayor"),CONCATENATE("R",'Mapa final'!$A$50),"")</f>
        <v/>
      </c>
      <c r="AC26" s="371"/>
      <c r="AD26" s="371" t="str">
        <f>IF(AND('Mapa final'!$H$56="Media",'Mapa final'!$L$56="Mayor"),CONCATENATE("R",'Mapa final'!$A$56),"")</f>
        <v/>
      </c>
      <c r="AE26" s="371"/>
      <c r="AF26" s="371" t="str">
        <f>IF(AND('Mapa final'!$H$62="Media",'Mapa final'!$L$62="Mayor"),CONCATENATE("R",'Mapa final'!$A$62),"")</f>
        <v/>
      </c>
      <c r="AG26" s="372"/>
      <c r="AH26" s="382" t="str">
        <f>IF(AND('Mapa final'!$H$50="Media",'Mapa final'!$L$50="Catastrófico"),CONCATENATE("R",'Mapa final'!$A$50),"")</f>
        <v/>
      </c>
      <c r="AI26" s="383"/>
      <c r="AJ26" s="383" t="str">
        <f>IF(AND('Mapa final'!$H$56="Media",'Mapa final'!$L$56="Catastrófico"),CONCATENATE("R",'Mapa final'!$A$56),"")</f>
        <v/>
      </c>
      <c r="AK26" s="383"/>
      <c r="AL26" s="383" t="str">
        <f>IF(AND('Mapa final'!$H$62="Media",'Mapa final'!$L$62="Catastrófico"),CONCATENATE("R",'Mapa final'!$A$62),"")</f>
        <v/>
      </c>
      <c r="AM26" s="384"/>
      <c r="AN26" s="81"/>
      <c r="AO26" s="347"/>
      <c r="AP26" s="348"/>
      <c r="AQ26" s="348"/>
      <c r="AR26" s="348"/>
      <c r="AS26" s="348"/>
      <c r="AT26" s="349"/>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row>
    <row r="27" spans="1:80" x14ac:dyDescent="0.25">
      <c r="A27" s="81"/>
      <c r="B27" s="324"/>
      <c r="C27" s="324"/>
      <c r="D27" s="325"/>
      <c r="E27" s="365"/>
      <c r="F27" s="366"/>
      <c r="G27" s="366"/>
      <c r="H27" s="366"/>
      <c r="I27" s="367"/>
      <c r="J27" s="391"/>
      <c r="K27" s="392"/>
      <c r="L27" s="392"/>
      <c r="M27" s="392"/>
      <c r="N27" s="392"/>
      <c r="O27" s="393"/>
      <c r="P27" s="391"/>
      <c r="Q27" s="392"/>
      <c r="R27" s="392"/>
      <c r="S27" s="392"/>
      <c r="T27" s="392"/>
      <c r="U27" s="393"/>
      <c r="V27" s="391"/>
      <c r="W27" s="392"/>
      <c r="X27" s="392"/>
      <c r="Y27" s="392"/>
      <c r="Z27" s="392"/>
      <c r="AA27" s="393"/>
      <c r="AB27" s="375"/>
      <c r="AC27" s="371"/>
      <c r="AD27" s="371"/>
      <c r="AE27" s="371"/>
      <c r="AF27" s="371"/>
      <c r="AG27" s="372"/>
      <c r="AH27" s="382"/>
      <c r="AI27" s="383"/>
      <c r="AJ27" s="383"/>
      <c r="AK27" s="383"/>
      <c r="AL27" s="383"/>
      <c r="AM27" s="384"/>
      <c r="AN27" s="81"/>
      <c r="AO27" s="347"/>
      <c r="AP27" s="348"/>
      <c r="AQ27" s="348"/>
      <c r="AR27" s="348"/>
      <c r="AS27" s="348"/>
      <c r="AT27" s="349"/>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row>
    <row r="28" spans="1:80" x14ac:dyDescent="0.25">
      <c r="A28" s="81"/>
      <c r="B28" s="324"/>
      <c r="C28" s="324"/>
      <c r="D28" s="325"/>
      <c r="E28" s="365"/>
      <c r="F28" s="366"/>
      <c r="G28" s="366"/>
      <c r="H28" s="366"/>
      <c r="I28" s="367"/>
      <c r="J28" s="391" t="str">
        <f>IF(AND('Mapa final'!$H$68="Media",'Mapa final'!$L$68="Leve"),CONCATENATE("R",'Mapa final'!$A$68),"")</f>
        <v/>
      </c>
      <c r="K28" s="392"/>
      <c r="L28" s="392" t="str">
        <f>IF(AND('Mapa final'!$H$74="Media",'Mapa final'!$L$74="Leve"),CONCATENATE("R",'Mapa final'!$A$74),"")</f>
        <v/>
      </c>
      <c r="M28" s="392"/>
      <c r="N28" s="392" t="str">
        <f>IF(AND('Mapa final'!$H$80="Media",'Mapa final'!$L$80="Leve"),CONCATENATE("R",'Mapa final'!$A$80),"")</f>
        <v/>
      </c>
      <c r="O28" s="393"/>
      <c r="P28" s="391" t="str">
        <f>IF(AND('Mapa final'!$H$68="Media",'Mapa final'!$L$68="Menor"),CONCATENATE("R",'Mapa final'!$A$68),"")</f>
        <v/>
      </c>
      <c r="Q28" s="392"/>
      <c r="R28" s="392" t="str">
        <f>IF(AND('Mapa final'!$H$74="Media",'Mapa final'!$L$74="Menor"),CONCATENATE("R",'Mapa final'!$A$74),"")</f>
        <v/>
      </c>
      <c r="S28" s="392"/>
      <c r="T28" s="392" t="str">
        <f>IF(AND('Mapa final'!$H$80="Media",'Mapa final'!$L$80="Menor"),CONCATENATE("R",'Mapa final'!$A$80),"")</f>
        <v/>
      </c>
      <c r="U28" s="393"/>
      <c r="V28" s="391" t="str">
        <f>IF(AND('Mapa final'!$H$68="Media",'Mapa final'!$L$68="Moderado"),CONCATENATE("R",'Mapa final'!$A$68),"")</f>
        <v/>
      </c>
      <c r="W28" s="392"/>
      <c r="X28" s="392" t="str">
        <f>IF(AND('Mapa final'!$H$74="Media",'Mapa final'!$L$74="Moderado"),CONCATENATE("R",'Mapa final'!$A$74),"")</f>
        <v/>
      </c>
      <c r="Y28" s="392"/>
      <c r="Z28" s="392" t="str">
        <f>IF(AND('Mapa final'!$H$80="Media",'Mapa final'!$L$80="Moderado"),CONCATENATE("R",'Mapa final'!$A$80),"")</f>
        <v/>
      </c>
      <c r="AA28" s="393"/>
      <c r="AB28" s="375" t="str">
        <f>IF(AND('Mapa final'!$H$68="Media",'Mapa final'!$L$68="Mayor"),CONCATENATE("R",'Mapa final'!$A$68),"")</f>
        <v/>
      </c>
      <c r="AC28" s="371"/>
      <c r="AD28" s="371" t="str">
        <f>IF(AND('Mapa final'!$H$74="Media",'Mapa final'!$L$74="Mayor"),CONCATENATE("R",'Mapa final'!$A$74),"")</f>
        <v/>
      </c>
      <c r="AE28" s="371"/>
      <c r="AF28" s="371" t="str">
        <f>IF(AND('Mapa final'!$H$80="Media",'Mapa final'!$L$80="Mayor"),CONCATENATE("R",'Mapa final'!$A$80),"")</f>
        <v/>
      </c>
      <c r="AG28" s="372"/>
      <c r="AH28" s="382" t="str">
        <f>IF(AND('Mapa final'!$H$68="Media",'Mapa final'!$L$68="Catastrófico"),CONCATENATE("R",'Mapa final'!$A$68),"")</f>
        <v/>
      </c>
      <c r="AI28" s="383"/>
      <c r="AJ28" s="383" t="str">
        <f>IF(AND('Mapa final'!$H$74="Media",'Mapa final'!$L$74="Catastrófico"),CONCATENATE("R",'Mapa final'!$A$74),"")</f>
        <v/>
      </c>
      <c r="AK28" s="383"/>
      <c r="AL28" s="383" t="str">
        <f>IF(AND('Mapa final'!$H$80="Media",'Mapa final'!$L$80="Catastrófico"),CONCATENATE("R",'Mapa final'!$A$80),"")</f>
        <v/>
      </c>
      <c r="AM28" s="384"/>
      <c r="AN28" s="81"/>
      <c r="AO28" s="347"/>
      <c r="AP28" s="348"/>
      <c r="AQ28" s="348"/>
      <c r="AR28" s="348"/>
      <c r="AS28" s="348"/>
      <c r="AT28" s="349"/>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row>
    <row r="29" spans="1:80" ht="15.75" thickBot="1" x14ac:dyDescent="0.3">
      <c r="A29" s="81"/>
      <c r="B29" s="324"/>
      <c r="C29" s="324"/>
      <c r="D29" s="325"/>
      <c r="E29" s="368"/>
      <c r="F29" s="369"/>
      <c r="G29" s="369"/>
      <c r="H29" s="369"/>
      <c r="I29" s="370"/>
      <c r="J29" s="391"/>
      <c r="K29" s="392"/>
      <c r="L29" s="392"/>
      <c r="M29" s="392"/>
      <c r="N29" s="392"/>
      <c r="O29" s="393"/>
      <c r="P29" s="394"/>
      <c r="Q29" s="395"/>
      <c r="R29" s="395"/>
      <c r="S29" s="395"/>
      <c r="T29" s="395"/>
      <c r="U29" s="396"/>
      <c r="V29" s="394"/>
      <c r="W29" s="395"/>
      <c r="X29" s="395"/>
      <c r="Y29" s="395"/>
      <c r="Z29" s="395"/>
      <c r="AA29" s="396"/>
      <c r="AB29" s="379"/>
      <c r="AC29" s="380"/>
      <c r="AD29" s="380"/>
      <c r="AE29" s="380"/>
      <c r="AF29" s="380"/>
      <c r="AG29" s="381"/>
      <c r="AH29" s="385"/>
      <c r="AI29" s="386"/>
      <c r="AJ29" s="386"/>
      <c r="AK29" s="386"/>
      <c r="AL29" s="386"/>
      <c r="AM29" s="387"/>
      <c r="AN29" s="81"/>
      <c r="AO29" s="350"/>
      <c r="AP29" s="351"/>
      <c r="AQ29" s="351"/>
      <c r="AR29" s="351"/>
      <c r="AS29" s="351"/>
      <c r="AT29" s="352"/>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row>
    <row r="30" spans="1:80" x14ac:dyDescent="0.25">
      <c r="A30" s="81"/>
      <c r="B30" s="324"/>
      <c r="C30" s="324"/>
      <c r="D30" s="325"/>
      <c r="E30" s="362" t="s">
        <v>98</v>
      </c>
      <c r="F30" s="363"/>
      <c r="G30" s="363"/>
      <c r="H30" s="363"/>
      <c r="I30" s="363"/>
      <c r="J30" s="406" t="str">
        <f>IF(AND('Mapa final'!$H$25="Baja",'Mapa final'!$L$25="Leve"),CONCATENATE("R",'Mapa final'!$A$25),"")</f>
        <v/>
      </c>
      <c r="K30" s="407"/>
      <c r="L30" s="407" t="str">
        <f>IF(AND('Mapa final'!$H$28="Baja",'Mapa final'!$L$28="Leve"),CONCATENATE("R",'Mapa final'!$A$28),"")</f>
        <v/>
      </c>
      <c r="M30" s="407"/>
      <c r="N30" s="407" t="str">
        <f>IF(AND('Mapa final'!$H$30="Baja",'Mapa final'!$L$30="Leve"),CONCATENATE("R",'Mapa final'!$A$30),"")</f>
        <v/>
      </c>
      <c r="O30" s="408"/>
      <c r="P30" s="398" t="str">
        <f>IF(AND('Mapa final'!$H$25="Baja",'Mapa final'!$L$25="Menor"),CONCATENATE("R",'Mapa final'!$A$25),"")</f>
        <v/>
      </c>
      <c r="Q30" s="398"/>
      <c r="R30" s="398" t="str">
        <f>IF(AND('Mapa final'!$H$28="Baja",'Mapa final'!$L$28="Menor"),CONCATENATE("R",'Mapa final'!$A$28),"")</f>
        <v/>
      </c>
      <c r="S30" s="398"/>
      <c r="T30" s="398" t="str">
        <f>IF(AND('Mapa final'!$H$30="Baja",'Mapa final'!$L$30="Menor"),CONCATENATE("R",'Mapa final'!$A$30),"")</f>
        <v/>
      </c>
      <c r="U30" s="399"/>
      <c r="V30" s="397" t="str">
        <f>IF(AND('Mapa final'!$H$25="Baja",'Mapa final'!$L$25="Moderado"),CONCATENATE("R",'Mapa final'!$A$25),"")</f>
        <v/>
      </c>
      <c r="W30" s="398"/>
      <c r="X30" s="398" t="str">
        <f>IF(AND('Mapa final'!$H$28="Baja",'Mapa final'!$L$28="Moderado"),CONCATENATE("R",'Mapa final'!$A$28),"")</f>
        <v/>
      </c>
      <c r="Y30" s="398"/>
      <c r="Z30" s="398" t="str">
        <f>IF(AND('Mapa final'!$H$30="Baja",'Mapa final'!$L$30="Moderado"),CONCATENATE("R",'Mapa final'!$A$30),"")</f>
        <v>R3</v>
      </c>
      <c r="AA30" s="399"/>
      <c r="AB30" s="373" t="str">
        <f>IF(AND('Mapa final'!$H$25="Baja",'Mapa final'!$L$25="Mayor"),CONCATENATE("R",'Mapa final'!$A$25),"")</f>
        <v/>
      </c>
      <c r="AC30" s="374"/>
      <c r="AD30" s="374" t="str">
        <f>IF(AND('Mapa final'!$H$28="Baja",'Mapa final'!$L$28="Mayor"),CONCATENATE("R",'Mapa final'!$A$28),"")</f>
        <v/>
      </c>
      <c r="AE30" s="374"/>
      <c r="AF30" s="374" t="str">
        <f>IF(AND('Mapa final'!$H$30="Baja",'Mapa final'!$L$30="Mayor"),CONCATENATE("R",'Mapa final'!$A$30),"")</f>
        <v/>
      </c>
      <c r="AG30" s="376"/>
      <c r="AH30" s="388" t="str">
        <f>IF(AND('Mapa final'!$H$25="Baja",'Mapa final'!$L$25="Catastrófico"),CONCATENATE("R",'Mapa final'!$A$25),"")</f>
        <v/>
      </c>
      <c r="AI30" s="389"/>
      <c r="AJ30" s="389" t="str">
        <f>IF(AND('Mapa final'!$H$28="Baja",'Mapa final'!$L$28="Catastrófico"),CONCATENATE("R",'Mapa final'!$A$28),"")</f>
        <v/>
      </c>
      <c r="AK30" s="389"/>
      <c r="AL30" s="389" t="str">
        <f>IF(AND('Mapa final'!$H$30="Baja",'Mapa final'!$L$30="Catastrófico"),CONCATENATE("R",'Mapa final'!$A$30),"")</f>
        <v/>
      </c>
      <c r="AM30" s="390"/>
      <c r="AN30" s="81"/>
      <c r="AO30" s="353" t="s">
        <v>99</v>
      </c>
      <c r="AP30" s="354"/>
      <c r="AQ30" s="354"/>
      <c r="AR30" s="354"/>
      <c r="AS30" s="354"/>
      <c r="AT30" s="355"/>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row>
    <row r="31" spans="1:80" x14ac:dyDescent="0.25">
      <c r="A31" s="81"/>
      <c r="B31" s="324"/>
      <c r="C31" s="324"/>
      <c r="D31" s="325"/>
      <c r="E31" s="365"/>
      <c r="F31" s="366"/>
      <c r="G31" s="366"/>
      <c r="H31" s="366"/>
      <c r="I31" s="366"/>
      <c r="J31" s="402"/>
      <c r="K31" s="400"/>
      <c r="L31" s="400"/>
      <c r="M31" s="400"/>
      <c r="N31" s="400"/>
      <c r="O31" s="401"/>
      <c r="P31" s="392"/>
      <c r="Q31" s="392"/>
      <c r="R31" s="392"/>
      <c r="S31" s="392"/>
      <c r="T31" s="392"/>
      <c r="U31" s="393"/>
      <c r="V31" s="391"/>
      <c r="W31" s="392"/>
      <c r="X31" s="392"/>
      <c r="Y31" s="392"/>
      <c r="Z31" s="392"/>
      <c r="AA31" s="393"/>
      <c r="AB31" s="375"/>
      <c r="AC31" s="371"/>
      <c r="AD31" s="371"/>
      <c r="AE31" s="371"/>
      <c r="AF31" s="371"/>
      <c r="AG31" s="372"/>
      <c r="AH31" s="382"/>
      <c r="AI31" s="383"/>
      <c r="AJ31" s="383"/>
      <c r="AK31" s="383"/>
      <c r="AL31" s="383"/>
      <c r="AM31" s="384"/>
      <c r="AN31" s="81"/>
      <c r="AO31" s="356"/>
      <c r="AP31" s="357"/>
      <c r="AQ31" s="357"/>
      <c r="AR31" s="357"/>
      <c r="AS31" s="357"/>
      <c r="AT31" s="358"/>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row>
    <row r="32" spans="1:80" x14ac:dyDescent="0.25">
      <c r="A32" s="81"/>
      <c r="B32" s="324"/>
      <c r="C32" s="324"/>
      <c r="D32" s="325"/>
      <c r="E32" s="365"/>
      <c r="F32" s="366"/>
      <c r="G32" s="366"/>
      <c r="H32" s="366"/>
      <c r="I32" s="366"/>
      <c r="J32" s="402" t="str">
        <f>IF(AND('Mapa final'!$H$32="Baja",'Mapa final'!$L$32="Leve"),CONCATENATE("R",'Mapa final'!$A$32),"")</f>
        <v/>
      </c>
      <c r="K32" s="400"/>
      <c r="L32" s="400" t="str">
        <f>IF(AND('Mapa final'!$H$38="Baja",'Mapa final'!$L$38="Leve"),CONCATENATE("R",'Mapa final'!$A$38),"")</f>
        <v/>
      </c>
      <c r="M32" s="400"/>
      <c r="N32" s="400" t="str">
        <f>IF(AND('Mapa final'!$H$44="Baja",'Mapa final'!$L$44="Leve"),CONCATENATE("R",'Mapa final'!$A$44),"")</f>
        <v/>
      </c>
      <c r="O32" s="401"/>
      <c r="P32" s="392" t="str">
        <f>IF(AND('Mapa final'!$H$32="Baja",'Mapa final'!$L$32="Menor"),CONCATENATE("R",'Mapa final'!$A$32),"")</f>
        <v/>
      </c>
      <c r="Q32" s="392"/>
      <c r="R32" s="392" t="str">
        <f>IF(AND('Mapa final'!$H$38="Baja",'Mapa final'!$L$38="Menor"),CONCATENATE("R",'Mapa final'!$A$38),"")</f>
        <v/>
      </c>
      <c r="S32" s="392"/>
      <c r="T32" s="392" t="str">
        <f>IF(AND('Mapa final'!$H$44="Baja",'Mapa final'!$L$44="Menor"),CONCATENATE("R",'Mapa final'!$A$44),"")</f>
        <v/>
      </c>
      <c r="U32" s="393"/>
      <c r="V32" s="391" t="str">
        <f>IF(AND('Mapa final'!$H$32="Baja",'Mapa final'!$L$32="Moderado"),CONCATENATE("R",'Mapa final'!$A$32),"")</f>
        <v/>
      </c>
      <c r="W32" s="392"/>
      <c r="X32" s="392" t="str">
        <f>IF(AND('Mapa final'!$H$38="Baja",'Mapa final'!$L$38="Moderado"),CONCATENATE("R",'Mapa final'!$A$38),"")</f>
        <v/>
      </c>
      <c r="Y32" s="392"/>
      <c r="Z32" s="392" t="str">
        <f>IF(AND('Mapa final'!$H$44="Baja",'Mapa final'!$L$44="Moderado"),CONCATENATE("R",'Mapa final'!$A$44),"")</f>
        <v/>
      </c>
      <c r="AA32" s="393"/>
      <c r="AB32" s="375" t="str">
        <f>IF(AND('Mapa final'!$H$32="Baja",'Mapa final'!$L$32="Mayor"),CONCATENATE("R",'Mapa final'!$A$32),"")</f>
        <v/>
      </c>
      <c r="AC32" s="371"/>
      <c r="AD32" s="371" t="str">
        <f>IF(AND('Mapa final'!$H$38="Baja",'Mapa final'!$L$38="Mayor"),CONCATENATE("R",'Mapa final'!$A$38),"")</f>
        <v/>
      </c>
      <c r="AE32" s="371"/>
      <c r="AF32" s="371" t="str">
        <f>IF(AND('Mapa final'!$H$44="Baja",'Mapa final'!$L$44="Mayor"),CONCATENATE("R",'Mapa final'!$A$44),"")</f>
        <v/>
      </c>
      <c r="AG32" s="372"/>
      <c r="AH32" s="382" t="str">
        <f>IF(AND('Mapa final'!$H$32="Baja",'Mapa final'!$L$32="Catastrófico"),CONCATENATE("R",'Mapa final'!$A$32),"")</f>
        <v/>
      </c>
      <c r="AI32" s="383"/>
      <c r="AJ32" s="383" t="str">
        <f>IF(AND('Mapa final'!$H$38="Baja",'Mapa final'!$L$38="Catastrófico"),CONCATENATE("R",'Mapa final'!$A$38),"")</f>
        <v/>
      </c>
      <c r="AK32" s="383"/>
      <c r="AL32" s="383" t="str">
        <f>IF(AND('Mapa final'!$H$44="Baja",'Mapa final'!$L$44="Catastrófico"),CONCATENATE("R",'Mapa final'!$A$44),"")</f>
        <v/>
      </c>
      <c r="AM32" s="384"/>
      <c r="AN32" s="81"/>
      <c r="AO32" s="356"/>
      <c r="AP32" s="357"/>
      <c r="AQ32" s="357"/>
      <c r="AR32" s="357"/>
      <c r="AS32" s="357"/>
      <c r="AT32" s="358"/>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row>
    <row r="33" spans="1:80" x14ac:dyDescent="0.25">
      <c r="A33" s="81"/>
      <c r="B33" s="324"/>
      <c r="C33" s="324"/>
      <c r="D33" s="325"/>
      <c r="E33" s="365"/>
      <c r="F33" s="366"/>
      <c r="G33" s="366"/>
      <c r="H33" s="366"/>
      <c r="I33" s="366"/>
      <c r="J33" s="402"/>
      <c r="K33" s="400"/>
      <c r="L33" s="400"/>
      <c r="M33" s="400"/>
      <c r="N33" s="400"/>
      <c r="O33" s="401"/>
      <c r="P33" s="392"/>
      <c r="Q33" s="392"/>
      <c r="R33" s="392"/>
      <c r="S33" s="392"/>
      <c r="T33" s="392"/>
      <c r="U33" s="393"/>
      <c r="V33" s="391"/>
      <c r="W33" s="392"/>
      <c r="X33" s="392"/>
      <c r="Y33" s="392"/>
      <c r="Z33" s="392"/>
      <c r="AA33" s="393"/>
      <c r="AB33" s="375"/>
      <c r="AC33" s="371"/>
      <c r="AD33" s="371"/>
      <c r="AE33" s="371"/>
      <c r="AF33" s="371"/>
      <c r="AG33" s="372"/>
      <c r="AH33" s="382"/>
      <c r="AI33" s="383"/>
      <c r="AJ33" s="383"/>
      <c r="AK33" s="383"/>
      <c r="AL33" s="383"/>
      <c r="AM33" s="384"/>
      <c r="AN33" s="81"/>
      <c r="AO33" s="356"/>
      <c r="AP33" s="357"/>
      <c r="AQ33" s="357"/>
      <c r="AR33" s="357"/>
      <c r="AS33" s="357"/>
      <c r="AT33" s="358"/>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row>
    <row r="34" spans="1:80" x14ac:dyDescent="0.25">
      <c r="A34" s="81"/>
      <c r="B34" s="324"/>
      <c r="C34" s="324"/>
      <c r="D34" s="325"/>
      <c r="E34" s="365"/>
      <c r="F34" s="366"/>
      <c r="G34" s="366"/>
      <c r="H34" s="366"/>
      <c r="I34" s="366"/>
      <c r="J34" s="402" t="str">
        <f>IF(AND('Mapa final'!$H$50="Baja",'Mapa final'!$L$50="Leve"),CONCATENATE("R",'Mapa final'!$A$50),"")</f>
        <v/>
      </c>
      <c r="K34" s="400"/>
      <c r="L34" s="400" t="str">
        <f>IF(AND('Mapa final'!$H$56="Baja",'Mapa final'!$L$56="Leve"),CONCATENATE("R",'Mapa final'!$A$56),"")</f>
        <v/>
      </c>
      <c r="M34" s="400"/>
      <c r="N34" s="400" t="str">
        <f>IF(AND('Mapa final'!$H$62="Baja",'Mapa final'!$L$62="Leve"),CONCATENATE("R",'Mapa final'!$A$62),"")</f>
        <v/>
      </c>
      <c r="O34" s="401"/>
      <c r="P34" s="392" t="str">
        <f>IF(AND('Mapa final'!$H$50="Baja",'Mapa final'!$L$50="Menor"),CONCATENATE("R",'Mapa final'!$A$50),"")</f>
        <v/>
      </c>
      <c r="Q34" s="392"/>
      <c r="R34" s="392" t="str">
        <f>IF(AND('Mapa final'!$H$56="Baja",'Mapa final'!$L$56="Menor"),CONCATENATE("R",'Mapa final'!$A$56),"")</f>
        <v/>
      </c>
      <c r="S34" s="392"/>
      <c r="T34" s="392" t="str">
        <f>IF(AND('Mapa final'!$H$62="Baja",'Mapa final'!$L$62="Menor"),CONCATENATE("R",'Mapa final'!$A$62),"")</f>
        <v/>
      </c>
      <c r="U34" s="393"/>
      <c r="V34" s="391" t="str">
        <f>IF(AND('Mapa final'!$H$50="Baja",'Mapa final'!$L$50="Moderado"),CONCATENATE("R",'Mapa final'!$A$50),"")</f>
        <v/>
      </c>
      <c r="W34" s="392"/>
      <c r="X34" s="392" t="str">
        <f>IF(AND('Mapa final'!$H$56="Baja",'Mapa final'!$L$56="Moderado"),CONCATENATE("R",'Mapa final'!$A$56),"")</f>
        <v/>
      </c>
      <c r="Y34" s="392"/>
      <c r="Z34" s="392" t="str">
        <f>IF(AND('Mapa final'!$H$62="Baja",'Mapa final'!$L$62="Moderado"),CONCATENATE("R",'Mapa final'!$A$62),"")</f>
        <v/>
      </c>
      <c r="AA34" s="393"/>
      <c r="AB34" s="375" t="str">
        <f>IF(AND('Mapa final'!$H$50="Baja",'Mapa final'!$L$50="Mayor"),CONCATENATE("R",'Mapa final'!$A$50),"")</f>
        <v/>
      </c>
      <c r="AC34" s="371"/>
      <c r="AD34" s="371" t="str">
        <f>IF(AND('Mapa final'!$H$56="Baja",'Mapa final'!$L$56="Mayor"),CONCATENATE("R",'Mapa final'!$A$56),"")</f>
        <v/>
      </c>
      <c r="AE34" s="371"/>
      <c r="AF34" s="371" t="str">
        <f>IF(AND('Mapa final'!$H$62="Baja",'Mapa final'!$L$62="Mayor"),CONCATENATE("R",'Mapa final'!$A$62),"")</f>
        <v/>
      </c>
      <c r="AG34" s="372"/>
      <c r="AH34" s="382" t="str">
        <f>IF(AND('Mapa final'!$H$50="Baja",'Mapa final'!$L$50="Catastrófico"),CONCATENATE("R",'Mapa final'!$A$50),"")</f>
        <v/>
      </c>
      <c r="AI34" s="383"/>
      <c r="AJ34" s="383" t="str">
        <f>IF(AND('Mapa final'!$H$56="Baja",'Mapa final'!$L$56="Catastrófico"),CONCATENATE("R",'Mapa final'!$A$56),"")</f>
        <v/>
      </c>
      <c r="AK34" s="383"/>
      <c r="AL34" s="383" t="str">
        <f>IF(AND('Mapa final'!$H$62="Baja",'Mapa final'!$L$62="Catastrófico"),CONCATENATE("R",'Mapa final'!$A$62),"")</f>
        <v/>
      </c>
      <c r="AM34" s="384"/>
      <c r="AN34" s="81"/>
      <c r="AO34" s="356"/>
      <c r="AP34" s="357"/>
      <c r="AQ34" s="357"/>
      <c r="AR34" s="357"/>
      <c r="AS34" s="357"/>
      <c r="AT34" s="358"/>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row>
    <row r="35" spans="1:80" x14ac:dyDescent="0.25">
      <c r="A35" s="81"/>
      <c r="B35" s="324"/>
      <c r="C35" s="324"/>
      <c r="D35" s="325"/>
      <c r="E35" s="365"/>
      <c r="F35" s="366"/>
      <c r="G35" s="366"/>
      <c r="H35" s="366"/>
      <c r="I35" s="366"/>
      <c r="J35" s="402"/>
      <c r="K35" s="400"/>
      <c r="L35" s="400"/>
      <c r="M35" s="400"/>
      <c r="N35" s="400"/>
      <c r="O35" s="401"/>
      <c r="P35" s="392"/>
      <c r="Q35" s="392"/>
      <c r="R35" s="392"/>
      <c r="S35" s="392"/>
      <c r="T35" s="392"/>
      <c r="U35" s="393"/>
      <c r="V35" s="391"/>
      <c r="W35" s="392"/>
      <c r="X35" s="392"/>
      <c r="Y35" s="392"/>
      <c r="Z35" s="392"/>
      <c r="AA35" s="393"/>
      <c r="AB35" s="375"/>
      <c r="AC35" s="371"/>
      <c r="AD35" s="371"/>
      <c r="AE35" s="371"/>
      <c r="AF35" s="371"/>
      <c r="AG35" s="372"/>
      <c r="AH35" s="382"/>
      <c r="AI35" s="383"/>
      <c r="AJ35" s="383"/>
      <c r="AK35" s="383"/>
      <c r="AL35" s="383"/>
      <c r="AM35" s="384"/>
      <c r="AN35" s="81"/>
      <c r="AO35" s="356"/>
      <c r="AP35" s="357"/>
      <c r="AQ35" s="357"/>
      <c r="AR35" s="357"/>
      <c r="AS35" s="357"/>
      <c r="AT35" s="358"/>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row>
    <row r="36" spans="1:80" x14ac:dyDescent="0.25">
      <c r="A36" s="81"/>
      <c r="B36" s="324"/>
      <c r="C36" s="324"/>
      <c r="D36" s="325"/>
      <c r="E36" s="365"/>
      <c r="F36" s="366"/>
      <c r="G36" s="366"/>
      <c r="H36" s="366"/>
      <c r="I36" s="366"/>
      <c r="J36" s="402" t="str">
        <f>IF(AND('Mapa final'!$H$68="Baja",'Mapa final'!$L$68="Leve"),CONCATENATE("R",'Mapa final'!$A$68),"")</f>
        <v/>
      </c>
      <c r="K36" s="400"/>
      <c r="L36" s="400" t="str">
        <f>IF(AND('Mapa final'!$H$74="Baja",'Mapa final'!$L$74="Leve"),CONCATENATE("R",'Mapa final'!$A$74),"")</f>
        <v/>
      </c>
      <c r="M36" s="400"/>
      <c r="N36" s="400" t="str">
        <f>IF(AND('Mapa final'!$H$80="Baja",'Mapa final'!$L$80="Leve"),CONCATENATE("R",'Mapa final'!$A$80),"")</f>
        <v/>
      </c>
      <c r="O36" s="401"/>
      <c r="P36" s="392" t="str">
        <f>IF(AND('Mapa final'!$H$68="Baja",'Mapa final'!$L$68="Menor"),CONCATENATE("R",'Mapa final'!$A$68),"")</f>
        <v/>
      </c>
      <c r="Q36" s="392"/>
      <c r="R36" s="392" t="str">
        <f>IF(AND('Mapa final'!$H$74="Baja",'Mapa final'!$L$74="Menor"),CONCATENATE("R",'Mapa final'!$A$74),"")</f>
        <v/>
      </c>
      <c r="S36" s="392"/>
      <c r="T36" s="392" t="str">
        <f>IF(AND('Mapa final'!$H$80="Baja",'Mapa final'!$L$80="Menor"),CONCATENATE("R",'Mapa final'!$A$80),"")</f>
        <v/>
      </c>
      <c r="U36" s="393"/>
      <c r="V36" s="391" t="str">
        <f>IF(AND('Mapa final'!$H$68="Baja",'Mapa final'!$L$68="Moderado"),CONCATENATE("R",'Mapa final'!$A$68),"")</f>
        <v/>
      </c>
      <c r="W36" s="392"/>
      <c r="X36" s="392" t="str">
        <f>IF(AND('Mapa final'!$H$74="Baja",'Mapa final'!$L$74="Moderado"),CONCATENATE("R",'Mapa final'!$A$74),"")</f>
        <v/>
      </c>
      <c r="Y36" s="392"/>
      <c r="Z36" s="392" t="str">
        <f>IF(AND('Mapa final'!$H$80="Baja",'Mapa final'!$L$80="Moderado"),CONCATENATE("R",'Mapa final'!$A$80),"")</f>
        <v/>
      </c>
      <c r="AA36" s="393"/>
      <c r="AB36" s="375" t="str">
        <f>IF(AND('Mapa final'!$H$68="Baja",'Mapa final'!$L$68="Mayor"),CONCATENATE("R",'Mapa final'!$A$68),"")</f>
        <v/>
      </c>
      <c r="AC36" s="371"/>
      <c r="AD36" s="371" t="str">
        <f>IF(AND('Mapa final'!$H$74="Baja",'Mapa final'!$L$74="Mayor"),CONCATENATE("R",'Mapa final'!$A$74),"")</f>
        <v/>
      </c>
      <c r="AE36" s="371"/>
      <c r="AF36" s="371" t="str">
        <f>IF(AND('Mapa final'!$H$80="Baja",'Mapa final'!$L$80="Mayor"),CONCATENATE("R",'Mapa final'!$A$80),"")</f>
        <v/>
      </c>
      <c r="AG36" s="372"/>
      <c r="AH36" s="382" t="str">
        <f>IF(AND('Mapa final'!$H$68="Baja",'Mapa final'!$L$68="Catastrófico"),CONCATENATE("R",'Mapa final'!$A$68),"")</f>
        <v/>
      </c>
      <c r="AI36" s="383"/>
      <c r="AJ36" s="383" t="str">
        <f>IF(AND('Mapa final'!$H$74="Baja",'Mapa final'!$L$74="Catastrófico"),CONCATENATE("R",'Mapa final'!$A$74),"")</f>
        <v/>
      </c>
      <c r="AK36" s="383"/>
      <c r="AL36" s="383" t="str">
        <f>IF(AND('Mapa final'!$H$80="Baja",'Mapa final'!$L$80="Catastrófico"),CONCATENATE("R",'Mapa final'!$A$80),"")</f>
        <v/>
      </c>
      <c r="AM36" s="384"/>
      <c r="AN36" s="81"/>
      <c r="AO36" s="356"/>
      <c r="AP36" s="357"/>
      <c r="AQ36" s="357"/>
      <c r="AR36" s="357"/>
      <c r="AS36" s="357"/>
      <c r="AT36" s="358"/>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row>
    <row r="37" spans="1:80" ht="15.75" thickBot="1" x14ac:dyDescent="0.3">
      <c r="A37" s="81"/>
      <c r="B37" s="324"/>
      <c r="C37" s="324"/>
      <c r="D37" s="325"/>
      <c r="E37" s="368"/>
      <c r="F37" s="369"/>
      <c r="G37" s="369"/>
      <c r="H37" s="369"/>
      <c r="I37" s="369"/>
      <c r="J37" s="403"/>
      <c r="K37" s="404"/>
      <c r="L37" s="404"/>
      <c r="M37" s="404"/>
      <c r="N37" s="404"/>
      <c r="O37" s="405"/>
      <c r="P37" s="395"/>
      <c r="Q37" s="395"/>
      <c r="R37" s="395"/>
      <c r="S37" s="395"/>
      <c r="T37" s="395"/>
      <c r="U37" s="396"/>
      <c r="V37" s="394"/>
      <c r="W37" s="395"/>
      <c r="X37" s="395"/>
      <c r="Y37" s="395"/>
      <c r="Z37" s="395"/>
      <c r="AA37" s="396"/>
      <c r="AB37" s="379"/>
      <c r="AC37" s="380"/>
      <c r="AD37" s="380"/>
      <c r="AE37" s="380"/>
      <c r="AF37" s="380"/>
      <c r="AG37" s="381"/>
      <c r="AH37" s="385"/>
      <c r="AI37" s="386"/>
      <c r="AJ37" s="386"/>
      <c r="AK37" s="386"/>
      <c r="AL37" s="386"/>
      <c r="AM37" s="387"/>
      <c r="AN37" s="81"/>
      <c r="AO37" s="359"/>
      <c r="AP37" s="360"/>
      <c r="AQ37" s="360"/>
      <c r="AR37" s="360"/>
      <c r="AS37" s="360"/>
      <c r="AT37" s="36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row>
    <row r="38" spans="1:80" x14ac:dyDescent="0.25">
      <c r="A38" s="81"/>
      <c r="B38" s="324"/>
      <c r="C38" s="324"/>
      <c r="D38" s="325"/>
      <c r="E38" s="362" t="s">
        <v>100</v>
      </c>
      <c r="F38" s="363"/>
      <c r="G38" s="363"/>
      <c r="H38" s="363"/>
      <c r="I38" s="364"/>
      <c r="J38" s="406" t="str">
        <f>IF(AND('Mapa final'!$H$25="Muy Baja",'Mapa final'!$L$25="Leve"),CONCATENATE("R",'Mapa final'!$A$25),"")</f>
        <v/>
      </c>
      <c r="K38" s="407"/>
      <c r="L38" s="407" t="str">
        <f>IF(AND('Mapa final'!$H$28="Muy Baja",'Mapa final'!$L$28="Leve"),CONCATENATE("R",'Mapa final'!$A$28),"")</f>
        <v/>
      </c>
      <c r="M38" s="407"/>
      <c r="N38" s="407" t="str">
        <f>IF(AND('Mapa final'!$H$30="Muy Baja",'Mapa final'!$L$30="Leve"),CONCATENATE("R",'Mapa final'!$A$30),"")</f>
        <v/>
      </c>
      <c r="O38" s="408"/>
      <c r="P38" s="406" t="str">
        <f>IF(AND('Mapa final'!$H$25="Muy Baja",'Mapa final'!$L$25="Menor"),CONCATENATE("R",'Mapa final'!$A$25),"")</f>
        <v/>
      </c>
      <c r="Q38" s="407"/>
      <c r="R38" s="407" t="str">
        <f>IF(AND('Mapa final'!$H$28="Muy Baja",'Mapa final'!$L$28="Menor"),CONCATENATE("R",'Mapa final'!$A$28),"")</f>
        <v/>
      </c>
      <c r="S38" s="407"/>
      <c r="T38" s="407" t="str">
        <f>IF(AND('Mapa final'!$H$30="Muy Baja",'Mapa final'!$L$30="Menor"),CONCATENATE("R",'Mapa final'!$A$30),"")</f>
        <v/>
      </c>
      <c r="U38" s="408"/>
      <c r="V38" s="397" t="str">
        <f>IF(AND('Mapa final'!$H$25="Muy Baja",'Mapa final'!$L$25="Moderado"),CONCATENATE("R",'Mapa final'!$A$25),"")</f>
        <v/>
      </c>
      <c r="W38" s="398"/>
      <c r="X38" s="398" t="str">
        <f>IF(AND('Mapa final'!$H$28="Muy Baja",'Mapa final'!$L$28="Moderado"),CONCATENATE("R",'Mapa final'!$A$28),"")</f>
        <v/>
      </c>
      <c r="Y38" s="398"/>
      <c r="Z38" s="398" t="str">
        <f>IF(AND('Mapa final'!$H$30="Muy Baja",'Mapa final'!$L$30="Moderado"),CONCATENATE("R",'Mapa final'!$A$30),"")</f>
        <v/>
      </c>
      <c r="AA38" s="399"/>
      <c r="AB38" s="373" t="str">
        <f>IF(AND('Mapa final'!$H$25="Muy Baja",'Mapa final'!$L$25="Mayor"),CONCATENATE("R",'Mapa final'!$A$25),"")</f>
        <v/>
      </c>
      <c r="AC38" s="374"/>
      <c r="AD38" s="374" t="str">
        <f>IF(AND('Mapa final'!$H$28="Muy Baja",'Mapa final'!$L$28="Mayor"),CONCATENATE("R",'Mapa final'!$A$28),"")</f>
        <v/>
      </c>
      <c r="AE38" s="374"/>
      <c r="AF38" s="374" t="str">
        <f>IF(AND('Mapa final'!$H$30="Muy Baja",'Mapa final'!$L$30="Mayor"),CONCATENATE("R",'Mapa final'!$A$30),"")</f>
        <v/>
      </c>
      <c r="AG38" s="376"/>
      <c r="AH38" s="388" t="str">
        <f>IF(AND('Mapa final'!$H$25="Muy Baja",'Mapa final'!$L$25="Catastrófico"),CONCATENATE("R",'Mapa final'!$A$25),"")</f>
        <v/>
      </c>
      <c r="AI38" s="389"/>
      <c r="AJ38" s="389" t="str">
        <f>IF(AND('Mapa final'!$H$28="Muy Baja",'Mapa final'!$L$28="Catastrófico"),CONCATENATE("R",'Mapa final'!$A$28),"")</f>
        <v/>
      </c>
      <c r="AK38" s="389"/>
      <c r="AL38" s="389" t="str">
        <f>IF(AND('Mapa final'!$H$30="Muy Baja",'Mapa final'!$L$30="Catastrófico"),CONCATENATE("R",'Mapa final'!$A$30),"")</f>
        <v/>
      </c>
      <c r="AM38" s="390"/>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row>
    <row r="39" spans="1:80" x14ac:dyDescent="0.25">
      <c r="A39" s="81"/>
      <c r="B39" s="324"/>
      <c r="C39" s="324"/>
      <c r="D39" s="325"/>
      <c r="E39" s="365"/>
      <c r="F39" s="366"/>
      <c r="G39" s="366"/>
      <c r="H39" s="366"/>
      <c r="I39" s="367"/>
      <c r="J39" s="402"/>
      <c r="K39" s="400"/>
      <c r="L39" s="400"/>
      <c r="M39" s="400"/>
      <c r="N39" s="400"/>
      <c r="O39" s="401"/>
      <c r="P39" s="402"/>
      <c r="Q39" s="400"/>
      <c r="R39" s="400"/>
      <c r="S39" s="400"/>
      <c r="T39" s="400"/>
      <c r="U39" s="401"/>
      <c r="V39" s="391"/>
      <c r="W39" s="392"/>
      <c r="X39" s="392"/>
      <c r="Y39" s="392"/>
      <c r="Z39" s="392"/>
      <c r="AA39" s="393"/>
      <c r="AB39" s="375"/>
      <c r="AC39" s="371"/>
      <c r="AD39" s="371"/>
      <c r="AE39" s="371"/>
      <c r="AF39" s="371"/>
      <c r="AG39" s="372"/>
      <c r="AH39" s="382"/>
      <c r="AI39" s="383"/>
      <c r="AJ39" s="383"/>
      <c r="AK39" s="383"/>
      <c r="AL39" s="383"/>
      <c r="AM39" s="384"/>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row>
    <row r="40" spans="1:80" x14ac:dyDescent="0.25">
      <c r="A40" s="81"/>
      <c r="B40" s="324"/>
      <c r="C40" s="324"/>
      <c r="D40" s="325"/>
      <c r="E40" s="365"/>
      <c r="F40" s="366"/>
      <c r="G40" s="366"/>
      <c r="H40" s="366"/>
      <c r="I40" s="367"/>
      <c r="J40" s="402" t="str">
        <f>IF(AND('Mapa final'!$H$32="Muy Baja",'Mapa final'!$L$32="Leve"),CONCATENATE("R",'Mapa final'!$A$32),"")</f>
        <v/>
      </c>
      <c r="K40" s="400"/>
      <c r="L40" s="400" t="str">
        <f>IF(AND('Mapa final'!$H$38="Muy Baja",'Mapa final'!$L$38="Leve"),CONCATENATE("R",'Mapa final'!$A$38),"")</f>
        <v/>
      </c>
      <c r="M40" s="400"/>
      <c r="N40" s="400" t="str">
        <f>IF(AND('Mapa final'!$H$44="Muy Baja",'Mapa final'!$L$44="Leve"),CONCATENATE("R",'Mapa final'!$A$44),"")</f>
        <v/>
      </c>
      <c r="O40" s="401"/>
      <c r="P40" s="402" t="str">
        <f>IF(AND('Mapa final'!$H$32="Muy Baja",'Mapa final'!$L$32="Menor"),CONCATENATE("R",'Mapa final'!$A$32),"")</f>
        <v/>
      </c>
      <c r="Q40" s="400"/>
      <c r="R40" s="400" t="str">
        <f>IF(AND('Mapa final'!$H$38="Muy Baja",'Mapa final'!$L$38="Menor"),CONCATENATE("R",'Mapa final'!$A$38),"")</f>
        <v/>
      </c>
      <c r="S40" s="400"/>
      <c r="T40" s="400" t="str">
        <f>IF(AND('Mapa final'!$H$44="Muy Baja",'Mapa final'!$L$44="Menor"),CONCATENATE("R",'Mapa final'!$A$44),"")</f>
        <v/>
      </c>
      <c r="U40" s="401"/>
      <c r="V40" s="391" t="str">
        <f>IF(AND('Mapa final'!$H$32="Muy Baja",'Mapa final'!$L$32="Moderado"),CONCATENATE("R",'Mapa final'!$A$32),"")</f>
        <v/>
      </c>
      <c r="W40" s="392"/>
      <c r="X40" s="392" t="str">
        <f>IF(AND('Mapa final'!$H$38="Muy Baja",'Mapa final'!$L$38="Moderado"),CONCATENATE("R",'Mapa final'!$A$38),"")</f>
        <v/>
      </c>
      <c r="Y40" s="392"/>
      <c r="Z40" s="392" t="str">
        <f>IF(AND('Mapa final'!$H$44="Muy Baja",'Mapa final'!$L$44="Moderado"),CONCATENATE("R",'Mapa final'!$A$44),"")</f>
        <v/>
      </c>
      <c r="AA40" s="393"/>
      <c r="AB40" s="375" t="str">
        <f>IF(AND('Mapa final'!$H$32="Muy Baja",'Mapa final'!$L$32="Mayor"),CONCATENATE("R",'Mapa final'!$A$32),"")</f>
        <v/>
      </c>
      <c r="AC40" s="371"/>
      <c r="AD40" s="371" t="str">
        <f>IF(AND('Mapa final'!$H$38="Muy Baja",'Mapa final'!$L$38="Mayor"),CONCATENATE("R",'Mapa final'!$A$38),"")</f>
        <v/>
      </c>
      <c r="AE40" s="371"/>
      <c r="AF40" s="371" t="str">
        <f>IF(AND('Mapa final'!$H$44="Muy Baja",'Mapa final'!$L$44="Mayor"),CONCATENATE("R",'Mapa final'!$A$44),"")</f>
        <v/>
      </c>
      <c r="AG40" s="372"/>
      <c r="AH40" s="382" t="str">
        <f>IF(AND('Mapa final'!$H$32="Muy Baja",'Mapa final'!$L$32="Catastrófico"),CONCATENATE("R",'Mapa final'!$A$32),"")</f>
        <v/>
      </c>
      <c r="AI40" s="383"/>
      <c r="AJ40" s="383" t="str">
        <f>IF(AND('Mapa final'!$H$38="Muy Baja",'Mapa final'!$L$38="Catastrófico"),CONCATENATE("R",'Mapa final'!$A$38),"")</f>
        <v/>
      </c>
      <c r="AK40" s="383"/>
      <c r="AL40" s="383" t="str">
        <f>IF(AND('Mapa final'!$H$44="Muy Baja",'Mapa final'!$L$44="Catastrófico"),CONCATENATE("R",'Mapa final'!$A$44),"")</f>
        <v/>
      </c>
      <c r="AM40" s="384"/>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row>
    <row r="41" spans="1:80" x14ac:dyDescent="0.25">
      <c r="A41" s="81"/>
      <c r="B41" s="324"/>
      <c r="C41" s="324"/>
      <c r="D41" s="325"/>
      <c r="E41" s="365"/>
      <c r="F41" s="366"/>
      <c r="G41" s="366"/>
      <c r="H41" s="366"/>
      <c r="I41" s="367"/>
      <c r="J41" s="402"/>
      <c r="K41" s="400"/>
      <c r="L41" s="400"/>
      <c r="M41" s="400"/>
      <c r="N41" s="400"/>
      <c r="O41" s="401"/>
      <c r="P41" s="402"/>
      <c r="Q41" s="400"/>
      <c r="R41" s="400"/>
      <c r="S41" s="400"/>
      <c r="T41" s="400"/>
      <c r="U41" s="401"/>
      <c r="V41" s="391"/>
      <c r="W41" s="392"/>
      <c r="X41" s="392"/>
      <c r="Y41" s="392"/>
      <c r="Z41" s="392"/>
      <c r="AA41" s="393"/>
      <c r="AB41" s="375"/>
      <c r="AC41" s="371"/>
      <c r="AD41" s="371"/>
      <c r="AE41" s="371"/>
      <c r="AF41" s="371"/>
      <c r="AG41" s="372"/>
      <c r="AH41" s="382"/>
      <c r="AI41" s="383"/>
      <c r="AJ41" s="383"/>
      <c r="AK41" s="383"/>
      <c r="AL41" s="383"/>
      <c r="AM41" s="384"/>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row>
    <row r="42" spans="1:80" x14ac:dyDescent="0.25">
      <c r="A42" s="81"/>
      <c r="B42" s="324"/>
      <c r="C42" s="324"/>
      <c r="D42" s="325"/>
      <c r="E42" s="365"/>
      <c r="F42" s="366"/>
      <c r="G42" s="366"/>
      <c r="H42" s="366"/>
      <c r="I42" s="367"/>
      <c r="J42" s="402" t="str">
        <f>IF(AND('Mapa final'!$H$50="Muy Baja",'Mapa final'!$L$50="Leve"),CONCATENATE("R",'Mapa final'!$A$50),"")</f>
        <v/>
      </c>
      <c r="K42" s="400"/>
      <c r="L42" s="400" t="str">
        <f>IF(AND('Mapa final'!$H$56="Muy Baja",'Mapa final'!$L$56="Leve"),CONCATENATE("R",'Mapa final'!$A$56),"")</f>
        <v/>
      </c>
      <c r="M42" s="400"/>
      <c r="N42" s="400" t="str">
        <f>IF(AND('Mapa final'!$H$62="Muy Baja",'Mapa final'!$L$62="Leve"),CONCATENATE("R",'Mapa final'!$A$62),"")</f>
        <v/>
      </c>
      <c r="O42" s="401"/>
      <c r="P42" s="402" t="str">
        <f>IF(AND('Mapa final'!$H$50="Muy Baja",'Mapa final'!$L$50="Menor"),CONCATENATE("R",'Mapa final'!$A$50),"")</f>
        <v/>
      </c>
      <c r="Q42" s="400"/>
      <c r="R42" s="400" t="str">
        <f>IF(AND('Mapa final'!$H$56="Muy Baja",'Mapa final'!$L$56="Menor"),CONCATENATE("R",'Mapa final'!$A$56),"")</f>
        <v/>
      </c>
      <c r="S42" s="400"/>
      <c r="T42" s="400" t="str">
        <f>IF(AND('Mapa final'!$H$62="Muy Baja",'Mapa final'!$L$62="Menor"),CONCATENATE("R",'Mapa final'!$A$62),"")</f>
        <v/>
      </c>
      <c r="U42" s="401"/>
      <c r="V42" s="391" t="str">
        <f>IF(AND('Mapa final'!$H$50="Muy Baja",'Mapa final'!$L$50="Moderado"),CONCATENATE("R",'Mapa final'!$A$50),"")</f>
        <v/>
      </c>
      <c r="W42" s="392"/>
      <c r="X42" s="392" t="str">
        <f>IF(AND('Mapa final'!$H$56="Muy Baja",'Mapa final'!$L$56="Moderado"),CONCATENATE("R",'Mapa final'!$A$56),"")</f>
        <v/>
      </c>
      <c r="Y42" s="392"/>
      <c r="Z42" s="392" t="str">
        <f>IF(AND('Mapa final'!$H$62="Muy Baja",'Mapa final'!$L$62="Moderado"),CONCATENATE("R",'Mapa final'!$A$62),"")</f>
        <v/>
      </c>
      <c r="AA42" s="393"/>
      <c r="AB42" s="375" t="str">
        <f>IF(AND('Mapa final'!$H$50="Muy Baja",'Mapa final'!$L$50="Mayor"),CONCATENATE("R",'Mapa final'!$A$50),"")</f>
        <v/>
      </c>
      <c r="AC42" s="371"/>
      <c r="AD42" s="371" t="str">
        <f>IF(AND('Mapa final'!$H$56="Muy Baja",'Mapa final'!$L$56="Mayor"),CONCATENATE("R",'Mapa final'!$A$56),"")</f>
        <v/>
      </c>
      <c r="AE42" s="371"/>
      <c r="AF42" s="371" t="str">
        <f>IF(AND('Mapa final'!$H$62="Muy Baja",'Mapa final'!$L$62="Mayor"),CONCATENATE("R",'Mapa final'!$A$62),"")</f>
        <v/>
      </c>
      <c r="AG42" s="372"/>
      <c r="AH42" s="382" t="str">
        <f>IF(AND('Mapa final'!$H$50="Muy Baja",'Mapa final'!$L$50="Catastrófico"),CONCATENATE("R",'Mapa final'!$A$50),"")</f>
        <v/>
      </c>
      <c r="AI42" s="383"/>
      <c r="AJ42" s="383" t="str">
        <f>IF(AND('Mapa final'!$H$56="Muy Baja",'Mapa final'!$L$56="Catastrófico"),CONCATENATE("R",'Mapa final'!$A$56),"")</f>
        <v/>
      </c>
      <c r="AK42" s="383"/>
      <c r="AL42" s="383" t="str">
        <f>IF(AND('Mapa final'!$H$62="Muy Baja",'Mapa final'!$L$62="Catastrófico"),CONCATENATE("R",'Mapa final'!$A$62),"")</f>
        <v/>
      </c>
      <c r="AM42" s="384"/>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row>
    <row r="43" spans="1:80" x14ac:dyDescent="0.25">
      <c r="A43" s="81"/>
      <c r="B43" s="324"/>
      <c r="C43" s="324"/>
      <c r="D43" s="325"/>
      <c r="E43" s="365"/>
      <c r="F43" s="366"/>
      <c r="G43" s="366"/>
      <c r="H43" s="366"/>
      <c r="I43" s="367"/>
      <c r="J43" s="402"/>
      <c r="K43" s="400"/>
      <c r="L43" s="400"/>
      <c r="M43" s="400"/>
      <c r="N43" s="400"/>
      <c r="O43" s="401"/>
      <c r="P43" s="402"/>
      <c r="Q43" s="400"/>
      <c r="R43" s="400"/>
      <c r="S43" s="400"/>
      <c r="T43" s="400"/>
      <c r="U43" s="401"/>
      <c r="V43" s="391"/>
      <c r="W43" s="392"/>
      <c r="X43" s="392"/>
      <c r="Y43" s="392"/>
      <c r="Z43" s="392"/>
      <c r="AA43" s="393"/>
      <c r="AB43" s="375"/>
      <c r="AC43" s="371"/>
      <c r="AD43" s="371"/>
      <c r="AE43" s="371"/>
      <c r="AF43" s="371"/>
      <c r="AG43" s="372"/>
      <c r="AH43" s="382"/>
      <c r="AI43" s="383"/>
      <c r="AJ43" s="383"/>
      <c r="AK43" s="383"/>
      <c r="AL43" s="383"/>
      <c r="AM43" s="384"/>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row>
    <row r="44" spans="1:80" x14ac:dyDescent="0.25">
      <c r="A44" s="81"/>
      <c r="B44" s="324"/>
      <c r="C44" s="324"/>
      <c r="D44" s="325"/>
      <c r="E44" s="365"/>
      <c r="F44" s="366"/>
      <c r="G44" s="366"/>
      <c r="H44" s="366"/>
      <c r="I44" s="367"/>
      <c r="J44" s="402" t="str">
        <f>IF(AND('Mapa final'!$H$68="Muy Baja",'Mapa final'!$L$68="Leve"),CONCATENATE("R",'Mapa final'!$A$68),"")</f>
        <v/>
      </c>
      <c r="K44" s="400"/>
      <c r="L44" s="400" t="str">
        <f>IF(AND('Mapa final'!$H$74="Muy Baja",'Mapa final'!$L$74="Leve"),CONCATENATE("R",'Mapa final'!$A$74),"")</f>
        <v/>
      </c>
      <c r="M44" s="400"/>
      <c r="N44" s="400" t="str">
        <f>IF(AND('Mapa final'!$H$80="Muy Baja",'Mapa final'!$L$80="Leve"),CONCATENATE("R",'Mapa final'!$A$80),"")</f>
        <v/>
      </c>
      <c r="O44" s="401"/>
      <c r="P44" s="402" t="str">
        <f>IF(AND('Mapa final'!$H$68="Muy Baja",'Mapa final'!$L$68="Menor"),CONCATENATE("R",'Mapa final'!$A$68),"")</f>
        <v/>
      </c>
      <c r="Q44" s="400"/>
      <c r="R44" s="400" t="str">
        <f>IF(AND('Mapa final'!$H$74="Muy Baja",'Mapa final'!$L$74="Menor"),CONCATENATE("R",'Mapa final'!$A$74),"")</f>
        <v/>
      </c>
      <c r="S44" s="400"/>
      <c r="T44" s="400" t="str">
        <f>IF(AND('Mapa final'!$H$80="Muy Baja",'Mapa final'!$L$80="Menor"),CONCATENATE("R",'Mapa final'!$A$80),"")</f>
        <v/>
      </c>
      <c r="U44" s="401"/>
      <c r="V44" s="391" t="str">
        <f>IF(AND('Mapa final'!$H$68="Muy Baja",'Mapa final'!$L$68="Moderado"),CONCATENATE("R",'Mapa final'!$A$68),"")</f>
        <v/>
      </c>
      <c r="W44" s="392"/>
      <c r="X44" s="392" t="str">
        <f>IF(AND('Mapa final'!$H$74="Muy Baja",'Mapa final'!$L$74="Moderado"),CONCATENATE("R",'Mapa final'!$A$74),"")</f>
        <v/>
      </c>
      <c r="Y44" s="392"/>
      <c r="Z44" s="392" t="str">
        <f>IF(AND('Mapa final'!$H$80="Muy Baja",'Mapa final'!$L$80="Moderado"),CONCATENATE("R",'Mapa final'!$A$80),"")</f>
        <v/>
      </c>
      <c r="AA44" s="393"/>
      <c r="AB44" s="375" t="str">
        <f>IF(AND('Mapa final'!$H$68="Muy Baja",'Mapa final'!$L$68="Mayor"),CONCATENATE("R",'Mapa final'!$A$68),"")</f>
        <v/>
      </c>
      <c r="AC44" s="371"/>
      <c r="AD44" s="371" t="str">
        <f>IF(AND('Mapa final'!$H$74="Muy Baja",'Mapa final'!$L$74="Mayor"),CONCATENATE("R",'Mapa final'!$A$74),"")</f>
        <v/>
      </c>
      <c r="AE44" s="371"/>
      <c r="AF44" s="371" t="str">
        <f>IF(AND('Mapa final'!$H$80="Muy Baja",'Mapa final'!$L$80="Mayor"),CONCATENATE("R",'Mapa final'!$A$80),"")</f>
        <v/>
      </c>
      <c r="AG44" s="372"/>
      <c r="AH44" s="382" t="str">
        <f>IF(AND('Mapa final'!$H$68="Muy Baja",'Mapa final'!$L$68="Catastrófico"),CONCATENATE("R",'Mapa final'!$A$68),"")</f>
        <v/>
      </c>
      <c r="AI44" s="383"/>
      <c r="AJ44" s="383" t="str">
        <f>IF(AND('Mapa final'!$H$74="Muy Baja",'Mapa final'!$L$74="Catastrófico"),CONCATENATE("R",'Mapa final'!$A$74),"")</f>
        <v/>
      </c>
      <c r="AK44" s="383"/>
      <c r="AL44" s="383" t="str">
        <f>IF(AND('Mapa final'!$H$80="Muy Baja",'Mapa final'!$L$80="Catastrófico"),CONCATENATE("R",'Mapa final'!$A$80),"")</f>
        <v/>
      </c>
      <c r="AM44" s="384"/>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row>
    <row r="45" spans="1:80" ht="15.75" thickBot="1" x14ac:dyDescent="0.3">
      <c r="A45" s="81"/>
      <c r="B45" s="324"/>
      <c r="C45" s="324"/>
      <c r="D45" s="325"/>
      <c r="E45" s="368"/>
      <c r="F45" s="369"/>
      <c r="G45" s="369"/>
      <c r="H45" s="369"/>
      <c r="I45" s="370"/>
      <c r="J45" s="403"/>
      <c r="K45" s="404"/>
      <c r="L45" s="404"/>
      <c r="M45" s="404"/>
      <c r="N45" s="404"/>
      <c r="O45" s="405"/>
      <c r="P45" s="403"/>
      <c r="Q45" s="404"/>
      <c r="R45" s="404"/>
      <c r="S45" s="404"/>
      <c r="T45" s="404"/>
      <c r="U45" s="405"/>
      <c r="V45" s="394"/>
      <c r="W45" s="395"/>
      <c r="X45" s="395"/>
      <c r="Y45" s="395"/>
      <c r="Z45" s="395"/>
      <c r="AA45" s="396"/>
      <c r="AB45" s="379"/>
      <c r="AC45" s="380"/>
      <c r="AD45" s="380"/>
      <c r="AE45" s="380"/>
      <c r="AF45" s="380"/>
      <c r="AG45" s="381"/>
      <c r="AH45" s="385"/>
      <c r="AI45" s="386"/>
      <c r="AJ45" s="386"/>
      <c r="AK45" s="386"/>
      <c r="AL45" s="386"/>
      <c r="AM45" s="387"/>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row>
    <row r="46" spans="1:80" x14ac:dyDescent="0.25">
      <c r="A46" s="81"/>
      <c r="B46" s="81"/>
      <c r="C46" s="81"/>
      <c r="D46" s="81"/>
      <c r="E46" s="81"/>
      <c r="F46" s="81"/>
      <c r="G46" s="81"/>
      <c r="H46" s="81"/>
      <c r="I46" s="81"/>
      <c r="J46" s="362" t="s">
        <v>101</v>
      </c>
      <c r="K46" s="363"/>
      <c r="L46" s="363"/>
      <c r="M46" s="363"/>
      <c r="N46" s="363"/>
      <c r="O46" s="364"/>
      <c r="P46" s="362" t="s">
        <v>102</v>
      </c>
      <c r="Q46" s="363"/>
      <c r="R46" s="363"/>
      <c r="S46" s="363"/>
      <c r="T46" s="363"/>
      <c r="U46" s="364"/>
      <c r="V46" s="362" t="s">
        <v>103</v>
      </c>
      <c r="W46" s="363"/>
      <c r="X46" s="363"/>
      <c r="Y46" s="363"/>
      <c r="Z46" s="363"/>
      <c r="AA46" s="364"/>
      <c r="AB46" s="362" t="s">
        <v>104</v>
      </c>
      <c r="AC46" s="378"/>
      <c r="AD46" s="363"/>
      <c r="AE46" s="363"/>
      <c r="AF46" s="363"/>
      <c r="AG46" s="364"/>
      <c r="AH46" s="362" t="s">
        <v>105</v>
      </c>
      <c r="AI46" s="363"/>
      <c r="AJ46" s="363"/>
      <c r="AK46" s="363"/>
      <c r="AL46" s="363"/>
      <c r="AM46" s="364"/>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x14ac:dyDescent="0.25">
      <c r="A47" s="81"/>
      <c r="B47" s="81"/>
      <c r="C47" s="81"/>
      <c r="D47" s="81"/>
      <c r="E47" s="81"/>
      <c r="F47" s="81"/>
      <c r="G47" s="81"/>
      <c r="H47" s="81"/>
      <c r="I47" s="81"/>
      <c r="J47" s="365"/>
      <c r="K47" s="366"/>
      <c r="L47" s="366"/>
      <c r="M47" s="366"/>
      <c r="N47" s="366"/>
      <c r="O47" s="367"/>
      <c r="P47" s="365"/>
      <c r="Q47" s="366"/>
      <c r="R47" s="366"/>
      <c r="S47" s="366"/>
      <c r="T47" s="366"/>
      <c r="U47" s="367"/>
      <c r="V47" s="365"/>
      <c r="W47" s="366"/>
      <c r="X47" s="366"/>
      <c r="Y47" s="366"/>
      <c r="Z47" s="366"/>
      <c r="AA47" s="367"/>
      <c r="AB47" s="365"/>
      <c r="AC47" s="366"/>
      <c r="AD47" s="366"/>
      <c r="AE47" s="366"/>
      <c r="AF47" s="366"/>
      <c r="AG47" s="367"/>
      <c r="AH47" s="365"/>
      <c r="AI47" s="366"/>
      <c r="AJ47" s="366"/>
      <c r="AK47" s="366"/>
      <c r="AL47" s="366"/>
      <c r="AM47" s="367"/>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x14ac:dyDescent="0.25">
      <c r="A48" s="81"/>
      <c r="B48" s="81"/>
      <c r="C48" s="81"/>
      <c r="D48" s="81"/>
      <c r="E48" s="81"/>
      <c r="F48" s="81"/>
      <c r="G48" s="81"/>
      <c r="H48" s="81"/>
      <c r="I48" s="81"/>
      <c r="J48" s="365"/>
      <c r="K48" s="366"/>
      <c r="L48" s="366"/>
      <c r="M48" s="366"/>
      <c r="N48" s="366"/>
      <c r="O48" s="367"/>
      <c r="P48" s="365"/>
      <c r="Q48" s="366"/>
      <c r="R48" s="366"/>
      <c r="S48" s="366"/>
      <c r="T48" s="366"/>
      <c r="U48" s="367"/>
      <c r="V48" s="365"/>
      <c r="W48" s="366"/>
      <c r="X48" s="366"/>
      <c r="Y48" s="366"/>
      <c r="Z48" s="366"/>
      <c r="AA48" s="367"/>
      <c r="AB48" s="365"/>
      <c r="AC48" s="366"/>
      <c r="AD48" s="366"/>
      <c r="AE48" s="366"/>
      <c r="AF48" s="366"/>
      <c r="AG48" s="367"/>
      <c r="AH48" s="365"/>
      <c r="AI48" s="366"/>
      <c r="AJ48" s="366"/>
      <c r="AK48" s="366"/>
      <c r="AL48" s="366"/>
      <c r="AM48" s="367"/>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x14ac:dyDescent="0.25">
      <c r="A49" s="81"/>
      <c r="B49" s="81"/>
      <c r="C49" s="81"/>
      <c r="D49" s="81"/>
      <c r="E49" s="81"/>
      <c r="F49" s="81"/>
      <c r="G49" s="81"/>
      <c r="H49" s="81"/>
      <c r="I49" s="81"/>
      <c r="J49" s="365"/>
      <c r="K49" s="366"/>
      <c r="L49" s="366"/>
      <c r="M49" s="366"/>
      <c r="N49" s="366"/>
      <c r="O49" s="367"/>
      <c r="P49" s="365"/>
      <c r="Q49" s="366"/>
      <c r="R49" s="366"/>
      <c r="S49" s="366"/>
      <c r="T49" s="366"/>
      <c r="U49" s="367"/>
      <c r="V49" s="365"/>
      <c r="W49" s="366"/>
      <c r="X49" s="366"/>
      <c r="Y49" s="366"/>
      <c r="Z49" s="366"/>
      <c r="AA49" s="367"/>
      <c r="AB49" s="365"/>
      <c r="AC49" s="366"/>
      <c r="AD49" s="366"/>
      <c r="AE49" s="366"/>
      <c r="AF49" s="366"/>
      <c r="AG49" s="367"/>
      <c r="AH49" s="365"/>
      <c r="AI49" s="366"/>
      <c r="AJ49" s="366"/>
      <c r="AK49" s="366"/>
      <c r="AL49" s="366"/>
      <c r="AM49" s="367"/>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x14ac:dyDescent="0.25">
      <c r="A50" s="81"/>
      <c r="B50" s="81"/>
      <c r="C50" s="81"/>
      <c r="D50" s="81"/>
      <c r="E50" s="81"/>
      <c r="F50" s="81"/>
      <c r="G50" s="81"/>
      <c r="H50" s="81"/>
      <c r="I50" s="81"/>
      <c r="J50" s="365"/>
      <c r="K50" s="366"/>
      <c r="L50" s="366"/>
      <c r="M50" s="366"/>
      <c r="N50" s="366"/>
      <c r="O50" s="367"/>
      <c r="P50" s="365"/>
      <c r="Q50" s="366"/>
      <c r="R50" s="366"/>
      <c r="S50" s="366"/>
      <c r="T50" s="366"/>
      <c r="U50" s="367"/>
      <c r="V50" s="365"/>
      <c r="W50" s="366"/>
      <c r="X50" s="366"/>
      <c r="Y50" s="366"/>
      <c r="Z50" s="366"/>
      <c r="AA50" s="367"/>
      <c r="AB50" s="365"/>
      <c r="AC50" s="366"/>
      <c r="AD50" s="366"/>
      <c r="AE50" s="366"/>
      <c r="AF50" s="366"/>
      <c r="AG50" s="367"/>
      <c r="AH50" s="365"/>
      <c r="AI50" s="366"/>
      <c r="AJ50" s="366"/>
      <c r="AK50" s="366"/>
      <c r="AL50" s="366"/>
      <c r="AM50" s="367"/>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75" thickBot="1" x14ac:dyDescent="0.3">
      <c r="A51" s="81"/>
      <c r="B51" s="81"/>
      <c r="C51" s="81"/>
      <c r="D51" s="81"/>
      <c r="E51" s="81"/>
      <c r="F51" s="81"/>
      <c r="G51" s="81"/>
      <c r="H51" s="81"/>
      <c r="I51" s="81"/>
      <c r="J51" s="368"/>
      <c r="K51" s="369"/>
      <c r="L51" s="369"/>
      <c r="M51" s="369"/>
      <c r="N51" s="369"/>
      <c r="O51" s="370"/>
      <c r="P51" s="368"/>
      <c r="Q51" s="369"/>
      <c r="R51" s="369"/>
      <c r="S51" s="369"/>
      <c r="T51" s="369"/>
      <c r="U51" s="370"/>
      <c r="V51" s="368"/>
      <c r="W51" s="369"/>
      <c r="X51" s="369"/>
      <c r="Y51" s="369"/>
      <c r="Z51" s="369"/>
      <c r="AA51" s="370"/>
      <c r="AB51" s="368"/>
      <c r="AC51" s="369"/>
      <c r="AD51" s="369"/>
      <c r="AE51" s="369"/>
      <c r="AF51" s="369"/>
      <c r="AG51" s="370"/>
      <c r="AH51" s="368"/>
      <c r="AI51" s="369"/>
      <c r="AJ51" s="369"/>
      <c r="AK51" s="369"/>
      <c r="AL51" s="369"/>
      <c r="AM51" s="370"/>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x14ac:dyDescent="0.25">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x14ac:dyDescent="0.25">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x14ac:dyDescent="0.25">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row>
    <row r="63" spans="1:80" x14ac:dyDescent="0.2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row>
    <row r="64" spans="1:80" x14ac:dyDescent="0.2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row>
    <row r="65" spans="1:8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row>
    <row r="66" spans="1:8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row>
    <row r="67" spans="1:8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row>
    <row r="68" spans="1:8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row>
    <row r="69" spans="1:8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row>
    <row r="70" spans="1:8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row>
    <row r="71" spans="1:8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row>
    <row r="72" spans="1:8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row>
    <row r="73" spans="1:8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row>
    <row r="74" spans="1:8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row>
    <row r="75" spans="1:8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row>
    <row r="76" spans="1:8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row>
    <row r="77" spans="1:8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row>
    <row r="78" spans="1:8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row>
    <row r="79" spans="1:8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row>
    <row r="80" spans="1:8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row>
    <row r="81" spans="1:63"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row>
    <row r="82" spans="1:63"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row>
    <row r="83" spans="1:63"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row>
    <row r="84" spans="1:63"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row>
    <row r="85" spans="1:63"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row>
    <row r="86" spans="1:63"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row>
    <row r="87" spans="1:63"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row>
    <row r="88" spans="1:63"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row>
    <row r="89" spans="1:63"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row>
    <row r="90" spans="1:63"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row>
    <row r="91" spans="1:63"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row>
    <row r="92" spans="1:63"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row>
    <row r="93" spans="1:63"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row>
    <row r="94" spans="1:63"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row>
    <row r="95" spans="1:63"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row>
    <row r="96" spans="1:63"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row>
    <row r="97" spans="1:63"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row>
    <row r="98" spans="1:63"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row>
    <row r="99" spans="1:63"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row>
    <row r="100" spans="1:63"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row>
    <row r="101" spans="1:63"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row>
    <row r="102" spans="1:63"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row>
    <row r="103" spans="1:63"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row>
    <row r="104" spans="1:63"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row>
    <row r="105" spans="1:63"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row>
    <row r="106" spans="1:63"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row>
    <row r="107" spans="1:63"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row>
    <row r="108" spans="1:63"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row>
    <row r="109" spans="1:63"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row>
    <row r="110" spans="1:63"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row>
    <row r="111" spans="1:63"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row>
    <row r="112" spans="1:63"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row>
    <row r="113" spans="1:63"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row>
    <row r="114" spans="1:63"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row>
    <row r="115" spans="1:63"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row>
    <row r="116" spans="1:63"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row>
    <row r="117" spans="1:63"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row>
    <row r="118" spans="1:63"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row>
    <row r="119" spans="1:63"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row>
    <row r="120" spans="1:63"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row>
    <row r="121" spans="1:63"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row>
    <row r="122" spans="1:63" x14ac:dyDescent="0.25">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row>
    <row r="123" spans="1:63" x14ac:dyDescent="0.25">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row>
    <row r="124" spans="1:63" x14ac:dyDescent="0.25">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row>
    <row r="125" spans="1:63" x14ac:dyDescent="0.25">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row>
    <row r="126" spans="1:63" x14ac:dyDescent="0.25">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row>
    <row r="127" spans="1:63" x14ac:dyDescent="0.25">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row>
    <row r="128" spans="1:63" x14ac:dyDescent="0.25">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row>
    <row r="129" spans="2:63" x14ac:dyDescent="0.25">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row>
    <row r="130" spans="2:63" x14ac:dyDescent="0.25">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row>
    <row r="131" spans="2:63" x14ac:dyDescent="0.25">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row>
    <row r="132" spans="2:63" x14ac:dyDescent="0.25">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row>
    <row r="133" spans="2:63" x14ac:dyDescent="0.25">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row>
    <row r="134" spans="2:63" x14ac:dyDescent="0.25">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row>
    <row r="135" spans="2:63" x14ac:dyDescent="0.25">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row>
    <row r="136" spans="2:63" x14ac:dyDescent="0.25">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row>
    <row r="137" spans="2:63" x14ac:dyDescent="0.25">
      <c r="B137" s="81"/>
      <c r="C137" s="81"/>
      <c r="D137" s="81"/>
      <c r="E137" s="81"/>
      <c r="F137" s="81"/>
      <c r="G137" s="81"/>
      <c r="H137" s="81"/>
      <c r="I137" s="81"/>
    </row>
    <row r="138" spans="2:63" x14ac:dyDescent="0.25">
      <c r="B138" s="81"/>
      <c r="C138" s="81"/>
      <c r="D138" s="81"/>
      <c r="E138" s="81"/>
      <c r="F138" s="81"/>
      <c r="G138" s="81"/>
      <c r="H138" s="81"/>
      <c r="I138" s="81"/>
    </row>
    <row r="139" spans="2:63" x14ac:dyDescent="0.25">
      <c r="B139" s="81"/>
      <c r="C139" s="81"/>
      <c r="D139" s="81"/>
      <c r="E139" s="81"/>
      <c r="F139" s="81"/>
      <c r="G139" s="81"/>
      <c r="H139" s="81"/>
      <c r="I139" s="81"/>
    </row>
    <row r="140" spans="2:63" x14ac:dyDescent="0.25">
      <c r="B140" s="81"/>
      <c r="C140" s="81"/>
      <c r="D140" s="81"/>
      <c r="E140" s="81"/>
      <c r="F140" s="81"/>
      <c r="G140" s="81"/>
      <c r="H140" s="81"/>
      <c r="I140" s="81"/>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J6" sqref="J6"/>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row>
    <row r="2" spans="1:91" ht="18" customHeight="1" x14ac:dyDescent="0.25">
      <c r="A2" s="81"/>
      <c r="B2" s="435" t="s">
        <v>106</v>
      </c>
      <c r="C2" s="436"/>
      <c r="D2" s="436"/>
      <c r="E2" s="436"/>
      <c r="F2" s="436"/>
      <c r="G2" s="436"/>
      <c r="H2" s="436"/>
      <c r="I2" s="436"/>
      <c r="J2" s="377" t="s">
        <v>13</v>
      </c>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row>
    <row r="3" spans="1:91" ht="18.75" customHeight="1" x14ac:dyDescent="0.25">
      <c r="A3" s="81"/>
      <c r="B3" s="436"/>
      <c r="C3" s="436"/>
      <c r="D3" s="436"/>
      <c r="E3" s="436"/>
      <c r="F3" s="436"/>
      <c r="G3" s="436"/>
      <c r="H3" s="436"/>
      <c r="I3" s="436"/>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row>
    <row r="4" spans="1:91" ht="15" customHeight="1" x14ac:dyDescent="0.25">
      <c r="A4" s="81"/>
      <c r="B4" s="436"/>
      <c r="C4" s="436"/>
      <c r="D4" s="436"/>
      <c r="E4" s="436"/>
      <c r="F4" s="436"/>
      <c r="G4" s="436"/>
      <c r="H4" s="436"/>
      <c r="I4" s="436"/>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row>
    <row r="5" spans="1:91"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row>
    <row r="6" spans="1:91" ht="15" customHeight="1" x14ac:dyDescent="0.25">
      <c r="A6" s="81"/>
      <c r="B6" s="324" t="s">
        <v>91</v>
      </c>
      <c r="C6" s="324"/>
      <c r="D6" s="325"/>
      <c r="E6" s="419" t="s">
        <v>92</v>
      </c>
      <c r="F6" s="420"/>
      <c r="G6" s="420"/>
      <c r="H6" s="420"/>
      <c r="I6" s="437"/>
      <c r="J6" s="44" t="str">
        <f>IF(AND('Mapa final'!$Y$25="Muy Alta",'Mapa final'!$AA$25="Leve"),CONCATENATE("R1C",'Mapa final'!$O$25),"")</f>
        <v/>
      </c>
      <c r="K6" s="45" t="str">
        <f>IF(AND('Mapa final'!$Y$26="Muy Alta",'Mapa final'!$AA$26="Leve"),CONCATENATE("R1C",'Mapa final'!$O$26),"")</f>
        <v/>
      </c>
      <c r="L6" s="45" t="str">
        <f>IF(AND('Mapa final'!$Y$27="Muy Alta",'Mapa final'!$AA$27="Leve"),CONCATENATE("R1C",'Mapa final'!$O$27),"")</f>
        <v/>
      </c>
      <c r="M6" s="45" t="e">
        <f>IF(AND('Mapa final'!#REF!="Muy Alta",'Mapa final'!#REF!="Leve"),CONCATENATE("R1C",'Mapa final'!#REF!),"")</f>
        <v>#REF!</v>
      </c>
      <c r="N6" s="45" t="e">
        <f>IF(AND('Mapa final'!#REF!="Muy Alta",'Mapa final'!#REF!="Leve"),CONCATENATE("R1C",'Mapa final'!#REF!),"")</f>
        <v>#REF!</v>
      </c>
      <c r="O6" s="46" t="e">
        <f>IF(AND('Mapa final'!#REF!="Muy Alta",'Mapa final'!#REF!="Leve"),CONCATENATE("R1C",'Mapa final'!#REF!),"")</f>
        <v>#REF!</v>
      </c>
      <c r="P6" s="44" t="str">
        <f>IF(AND('Mapa final'!$Y$25="Muy Alta",'Mapa final'!$AA$25="Menor"),CONCATENATE("R1C",'Mapa final'!$O$25),"")</f>
        <v/>
      </c>
      <c r="Q6" s="45" t="str">
        <f>IF(AND('Mapa final'!$Y$26="Muy Alta",'Mapa final'!$AA$26="Menor"),CONCATENATE("R1C",'Mapa final'!$O$26),"")</f>
        <v/>
      </c>
      <c r="R6" s="45" t="str">
        <f>IF(AND('Mapa final'!$Y$27="Muy Alta",'Mapa final'!$AA$27="Menor"),CONCATENATE("R1C",'Mapa final'!$O$27),"")</f>
        <v/>
      </c>
      <c r="S6" s="45" t="e">
        <f>IF(AND('Mapa final'!#REF!="Muy Alta",'Mapa final'!#REF!="Menor"),CONCATENATE("R1C",'Mapa final'!#REF!),"")</f>
        <v>#REF!</v>
      </c>
      <c r="T6" s="45" t="e">
        <f>IF(AND('Mapa final'!#REF!="Muy Alta",'Mapa final'!#REF!="Menor"),CONCATENATE("R1C",'Mapa final'!#REF!),"")</f>
        <v>#REF!</v>
      </c>
      <c r="U6" s="46" t="e">
        <f>IF(AND('Mapa final'!#REF!="Muy Alta",'Mapa final'!#REF!="Menor"),CONCATENATE("R1C",'Mapa final'!#REF!),"")</f>
        <v>#REF!</v>
      </c>
      <c r="V6" s="44" t="str">
        <f>IF(AND('Mapa final'!$Y$25="Muy Alta",'Mapa final'!$AA$25="Moderado"),CONCATENATE("R1C",'Mapa final'!$O$25),"")</f>
        <v/>
      </c>
      <c r="W6" s="45" t="str">
        <f>IF(AND('Mapa final'!$Y$26="Muy Alta",'Mapa final'!$AA$26="Moderado"),CONCATENATE("R1C",'Mapa final'!$O$26),"")</f>
        <v/>
      </c>
      <c r="X6" s="45" t="str">
        <f>IF(AND('Mapa final'!$Y$27="Muy Alta",'Mapa final'!$AA$27="Moderado"),CONCATENATE("R1C",'Mapa final'!$O$27),"")</f>
        <v/>
      </c>
      <c r="Y6" s="45" t="e">
        <f>IF(AND('Mapa final'!#REF!="Muy Alta",'Mapa final'!#REF!="Moderado"),CONCATENATE("R1C",'Mapa final'!#REF!),"")</f>
        <v>#REF!</v>
      </c>
      <c r="Z6" s="45" t="e">
        <f>IF(AND('Mapa final'!#REF!="Muy Alta",'Mapa final'!#REF!="Moderado"),CONCATENATE("R1C",'Mapa final'!#REF!),"")</f>
        <v>#REF!</v>
      </c>
      <c r="AA6" s="46" t="e">
        <f>IF(AND('Mapa final'!#REF!="Muy Alta",'Mapa final'!#REF!="Moderado"),CONCATENATE("R1C",'Mapa final'!#REF!),"")</f>
        <v>#REF!</v>
      </c>
      <c r="AB6" s="44" t="str">
        <f>IF(AND('Mapa final'!$Y$25="Muy Alta",'Mapa final'!$AA$25="Mayor"),CONCATENATE("R1C",'Mapa final'!$O$25),"")</f>
        <v/>
      </c>
      <c r="AC6" s="45" t="str">
        <f>IF(AND('Mapa final'!$Y$26="Muy Alta",'Mapa final'!$AA$26="Mayor"),CONCATENATE("R1C",'Mapa final'!$O$26),"")</f>
        <v/>
      </c>
      <c r="AD6" s="45" t="str">
        <f>IF(AND('Mapa final'!$Y$27="Muy Alta",'Mapa final'!$AA$27="Mayor"),CONCATENATE("R1C",'Mapa final'!$O$27),"")</f>
        <v/>
      </c>
      <c r="AE6" s="45" t="e">
        <f>IF(AND('Mapa final'!#REF!="Muy Alta",'Mapa final'!#REF!="Mayor"),CONCATENATE("R1C",'Mapa final'!#REF!),"")</f>
        <v>#REF!</v>
      </c>
      <c r="AF6" s="45" t="e">
        <f>IF(AND('Mapa final'!#REF!="Muy Alta",'Mapa final'!#REF!="Mayor"),CONCATENATE("R1C",'Mapa final'!#REF!),"")</f>
        <v>#REF!</v>
      </c>
      <c r="AG6" s="46" t="e">
        <f>IF(AND('Mapa final'!#REF!="Muy Alta",'Mapa final'!#REF!="Mayor"),CONCATENATE("R1C",'Mapa final'!#REF!),"")</f>
        <v>#REF!</v>
      </c>
      <c r="AH6" s="47" t="str">
        <f>IF(AND('Mapa final'!$Y$25="Muy Alta",'Mapa final'!$AA$25="Catastrófico"),CONCATENATE("R1C",'Mapa final'!$O$25),"")</f>
        <v/>
      </c>
      <c r="AI6" s="48" t="str">
        <f>IF(AND('Mapa final'!$Y$26="Muy Alta",'Mapa final'!$AA$26="Catastrófico"),CONCATENATE("R1C",'Mapa final'!$O$26),"")</f>
        <v/>
      </c>
      <c r="AJ6" s="48" t="str">
        <f>IF(AND('Mapa final'!$Y$27="Muy Alta",'Mapa final'!$AA$27="Catastrófico"),CONCATENATE("R1C",'Mapa final'!$O$27),"")</f>
        <v/>
      </c>
      <c r="AK6" s="48" t="e">
        <f>IF(AND('Mapa final'!#REF!="Muy Alta",'Mapa final'!#REF!="Catastrófico"),CONCATENATE("R1C",'Mapa final'!#REF!),"")</f>
        <v>#REF!</v>
      </c>
      <c r="AL6" s="48" t="e">
        <f>IF(AND('Mapa final'!#REF!="Muy Alta",'Mapa final'!#REF!="Catastrófico"),CONCATENATE("R1C",'Mapa final'!#REF!),"")</f>
        <v>#REF!</v>
      </c>
      <c r="AM6" s="49" t="e">
        <f>IF(AND('Mapa final'!#REF!="Muy Alta",'Mapa final'!#REF!="Catastrófico"),CONCATENATE("R1C",'Mapa final'!#REF!),"")</f>
        <v>#REF!</v>
      </c>
      <c r="AN6" s="81"/>
      <c r="AO6" s="426" t="s">
        <v>93</v>
      </c>
      <c r="AP6" s="427"/>
      <c r="AQ6" s="427"/>
      <c r="AR6" s="427"/>
      <c r="AS6" s="427"/>
      <c r="AT6" s="428"/>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row>
    <row r="7" spans="1:91" ht="15" customHeight="1" x14ac:dyDescent="0.25">
      <c r="A7" s="81"/>
      <c r="B7" s="324"/>
      <c r="C7" s="324"/>
      <c r="D7" s="325"/>
      <c r="E7" s="423"/>
      <c r="F7" s="422"/>
      <c r="G7" s="422"/>
      <c r="H7" s="422"/>
      <c r="I7" s="438"/>
      <c r="J7" s="50" t="str">
        <f>IF(AND('Mapa final'!$Y$28="Muy Alta",'Mapa final'!$AA$28="Leve"),CONCATENATE("R2C",'Mapa final'!$O$28),"")</f>
        <v/>
      </c>
      <c r="K7" s="51" t="str">
        <f>IF(AND('Mapa final'!$Y$29="Muy Alta",'Mapa final'!$AA$29="Leve"),CONCATENATE("R2C",'Mapa final'!$O$29),"")</f>
        <v/>
      </c>
      <c r="L7" s="51" t="e">
        <f>IF(AND('Mapa final'!#REF!="Muy Alta",'Mapa final'!#REF!="Leve"),CONCATENATE("R2C",'Mapa final'!#REF!),"")</f>
        <v>#REF!</v>
      </c>
      <c r="M7" s="51" t="e">
        <f>IF(AND('Mapa final'!#REF!="Muy Alta",'Mapa final'!#REF!="Leve"),CONCATENATE("R2C",'Mapa final'!#REF!),"")</f>
        <v>#REF!</v>
      </c>
      <c r="N7" s="51" t="e">
        <f>IF(AND('Mapa final'!#REF!="Muy Alta",'Mapa final'!#REF!="Leve"),CONCATENATE("R2C",'Mapa final'!#REF!),"")</f>
        <v>#REF!</v>
      </c>
      <c r="O7" s="52" t="e">
        <f>IF(AND('Mapa final'!#REF!="Muy Alta",'Mapa final'!#REF!="Leve"),CONCATENATE("R2C",'Mapa final'!#REF!),"")</f>
        <v>#REF!</v>
      </c>
      <c r="P7" s="50" t="str">
        <f>IF(AND('Mapa final'!$Y$28="Muy Alta",'Mapa final'!$AA$28="Menor"),CONCATENATE("R2C",'Mapa final'!$O$28),"")</f>
        <v/>
      </c>
      <c r="Q7" s="51" t="str">
        <f>IF(AND('Mapa final'!$Y$29="Muy Alta",'Mapa final'!$AA$29="Menor"),CONCATENATE("R2C",'Mapa final'!$O$29),"")</f>
        <v/>
      </c>
      <c r="R7" s="51" t="e">
        <f>IF(AND('Mapa final'!#REF!="Muy Alta",'Mapa final'!#REF!="Menor"),CONCATENATE("R2C",'Mapa final'!#REF!),"")</f>
        <v>#REF!</v>
      </c>
      <c r="S7" s="51" t="e">
        <f>IF(AND('Mapa final'!#REF!="Muy Alta",'Mapa final'!#REF!="Menor"),CONCATENATE("R2C",'Mapa final'!#REF!),"")</f>
        <v>#REF!</v>
      </c>
      <c r="T7" s="51" t="e">
        <f>IF(AND('Mapa final'!#REF!="Muy Alta",'Mapa final'!#REF!="Menor"),CONCATENATE("R2C",'Mapa final'!#REF!),"")</f>
        <v>#REF!</v>
      </c>
      <c r="U7" s="52" t="e">
        <f>IF(AND('Mapa final'!#REF!="Muy Alta",'Mapa final'!#REF!="Menor"),CONCATENATE("R2C",'Mapa final'!#REF!),"")</f>
        <v>#REF!</v>
      </c>
      <c r="V7" s="50" t="str">
        <f>IF(AND('Mapa final'!$Y$28="Muy Alta",'Mapa final'!$AA$28="Moderado"),CONCATENATE("R2C",'Mapa final'!$O$28),"")</f>
        <v/>
      </c>
      <c r="W7" s="51" t="str">
        <f>IF(AND('Mapa final'!$Y$29="Muy Alta",'Mapa final'!$AA$29="Moderado"),CONCATENATE("R2C",'Mapa final'!$O$29),"")</f>
        <v/>
      </c>
      <c r="X7" s="51" t="e">
        <f>IF(AND('Mapa final'!#REF!="Muy Alta",'Mapa final'!#REF!="Moderado"),CONCATENATE("R2C",'Mapa final'!#REF!),"")</f>
        <v>#REF!</v>
      </c>
      <c r="Y7" s="51" t="e">
        <f>IF(AND('Mapa final'!#REF!="Muy Alta",'Mapa final'!#REF!="Moderado"),CONCATENATE("R2C",'Mapa final'!#REF!),"")</f>
        <v>#REF!</v>
      </c>
      <c r="Z7" s="51" t="e">
        <f>IF(AND('Mapa final'!#REF!="Muy Alta",'Mapa final'!#REF!="Moderado"),CONCATENATE("R2C",'Mapa final'!#REF!),"")</f>
        <v>#REF!</v>
      </c>
      <c r="AA7" s="52" t="e">
        <f>IF(AND('Mapa final'!#REF!="Muy Alta",'Mapa final'!#REF!="Moderado"),CONCATENATE("R2C",'Mapa final'!#REF!),"")</f>
        <v>#REF!</v>
      </c>
      <c r="AB7" s="50" t="str">
        <f>IF(AND('Mapa final'!$Y$28="Muy Alta",'Mapa final'!$AA$28="Mayor"),CONCATENATE("R2C",'Mapa final'!$O$28),"")</f>
        <v/>
      </c>
      <c r="AC7" s="51" t="str">
        <f>IF(AND('Mapa final'!$Y$29="Muy Alta",'Mapa final'!$AA$29="Mayor"),CONCATENATE("R2C",'Mapa final'!$O$29),"")</f>
        <v/>
      </c>
      <c r="AD7" s="51" t="e">
        <f>IF(AND('Mapa final'!#REF!="Muy Alta",'Mapa final'!#REF!="Mayor"),CONCATENATE("R2C",'Mapa final'!#REF!),"")</f>
        <v>#REF!</v>
      </c>
      <c r="AE7" s="51" t="e">
        <f>IF(AND('Mapa final'!#REF!="Muy Alta",'Mapa final'!#REF!="Mayor"),CONCATENATE("R2C",'Mapa final'!#REF!),"")</f>
        <v>#REF!</v>
      </c>
      <c r="AF7" s="51" t="e">
        <f>IF(AND('Mapa final'!#REF!="Muy Alta",'Mapa final'!#REF!="Mayor"),CONCATENATE("R2C",'Mapa final'!#REF!),"")</f>
        <v>#REF!</v>
      </c>
      <c r="AG7" s="52" t="e">
        <f>IF(AND('Mapa final'!#REF!="Muy Alta",'Mapa final'!#REF!="Mayor"),CONCATENATE("R2C",'Mapa final'!#REF!),"")</f>
        <v>#REF!</v>
      </c>
      <c r="AH7" s="53" t="str">
        <f>IF(AND('Mapa final'!$Y$28="Muy Alta",'Mapa final'!$AA$28="Catastrófico"),CONCATENATE("R2C",'Mapa final'!$O$28),"")</f>
        <v/>
      </c>
      <c r="AI7" s="54" t="str">
        <f>IF(AND('Mapa final'!$Y$29="Muy Alta",'Mapa final'!$AA$29="Catastrófico"),CONCATENATE("R2C",'Mapa final'!$O$29),"")</f>
        <v/>
      </c>
      <c r="AJ7" s="54" t="e">
        <f>IF(AND('Mapa final'!#REF!="Muy Alta",'Mapa final'!#REF!="Catastrófico"),CONCATENATE("R2C",'Mapa final'!#REF!),"")</f>
        <v>#REF!</v>
      </c>
      <c r="AK7" s="54" t="e">
        <f>IF(AND('Mapa final'!#REF!="Muy Alta",'Mapa final'!#REF!="Catastrófico"),CONCATENATE("R2C",'Mapa final'!#REF!),"")</f>
        <v>#REF!</v>
      </c>
      <c r="AL7" s="54" t="e">
        <f>IF(AND('Mapa final'!#REF!="Muy Alta",'Mapa final'!#REF!="Catastrófico"),CONCATENATE("R2C",'Mapa final'!#REF!),"")</f>
        <v>#REF!</v>
      </c>
      <c r="AM7" s="55" t="e">
        <f>IF(AND('Mapa final'!#REF!="Muy Alta",'Mapa final'!#REF!="Catastrófico"),CONCATENATE("R2C",'Mapa final'!#REF!),"")</f>
        <v>#REF!</v>
      </c>
      <c r="AN7" s="81"/>
      <c r="AO7" s="429"/>
      <c r="AP7" s="430"/>
      <c r="AQ7" s="430"/>
      <c r="AR7" s="430"/>
      <c r="AS7" s="430"/>
      <c r="AT7" s="43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row>
    <row r="8" spans="1:91" ht="15" customHeight="1" x14ac:dyDescent="0.25">
      <c r="A8" s="81"/>
      <c r="B8" s="324"/>
      <c r="C8" s="324"/>
      <c r="D8" s="325"/>
      <c r="E8" s="423"/>
      <c r="F8" s="422"/>
      <c r="G8" s="422"/>
      <c r="H8" s="422"/>
      <c r="I8" s="438"/>
      <c r="J8" s="50" t="str">
        <f>IF(AND('Mapa final'!$Y$30="Muy Alta",'Mapa final'!$AA$30="Leve"),CONCATENATE("R3C",'Mapa final'!$O$30),"")</f>
        <v/>
      </c>
      <c r="K8" s="51" t="str">
        <f>IF(AND('Mapa final'!$Y$31="Muy Alta",'Mapa final'!$AA$31="Leve"),CONCATENATE("R3C",'Mapa final'!$O$31),"")</f>
        <v/>
      </c>
      <c r="L8" s="51" t="e">
        <f>IF(AND('Mapa final'!#REF!="Muy Alta",'Mapa final'!#REF!="Leve"),CONCATENATE("R3C",'Mapa final'!#REF!),"")</f>
        <v>#REF!</v>
      </c>
      <c r="M8" s="51" t="e">
        <f>IF(AND('Mapa final'!#REF!="Muy Alta",'Mapa final'!#REF!="Leve"),CONCATENATE("R3C",'Mapa final'!#REF!),"")</f>
        <v>#REF!</v>
      </c>
      <c r="N8" s="51" t="e">
        <f>IF(AND('Mapa final'!#REF!="Muy Alta",'Mapa final'!#REF!="Leve"),CONCATENATE("R3C",'Mapa final'!#REF!),"")</f>
        <v>#REF!</v>
      </c>
      <c r="O8" s="52" t="e">
        <f>IF(AND('Mapa final'!#REF!="Muy Alta",'Mapa final'!#REF!="Leve"),CONCATENATE("R3C",'Mapa final'!#REF!),"")</f>
        <v>#REF!</v>
      </c>
      <c r="P8" s="50" t="str">
        <f>IF(AND('Mapa final'!$Y$30="Muy Alta",'Mapa final'!$AA$30="Menor"),CONCATENATE("R3C",'Mapa final'!$O$30),"")</f>
        <v/>
      </c>
      <c r="Q8" s="51" t="str">
        <f>IF(AND('Mapa final'!$Y$31="Muy Alta",'Mapa final'!$AA$31="Menor"),CONCATENATE("R3C",'Mapa final'!$O$31),"")</f>
        <v/>
      </c>
      <c r="R8" s="51" t="e">
        <f>IF(AND('Mapa final'!#REF!="Muy Alta",'Mapa final'!#REF!="Menor"),CONCATENATE("R3C",'Mapa final'!#REF!),"")</f>
        <v>#REF!</v>
      </c>
      <c r="S8" s="51" t="e">
        <f>IF(AND('Mapa final'!#REF!="Muy Alta",'Mapa final'!#REF!="Menor"),CONCATENATE("R3C",'Mapa final'!#REF!),"")</f>
        <v>#REF!</v>
      </c>
      <c r="T8" s="51" t="e">
        <f>IF(AND('Mapa final'!#REF!="Muy Alta",'Mapa final'!#REF!="Menor"),CONCATENATE("R3C",'Mapa final'!#REF!),"")</f>
        <v>#REF!</v>
      </c>
      <c r="U8" s="52" t="e">
        <f>IF(AND('Mapa final'!#REF!="Muy Alta",'Mapa final'!#REF!="Menor"),CONCATENATE("R3C",'Mapa final'!#REF!),"")</f>
        <v>#REF!</v>
      </c>
      <c r="V8" s="50" t="str">
        <f>IF(AND('Mapa final'!$Y$30="Muy Alta",'Mapa final'!$AA$30="Moderado"),CONCATENATE("R3C",'Mapa final'!$O$30),"")</f>
        <v/>
      </c>
      <c r="W8" s="51" t="str">
        <f>IF(AND('Mapa final'!$Y$31="Muy Alta",'Mapa final'!$AA$31="Moderado"),CONCATENATE("R3C",'Mapa final'!$O$31),"")</f>
        <v/>
      </c>
      <c r="X8" s="51" t="e">
        <f>IF(AND('Mapa final'!#REF!="Muy Alta",'Mapa final'!#REF!="Moderado"),CONCATENATE("R3C",'Mapa final'!#REF!),"")</f>
        <v>#REF!</v>
      </c>
      <c r="Y8" s="51" t="e">
        <f>IF(AND('Mapa final'!#REF!="Muy Alta",'Mapa final'!#REF!="Moderado"),CONCATENATE("R3C",'Mapa final'!#REF!),"")</f>
        <v>#REF!</v>
      </c>
      <c r="Z8" s="51" t="e">
        <f>IF(AND('Mapa final'!#REF!="Muy Alta",'Mapa final'!#REF!="Moderado"),CONCATENATE("R3C",'Mapa final'!#REF!),"")</f>
        <v>#REF!</v>
      </c>
      <c r="AA8" s="52" t="e">
        <f>IF(AND('Mapa final'!#REF!="Muy Alta",'Mapa final'!#REF!="Moderado"),CONCATENATE("R3C",'Mapa final'!#REF!),"")</f>
        <v>#REF!</v>
      </c>
      <c r="AB8" s="50" t="str">
        <f>IF(AND('Mapa final'!$Y$30="Muy Alta",'Mapa final'!$AA$30="Mayor"),CONCATENATE("R3C",'Mapa final'!$O$30),"")</f>
        <v/>
      </c>
      <c r="AC8" s="51" t="str">
        <f>IF(AND('Mapa final'!$Y$31="Muy Alta",'Mapa final'!$AA$31="Mayor"),CONCATENATE("R3C",'Mapa final'!$O$31),"")</f>
        <v/>
      </c>
      <c r="AD8" s="51" t="e">
        <f>IF(AND('Mapa final'!#REF!="Muy Alta",'Mapa final'!#REF!="Mayor"),CONCATENATE("R3C",'Mapa final'!#REF!),"")</f>
        <v>#REF!</v>
      </c>
      <c r="AE8" s="51" t="e">
        <f>IF(AND('Mapa final'!#REF!="Muy Alta",'Mapa final'!#REF!="Mayor"),CONCATENATE("R3C",'Mapa final'!#REF!),"")</f>
        <v>#REF!</v>
      </c>
      <c r="AF8" s="51" t="e">
        <f>IF(AND('Mapa final'!#REF!="Muy Alta",'Mapa final'!#REF!="Mayor"),CONCATENATE("R3C",'Mapa final'!#REF!),"")</f>
        <v>#REF!</v>
      </c>
      <c r="AG8" s="52" t="e">
        <f>IF(AND('Mapa final'!#REF!="Muy Alta",'Mapa final'!#REF!="Mayor"),CONCATENATE("R3C",'Mapa final'!#REF!),"")</f>
        <v>#REF!</v>
      </c>
      <c r="AH8" s="53" t="str">
        <f>IF(AND('Mapa final'!$Y$30="Muy Alta",'Mapa final'!$AA$30="Catastrófico"),CONCATENATE("R3C",'Mapa final'!$O$30),"")</f>
        <v/>
      </c>
      <c r="AI8" s="54" t="str">
        <f>IF(AND('Mapa final'!$Y$31="Muy Alta",'Mapa final'!$AA$31="Catastrófico"),CONCATENATE("R3C",'Mapa final'!$O$31),"")</f>
        <v/>
      </c>
      <c r="AJ8" s="54" t="e">
        <f>IF(AND('Mapa final'!#REF!="Muy Alta",'Mapa final'!#REF!="Catastrófico"),CONCATENATE("R3C",'Mapa final'!#REF!),"")</f>
        <v>#REF!</v>
      </c>
      <c r="AK8" s="54" t="e">
        <f>IF(AND('Mapa final'!#REF!="Muy Alta",'Mapa final'!#REF!="Catastrófico"),CONCATENATE("R3C",'Mapa final'!#REF!),"")</f>
        <v>#REF!</v>
      </c>
      <c r="AL8" s="54" t="e">
        <f>IF(AND('Mapa final'!#REF!="Muy Alta",'Mapa final'!#REF!="Catastrófico"),CONCATENATE("R3C",'Mapa final'!#REF!),"")</f>
        <v>#REF!</v>
      </c>
      <c r="AM8" s="55" t="e">
        <f>IF(AND('Mapa final'!#REF!="Muy Alta",'Mapa final'!#REF!="Catastrófico"),CONCATENATE("R3C",'Mapa final'!#REF!),"")</f>
        <v>#REF!</v>
      </c>
      <c r="AN8" s="81"/>
      <c r="AO8" s="429"/>
      <c r="AP8" s="430"/>
      <c r="AQ8" s="430"/>
      <c r="AR8" s="430"/>
      <c r="AS8" s="430"/>
      <c r="AT8" s="43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row>
    <row r="9" spans="1:91" ht="15" customHeight="1" x14ac:dyDescent="0.25">
      <c r="A9" s="81"/>
      <c r="B9" s="324"/>
      <c r="C9" s="324"/>
      <c r="D9" s="325"/>
      <c r="E9" s="423"/>
      <c r="F9" s="422"/>
      <c r="G9" s="422"/>
      <c r="H9" s="422"/>
      <c r="I9" s="438"/>
      <c r="J9" s="50" t="str">
        <f>IF(AND('Mapa final'!$Y$32="Muy Alta",'Mapa final'!$AA$32="Leve"),CONCATENATE("R4C",'Mapa final'!$O$32),"")</f>
        <v/>
      </c>
      <c r="K9" s="51" t="str">
        <f>IF(AND('Mapa final'!$Y$33="Muy Alta",'Mapa final'!$AA$33="Leve"),CONCATENATE("R4C",'Mapa final'!$O$33),"")</f>
        <v/>
      </c>
      <c r="L9" s="51" t="str">
        <f>IF(AND('Mapa final'!$Y$34="Muy Alta",'Mapa final'!$AA$34="Leve"),CONCATENATE("R4C",'Mapa final'!$O$34),"")</f>
        <v/>
      </c>
      <c r="M9" s="51" t="str">
        <f>IF(AND('Mapa final'!$Y$35="Muy Alta",'Mapa final'!$AA$35="Leve"),CONCATENATE("R4C",'Mapa final'!$O$35),"")</f>
        <v/>
      </c>
      <c r="N9" s="51" t="str">
        <f>IF(AND('Mapa final'!$Y$36="Muy Alta",'Mapa final'!$AA$36="Leve"),CONCATENATE("R4C",'Mapa final'!$O$36),"")</f>
        <v/>
      </c>
      <c r="O9" s="52" t="str">
        <f>IF(AND('Mapa final'!$Y$37="Muy Alta",'Mapa final'!$AA$37="Leve"),CONCATENATE("R4C",'Mapa final'!$O$37),"")</f>
        <v/>
      </c>
      <c r="P9" s="50" t="str">
        <f>IF(AND('Mapa final'!$Y$32="Muy Alta",'Mapa final'!$AA$32="Menor"),CONCATENATE("R4C",'Mapa final'!$O$32),"")</f>
        <v/>
      </c>
      <c r="Q9" s="51" t="str">
        <f>IF(AND('Mapa final'!$Y$33="Muy Alta",'Mapa final'!$AA$33="Menor"),CONCATENATE("R4C",'Mapa final'!$O$33),"")</f>
        <v/>
      </c>
      <c r="R9" s="51" t="str">
        <f>IF(AND('Mapa final'!$Y$34="Muy Alta",'Mapa final'!$AA$34="Menor"),CONCATENATE("R4C",'Mapa final'!$O$34),"")</f>
        <v/>
      </c>
      <c r="S9" s="51" t="str">
        <f>IF(AND('Mapa final'!$Y$35="Muy Alta",'Mapa final'!$AA$35="Menor"),CONCATENATE("R4C",'Mapa final'!$O$35),"")</f>
        <v/>
      </c>
      <c r="T9" s="51" t="str">
        <f>IF(AND('Mapa final'!$Y$36="Muy Alta",'Mapa final'!$AA$36="Menor"),CONCATENATE("R4C",'Mapa final'!$O$36),"")</f>
        <v/>
      </c>
      <c r="U9" s="52" t="str">
        <f>IF(AND('Mapa final'!$Y$37="Muy Alta",'Mapa final'!$AA$37="Menor"),CONCATENATE("R4C",'Mapa final'!$O$37),"")</f>
        <v/>
      </c>
      <c r="V9" s="50" t="str">
        <f>IF(AND('Mapa final'!$Y$32="Muy Alta",'Mapa final'!$AA$32="Moderado"),CONCATENATE("R4C",'Mapa final'!$O$32),"")</f>
        <v/>
      </c>
      <c r="W9" s="51" t="str">
        <f>IF(AND('Mapa final'!$Y$33="Muy Alta",'Mapa final'!$AA$33="Moderado"),CONCATENATE("R4C",'Mapa final'!$O$33),"")</f>
        <v/>
      </c>
      <c r="X9" s="51" t="str">
        <f>IF(AND('Mapa final'!$Y$34="Muy Alta",'Mapa final'!$AA$34="Moderado"),CONCATENATE("R4C",'Mapa final'!$O$34),"")</f>
        <v/>
      </c>
      <c r="Y9" s="51" t="str">
        <f>IF(AND('Mapa final'!$Y$35="Muy Alta",'Mapa final'!$AA$35="Moderado"),CONCATENATE("R4C",'Mapa final'!$O$35),"")</f>
        <v/>
      </c>
      <c r="Z9" s="51" t="str">
        <f>IF(AND('Mapa final'!$Y$36="Muy Alta",'Mapa final'!$AA$36="Moderado"),CONCATENATE("R4C",'Mapa final'!$O$36),"")</f>
        <v/>
      </c>
      <c r="AA9" s="52" t="str">
        <f>IF(AND('Mapa final'!$Y$37="Muy Alta",'Mapa final'!$AA$37="Moderado"),CONCATENATE("R4C",'Mapa final'!$O$37),"")</f>
        <v/>
      </c>
      <c r="AB9" s="50" t="str">
        <f>IF(AND('Mapa final'!$Y$32="Muy Alta",'Mapa final'!$AA$32="Mayor"),CONCATENATE("R4C",'Mapa final'!$O$32),"")</f>
        <v/>
      </c>
      <c r="AC9" s="51" t="str">
        <f>IF(AND('Mapa final'!$Y$33="Muy Alta",'Mapa final'!$AA$33="Mayor"),CONCATENATE("R4C",'Mapa final'!$O$33),"")</f>
        <v/>
      </c>
      <c r="AD9" s="51" t="str">
        <f>IF(AND('Mapa final'!$Y$34="Muy Alta",'Mapa final'!$AA$34="Mayor"),CONCATENATE("R4C",'Mapa final'!$O$34),"")</f>
        <v/>
      </c>
      <c r="AE9" s="51" t="str">
        <f>IF(AND('Mapa final'!$Y$35="Muy Alta",'Mapa final'!$AA$35="Mayor"),CONCATENATE("R4C",'Mapa final'!$O$35),"")</f>
        <v/>
      </c>
      <c r="AF9" s="51" t="str">
        <f>IF(AND('Mapa final'!$Y$36="Muy Alta",'Mapa final'!$AA$36="Mayor"),CONCATENATE("R4C",'Mapa final'!$O$36),"")</f>
        <v/>
      </c>
      <c r="AG9" s="52" t="str">
        <f>IF(AND('Mapa final'!$Y$37="Muy Alta",'Mapa final'!$AA$37="Mayor"),CONCATENATE("R4C",'Mapa final'!$O$37),"")</f>
        <v/>
      </c>
      <c r="AH9" s="53" t="str">
        <f>IF(AND('Mapa final'!$Y$32="Muy Alta",'Mapa final'!$AA$32="Catastrófico"),CONCATENATE("R4C",'Mapa final'!$O$32),"")</f>
        <v/>
      </c>
      <c r="AI9" s="54" t="str">
        <f>IF(AND('Mapa final'!$Y$33="Muy Alta",'Mapa final'!$AA$33="Catastrófico"),CONCATENATE("R4C",'Mapa final'!$O$33),"")</f>
        <v/>
      </c>
      <c r="AJ9" s="54" t="str">
        <f>IF(AND('Mapa final'!$Y$34="Muy Alta",'Mapa final'!$AA$34="Catastrófico"),CONCATENATE("R4C",'Mapa final'!$O$34),"")</f>
        <v/>
      </c>
      <c r="AK9" s="54" t="str">
        <f>IF(AND('Mapa final'!$Y$35="Muy Alta",'Mapa final'!$AA$35="Catastrófico"),CONCATENATE("R4C",'Mapa final'!$O$35),"")</f>
        <v/>
      </c>
      <c r="AL9" s="54" t="str">
        <f>IF(AND('Mapa final'!$Y$36="Muy Alta",'Mapa final'!$AA$36="Catastrófico"),CONCATENATE("R4C",'Mapa final'!$O$36),"")</f>
        <v/>
      </c>
      <c r="AM9" s="55" t="str">
        <f>IF(AND('Mapa final'!$Y$37="Muy Alta",'Mapa final'!$AA$37="Catastrófico"),CONCATENATE("R4C",'Mapa final'!$O$37),"")</f>
        <v/>
      </c>
      <c r="AN9" s="81"/>
      <c r="AO9" s="429"/>
      <c r="AP9" s="430"/>
      <c r="AQ9" s="430"/>
      <c r="AR9" s="430"/>
      <c r="AS9" s="430"/>
      <c r="AT9" s="43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row>
    <row r="10" spans="1:91" ht="15" customHeight="1" x14ac:dyDescent="0.25">
      <c r="A10" s="81"/>
      <c r="B10" s="324"/>
      <c r="C10" s="324"/>
      <c r="D10" s="325"/>
      <c r="E10" s="423"/>
      <c r="F10" s="422"/>
      <c r="G10" s="422"/>
      <c r="H10" s="422"/>
      <c r="I10" s="438"/>
      <c r="J10" s="50" t="str">
        <f>IF(AND('Mapa final'!$Y$38="Muy Alta",'Mapa final'!$AA$38="Leve"),CONCATENATE("R5C",'Mapa final'!$O$38),"")</f>
        <v/>
      </c>
      <c r="K10" s="51" t="str">
        <f>IF(AND('Mapa final'!$Y$39="Muy Alta",'Mapa final'!$AA$39="Leve"),CONCATENATE("R5C",'Mapa final'!$O$39),"")</f>
        <v/>
      </c>
      <c r="L10" s="51" t="str">
        <f>IF(AND('Mapa final'!$Y$40="Muy Alta",'Mapa final'!$AA$40="Leve"),CONCATENATE("R5C",'Mapa final'!$O$40),"")</f>
        <v/>
      </c>
      <c r="M10" s="51" t="str">
        <f>IF(AND('Mapa final'!$Y$41="Muy Alta",'Mapa final'!$AA$41="Leve"),CONCATENATE("R5C",'Mapa final'!$O$41),"")</f>
        <v/>
      </c>
      <c r="N10" s="51" t="str">
        <f>IF(AND('Mapa final'!$Y$42="Muy Alta",'Mapa final'!$AA$42="Leve"),CONCATENATE("R5C",'Mapa final'!$O$42),"")</f>
        <v/>
      </c>
      <c r="O10" s="52" t="str">
        <f>IF(AND('Mapa final'!$Y$43="Muy Alta",'Mapa final'!$AA$43="Leve"),CONCATENATE("R5C",'Mapa final'!$O$43),"")</f>
        <v/>
      </c>
      <c r="P10" s="50" t="str">
        <f>IF(AND('Mapa final'!$Y$38="Muy Alta",'Mapa final'!$AA$38="Menor"),CONCATENATE("R5C",'Mapa final'!$O$38),"")</f>
        <v/>
      </c>
      <c r="Q10" s="51" t="str">
        <f>IF(AND('Mapa final'!$Y$39="Muy Alta",'Mapa final'!$AA$39="Menor"),CONCATENATE("R5C",'Mapa final'!$O$39),"")</f>
        <v/>
      </c>
      <c r="R10" s="51" t="str">
        <f>IF(AND('Mapa final'!$Y$40="Muy Alta",'Mapa final'!$AA$40="Menor"),CONCATENATE("R5C",'Mapa final'!$O$40),"")</f>
        <v/>
      </c>
      <c r="S10" s="51" t="str">
        <f>IF(AND('Mapa final'!$Y$41="Muy Alta",'Mapa final'!$AA$41="Menor"),CONCATENATE("R5C",'Mapa final'!$O$41),"")</f>
        <v/>
      </c>
      <c r="T10" s="51" t="str">
        <f>IF(AND('Mapa final'!$Y$42="Muy Alta",'Mapa final'!$AA$42="Menor"),CONCATENATE("R5C",'Mapa final'!$O$42),"")</f>
        <v/>
      </c>
      <c r="U10" s="52" t="str">
        <f>IF(AND('Mapa final'!$Y$43="Muy Alta",'Mapa final'!$AA$43="Menor"),CONCATENATE("R5C",'Mapa final'!$O$43),"")</f>
        <v/>
      </c>
      <c r="V10" s="50" t="str">
        <f>IF(AND('Mapa final'!$Y$38="Muy Alta",'Mapa final'!$AA$38="Moderado"),CONCATENATE("R5C",'Mapa final'!$O$38),"")</f>
        <v/>
      </c>
      <c r="W10" s="51" t="str">
        <f>IF(AND('Mapa final'!$Y$39="Muy Alta",'Mapa final'!$AA$39="Moderado"),CONCATENATE("R5C",'Mapa final'!$O$39),"")</f>
        <v/>
      </c>
      <c r="X10" s="51" t="str">
        <f>IF(AND('Mapa final'!$Y$40="Muy Alta",'Mapa final'!$AA$40="Moderado"),CONCATENATE("R5C",'Mapa final'!$O$40),"")</f>
        <v/>
      </c>
      <c r="Y10" s="51" t="str">
        <f>IF(AND('Mapa final'!$Y$41="Muy Alta",'Mapa final'!$AA$41="Moderado"),CONCATENATE("R5C",'Mapa final'!$O$41),"")</f>
        <v/>
      </c>
      <c r="Z10" s="51" t="str">
        <f>IF(AND('Mapa final'!$Y$42="Muy Alta",'Mapa final'!$AA$42="Moderado"),CONCATENATE("R5C",'Mapa final'!$O$42),"")</f>
        <v/>
      </c>
      <c r="AA10" s="52" t="str">
        <f>IF(AND('Mapa final'!$Y$43="Muy Alta",'Mapa final'!$AA$43="Moderado"),CONCATENATE("R5C",'Mapa final'!$O$43),"")</f>
        <v/>
      </c>
      <c r="AB10" s="50" t="str">
        <f>IF(AND('Mapa final'!$Y$38="Muy Alta",'Mapa final'!$AA$38="Mayor"),CONCATENATE("R5C",'Mapa final'!$O$38),"")</f>
        <v/>
      </c>
      <c r="AC10" s="51" t="str">
        <f>IF(AND('Mapa final'!$Y$39="Muy Alta",'Mapa final'!$AA$39="Mayor"),CONCATENATE("R5C",'Mapa final'!$O$39),"")</f>
        <v/>
      </c>
      <c r="AD10" s="51" t="str">
        <f>IF(AND('Mapa final'!$Y$40="Muy Alta",'Mapa final'!$AA$40="Mayor"),CONCATENATE("R5C",'Mapa final'!$O$40),"")</f>
        <v/>
      </c>
      <c r="AE10" s="51" t="str">
        <f>IF(AND('Mapa final'!$Y$41="Muy Alta",'Mapa final'!$AA$41="Mayor"),CONCATENATE("R5C",'Mapa final'!$O$41),"")</f>
        <v/>
      </c>
      <c r="AF10" s="51" t="str">
        <f>IF(AND('Mapa final'!$Y$42="Muy Alta",'Mapa final'!$AA$42="Mayor"),CONCATENATE("R5C",'Mapa final'!$O$42),"")</f>
        <v/>
      </c>
      <c r="AG10" s="52" t="str">
        <f>IF(AND('Mapa final'!$Y$43="Muy Alta",'Mapa final'!$AA$43="Mayor"),CONCATENATE("R5C",'Mapa final'!$O$43),"")</f>
        <v/>
      </c>
      <c r="AH10" s="53" t="str">
        <f>IF(AND('Mapa final'!$Y$38="Muy Alta",'Mapa final'!$AA$38="Catastrófico"),CONCATENATE("R5C",'Mapa final'!$O$38),"")</f>
        <v/>
      </c>
      <c r="AI10" s="54" t="str">
        <f>IF(AND('Mapa final'!$Y$39="Muy Alta",'Mapa final'!$AA$39="Catastrófico"),CONCATENATE("R5C",'Mapa final'!$O$39),"")</f>
        <v/>
      </c>
      <c r="AJ10" s="54" t="str">
        <f>IF(AND('Mapa final'!$Y$40="Muy Alta",'Mapa final'!$AA$40="Catastrófico"),CONCATENATE("R5C",'Mapa final'!$O$40),"")</f>
        <v/>
      </c>
      <c r="AK10" s="54" t="str">
        <f>IF(AND('Mapa final'!$Y$41="Muy Alta",'Mapa final'!$AA$41="Catastrófico"),CONCATENATE("R5C",'Mapa final'!$O$41),"")</f>
        <v/>
      </c>
      <c r="AL10" s="54" t="str">
        <f>IF(AND('Mapa final'!$Y$42="Muy Alta",'Mapa final'!$AA$42="Catastrófico"),CONCATENATE("R5C",'Mapa final'!$O$42),"")</f>
        <v/>
      </c>
      <c r="AM10" s="55" t="str">
        <f>IF(AND('Mapa final'!$Y$43="Muy Alta",'Mapa final'!$AA$43="Catastrófico"),CONCATENATE("R5C",'Mapa final'!$O$43),"")</f>
        <v/>
      </c>
      <c r="AN10" s="81"/>
      <c r="AO10" s="429"/>
      <c r="AP10" s="430"/>
      <c r="AQ10" s="430"/>
      <c r="AR10" s="430"/>
      <c r="AS10" s="430"/>
      <c r="AT10" s="43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row>
    <row r="11" spans="1:91" ht="15" customHeight="1" x14ac:dyDescent="0.25">
      <c r="A11" s="81"/>
      <c r="B11" s="324"/>
      <c r="C11" s="324"/>
      <c r="D11" s="325"/>
      <c r="E11" s="423"/>
      <c r="F11" s="422"/>
      <c r="G11" s="422"/>
      <c r="H11" s="422"/>
      <c r="I11" s="438"/>
      <c r="J11" s="50" t="str">
        <f>IF(AND('Mapa final'!$Y$44="Muy Alta",'Mapa final'!$AA$44="Leve"),CONCATENATE("R6C",'Mapa final'!$O$44),"")</f>
        <v/>
      </c>
      <c r="K11" s="51" t="str">
        <f>IF(AND('Mapa final'!$Y$45="Muy Alta",'Mapa final'!$AA$45="Leve"),CONCATENATE("R6C",'Mapa final'!$O$45),"")</f>
        <v/>
      </c>
      <c r="L11" s="51" t="str">
        <f>IF(AND('Mapa final'!$Y$46="Muy Alta",'Mapa final'!$AA$46="Leve"),CONCATENATE("R6C",'Mapa final'!$O$46),"")</f>
        <v/>
      </c>
      <c r="M11" s="51" t="str">
        <f>IF(AND('Mapa final'!$Y$47="Muy Alta",'Mapa final'!$AA$47="Leve"),CONCATENATE("R6C",'Mapa final'!$O$47),"")</f>
        <v/>
      </c>
      <c r="N11" s="51" t="str">
        <f>IF(AND('Mapa final'!$Y$48="Muy Alta",'Mapa final'!$AA$48="Leve"),CONCATENATE("R6C",'Mapa final'!$O$48),"")</f>
        <v/>
      </c>
      <c r="O11" s="52" t="str">
        <f>IF(AND('Mapa final'!$Y$49="Muy Alta",'Mapa final'!$AA$49="Leve"),CONCATENATE("R6C",'Mapa final'!$O$49),"")</f>
        <v/>
      </c>
      <c r="P11" s="50" t="str">
        <f>IF(AND('Mapa final'!$Y$44="Muy Alta",'Mapa final'!$AA$44="Menor"),CONCATENATE("R6C",'Mapa final'!$O$44),"")</f>
        <v/>
      </c>
      <c r="Q11" s="51" t="str">
        <f>IF(AND('Mapa final'!$Y$45="Muy Alta",'Mapa final'!$AA$45="Menor"),CONCATENATE("R6C",'Mapa final'!$O$45),"")</f>
        <v/>
      </c>
      <c r="R11" s="51" t="str">
        <f>IF(AND('Mapa final'!$Y$46="Muy Alta",'Mapa final'!$AA$46="Menor"),CONCATENATE("R6C",'Mapa final'!$O$46),"")</f>
        <v/>
      </c>
      <c r="S11" s="51" t="str">
        <f>IF(AND('Mapa final'!$Y$47="Muy Alta",'Mapa final'!$AA$47="Menor"),CONCATENATE("R6C",'Mapa final'!$O$47),"")</f>
        <v/>
      </c>
      <c r="T11" s="51" t="str">
        <f>IF(AND('Mapa final'!$Y$48="Muy Alta",'Mapa final'!$AA$48="Menor"),CONCATENATE("R6C",'Mapa final'!$O$48),"")</f>
        <v/>
      </c>
      <c r="U11" s="52" t="str">
        <f>IF(AND('Mapa final'!$Y$49="Muy Alta",'Mapa final'!$AA$49="Menor"),CONCATENATE("R6C",'Mapa final'!$O$49),"")</f>
        <v/>
      </c>
      <c r="V11" s="50" t="str">
        <f>IF(AND('Mapa final'!$Y$44="Muy Alta",'Mapa final'!$AA$44="Moderado"),CONCATENATE("R6C",'Mapa final'!$O$44),"")</f>
        <v/>
      </c>
      <c r="W11" s="51" t="str">
        <f>IF(AND('Mapa final'!$Y$45="Muy Alta",'Mapa final'!$AA$45="Moderado"),CONCATENATE("R6C",'Mapa final'!$O$45),"")</f>
        <v/>
      </c>
      <c r="X11" s="51" t="str">
        <f>IF(AND('Mapa final'!$Y$46="Muy Alta",'Mapa final'!$AA$46="Moderado"),CONCATENATE("R6C",'Mapa final'!$O$46),"")</f>
        <v/>
      </c>
      <c r="Y11" s="51" t="str">
        <f>IF(AND('Mapa final'!$Y$47="Muy Alta",'Mapa final'!$AA$47="Moderado"),CONCATENATE("R6C",'Mapa final'!$O$47),"")</f>
        <v/>
      </c>
      <c r="Z11" s="51" t="str">
        <f>IF(AND('Mapa final'!$Y$48="Muy Alta",'Mapa final'!$AA$48="Moderado"),CONCATENATE("R6C",'Mapa final'!$O$48),"")</f>
        <v/>
      </c>
      <c r="AA11" s="52" t="str">
        <f>IF(AND('Mapa final'!$Y$49="Muy Alta",'Mapa final'!$AA$49="Moderado"),CONCATENATE("R6C",'Mapa final'!$O$49),"")</f>
        <v/>
      </c>
      <c r="AB11" s="50" t="str">
        <f>IF(AND('Mapa final'!$Y$44="Muy Alta",'Mapa final'!$AA$44="Mayor"),CONCATENATE("R6C",'Mapa final'!$O$44),"")</f>
        <v/>
      </c>
      <c r="AC11" s="51" t="str">
        <f>IF(AND('Mapa final'!$Y$45="Muy Alta",'Mapa final'!$AA$45="Mayor"),CONCATENATE("R6C",'Mapa final'!$O$45),"")</f>
        <v/>
      </c>
      <c r="AD11" s="51" t="str">
        <f>IF(AND('Mapa final'!$Y$46="Muy Alta",'Mapa final'!$AA$46="Mayor"),CONCATENATE("R6C",'Mapa final'!$O$46),"")</f>
        <v/>
      </c>
      <c r="AE11" s="51" t="str">
        <f>IF(AND('Mapa final'!$Y$47="Muy Alta",'Mapa final'!$AA$47="Mayor"),CONCATENATE("R6C",'Mapa final'!$O$47),"")</f>
        <v/>
      </c>
      <c r="AF11" s="51" t="str">
        <f>IF(AND('Mapa final'!$Y$48="Muy Alta",'Mapa final'!$AA$48="Mayor"),CONCATENATE("R6C",'Mapa final'!$O$48),"")</f>
        <v/>
      </c>
      <c r="AG11" s="52" t="str">
        <f>IF(AND('Mapa final'!$Y$49="Muy Alta",'Mapa final'!$AA$49="Mayor"),CONCATENATE("R6C",'Mapa final'!$O$49),"")</f>
        <v/>
      </c>
      <c r="AH11" s="53" t="str">
        <f>IF(AND('Mapa final'!$Y$44="Muy Alta",'Mapa final'!$AA$44="Catastrófico"),CONCATENATE("R6C",'Mapa final'!$O$44),"")</f>
        <v/>
      </c>
      <c r="AI11" s="54" t="str">
        <f>IF(AND('Mapa final'!$Y$45="Muy Alta",'Mapa final'!$AA$45="Catastrófico"),CONCATENATE("R6C",'Mapa final'!$O$45),"")</f>
        <v/>
      </c>
      <c r="AJ11" s="54" t="str">
        <f>IF(AND('Mapa final'!$Y$46="Muy Alta",'Mapa final'!$AA$46="Catastrófico"),CONCATENATE("R6C",'Mapa final'!$O$46),"")</f>
        <v/>
      </c>
      <c r="AK11" s="54" t="str">
        <f>IF(AND('Mapa final'!$Y$47="Muy Alta",'Mapa final'!$AA$47="Catastrófico"),CONCATENATE("R6C",'Mapa final'!$O$47),"")</f>
        <v/>
      </c>
      <c r="AL11" s="54" t="str">
        <f>IF(AND('Mapa final'!$Y$48="Muy Alta",'Mapa final'!$AA$48="Catastrófico"),CONCATENATE("R6C",'Mapa final'!$O$48),"")</f>
        <v/>
      </c>
      <c r="AM11" s="55" t="str">
        <f>IF(AND('Mapa final'!$Y$49="Muy Alta",'Mapa final'!$AA$49="Catastrófico"),CONCATENATE("R6C",'Mapa final'!$O$49),"")</f>
        <v/>
      </c>
      <c r="AN11" s="81"/>
      <c r="AO11" s="429"/>
      <c r="AP11" s="430"/>
      <c r="AQ11" s="430"/>
      <c r="AR11" s="430"/>
      <c r="AS11" s="430"/>
      <c r="AT11" s="43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row>
    <row r="12" spans="1:91" ht="15" customHeight="1" x14ac:dyDescent="0.25">
      <c r="A12" s="81"/>
      <c r="B12" s="324"/>
      <c r="C12" s="324"/>
      <c r="D12" s="325"/>
      <c r="E12" s="423"/>
      <c r="F12" s="422"/>
      <c r="G12" s="422"/>
      <c r="H12" s="422"/>
      <c r="I12" s="438"/>
      <c r="J12" s="50" t="str">
        <f>IF(AND('Mapa final'!$Y$50="Muy Alta",'Mapa final'!$AA$50="Leve"),CONCATENATE("R7C",'Mapa final'!$O$50),"")</f>
        <v/>
      </c>
      <c r="K12" s="51" t="str">
        <f>IF(AND('Mapa final'!$Y$51="Muy Alta",'Mapa final'!$AA$51="Leve"),CONCATENATE("R7C",'Mapa final'!$O$51),"")</f>
        <v/>
      </c>
      <c r="L12" s="51" t="str">
        <f>IF(AND('Mapa final'!$Y$52="Muy Alta",'Mapa final'!$AA$52="Leve"),CONCATENATE("R7C",'Mapa final'!$O$52),"")</f>
        <v/>
      </c>
      <c r="M12" s="51" t="str">
        <f>IF(AND('Mapa final'!$Y$53="Muy Alta",'Mapa final'!$AA$53="Leve"),CONCATENATE("R7C",'Mapa final'!$O$53),"")</f>
        <v/>
      </c>
      <c r="N12" s="51" t="str">
        <f>IF(AND('Mapa final'!$Y$54="Muy Alta",'Mapa final'!$AA$54="Leve"),CONCATENATE("R7C",'Mapa final'!$O$54),"")</f>
        <v/>
      </c>
      <c r="O12" s="52" t="str">
        <f>IF(AND('Mapa final'!$Y$55="Muy Alta",'Mapa final'!$AA$55="Leve"),CONCATENATE("R7C",'Mapa final'!$O$55),"")</f>
        <v/>
      </c>
      <c r="P12" s="50" t="str">
        <f>IF(AND('Mapa final'!$Y$50="Muy Alta",'Mapa final'!$AA$50="Menor"),CONCATENATE("R7C",'Mapa final'!$O$50),"")</f>
        <v/>
      </c>
      <c r="Q12" s="51" t="str">
        <f>IF(AND('Mapa final'!$Y$51="Muy Alta",'Mapa final'!$AA$51="Menor"),CONCATENATE("R7C",'Mapa final'!$O$51),"")</f>
        <v/>
      </c>
      <c r="R12" s="51" t="str">
        <f>IF(AND('Mapa final'!$Y$52="Muy Alta",'Mapa final'!$AA$52="Menor"),CONCATENATE("R7C",'Mapa final'!$O$52),"")</f>
        <v/>
      </c>
      <c r="S12" s="51" t="str">
        <f>IF(AND('Mapa final'!$Y$53="Muy Alta",'Mapa final'!$AA$53="Menor"),CONCATENATE("R7C",'Mapa final'!$O$53),"")</f>
        <v/>
      </c>
      <c r="T12" s="51" t="str">
        <f>IF(AND('Mapa final'!$Y$54="Muy Alta",'Mapa final'!$AA$54="Menor"),CONCATENATE("R7C",'Mapa final'!$O$54),"")</f>
        <v/>
      </c>
      <c r="U12" s="52" t="str">
        <f>IF(AND('Mapa final'!$Y$55="Muy Alta",'Mapa final'!$AA$55="Menor"),CONCATENATE("R7C",'Mapa final'!$O$55),"")</f>
        <v/>
      </c>
      <c r="V12" s="50" t="str">
        <f>IF(AND('Mapa final'!$Y$50="Muy Alta",'Mapa final'!$AA$50="Moderado"),CONCATENATE("R7C",'Mapa final'!$O$50),"")</f>
        <v/>
      </c>
      <c r="W12" s="51" t="str">
        <f>IF(AND('Mapa final'!$Y$51="Muy Alta",'Mapa final'!$AA$51="Moderado"),CONCATENATE("R7C",'Mapa final'!$O$51),"")</f>
        <v/>
      </c>
      <c r="X12" s="51" t="str">
        <f>IF(AND('Mapa final'!$Y$52="Muy Alta",'Mapa final'!$AA$52="Moderado"),CONCATENATE("R7C",'Mapa final'!$O$52),"")</f>
        <v/>
      </c>
      <c r="Y12" s="51" t="str">
        <f>IF(AND('Mapa final'!$Y$53="Muy Alta",'Mapa final'!$AA$53="Moderado"),CONCATENATE("R7C",'Mapa final'!$O$53),"")</f>
        <v/>
      </c>
      <c r="Z12" s="51" t="str">
        <f>IF(AND('Mapa final'!$Y$54="Muy Alta",'Mapa final'!$AA$54="Moderado"),CONCATENATE("R7C",'Mapa final'!$O$54),"")</f>
        <v/>
      </c>
      <c r="AA12" s="52" t="str">
        <f>IF(AND('Mapa final'!$Y$55="Muy Alta",'Mapa final'!$AA$55="Moderado"),CONCATENATE("R7C",'Mapa final'!$O$55),"")</f>
        <v/>
      </c>
      <c r="AB12" s="50" t="str">
        <f>IF(AND('Mapa final'!$Y$50="Muy Alta",'Mapa final'!$AA$50="Mayor"),CONCATENATE("R7C",'Mapa final'!$O$50),"")</f>
        <v/>
      </c>
      <c r="AC12" s="51" t="str">
        <f>IF(AND('Mapa final'!$Y$51="Muy Alta",'Mapa final'!$AA$51="Mayor"),CONCATENATE("R7C",'Mapa final'!$O$51),"")</f>
        <v/>
      </c>
      <c r="AD12" s="51" t="str">
        <f>IF(AND('Mapa final'!$Y$52="Muy Alta",'Mapa final'!$AA$52="Mayor"),CONCATENATE("R7C",'Mapa final'!$O$52),"")</f>
        <v/>
      </c>
      <c r="AE12" s="51" t="str">
        <f>IF(AND('Mapa final'!$Y$53="Muy Alta",'Mapa final'!$AA$53="Mayor"),CONCATENATE("R7C",'Mapa final'!$O$53),"")</f>
        <v/>
      </c>
      <c r="AF12" s="51" t="str">
        <f>IF(AND('Mapa final'!$Y$54="Muy Alta",'Mapa final'!$AA$54="Mayor"),CONCATENATE("R7C",'Mapa final'!$O$54),"")</f>
        <v/>
      </c>
      <c r="AG12" s="52" t="str">
        <f>IF(AND('Mapa final'!$Y$55="Muy Alta",'Mapa final'!$AA$55="Mayor"),CONCATENATE("R7C",'Mapa final'!$O$55),"")</f>
        <v/>
      </c>
      <c r="AH12" s="53" t="str">
        <f>IF(AND('Mapa final'!$Y$50="Muy Alta",'Mapa final'!$AA$50="Catastrófico"),CONCATENATE("R7C",'Mapa final'!$O$50),"")</f>
        <v/>
      </c>
      <c r="AI12" s="54" t="str">
        <f>IF(AND('Mapa final'!$Y$51="Muy Alta",'Mapa final'!$AA$51="Catastrófico"),CONCATENATE("R7C",'Mapa final'!$O$51),"")</f>
        <v/>
      </c>
      <c r="AJ12" s="54" t="str">
        <f>IF(AND('Mapa final'!$Y$52="Muy Alta",'Mapa final'!$AA$52="Catastrófico"),CONCATENATE("R7C",'Mapa final'!$O$52),"")</f>
        <v/>
      </c>
      <c r="AK12" s="54" t="str">
        <f>IF(AND('Mapa final'!$Y$53="Muy Alta",'Mapa final'!$AA$53="Catastrófico"),CONCATENATE("R7C",'Mapa final'!$O$53),"")</f>
        <v/>
      </c>
      <c r="AL12" s="54" t="str">
        <f>IF(AND('Mapa final'!$Y$54="Muy Alta",'Mapa final'!$AA$54="Catastrófico"),CONCATENATE("R7C",'Mapa final'!$O$54),"")</f>
        <v/>
      </c>
      <c r="AM12" s="55" t="str">
        <f>IF(AND('Mapa final'!$Y$55="Muy Alta",'Mapa final'!$AA$55="Catastrófico"),CONCATENATE("R7C",'Mapa final'!$O$55),"")</f>
        <v/>
      </c>
      <c r="AN12" s="81"/>
      <c r="AO12" s="429"/>
      <c r="AP12" s="430"/>
      <c r="AQ12" s="430"/>
      <c r="AR12" s="430"/>
      <c r="AS12" s="430"/>
      <c r="AT12" s="43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row>
    <row r="13" spans="1:91" ht="15" customHeight="1" x14ac:dyDescent="0.25">
      <c r="A13" s="81"/>
      <c r="B13" s="324"/>
      <c r="C13" s="324"/>
      <c r="D13" s="325"/>
      <c r="E13" s="423"/>
      <c r="F13" s="422"/>
      <c r="G13" s="422"/>
      <c r="H13" s="422"/>
      <c r="I13" s="438"/>
      <c r="J13" s="50" t="str">
        <f>IF(AND('Mapa final'!$Y$56="Muy Alta",'Mapa final'!$AA$56="Leve"),CONCATENATE("R8C",'Mapa final'!$O$56),"")</f>
        <v/>
      </c>
      <c r="K13" s="51" t="str">
        <f>IF(AND('Mapa final'!$Y$57="Muy Alta",'Mapa final'!$AA$57="Leve"),CONCATENATE("R8C",'Mapa final'!$O$57),"")</f>
        <v/>
      </c>
      <c r="L13" s="51" t="str">
        <f>IF(AND('Mapa final'!$Y$58="Muy Alta",'Mapa final'!$AA$58="Leve"),CONCATENATE("R8C",'Mapa final'!$O$58),"")</f>
        <v/>
      </c>
      <c r="M13" s="51" t="str">
        <f>IF(AND('Mapa final'!$Y$59="Muy Alta",'Mapa final'!$AA$59="Leve"),CONCATENATE("R8C",'Mapa final'!$O$59),"")</f>
        <v/>
      </c>
      <c r="N13" s="51" t="str">
        <f>IF(AND('Mapa final'!$Y$60="Muy Alta",'Mapa final'!$AA$60="Leve"),CONCATENATE("R8C",'Mapa final'!$O$60),"")</f>
        <v/>
      </c>
      <c r="O13" s="52" t="str">
        <f>IF(AND('Mapa final'!$Y$61="Muy Alta",'Mapa final'!$AA$61="Leve"),CONCATENATE("R8C",'Mapa final'!$O$61),"")</f>
        <v/>
      </c>
      <c r="P13" s="50" t="str">
        <f>IF(AND('Mapa final'!$Y$56="Muy Alta",'Mapa final'!$AA$56="Menor"),CONCATENATE("R8C",'Mapa final'!$O$56),"")</f>
        <v/>
      </c>
      <c r="Q13" s="51" t="str">
        <f>IF(AND('Mapa final'!$Y$57="Muy Alta",'Mapa final'!$AA$57="Menor"),CONCATENATE("R8C",'Mapa final'!$O$57),"")</f>
        <v/>
      </c>
      <c r="R13" s="51" t="str">
        <f>IF(AND('Mapa final'!$Y$58="Muy Alta",'Mapa final'!$AA$58="Menor"),CONCATENATE("R8C",'Mapa final'!$O$58),"")</f>
        <v/>
      </c>
      <c r="S13" s="51" t="str">
        <f>IF(AND('Mapa final'!$Y$59="Muy Alta",'Mapa final'!$AA$59="Menor"),CONCATENATE("R8C",'Mapa final'!$O$59),"")</f>
        <v/>
      </c>
      <c r="T13" s="51" t="str">
        <f>IF(AND('Mapa final'!$Y$60="Muy Alta",'Mapa final'!$AA$60="Menor"),CONCATENATE("R8C",'Mapa final'!$O$60),"")</f>
        <v/>
      </c>
      <c r="U13" s="52" t="str">
        <f>IF(AND('Mapa final'!$Y$61="Muy Alta",'Mapa final'!$AA$61="Menor"),CONCATENATE("R8C",'Mapa final'!$O$61),"")</f>
        <v/>
      </c>
      <c r="V13" s="50" t="str">
        <f>IF(AND('Mapa final'!$Y$56="Muy Alta",'Mapa final'!$AA$56="Moderado"),CONCATENATE("R8C",'Mapa final'!$O$56),"")</f>
        <v/>
      </c>
      <c r="W13" s="51" t="str">
        <f>IF(AND('Mapa final'!$Y$57="Muy Alta",'Mapa final'!$AA$57="Moderado"),CONCATENATE("R8C",'Mapa final'!$O$57),"")</f>
        <v/>
      </c>
      <c r="X13" s="51" t="str">
        <f>IF(AND('Mapa final'!$Y$58="Muy Alta",'Mapa final'!$AA$58="Moderado"),CONCATENATE("R8C",'Mapa final'!$O$58),"")</f>
        <v/>
      </c>
      <c r="Y13" s="51" t="str">
        <f>IF(AND('Mapa final'!$Y$59="Muy Alta",'Mapa final'!$AA$59="Moderado"),CONCATENATE("R8C",'Mapa final'!$O$59),"")</f>
        <v/>
      </c>
      <c r="Z13" s="51" t="str">
        <f>IF(AND('Mapa final'!$Y$60="Muy Alta",'Mapa final'!$AA$60="Moderado"),CONCATENATE("R8C",'Mapa final'!$O$60),"")</f>
        <v/>
      </c>
      <c r="AA13" s="52" t="str">
        <f>IF(AND('Mapa final'!$Y$61="Muy Alta",'Mapa final'!$AA$61="Moderado"),CONCATENATE("R8C",'Mapa final'!$O$61),"")</f>
        <v/>
      </c>
      <c r="AB13" s="50" t="str">
        <f>IF(AND('Mapa final'!$Y$56="Muy Alta",'Mapa final'!$AA$56="Mayor"),CONCATENATE("R8C",'Mapa final'!$O$56),"")</f>
        <v/>
      </c>
      <c r="AC13" s="51" t="str">
        <f>IF(AND('Mapa final'!$Y$57="Muy Alta",'Mapa final'!$AA$57="Mayor"),CONCATENATE("R8C",'Mapa final'!$O$57),"")</f>
        <v/>
      </c>
      <c r="AD13" s="51" t="str">
        <f>IF(AND('Mapa final'!$Y$58="Muy Alta",'Mapa final'!$AA$58="Mayor"),CONCATENATE("R8C",'Mapa final'!$O$58),"")</f>
        <v/>
      </c>
      <c r="AE13" s="51" t="str">
        <f>IF(AND('Mapa final'!$Y$59="Muy Alta",'Mapa final'!$AA$59="Mayor"),CONCATENATE("R8C",'Mapa final'!$O$59),"")</f>
        <v/>
      </c>
      <c r="AF13" s="51" t="str">
        <f>IF(AND('Mapa final'!$Y$60="Muy Alta",'Mapa final'!$AA$60="Mayor"),CONCATENATE("R8C",'Mapa final'!$O$60),"")</f>
        <v/>
      </c>
      <c r="AG13" s="52" t="str">
        <f>IF(AND('Mapa final'!$Y$61="Muy Alta",'Mapa final'!$AA$61="Mayor"),CONCATENATE("R8C",'Mapa final'!$O$61),"")</f>
        <v/>
      </c>
      <c r="AH13" s="53" t="str">
        <f>IF(AND('Mapa final'!$Y$56="Muy Alta",'Mapa final'!$AA$56="Catastrófico"),CONCATENATE("R8C",'Mapa final'!$O$56),"")</f>
        <v/>
      </c>
      <c r="AI13" s="54" t="str">
        <f>IF(AND('Mapa final'!$Y$57="Muy Alta",'Mapa final'!$AA$57="Catastrófico"),CONCATENATE("R8C",'Mapa final'!$O$57),"")</f>
        <v/>
      </c>
      <c r="AJ13" s="54" t="str">
        <f>IF(AND('Mapa final'!$Y$58="Muy Alta",'Mapa final'!$AA$58="Catastrófico"),CONCATENATE("R8C",'Mapa final'!$O$58),"")</f>
        <v/>
      </c>
      <c r="AK13" s="54" t="str">
        <f>IF(AND('Mapa final'!$Y$59="Muy Alta",'Mapa final'!$AA$59="Catastrófico"),CONCATENATE("R8C",'Mapa final'!$O$59),"")</f>
        <v/>
      </c>
      <c r="AL13" s="54" t="str">
        <f>IF(AND('Mapa final'!$Y$60="Muy Alta",'Mapa final'!$AA$60="Catastrófico"),CONCATENATE("R8C",'Mapa final'!$O$60),"")</f>
        <v/>
      </c>
      <c r="AM13" s="55" t="str">
        <f>IF(AND('Mapa final'!$Y$61="Muy Alta",'Mapa final'!$AA$61="Catastrófico"),CONCATENATE("R8C",'Mapa final'!$O$61),"")</f>
        <v/>
      </c>
      <c r="AN13" s="81"/>
      <c r="AO13" s="429"/>
      <c r="AP13" s="430"/>
      <c r="AQ13" s="430"/>
      <c r="AR13" s="430"/>
      <c r="AS13" s="430"/>
      <c r="AT13" s="43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row>
    <row r="14" spans="1:91" ht="15" customHeight="1" x14ac:dyDescent="0.25">
      <c r="A14" s="81"/>
      <c r="B14" s="324"/>
      <c r="C14" s="324"/>
      <c r="D14" s="325"/>
      <c r="E14" s="423"/>
      <c r="F14" s="422"/>
      <c r="G14" s="422"/>
      <c r="H14" s="422"/>
      <c r="I14" s="438"/>
      <c r="J14" s="50" t="str">
        <f>IF(AND('Mapa final'!$Y$62="Muy Alta",'Mapa final'!$AA$62="Leve"),CONCATENATE("R9C",'Mapa final'!$O$62),"")</f>
        <v/>
      </c>
      <c r="K14" s="51" t="str">
        <f>IF(AND('Mapa final'!$Y$63="Muy Alta",'Mapa final'!$AA$63="Leve"),CONCATENATE("R9C",'Mapa final'!$O$63),"")</f>
        <v/>
      </c>
      <c r="L14" s="51" t="str">
        <f>IF(AND('Mapa final'!$Y$64="Muy Alta",'Mapa final'!$AA$64="Leve"),CONCATENATE("R9C",'Mapa final'!$O$64),"")</f>
        <v/>
      </c>
      <c r="M14" s="51" t="str">
        <f>IF(AND('Mapa final'!$Y$65="Muy Alta",'Mapa final'!$AA$65="Leve"),CONCATENATE("R9C",'Mapa final'!$O$65),"")</f>
        <v/>
      </c>
      <c r="N14" s="51" t="str">
        <f>IF(AND('Mapa final'!$Y$66="Muy Alta",'Mapa final'!$AA$66="Leve"),CONCATENATE("R9C",'Mapa final'!$O$66),"")</f>
        <v/>
      </c>
      <c r="O14" s="52" t="str">
        <f>IF(AND('Mapa final'!$Y$67="Muy Alta",'Mapa final'!$AA$67="Leve"),CONCATENATE("R9C",'Mapa final'!$O$67),"")</f>
        <v/>
      </c>
      <c r="P14" s="50" t="str">
        <f>IF(AND('Mapa final'!$Y$62="Muy Alta",'Mapa final'!$AA$62="Menor"),CONCATENATE("R9C",'Mapa final'!$O$62),"")</f>
        <v/>
      </c>
      <c r="Q14" s="51" t="str">
        <f>IF(AND('Mapa final'!$Y$63="Muy Alta",'Mapa final'!$AA$63="Menor"),CONCATENATE("R9C",'Mapa final'!$O$63),"")</f>
        <v/>
      </c>
      <c r="R14" s="51" t="str">
        <f>IF(AND('Mapa final'!$Y$64="Muy Alta",'Mapa final'!$AA$64="Menor"),CONCATENATE("R9C",'Mapa final'!$O$64),"")</f>
        <v/>
      </c>
      <c r="S14" s="51" t="str">
        <f>IF(AND('Mapa final'!$Y$65="Muy Alta",'Mapa final'!$AA$65="Menor"),CONCATENATE("R9C",'Mapa final'!$O$65),"")</f>
        <v/>
      </c>
      <c r="T14" s="51" t="str">
        <f>IF(AND('Mapa final'!$Y$66="Muy Alta",'Mapa final'!$AA$66="Menor"),CONCATENATE("R9C",'Mapa final'!$O$66),"")</f>
        <v/>
      </c>
      <c r="U14" s="52" t="str">
        <f>IF(AND('Mapa final'!$Y$67="Muy Alta",'Mapa final'!$AA$67="Menor"),CONCATENATE("R9C",'Mapa final'!$O$67),"")</f>
        <v/>
      </c>
      <c r="V14" s="50" t="str">
        <f>IF(AND('Mapa final'!$Y$62="Muy Alta",'Mapa final'!$AA$62="Moderado"),CONCATENATE("R9C",'Mapa final'!$O$62),"")</f>
        <v/>
      </c>
      <c r="W14" s="51" t="str">
        <f>IF(AND('Mapa final'!$Y$63="Muy Alta",'Mapa final'!$AA$63="Moderado"),CONCATENATE("R9C",'Mapa final'!$O$63),"")</f>
        <v/>
      </c>
      <c r="X14" s="51" t="str">
        <f>IF(AND('Mapa final'!$Y$64="Muy Alta",'Mapa final'!$AA$64="Moderado"),CONCATENATE("R9C",'Mapa final'!$O$64),"")</f>
        <v/>
      </c>
      <c r="Y14" s="51" t="str">
        <f>IF(AND('Mapa final'!$Y$65="Muy Alta",'Mapa final'!$AA$65="Moderado"),CONCATENATE("R9C",'Mapa final'!$O$65),"")</f>
        <v/>
      </c>
      <c r="Z14" s="51" t="str">
        <f>IF(AND('Mapa final'!$Y$66="Muy Alta",'Mapa final'!$AA$66="Moderado"),CONCATENATE("R9C",'Mapa final'!$O$66),"")</f>
        <v/>
      </c>
      <c r="AA14" s="52" t="str">
        <f>IF(AND('Mapa final'!$Y$67="Muy Alta",'Mapa final'!$AA$67="Moderado"),CONCATENATE("R9C",'Mapa final'!$O$67),"")</f>
        <v/>
      </c>
      <c r="AB14" s="50" t="str">
        <f>IF(AND('Mapa final'!$Y$62="Muy Alta",'Mapa final'!$AA$62="Mayor"),CONCATENATE("R9C",'Mapa final'!$O$62),"")</f>
        <v/>
      </c>
      <c r="AC14" s="51" t="str">
        <f>IF(AND('Mapa final'!$Y$63="Muy Alta",'Mapa final'!$AA$63="Mayor"),CONCATENATE("R9C",'Mapa final'!$O$63),"")</f>
        <v/>
      </c>
      <c r="AD14" s="51" t="str">
        <f>IF(AND('Mapa final'!$Y$64="Muy Alta",'Mapa final'!$AA$64="Mayor"),CONCATENATE("R9C",'Mapa final'!$O$64),"")</f>
        <v/>
      </c>
      <c r="AE14" s="51" t="str">
        <f>IF(AND('Mapa final'!$Y$65="Muy Alta",'Mapa final'!$AA$65="Mayor"),CONCATENATE("R9C",'Mapa final'!$O$65),"")</f>
        <v/>
      </c>
      <c r="AF14" s="51" t="str">
        <f>IF(AND('Mapa final'!$Y$66="Muy Alta",'Mapa final'!$AA$66="Mayor"),CONCATENATE("R9C",'Mapa final'!$O$66),"")</f>
        <v/>
      </c>
      <c r="AG14" s="52" t="str">
        <f>IF(AND('Mapa final'!$Y$67="Muy Alta",'Mapa final'!$AA$67="Mayor"),CONCATENATE("R9C",'Mapa final'!$O$67),"")</f>
        <v/>
      </c>
      <c r="AH14" s="53" t="str">
        <f>IF(AND('Mapa final'!$Y$62="Muy Alta",'Mapa final'!$AA$62="Catastrófico"),CONCATENATE("R9C",'Mapa final'!$O$62),"")</f>
        <v/>
      </c>
      <c r="AI14" s="54" t="str">
        <f>IF(AND('Mapa final'!$Y$63="Muy Alta",'Mapa final'!$AA$63="Catastrófico"),CONCATENATE("R9C",'Mapa final'!$O$63),"")</f>
        <v/>
      </c>
      <c r="AJ14" s="54" t="str">
        <f>IF(AND('Mapa final'!$Y$64="Muy Alta",'Mapa final'!$AA$64="Catastrófico"),CONCATENATE("R9C",'Mapa final'!$O$64),"")</f>
        <v/>
      </c>
      <c r="AK14" s="54" t="str">
        <f>IF(AND('Mapa final'!$Y$65="Muy Alta",'Mapa final'!$AA$65="Catastrófico"),CONCATENATE("R9C",'Mapa final'!$O$65),"")</f>
        <v/>
      </c>
      <c r="AL14" s="54" t="str">
        <f>IF(AND('Mapa final'!$Y$66="Muy Alta",'Mapa final'!$AA$66="Catastrófico"),CONCATENATE("R9C",'Mapa final'!$O$66),"")</f>
        <v/>
      </c>
      <c r="AM14" s="55" t="str">
        <f>IF(AND('Mapa final'!$Y$67="Muy Alta",'Mapa final'!$AA$67="Catastrófico"),CONCATENATE("R9C",'Mapa final'!$O$67),"")</f>
        <v/>
      </c>
      <c r="AN14" s="81"/>
      <c r="AO14" s="429"/>
      <c r="AP14" s="430"/>
      <c r="AQ14" s="430"/>
      <c r="AR14" s="430"/>
      <c r="AS14" s="430"/>
      <c r="AT14" s="43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row>
    <row r="15" spans="1:91" ht="15.75" customHeight="1" thickBot="1" x14ac:dyDescent="0.3">
      <c r="A15" s="81"/>
      <c r="B15" s="324"/>
      <c r="C15" s="324"/>
      <c r="D15" s="325"/>
      <c r="E15" s="424"/>
      <c r="F15" s="425"/>
      <c r="G15" s="425"/>
      <c r="H15" s="425"/>
      <c r="I15" s="439"/>
      <c r="J15" s="56" t="str">
        <f>IF(AND('Mapa final'!$Y$68="Muy Alta",'Mapa final'!$AA$68="Leve"),CONCATENATE("R10C",'Mapa final'!$O$68),"")</f>
        <v/>
      </c>
      <c r="K15" s="57" t="str">
        <f>IF(AND('Mapa final'!$Y$69="Muy Alta",'Mapa final'!$AA$69="Leve"),CONCATENATE("R10C",'Mapa final'!$O$69),"")</f>
        <v/>
      </c>
      <c r="L15" s="57" t="str">
        <f>IF(AND('Mapa final'!$Y$70="Muy Alta",'Mapa final'!$AA$70="Leve"),CONCATENATE("R10C",'Mapa final'!$O$70),"")</f>
        <v/>
      </c>
      <c r="M15" s="57" t="str">
        <f>IF(AND('Mapa final'!$Y$71="Muy Alta",'Mapa final'!$AA$71="Leve"),CONCATENATE("R10C",'Mapa final'!$O$71),"")</f>
        <v/>
      </c>
      <c r="N15" s="57" t="str">
        <f>IF(AND('Mapa final'!$Y$72="Muy Alta",'Mapa final'!$AA$72="Leve"),CONCATENATE("R10C",'Mapa final'!$O$72),"")</f>
        <v/>
      </c>
      <c r="O15" s="58" t="str">
        <f>IF(AND('Mapa final'!$Y$73="Muy Alta",'Mapa final'!$AA$73="Leve"),CONCATENATE("R10C",'Mapa final'!$O$73),"")</f>
        <v/>
      </c>
      <c r="P15" s="50" t="str">
        <f>IF(AND('Mapa final'!$Y$68="Muy Alta",'Mapa final'!$AA$68="Menor"),CONCATENATE("R10C",'Mapa final'!$O$68),"")</f>
        <v/>
      </c>
      <c r="Q15" s="51" t="str">
        <f>IF(AND('Mapa final'!$Y$69="Muy Alta",'Mapa final'!$AA$69="Menor"),CONCATENATE("R10C",'Mapa final'!$O$69),"")</f>
        <v/>
      </c>
      <c r="R15" s="51" t="str">
        <f>IF(AND('Mapa final'!$Y$70="Muy Alta",'Mapa final'!$AA$70="Menor"),CONCATENATE("R10C",'Mapa final'!$O$70),"")</f>
        <v/>
      </c>
      <c r="S15" s="51" t="str">
        <f>IF(AND('Mapa final'!$Y$71="Muy Alta",'Mapa final'!$AA$71="Menor"),CONCATENATE("R10C",'Mapa final'!$O$71),"")</f>
        <v/>
      </c>
      <c r="T15" s="51" t="str">
        <f>IF(AND('Mapa final'!$Y$72="Muy Alta",'Mapa final'!$AA$72="Menor"),CONCATENATE("R10C",'Mapa final'!$O$72),"")</f>
        <v/>
      </c>
      <c r="U15" s="52" t="str">
        <f>IF(AND('Mapa final'!$Y$73="Muy Alta",'Mapa final'!$AA$73="Menor"),CONCATENATE("R10C",'Mapa final'!$O$73),"")</f>
        <v/>
      </c>
      <c r="V15" s="56" t="str">
        <f>IF(AND('Mapa final'!$Y$68="Muy Alta",'Mapa final'!$AA$68="Moderado"),CONCATENATE("R10C",'Mapa final'!$O$68),"")</f>
        <v/>
      </c>
      <c r="W15" s="57" t="str">
        <f>IF(AND('Mapa final'!$Y$69="Muy Alta",'Mapa final'!$AA$69="Moderado"),CONCATENATE("R10C",'Mapa final'!$O$69),"")</f>
        <v/>
      </c>
      <c r="X15" s="57" t="str">
        <f>IF(AND('Mapa final'!$Y$70="Muy Alta",'Mapa final'!$AA$70="Moderado"),CONCATENATE("R10C",'Mapa final'!$O$70),"")</f>
        <v/>
      </c>
      <c r="Y15" s="57" t="str">
        <f>IF(AND('Mapa final'!$Y$71="Muy Alta",'Mapa final'!$AA$71="Moderado"),CONCATENATE("R10C",'Mapa final'!$O$71),"")</f>
        <v/>
      </c>
      <c r="Z15" s="57" t="str">
        <f>IF(AND('Mapa final'!$Y$72="Muy Alta",'Mapa final'!$AA$72="Moderado"),CONCATENATE("R10C",'Mapa final'!$O$72),"")</f>
        <v/>
      </c>
      <c r="AA15" s="58" t="str">
        <f>IF(AND('Mapa final'!$Y$73="Muy Alta",'Mapa final'!$AA$73="Moderado"),CONCATENATE("R10C",'Mapa final'!$O$73),"")</f>
        <v/>
      </c>
      <c r="AB15" s="50" t="str">
        <f>IF(AND('Mapa final'!$Y$68="Muy Alta",'Mapa final'!$AA$68="Mayor"),CONCATENATE("R10C",'Mapa final'!$O$68),"")</f>
        <v/>
      </c>
      <c r="AC15" s="51" t="str">
        <f>IF(AND('Mapa final'!$Y$69="Muy Alta",'Mapa final'!$AA$69="Mayor"),CONCATENATE("R10C",'Mapa final'!$O$69),"")</f>
        <v/>
      </c>
      <c r="AD15" s="51" t="str">
        <f>IF(AND('Mapa final'!$Y$70="Muy Alta",'Mapa final'!$AA$70="Mayor"),CONCATENATE("R10C",'Mapa final'!$O$70),"")</f>
        <v/>
      </c>
      <c r="AE15" s="51" t="str">
        <f>IF(AND('Mapa final'!$Y$71="Muy Alta",'Mapa final'!$AA$71="Mayor"),CONCATENATE("R10C",'Mapa final'!$O$71),"")</f>
        <v/>
      </c>
      <c r="AF15" s="51" t="str">
        <f>IF(AND('Mapa final'!$Y$72="Muy Alta",'Mapa final'!$AA$72="Mayor"),CONCATENATE("R10C",'Mapa final'!$O$72),"")</f>
        <v/>
      </c>
      <c r="AG15" s="52" t="str">
        <f>IF(AND('Mapa final'!$Y$73="Muy Alta",'Mapa final'!$AA$73="Mayor"),CONCATENATE("R10C",'Mapa final'!$O$73),"")</f>
        <v/>
      </c>
      <c r="AH15" s="59" t="str">
        <f>IF(AND('Mapa final'!$Y$68="Muy Alta",'Mapa final'!$AA$68="Catastrófico"),CONCATENATE("R10C",'Mapa final'!$O$68),"")</f>
        <v/>
      </c>
      <c r="AI15" s="60" t="str">
        <f>IF(AND('Mapa final'!$Y$69="Muy Alta",'Mapa final'!$AA$69="Catastrófico"),CONCATENATE("R10C",'Mapa final'!$O$69),"")</f>
        <v/>
      </c>
      <c r="AJ15" s="60" t="str">
        <f>IF(AND('Mapa final'!$Y$70="Muy Alta",'Mapa final'!$AA$70="Catastrófico"),CONCATENATE("R10C",'Mapa final'!$O$70),"")</f>
        <v/>
      </c>
      <c r="AK15" s="60" t="str">
        <f>IF(AND('Mapa final'!$Y$71="Muy Alta",'Mapa final'!$AA$71="Catastrófico"),CONCATENATE("R10C",'Mapa final'!$O$71),"")</f>
        <v/>
      </c>
      <c r="AL15" s="60" t="str">
        <f>IF(AND('Mapa final'!$Y$72="Muy Alta",'Mapa final'!$AA$72="Catastrófico"),CONCATENATE("R10C",'Mapa final'!$O$72),"")</f>
        <v/>
      </c>
      <c r="AM15" s="61" t="str">
        <f>IF(AND('Mapa final'!$Y$73="Muy Alta",'Mapa final'!$AA$73="Catastrófico"),CONCATENATE("R10C",'Mapa final'!$O$73),"")</f>
        <v/>
      </c>
      <c r="AN15" s="81"/>
      <c r="AO15" s="432"/>
      <c r="AP15" s="433"/>
      <c r="AQ15" s="433"/>
      <c r="AR15" s="433"/>
      <c r="AS15" s="433"/>
      <c r="AT15" s="434"/>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row>
    <row r="16" spans="1:91" ht="15" customHeight="1" x14ac:dyDescent="0.25">
      <c r="A16" s="81"/>
      <c r="B16" s="324"/>
      <c r="C16" s="324"/>
      <c r="D16" s="325"/>
      <c r="E16" s="419" t="s">
        <v>94</v>
      </c>
      <c r="F16" s="420"/>
      <c r="G16" s="420"/>
      <c r="H16" s="420"/>
      <c r="I16" s="420"/>
      <c r="J16" s="62" t="str">
        <f>IF(AND('Mapa final'!$Y$25="Alta",'Mapa final'!$AA$25="Leve"),CONCATENATE("R1C",'Mapa final'!$O$25),"")</f>
        <v/>
      </c>
      <c r="K16" s="63" t="str">
        <f>IF(AND('Mapa final'!$Y$26="Alta",'Mapa final'!$AA$26="Leve"),CONCATENATE("R1C",'Mapa final'!$O$26),"")</f>
        <v/>
      </c>
      <c r="L16" s="63" t="str">
        <f>IF(AND('Mapa final'!$Y$27="Alta",'Mapa final'!$AA$27="Leve"),CONCATENATE("R1C",'Mapa final'!$O$27),"")</f>
        <v/>
      </c>
      <c r="M16" s="63" t="e">
        <f>IF(AND('Mapa final'!#REF!="Alta",'Mapa final'!#REF!="Leve"),CONCATENATE("R1C",'Mapa final'!#REF!),"")</f>
        <v>#REF!</v>
      </c>
      <c r="N16" s="63" t="e">
        <f>IF(AND('Mapa final'!#REF!="Alta",'Mapa final'!#REF!="Leve"),CONCATENATE("R1C",'Mapa final'!#REF!),"")</f>
        <v>#REF!</v>
      </c>
      <c r="O16" s="64" t="e">
        <f>IF(AND('Mapa final'!#REF!="Alta",'Mapa final'!#REF!="Leve"),CONCATENATE("R1C",'Mapa final'!#REF!),"")</f>
        <v>#REF!</v>
      </c>
      <c r="P16" s="62" t="str">
        <f>IF(AND('Mapa final'!$Y$25="Alta",'Mapa final'!$AA$25="Menor"),CONCATENATE("R1C",'Mapa final'!$O$25),"")</f>
        <v/>
      </c>
      <c r="Q16" s="63" t="str">
        <f>IF(AND('Mapa final'!$Y$26="Alta",'Mapa final'!$AA$26="Menor"),CONCATENATE("R1C",'Mapa final'!$O$26),"")</f>
        <v/>
      </c>
      <c r="R16" s="63" t="str">
        <f>IF(AND('Mapa final'!$Y$27="Alta",'Mapa final'!$AA$27="Menor"),CONCATENATE("R1C",'Mapa final'!$O$27),"")</f>
        <v/>
      </c>
      <c r="S16" s="63" t="e">
        <f>IF(AND('Mapa final'!#REF!="Alta",'Mapa final'!#REF!="Menor"),CONCATENATE("R1C",'Mapa final'!#REF!),"")</f>
        <v>#REF!</v>
      </c>
      <c r="T16" s="63" t="e">
        <f>IF(AND('Mapa final'!#REF!="Alta",'Mapa final'!#REF!="Menor"),CONCATENATE("R1C",'Mapa final'!#REF!),"")</f>
        <v>#REF!</v>
      </c>
      <c r="U16" s="64" t="e">
        <f>IF(AND('Mapa final'!#REF!="Alta",'Mapa final'!#REF!="Menor"),CONCATENATE("R1C",'Mapa final'!#REF!),"")</f>
        <v>#REF!</v>
      </c>
      <c r="V16" s="44" t="str">
        <f>IF(AND('Mapa final'!$Y$25="Alta",'Mapa final'!$AA$25="Moderado"),CONCATENATE("R1C",'Mapa final'!$O$25),"")</f>
        <v/>
      </c>
      <c r="W16" s="45" t="str">
        <f>IF(AND('Mapa final'!$Y$26="Alta",'Mapa final'!$AA$26="Moderado"),CONCATENATE("R1C",'Mapa final'!$O$26),"")</f>
        <v/>
      </c>
      <c r="X16" s="45" t="str">
        <f>IF(AND('Mapa final'!$Y$27="Alta",'Mapa final'!$AA$27="Moderado"),CONCATENATE("R1C",'Mapa final'!$O$27),"")</f>
        <v/>
      </c>
      <c r="Y16" s="45" t="e">
        <f>IF(AND('Mapa final'!#REF!="Alta",'Mapa final'!#REF!="Moderado"),CONCATENATE("R1C",'Mapa final'!#REF!),"")</f>
        <v>#REF!</v>
      </c>
      <c r="Z16" s="45" t="e">
        <f>IF(AND('Mapa final'!#REF!="Alta",'Mapa final'!#REF!="Moderado"),CONCATENATE("R1C",'Mapa final'!#REF!),"")</f>
        <v>#REF!</v>
      </c>
      <c r="AA16" s="46" t="e">
        <f>IF(AND('Mapa final'!#REF!="Alta",'Mapa final'!#REF!="Moderado"),CONCATENATE("R1C",'Mapa final'!#REF!),"")</f>
        <v>#REF!</v>
      </c>
      <c r="AB16" s="44" t="str">
        <f>IF(AND('Mapa final'!$Y$25="Alta",'Mapa final'!$AA$25="Mayor"),CONCATENATE("R1C",'Mapa final'!$O$25),"")</f>
        <v/>
      </c>
      <c r="AC16" s="45" t="str">
        <f>IF(AND('Mapa final'!$Y$26="Alta",'Mapa final'!$AA$26="Mayor"),CONCATENATE("R1C",'Mapa final'!$O$26),"")</f>
        <v/>
      </c>
      <c r="AD16" s="45" t="str">
        <f>IF(AND('Mapa final'!$Y$27="Alta",'Mapa final'!$AA$27="Mayor"),CONCATENATE("R1C",'Mapa final'!$O$27),"")</f>
        <v/>
      </c>
      <c r="AE16" s="45" t="e">
        <f>IF(AND('Mapa final'!#REF!="Alta",'Mapa final'!#REF!="Mayor"),CONCATENATE("R1C",'Mapa final'!#REF!),"")</f>
        <v>#REF!</v>
      </c>
      <c r="AF16" s="45" t="e">
        <f>IF(AND('Mapa final'!#REF!="Alta",'Mapa final'!#REF!="Mayor"),CONCATENATE("R1C",'Mapa final'!#REF!),"")</f>
        <v>#REF!</v>
      </c>
      <c r="AG16" s="46" t="e">
        <f>IF(AND('Mapa final'!#REF!="Alta",'Mapa final'!#REF!="Mayor"),CONCATENATE("R1C",'Mapa final'!#REF!),"")</f>
        <v>#REF!</v>
      </c>
      <c r="AH16" s="47" t="str">
        <f>IF(AND('Mapa final'!$Y$25="Alta",'Mapa final'!$AA$25="Catastrófico"),CONCATENATE("R1C",'Mapa final'!$O$25),"")</f>
        <v/>
      </c>
      <c r="AI16" s="48" t="str">
        <f>IF(AND('Mapa final'!$Y$26="Alta",'Mapa final'!$AA$26="Catastrófico"),CONCATENATE("R1C",'Mapa final'!$O$26),"")</f>
        <v/>
      </c>
      <c r="AJ16" s="48" t="str">
        <f>IF(AND('Mapa final'!$Y$27="Alta",'Mapa final'!$AA$27="Catastrófico"),CONCATENATE("R1C",'Mapa final'!$O$27),"")</f>
        <v/>
      </c>
      <c r="AK16" s="48" t="e">
        <f>IF(AND('Mapa final'!#REF!="Alta",'Mapa final'!#REF!="Catastrófico"),CONCATENATE("R1C",'Mapa final'!#REF!),"")</f>
        <v>#REF!</v>
      </c>
      <c r="AL16" s="48" t="e">
        <f>IF(AND('Mapa final'!#REF!="Alta",'Mapa final'!#REF!="Catastrófico"),CONCATENATE("R1C",'Mapa final'!#REF!),"")</f>
        <v>#REF!</v>
      </c>
      <c r="AM16" s="49" t="e">
        <f>IF(AND('Mapa final'!#REF!="Alta",'Mapa final'!#REF!="Catastrófico"),CONCATENATE("R1C",'Mapa final'!#REF!),"")</f>
        <v>#REF!</v>
      </c>
      <c r="AN16" s="81"/>
      <c r="AO16" s="410" t="s">
        <v>95</v>
      </c>
      <c r="AP16" s="411"/>
      <c r="AQ16" s="411"/>
      <c r="AR16" s="411"/>
      <c r="AS16" s="411"/>
      <c r="AT16" s="412"/>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row>
    <row r="17" spans="1:76" ht="15" customHeight="1" x14ac:dyDescent="0.25">
      <c r="A17" s="81"/>
      <c r="B17" s="324"/>
      <c r="C17" s="324"/>
      <c r="D17" s="325"/>
      <c r="E17" s="421"/>
      <c r="F17" s="422"/>
      <c r="G17" s="422"/>
      <c r="H17" s="422"/>
      <c r="I17" s="422"/>
      <c r="J17" s="65" t="str">
        <f>IF(AND('Mapa final'!$Y$28="Alta",'Mapa final'!$AA$28="Leve"),CONCATENATE("R2C",'Mapa final'!$O$28),"")</f>
        <v/>
      </c>
      <c r="K17" s="66" t="str">
        <f>IF(AND('Mapa final'!$Y$29="Alta",'Mapa final'!$AA$29="Leve"),CONCATENATE("R2C",'Mapa final'!$O$29),"")</f>
        <v/>
      </c>
      <c r="L17" s="66" t="e">
        <f>IF(AND('Mapa final'!#REF!="Alta",'Mapa final'!#REF!="Leve"),CONCATENATE("R2C",'Mapa final'!#REF!),"")</f>
        <v>#REF!</v>
      </c>
      <c r="M17" s="66" t="e">
        <f>IF(AND('Mapa final'!#REF!="Alta",'Mapa final'!#REF!="Leve"),CONCATENATE("R2C",'Mapa final'!#REF!),"")</f>
        <v>#REF!</v>
      </c>
      <c r="N17" s="66" t="e">
        <f>IF(AND('Mapa final'!#REF!="Alta",'Mapa final'!#REF!="Leve"),CONCATENATE("R2C",'Mapa final'!#REF!),"")</f>
        <v>#REF!</v>
      </c>
      <c r="O17" s="67" t="e">
        <f>IF(AND('Mapa final'!#REF!="Alta",'Mapa final'!#REF!="Leve"),CONCATENATE("R2C",'Mapa final'!#REF!),"")</f>
        <v>#REF!</v>
      </c>
      <c r="P17" s="65" t="str">
        <f>IF(AND('Mapa final'!$Y$28="Alta",'Mapa final'!$AA$28="Menor"),CONCATENATE("R2C",'Mapa final'!$O$28),"")</f>
        <v/>
      </c>
      <c r="Q17" s="66" t="str">
        <f>IF(AND('Mapa final'!$Y$29="Alta",'Mapa final'!$AA$29="Menor"),CONCATENATE("R2C",'Mapa final'!$O$29),"")</f>
        <v/>
      </c>
      <c r="R17" s="66" t="e">
        <f>IF(AND('Mapa final'!#REF!="Alta",'Mapa final'!#REF!="Menor"),CONCATENATE("R2C",'Mapa final'!#REF!),"")</f>
        <v>#REF!</v>
      </c>
      <c r="S17" s="66" t="e">
        <f>IF(AND('Mapa final'!#REF!="Alta",'Mapa final'!#REF!="Menor"),CONCATENATE("R2C",'Mapa final'!#REF!),"")</f>
        <v>#REF!</v>
      </c>
      <c r="T17" s="66" t="e">
        <f>IF(AND('Mapa final'!#REF!="Alta",'Mapa final'!#REF!="Menor"),CONCATENATE("R2C",'Mapa final'!#REF!),"")</f>
        <v>#REF!</v>
      </c>
      <c r="U17" s="67" t="e">
        <f>IF(AND('Mapa final'!#REF!="Alta",'Mapa final'!#REF!="Menor"),CONCATENATE("R2C",'Mapa final'!#REF!),"")</f>
        <v>#REF!</v>
      </c>
      <c r="V17" s="50" t="str">
        <f>IF(AND('Mapa final'!$Y$28="Alta",'Mapa final'!$AA$28="Moderado"),CONCATENATE("R2C",'Mapa final'!$O$28),"")</f>
        <v/>
      </c>
      <c r="W17" s="51" t="str">
        <f>IF(AND('Mapa final'!$Y$29="Alta",'Mapa final'!$AA$29="Moderado"),CONCATENATE("R2C",'Mapa final'!$O$29),"")</f>
        <v/>
      </c>
      <c r="X17" s="51" t="e">
        <f>IF(AND('Mapa final'!#REF!="Alta",'Mapa final'!#REF!="Moderado"),CONCATENATE("R2C",'Mapa final'!#REF!),"")</f>
        <v>#REF!</v>
      </c>
      <c r="Y17" s="51" t="e">
        <f>IF(AND('Mapa final'!#REF!="Alta",'Mapa final'!#REF!="Moderado"),CONCATENATE("R2C",'Mapa final'!#REF!),"")</f>
        <v>#REF!</v>
      </c>
      <c r="Z17" s="51" t="e">
        <f>IF(AND('Mapa final'!#REF!="Alta",'Mapa final'!#REF!="Moderado"),CONCATENATE("R2C",'Mapa final'!#REF!),"")</f>
        <v>#REF!</v>
      </c>
      <c r="AA17" s="52" t="e">
        <f>IF(AND('Mapa final'!#REF!="Alta",'Mapa final'!#REF!="Moderado"),CONCATENATE("R2C",'Mapa final'!#REF!),"")</f>
        <v>#REF!</v>
      </c>
      <c r="AB17" s="50" t="str">
        <f>IF(AND('Mapa final'!$Y$28="Alta",'Mapa final'!$AA$28="Mayor"),CONCATENATE("R2C",'Mapa final'!$O$28),"")</f>
        <v/>
      </c>
      <c r="AC17" s="51" t="str">
        <f>IF(AND('Mapa final'!$Y$29="Alta",'Mapa final'!$AA$29="Mayor"),CONCATENATE("R2C",'Mapa final'!$O$29),"")</f>
        <v/>
      </c>
      <c r="AD17" s="51" t="e">
        <f>IF(AND('Mapa final'!#REF!="Alta",'Mapa final'!#REF!="Mayor"),CONCATENATE("R2C",'Mapa final'!#REF!),"")</f>
        <v>#REF!</v>
      </c>
      <c r="AE17" s="51" t="e">
        <f>IF(AND('Mapa final'!#REF!="Alta",'Mapa final'!#REF!="Mayor"),CONCATENATE("R2C",'Mapa final'!#REF!),"")</f>
        <v>#REF!</v>
      </c>
      <c r="AF17" s="51" t="e">
        <f>IF(AND('Mapa final'!#REF!="Alta",'Mapa final'!#REF!="Mayor"),CONCATENATE("R2C",'Mapa final'!#REF!),"")</f>
        <v>#REF!</v>
      </c>
      <c r="AG17" s="52" t="e">
        <f>IF(AND('Mapa final'!#REF!="Alta",'Mapa final'!#REF!="Mayor"),CONCATENATE("R2C",'Mapa final'!#REF!),"")</f>
        <v>#REF!</v>
      </c>
      <c r="AH17" s="53" t="str">
        <f>IF(AND('Mapa final'!$Y$28="Alta",'Mapa final'!$AA$28="Catastrófico"),CONCATENATE("R2C",'Mapa final'!$O$28),"")</f>
        <v/>
      </c>
      <c r="AI17" s="54" t="str">
        <f>IF(AND('Mapa final'!$Y$29="Alta",'Mapa final'!$AA$29="Catastrófico"),CONCATENATE("R2C",'Mapa final'!$O$29),"")</f>
        <v/>
      </c>
      <c r="AJ17" s="54" t="e">
        <f>IF(AND('Mapa final'!#REF!="Alta",'Mapa final'!#REF!="Catastrófico"),CONCATENATE("R2C",'Mapa final'!#REF!),"")</f>
        <v>#REF!</v>
      </c>
      <c r="AK17" s="54" t="e">
        <f>IF(AND('Mapa final'!#REF!="Alta",'Mapa final'!#REF!="Catastrófico"),CONCATENATE("R2C",'Mapa final'!#REF!),"")</f>
        <v>#REF!</v>
      </c>
      <c r="AL17" s="54" t="e">
        <f>IF(AND('Mapa final'!#REF!="Alta",'Mapa final'!#REF!="Catastrófico"),CONCATENATE("R2C",'Mapa final'!#REF!),"")</f>
        <v>#REF!</v>
      </c>
      <c r="AM17" s="55" t="e">
        <f>IF(AND('Mapa final'!#REF!="Alta",'Mapa final'!#REF!="Catastrófico"),CONCATENATE("R2C",'Mapa final'!#REF!),"")</f>
        <v>#REF!</v>
      </c>
      <c r="AN17" s="81"/>
      <c r="AO17" s="413"/>
      <c r="AP17" s="414"/>
      <c r="AQ17" s="414"/>
      <c r="AR17" s="414"/>
      <c r="AS17" s="414"/>
      <c r="AT17" s="415"/>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row>
    <row r="18" spans="1:76" ht="15" customHeight="1" x14ac:dyDescent="0.25">
      <c r="A18" s="81"/>
      <c r="B18" s="324"/>
      <c r="C18" s="324"/>
      <c r="D18" s="325"/>
      <c r="E18" s="423"/>
      <c r="F18" s="422"/>
      <c r="G18" s="422"/>
      <c r="H18" s="422"/>
      <c r="I18" s="422"/>
      <c r="J18" s="65" t="str">
        <f>IF(AND('Mapa final'!$Y$30="Alta",'Mapa final'!$AA$30="Leve"),CONCATENATE("R3C",'Mapa final'!$O$30),"")</f>
        <v/>
      </c>
      <c r="K18" s="66" t="str">
        <f>IF(AND('Mapa final'!$Y$31="Alta",'Mapa final'!$AA$31="Leve"),CONCATENATE("R3C",'Mapa final'!$O$31),"")</f>
        <v/>
      </c>
      <c r="L18" s="66" t="e">
        <f>IF(AND('Mapa final'!#REF!="Alta",'Mapa final'!#REF!="Leve"),CONCATENATE("R3C",'Mapa final'!#REF!),"")</f>
        <v>#REF!</v>
      </c>
      <c r="M18" s="66" t="e">
        <f>IF(AND('Mapa final'!#REF!="Alta",'Mapa final'!#REF!="Leve"),CONCATENATE("R3C",'Mapa final'!#REF!),"")</f>
        <v>#REF!</v>
      </c>
      <c r="N18" s="66" t="e">
        <f>IF(AND('Mapa final'!#REF!="Alta",'Mapa final'!#REF!="Leve"),CONCATENATE("R3C",'Mapa final'!#REF!),"")</f>
        <v>#REF!</v>
      </c>
      <c r="O18" s="67" t="e">
        <f>IF(AND('Mapa final'!#REF!="Alta",'Mapa final'!#REF!="Leve"),CONCATENATE("R3C",'Mapa final'!#REF!),"")</f>
        <v>#REF!</v>
      </c>
      <c r="P18" s="65" t="str">
        <f>IF(AND('Mapa final'!$Y$30="Alta",'Mapa final'!$AA$30="Menor"),CONCATENATE("R3C",'Mapa final'!$O$30),"")</f>
        <v/>
      </c>
      <c r="Q18" s="66" t="str">
        <f>IF(AND('Mapa final'!$Y$31="Alta",'Mapa final'!$AA$31="Menor"),CONCATENATE("R3C",'Mapa final'!$O$31),"")</f>
        <v/>
      </c>
      <c r="R18" s="66" t="e">
        <f>IF(AND('Mapa final'!#REF!="Alta",'Mapa final'!#REF!="Menor"),CONCATENATE("R3C",'Mapa final'!#REF!),"")</f>
        <v>#REF!</v>
      </c>
      <c r="S18" s="66" t="e">
        <f>IF(AND('Mapa final'!#REF!="Alta",'Mapa final'!#REF!="Menor"),CONCATENATE("R3C",'Mapa final'!#REF!),"")</f>
        <v>#REF!</v>
      </c>
      <c r="T18" s="66" t="e">
        <f>IF(AND('Mapa final'!#REF!="Alta",'Mapa final'!#REF!="Menor"),CONCATENATE("R3C",'Mapa final'!#REF!),"")</f>
        <v>#REF!</v>
      </c>
      <c r="U18" s="67" t="e">
        <f>IF(AND('Mapa final'!#REF!="Alta",'Mapa final'!#REF!="Menor"),CONCATENATE("R3C",'Mapa final'!#REF!),"")</f>
        <v>#REF!</v>
      </c>
      <c r="V18" s="50" t="str">
        <f>IF(AND('Mapa final'!$Y$30="Alta",'Mapa final'!$AA$30="Moderado"),CONCATENATE("R3C",'Mapa final'!$O$30),"")</f>
        <v/>
      </c>
      <c r="W18" s="51" t="str">
        <f>IF(AND('Mapa final'!$Y$31="Alta",'Mapa final'!$AA$31="Moderado"),CONCATENATE("R3C",'Mapa final'!$O$31),"")</f>
        <v/>
      </c>
      <c r="X18" s="51" t="e">
        <f>IF(AND('Mapa final'!#REF!="Alta",'Mapa final'!#REF!="Moderado"),CONCATENATE("R3C",'Mapa final'!#REF!),"")</f>
        <v>#REF!</v>
      </c>
      <c r="Y18" s="51" t="e">
        <f>IF(AND('Mapa final'!#REF!="Alta",'Mapa final'!#REF!="Moderado"),CONCATENATE("R3C",'Mapa final'!#REF!),"")</f>
        <v>#REF!</v>
      </c>
      <c r="Z18" s="51" t="e">
        <f>IF(AND('Mapa final'!#REF!="Alta",'Mapa final'!#REF!="Moderado"),CONCATENATE("R3C",'Mapa final'!#REF!),"")</f>
        <v>#REF!</v>
      </c>
      <c r="AA18" s="52" t="e">
        <f>IF(AND('Mapa final'!#REF!="Alta",'Mapa final'!#REF!="Moderado"),CONCATENATE("R3C",'Mapa final'!#REF!),"")</f>
        <v>#REF!</v>
      </c>
      <c r="AB18" s="50" t="str">
        <f>IF(AND('Mapa final'!$Y$30="Alta",'Mapa final'!$AA$30="Mayor"),CONCATENATE("R3C",'Mapa final'!$O$30),"")</f>
        <v/>
      </c>
      <c r="AC18" s="51" t="str">
        <f>IF(AND('Mapa final'!$Y$31="Alta",'Mapa final'!$AA$31="Mayor"),CONCATENATE("R3C",'Mapa final'!$O$31),"")</f>
        <v/>
      </c>
      <c r="AD18" s="51" t="e">
        <f>IF(AND('Mapa final'!#REF!="Alta",'Mapa final'!#REF!="Mayor"),CONCATENATE("R3C",'Mapa final'!#REF!),"")</f>
        <v>#REF!</v>
      </c>
      <c r="AE18" s="51" t="e">
        <f>IF(AND('Mapa final'!#REF!="Alta",'Mapa final'!#REF!="Mayor"),CONCATENATE("R3C",'Mapa final'!#REF!),"")</f>
        <v>#REF!</v>
      </c>
      <c r="AF18" s="51" t="e">
        <f>IF(AND('Mapa final'!#REF!="Alta",'Mapa final'!#REF!="Mayor"),CONCATENATE("R3C",'Mapa final'!#REF!),"")</f>
        <v>#REF!</v>
      </c>
      <c r="AG18" s="52" t="e">
        <f>IF(AND('Mapa final'!#REF!="Alta",'Mapa final'!#REF!="Mayor"),CONCATENATE("R3C",'Mapa final'!#REF!),"")</f>
        <v>#REF!</v>
      </c>
      <c r="AH18" s="53" t="str">
        <f>IF(AND('Mapa final'!$Y$30="Alta",'Mapa final'!$AA$30="Catastrófico"),CONCATENATE("R3C",'Mapa final'!$O$30),"")</f>
        <v/>
      </c>
      <c r="AI18" s="54" t="str">
        <f>IF(AND('Mapa final'!$Y$31="Alta",'Mapa final'!$AA$31="Catastrófico"),CONCATENATE("R3C",'Mapa final'!$O$31),"")</f>
        <v/>
      </c>
      <c r="AJ18" s="54" t="e">
        <f>IF(AND('Mapa final'!#REF!="Alta",'Mapa final'!#REF!="Catastrófico"),CONCATENATE("R3C",'Mapa final'!#REF!),"")</f>
        <v>#REF!</v>
      </c>
      <c r="AK18" s="54" t="e">
        <f>IF(AND('Mapa final'!#REF!="Alta",'Mapa final'!#REF!="Catastrófico"),CONCATENATE("R3C",'Mapa final'!#REF!),"")</f>
        <v>#REF!</v>
      </c>
      <c r="AL18" s="54" t="e">
        <f>IF(AND('Mapa final'!#REF!="Alta",'Mapa final'!#REF!="Catastrófico"),CONCATENATE("R3C",'Mapa final'!#REF!),"")</f>
        <v>#REF!</v>
      </c>
      <c r="AM18" s="55" t="e">
        <f>IF(AND('Mapa final'!#REF!="Alta",'Mapa final'!#REF!="Catastrófico"),CONCATENATE("R3C",'Mapa final'!#REF!),"")</f>
        <v>#REF!</v>
      </c>
      <c r="AN18" s="81"/>
      <c r="AO18" s="413"/>
      <c r="AP18" s="414"/>
      <c r="AQ18" s="414"/>
      <c r="AR18" s="414"/>
      <c r="AS18" s="414"/>
      <c r="AT18" s="415"/>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row>
    <row r="19" spans="1:76" ht="15" customHeight="1" x14ac:dyDescent="0.25">
      <c r="A19" s="81"/>
      <c r="B19" s="324"/>
      <c r="C19" s="324"/>
      <c r="D19" s="325"/>
      <c r="E19" s="423"/>
      <c r="F19" s="422"/>
      <c r="G19" s="422"/>
      <c r="H19" s="422"/>
      <c r="I19" s="422"/>
      <c r="J19" s="65" t="str">
        <f>IF(AND('Mapa final'!$Y$32="Alta",'Mapa final'!$AA$32="Leve"),CONCATENATE("R4C",'Mapa final'!$O$32),"")</f>
        <v/>
      </c>
      <c r="K19" s="66" t="str">
        <f>IF(AND('Mapa final'!$Y$33="Alta",'Mapa final'!$AA$33="Leve"),CONCATENATE("R4C",'Mapa final'!$O$33),"")</f>
        <v/>
      </c>
      <c r="L19" s="66" t="str">
        <f>IF(AND('Mapa final'!$Y$34="Alta",'Mapa final'!$AA$34="Leve"),CONCATENATE("R4C",'Mapa final'!$O$34),"")</f>
        <v/>
      </c>
      <c r="M19" s="66" t="str">
        <f>IF(AND('Mapa final'!$Y$35="Alta",'Mapa final'!$AA$35="Leve"),CONCATENATE("R4C",'Mapa final'!$O$35),"")</f>
        <v/>
      </c>
      <c r="N19" s="66" t="str">
        <f>IF(AND('Mapa final'!$Y$36="Alta",'Mapa final'!$AA$36="Leve"),CONCATENATE("R4C",'Mapa final'!$O$36),"")</f>
        <v/>
      </c>
      <c r="O19" s="67" t="str">
        <f>IF(AND('Mapa final'!$Y$37="Alta",'Mapa final'!$AA$37="Leve"),CONCATENATE("R4C",'Mapa final'!$O$37),"")</f>
        <v/>
      </c>
      <c r="P19" s="65" t="str">
        <f>IF(AND('Mapa final'!$Y$32="Alta",'Mapa final'!$AA$32="Menor"),CONCATENATE("R4C",'Mapa final'!$O$32),"")</f>
        <v/>
      </c>
      <c r="Q19" s="66" t="str">
        <f>IF(AND('Mapa final'!$Y$33="Alta",'Mapa final'!$AA$33="Menor"),CONCATENATE("R4C",'Mapa final'!$O$33),"")</f>
        <v/>
      </c>
      <c r="R19" s="66" t="str">
        <f>IF(AND('Mapa final'!$Y$34="Alta",'Mapa final'!$AA$34="Menor"),CONCATENATE("R4C",'Mapa final'!$O$34),"")</f>
        <v/>
      </c>
      <c r="S19" s="66" t="str">
        <f>IF(AND('Mapa final'!$Y$35="Alta",'Mapa final'!$AA$35="Menor"),CONCATENATE("R4C",'Mapa final'!$O$35),"")</f>
        <v/>
      </c>
      <c r="T19" s="66" t="str">
        <f>IF(AND('Mapa final'!$Y$36="Alta",'Mapa final'!$AA$36="Menor"),CONCATENATE("R4C",'Mapa final'!$O$36),"")</f>
        <v/>
      </c>
      <c r="U19" s="67" t="str">
        <f>IF(AND('Mapa final'!$Y$37="Alta",'Mapa final'!$AA$37="Menor"),CONCATENATE("R4C",'Mapa final'!$O$37),"")</f>
        <v/>
      </c>
      <c r="V19" s="50" t="str">
        <f>IF(AND('Mapa final'!$Y$32="Alta",'Mapa final'!$AA$32="Moderado"),CONCATENATE("R4C",'Mapa final'!$O$32),"")</f>
        <v/>
      </c>
      <c r="W19" s="51" t="str">
        <f>IF(AND('Mapa final'!$Y$33="Alta",'Mapa final'!$AA$33="Moderado"),CONCATENATE("R4C",'Mapa final'!$O$33),"")</f>
        <v/>
      </c>
      <c r="X19" s="51" t="str">
        <f>IF(AND('Mapa final'!$Y$34="Alta",'Mapa final'!$AA$34="Moderado"),CONCATENATE("R4C",'Mapa final'!$O$34),"")</f>
        <v/>
      </c>
      <c r="Y19" s="51" t="str">
        <f>IF(AND('Mapa final'!$Y$35="Alta",'Mapa final'!$AA$35="Moderado"),CONCATENATE("R4C",'Mapa final'!$O$35),"")</f>
        <v/>
      </c>
      <c r="Z19" s="51" t="str">
        <f>IF(AND('Mapa final'!$Y$36="Alta",'Mapa final'!$AA$36="Moderado"),CONCATENATE("R4C",'Mapa final'!$O$36),"")</f>
        <v/>
      </c>
      <c r="AA19" s="52" t="str">
        <f>IF(AND('Mapa final'!$Y$37="Alta",'Mapa final'!$AA$37="Moderado"),CONCATENATE("R4C",'Mapa final'!$O$37),"")</f>
        <v/>
      </c>
      <c r="AB19" s="50" t="str">
        <f>IF(AND('Mapa final'!$Y$32="Alta",'Mapa final'!$AA$32="Mayor"),CONCATENATE("R4C",'Mapa final'!$O$32),"")</f>
        <v/>
      </c>
      <c r="AC19" s="51" t="str">
        <f>IF(AND('Mapa final'!$Y$33="Alta",'Mapa final'!$AA$33="Mayor"),CONCATENATE("R4C",'Mapa final'!$O$33),"")</f>
        <v/>
      </c>
      <c r="AD19" s="51" t="str">
        <f>IF(AND('Mapa final'!$Y$34="Alta",'Mapa final'!$AA$34="Mayor"),CONCATENATE("R4C",'Mapa final'!$O$34),"")</f>
        <v/>
      </c>
      <c r="AE19" s="51" t="str">
        <f>IF(AND('Mapa final'!$Y$35="Alta",'Mapa final'!$AA$35="Mayor"),CONCATENATE("R4C",'Mapa final'!$O$35),"")</f>
        <v/>
      </c>
      <c r="AF19" s="51" t="str">
        <f>IF(AND('Mapa final'!$Y$36="Alta",'Mapa final'!$AA$36="Mayor"),CONCATENATE("R4C",'Mapa final'!$O$36),"")</f>
        <v/>
      </c>
      <c r="AG19" s="52" t="str">
        <f>IF(AND('Mapa final'!$Y$37="Alta",'Mapa final'!$AA$37="Mayor"),CONCATENATE("R4C",'Mapa final'!$O$37),"")</f>
        <v/>
      </c>
      <c r="AH19" s="53" t="str">
        <f>IF(AND('Mapa final'!$Y$32="Alta",'Mapa final'!$AA$32="Catastrófico"),CONCATENATE("R4C",'Mapa final'!$O$32),"")</f>
        <v/>
      </c>
      <c r="AI19" s="54" t="str">
        <f>IF(AND('Mapa final'!$Y$33="Alta",'Mapa final'!$AA$33="Catastrófico"),CONCATENATE("R4C",'Mapa final'!$O$33),"")</f>
        <v/>
      </c>
      <c r="AJ19" s="54" t="str">
        <f>IF(AND('Mapa final'!$Y$34="Alta",'Mapa final'!$AA$34="Catastrófico"),CONCATENATE("R4C",'Mapa final'!$O$34),"")</f>
        <v/>
      </c>
      <c r="AK19" s="54" t="str">
        <f>IF(AND('Mapa final'!$Y$35="Alta",'Mapa final'!$AA$35="Catastrófico"),CONCATENATE("R4C",'Mapa final'!$O$35),"")</f>
        <v/>
      </c>
      <c r="AL19" s="54" t="str">
        <f>IF(AND('Mapa final'!$Y$36="Alta",'Mapa final'!$AA$36="Catastrófico"),CONCATENATE("R4C",'Mapa final'!$O$36),"")</f>
        <v/>
      </c>
      <c r="AM19" s="55" t="str">
        <f>IF(AND('Mapa final'!$Y$37="Alta",'Mapa final'!$AA$37="Catastrófico"),CONCATENATE("R4C",'Mapa final'!$O$37),"")</f>
        <v/>
      </c>
      <c r="AN19" s="81"/>
      <c r="AO19" s="413"/>
      <c r="AP19" s="414"/>
      <c r="AQ19" s="414"/>
      <c r="AR19" s="414"/>
      <c r="AS19" s="414"/>
      <c r="AT19" s="415"/>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row>
    <row r="20" spans="1:76" ht="15" customHeight="1" x14ac:dyDescent="0.25">
      <c r="A20" s="81"/>
      <c r="B20" s="324"/>
      <c r="C20" s="324"/>
      <c r="D20" s="325"/>
      <c r="E20" s="423"/>
      <c r="F20" s="422"/>
      <c r="G20" s="422"/>
      <c r="H20" s="422"/>
      <c r="I20" s="422"/>
      <c r="J20" s="65" t="str">
        <f>IF(AND('Mapa final'!$Y$38="Alta",'Mapa final'!$AA$38="Leve"),CONCATENATE("R5C",'Mapa final'!$O$38),"")</f>
        <v/>
      </c>
      <c r="K20" s="66" t="str">
        <f>IF(AND('Mapa final'!$Y$39="Alta",'Mapa final'!$AA$39="Leve"),CONCATENATE("R5C",'Mapa final'!$O$39),"")</f>
        <v/>
      </c>
      <c r="L20" s="66" t="str">
        <f>IF(AND('Mapa final'!$Y$40="Alta",'Mapa final'!$AA$40="Leve"),CONCATENATE("R5C",'Mapa final'!$O$40),"")</f>
        <v/>
      </c>
      <c r="M20" s="66" t="str">
        <f>IF(AND('Mapa final'!$Y$41="Alta",'Mapa final'!$AA$41="Leve"),CONCATENATE("R5C",'Mapa final'!$O$41),"")</f>
        <v/>
      </c>
      <c r="N20" s="66" t="str">
        <f>IF(AND('Mapa final'!$Y$42="Alta",'Mapa final'!$AA$42="Leve"),CONCATENATE("R5C",'Mapa final'!$O$42),"")</f>
        <v/>
      </c>
      <c r="O20" s="67" t="str">
        <f>IF(AND('Mapa final'!$Y$43="Alta",'Mapa final'!$AA$43="Leve"),CONCATENATE("R5C",'Mapa final'!$O$43),"")</f>
        <v/>
      </c>
      <c r="P20" s="65" t="str">
        <f>IF(AND('Mapa final'!$Y$38="Alta",'Mapa final'!$AA$38="Menor"),CONCATENATE("R5C",'Mapa final'!$O$38),"")</f>
        <v/>
      </c>
      <c r="Q20" s="66" t="str">
        <f>IF(AND('Mapa final'!$Y$39="Alta",'Mapa final'!$AA$39="Menor"),CONCATENATE("R5C",'Mapa final'!$O$39),"")</f>
        <v/>
      </c>
      <c r="R20" s="66" t="str">
        <f>IF(AND('Mapa final'!$Y$40="Alta",'Mapa final'!$AA$40="Menor"),CONCATENATE("R5C",'Mapa final'!$O$40),"")</f>
        <v/>
      </c>
      <c r="S20" s="66" t="str">
        <f>IF(AND('Mapa final'!$Y$41="Alta",'Mapa final'!$AA$41="Menor"),CONCATENATE("R5C",'Mapa final'!$O$41),"")</f>
        <v/>
      </c>
      <c r="T20" s="66" t="str">
        <f>IF(AND('Mapa final'!$Y$42="Alta",'Mapa final'!$AA$42="Menor"),CONCATENATE("R5C",'Mapa final'!$O$42),"")</f>
        <v/>
      </c>
      <c r="U20" s="67" t="str">
        <f>IF(AND('Mapa final'!$Y$43="Alta",'Mapa final'!$AA$43="Menor"),CONCATENATE("R5C",'Mapa final'!$O$43),"")</f>
        <v/>
      </c>
      <c r="V20" s="50" t="str">
        <f>IF(AND('Mapa final'!$Y$38="Alta",'Mapa final'!$AA$38="Moderado"),CONCATENATE("R5C",'Mapa final'!$O$38),"")</f>
        <v/>
      </c>
      <c r="W20" s="51" t="str">
        <f>IF(AND('Mapa final'!$Y$39="Alta",'Mapa final'!$AA$39="Moderado"),CONCATENATE("R5C",'Mapa final'!$O$39),"")</f>
        <v/>
      </c>
      <c r="X20" s="51" t="str">
        <f>IF(AND('Mapa final'!$Y$40="Alta",'Mapa final'!$AA$40="Moderado"),CONCATENATE("R5C",'Mapa final'!$O$40),"")</f>
        <v/>
      </c>
      <c r="Y20" s="51" t="str">
        <f>IF(AND('Mapa final'!$Y$41="Alta",'Mapa final'!$AA$41="Moderado"),CONCATENATE("R5C",'Mapa final'!$O$41),"")</f>
        <v/>
      </c>
      <c r="Z20" s="51" t="str">
        <f>IF(AND('Mapa final'!$Y$42="Alta",'Mapa final'!$AA$42="Moderado"),CONCATENATE("R5C",'Mapa final'!$O$42),"")</f>
        <v/>
      </c>
      <c r="AA20" s="52" t="str">
        <f>IF(AND('Mapa final'!$Y$43="Alta",'Mapa final'!$AA$43="Moderado"),CONCATENATE("R5C",'Mapa final'!$O$43),"")</f>
        <v/>
      </c>
      <c r="AB20" s="50" t="str">
        <f>IF(AND('Mapa final'!$Y$38="Alta",'Mapa final'!$AA$38="Mayor"),CONCATENATE("R5C",'Mapa final'!$O$38),"")</f>
        <v/>
      </c>
      <c r="AC20" s="51" t="str">
        <f>IF(AND('Mapa final'!$Y$39="Alta",'Mapa final'!$AA$39="Mayor"),CONCATENATE("R5C",'Mapa final'!$O$39),"")</f>
        <v/>
      </c>
      <c r="AD20" s="51" t="str">
        <f>IF(AND('Mapa final'!$Y$40="Alta",'Mapa final'!$AA$40="Mayor"),CONCATENATE("R5C",'Mapa final'!$O$40),"")</f>
        <v/>
      </c>
      <c r="AE20" s="51" t="str">
        <f>IF(AND('Mapa final'!$Y$41="Alta",'Mapa final'!$AA$41="Mayor"),CONCATENATE("R5C",'Mapa final'!$O$41),"")</f>
        <v/>
      </c>
      <c r="AF20" s="51" t="str">
        <f>IF(AND('Mapa final'!$Y$42="Alta",'Mapa final'!$AA$42="Mayor"),CONCATENATE("R5C",'Mapa final'!$O$42),"")</f>
        <v/>
      </c>
      <c r="AG20" s="52" t="str">
        <f>IF(AND('Mapa final'!$Y$43="Alta",'Mapa final'!$AA$43="Mayor"),CONCATENATE("R5C",'Mapa final'!$O$43),"")</f>
        <v/>
      </c>
      <c r="AH20" s="53" t="str">
        <f>IF(AND('Mapa final'!$Y$38="Alta",'Mapa final'!$AA$38="Catastrófico"),CONCATENATE("R5C",'Mapa final'!$O$38),"")</f>
        <v/>
      </c>
      <c r="AI20" s="54" t="str">
        <f>IF(AND('Mapa final'!$Y$39="Alta",'Mapa final'!$AA$39="Catastrófico"),CONCATENATE("R5C",'Mapa final'!$O$39),"")</f>
        <v/>
      </c>
      <c r="AJ20" s="54" t="str">
        <f>IF(AND('Mapa final'!$Y$40="Alta",'Mapa final'!$AA$40="Catastrófico"),CONCATENATE("R5C",'Mapa final'!$O$40),"")</f>
        <v/>
      </c>
      <c r="AK20" s="54" t="str">
        <f>IF(AND('Mapa final'!$Y$41="Alta",'Mapa final'!$AA$41="Catastrófico"),CONCATENATE("R5C",'Mapa final'!$O$41),"")</f>
        <v/>
      </c>
      <c r="AL20" s="54" t="str">
        <f>IF(AND('Mapa final'!$Y$42="Alta",'Mapa final'!$AA$42="Catastrófico"),CONCATENATE("R5C",'Mapa final'!$O$42),"")</f>
        <v/>
      </c>
      <c r="AM20" s="55" t="str">
        <f>IF(AND('Mapa final'!$Y$43="Alta",'Mapa final'!$AA$43="Catastrófico"),CONCATENATE("R5C",'Mapa final'!$O$43),"")</f>
        <v/>
      </c>
      <c r="AN20" s="81"/>
      <c r="AO20" s="413"/>
      <c r="AP20" s="414"/>
      <c r="AQ20" s="414"/>
      <c r="AR20" s="414"/>
      <c r="AS20" s="414"/>
      <c r="AT20" s="415"/>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row>
    <row r="21" spans="1:76" ht="15" customHeight="1" x14ac:dyDescent="0.25">
      <c r="A21" s="81"/>
      <c r="B21" s="324"/>
      <c r="C21" s="324"/>
      <c r="D21" s="325"/>
      <c r="E21" s="423"/>
      <c r="F21" s="422"/>
      <c r="G21" s="422"/>
      <c r="H21" s="422"/>
      <c r="I21" s="422"/>
      <c r="J21" s="65" t="str">
        <f>IF(AND('Mapa final'!$Y$44="Alta",'Mapa final'!$AA$44="Leve"),CONCATENATE("R6C",'Mapa final'!$O$44),"")</f>
        <v/>
      </c>
      <c r="K21" s="66" t="str">
        <f>IF(AND('Mapa final'!$Y$45="Alta",'Mapa final'!$AA$45="Leve"),CONCATENATE("R6C",'Mapa final'!$O$45),"")</f>
        <v/>
      </c>
      <c r="L21" s="66" t="str">
        <f>IF(AND('Mapa final'!$Y$46="Alta",'Mapa final'!$AA$46="Leve"),CONCATENATE("R6C",'Mapa final'!$O$46),"")</f>
        <v/>
      </c>
      <c r="M21" s="66" t="str">
        <f>IF(AND('Mapa final'!$Y$47="Alta",'Mapa final'!$AA$47="Leve"),CONCATENATE("R6C",'Mapa final'!$O$47),"")</f>
        <v/>
      </c>
      <c r="N21" s="66" t="str">
        <f>IF(AND('Mapa final'!$Y$48="Alta",'Mapa final'!$AA$48="Leve"),CONCATENATE("R6C",'Mapa final'!$O$48),"")</f>
        <v/>
      </c>
      <c r="O21" s="67" t="str">
        <f>IF(AND('Mapa final'!$Y$49="Alta",'Mapa final'!$AA$49="Leve"),CONCATENATE("R6C",'Mapa final'!$O$49),"")</f>
        <v/>
      </c>
      <c r="P21" s="65" t="str">
        <f>IF(AND('Mapa final'!$Y$44="Alta",'Mapa final'!$AA$44="Menor"),CONCATENATE("R6C",'Mapa final'!$O$44),"")</f>
        <v/>
      </c>
      <c r="Q21" s="66" t="str">
        <f>IF(AND('Mapa final'!$Y$45="Alta",'Mapa final'!$AA$45="Menor"),CONCATENATE("R6C",'Mapa final'!$O$45),"")</f>
        <v/>
      </c>
      <c r="R21" s="66" t="str">
        <f>IF(AND('Mapa final'!$Y$46="Alta",'Mapa final'!$AA$46="Menor"),CONCATENATE("R6C",'Mapa final'!$O$46),"")</f>
        <v/>
      </c>
      <c r="S21" s="66" t="str">
        <f>IF(AND('Mapa final'!$Y$47="Alta",'Mapa final'!$AA$47="Menor"),CONCATENATE("R6C",'Mapa final'!$O$47),"")</f>
        <v/>
      </c>
      <c r="T21" s="66" t="str">
        <f>IF(AND('Mapa final'!$Y$48="Alta",'Mapa final'!$AA$48="Menor"),CONCATENATE("R6C",'Mapa final'!$O$48),"")</f>
        <v/>
      </c>
      <c r="U21" s="67" t="str">
        <f>IF(AND('Mapa final'!$Y$49="Alta",'Mapa final'!$AA$49="Menor"),CONCATENATE("R6C",'Mapa final'!$O$49),"")</f>
        <v/>
      </c>
      <c r="V21" s="50" t="str">
        <f>IF(AND('Mapa final'!$Y$44="Alta",'Mapa final'!$AA$44="Moderado"),CONCATENATE("R6C",'Mapa final'!$O$44),"")</f>
        <v/>
      </c>
      <c r="W21" s="51" t="str">
        <f>IF(AND('Mapa final'!$Y$45="Alta",'Mapa final'!$AA$45="Moderado"),CONCATENATE("R6C",'Mapa final'!$O$45),"")</f>
        <v/>
      </c>
      <c r="X21" s="51" t="str">
        <f>IF(AND('Mapa final'!$Y$46="Alta",'Mapa final'!$AA$46="Moderado"),CONCATENATE("R6C",'Mapa final'!$O$46),"")</f>
        <v/>
      </c>
      <c r="Y21" s="51" t="str">
        <f>IF(AND('Mapa final'!$Y$47="Alta",'Mapa final'!$AA$47="Moderado"),CONCATENATE("R6C",'Mapa final'!$O$47),"")</f>
        <v/>
      </c>
      <c r="Z21" s="51" t="str">
        <f>IF(AND('Mapa final'!$Y$48="Alta",'Mapa final'!$AA$48="Moderado"),CONCATENATE("R6C",'Mapa final'!$O$48),"")</f>
        <v/>
      </c>
      <c r="AA21" s="52" t="str">
        <f>IF(AND('Mapa final'!$Y$49="Alta",'Mapa final'!$AA$49="Moderado"),CONCATENATE("R6C",'Mapa final'!$O$49),"")</f>
        <v/>
      </c>
      <c r="AB21" s="50" t="str">
        <f>IF(AND('Mapa final'!$Y$44="Alta",'Mapa final'!$AA$44="Mayor"),CONCATENATE("R6C",'Mapa final'!$O$44),"")</f>
        <v/>
      </c>
      <c r="AC21" s="51" t="str">
        <f>IF(AND('Mapa final'!$Y$45="Alta",'Mapa final'!$AA$45="Mayor"),CONCATENATE("R6C",'Mapa final'!$O$45),"")</f>
        <v/>
      </c>
      <c r="AD21" s="51" t="str">
        <f>IF(AND('Mapa final'!$Y$46="Alta",'Mapa final'!$AA$46="Mayor"),CONCATENATE("R6C",'Mapa final'!$O$46),"")</f>
        <v/>
      </c>
      <c r="AE21" s="51" t="str">
        <f>IF(AND('Mapa final'!$Y$47="Alta",'Mapa final'!$AA$47="Mayor"),CONCATENATE("R6C",'Mapa final'!$O$47),"")</f>
        <v/>
      </c>
      <c r="AF21" s="51" t="str">
        <f>IF(AND('Mapa final'!$Y$48="Alta",'Mapa final'!$AA$48="Mayor"),CONCATENATE("R6C",'Mapa final'!$O$48),"")</f>
        <v/>
      </c>
      <c r="AG21" s="52" t="str">
        <f>IF(AND('Mapa final'!$Y$49="Alta",'Mapa final'!$AA$49="Mayor"),CONCATENATE("R6C",'Mapa final'!$O$49),"")</f>
        <v/>
      </c>
      <c r="AH21" s="53" t="str">
        <f>IF(AND('Mapa final'!$Y$44="Alta",'Mapa final'!$AA$44="Catastrófico"),CONCATENATE("R6C",'Mapa final'!$O$44),"")</f>
        <v/>
      </c>
      <c r="AI21" s="54" t="str">
        <f>IF(AND('Mapa final'!$Y$45="Alta",'Mapa final'!$AA$45="Catastrófico"),CONCATENATE("R6C",'Mapa final'!$O$45),"")</f>
        <v/>
      </c>
      <c r="AJ21" s="54" t="str">
        <f>IF(AND('Mapa final'!$Y$46="Alta",'Mapa final'!$AA$46="Catastrófico"),CONCATENATE("R6C",'Mapa final'!$O$46),"")</f>
        <v/>
      </c>
      <c r="AK21" s="54" t="str">
        <f>IF(AND('Mapa final'!$Y$47="Alta",'Mapa final'!$AA$47="Catastrófico"),CONCATENATE("R6C",'Mapa final'!$O$47),"")</f>
        <v/>
      </c>
      <c r="AL21" s="54" t="str">
        <f>IF(AND('Mapa final'!$Y$48="Alta",'Mapa final'!$AA$48="Catastrófico"),CONCATENATE("R6C",'Mapa final'!$O$48),"")</f>
        <v/>
      </c>
      <c r="AM21" s="55" t="str">
        <f>IF(AND('Mapa final'!$Y$49="Alta",'Mapa final'!$AA$49="Catastrófico"),CONCATENATE("R6C",'Mapa final'!$O$49),"")</f>
        <v/>
      </c>
      <c r="AN21" s="81"/>
      <c r="AO21" s="413"/>
      <c r="AP21" s="414"/>
      <c r="AQ21" s="414"/>
      <c r="AR21" s="414"/>
      <c r="AS21" s="414"/>
      <c r="AT21" s="415"/>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row>
    <row r="22" spans="1:76" ht="15" customHeight="1" x14ac:dyDescent="0.25">
      <c r="A22" s="81"/>
      <c r="B22" s="324"/>
      <c r="C22" s="324"/>
      <c r="D22" s="325"/>
      <c r="E22" s="423"/>
      <c r="F22" s="422"/>
      <c r="G22" s="422"/>
      <c r="H22" s="422"/>
      <c r="I22" s="422"/>
      <c r="J22" s="65" t="str">
        <f>IF(AND('Mapa final'!$Y$50="Alta",'Mapa final'!$AA$50="Leve"),CONCATENATE("R7C",'Mapa final'!$O$50),"")</f>
        <v/>
      </c>
      <c r="K22" s="66" t="str">
        <f>IF(AND('Mapa final'!$Y$51="Alta",'Mapa final'!$AA$51="Leve"),CONCATENATE("R7C",'Mapa final'!$O$51),"")</f>
        <v/>
      </c>
      <c r="L22" s="66" t="str">
        <f>IF(AND('Mapa final'!$Y$52="Alta",'Mapa final'!$AA$52="Leve"),CONCATENATE("R7C",'Mapa final'!$O$52),"")</f>
        <v/>
      </c>
      <c r="M22" s="66" t="str">
        <f>IF(AND('Mapa final'!$Y$53="Alta",'Mapa final'!$AA$53="Leve"),CONCATENATE("R7C",'Mapa final'!$O$53),"")</f>
        <v/>
      </c>
      <c r="N22" s="66" t="str">
        <f>IF(AND('Mapa final'!$Y$54="Alta",'Mapa final'!$AA$54="Leve"),CONCATENATE("R7C",'Mapa final'!$O$54),"")</f>
        <v/>
      </c>
      <c r="O22" s="67" t="str">
        <f>IF(AND('Mapa final'!$Y$55="Alta",'Mapa final'!$AA$55="Leve"),CONCATENATE("R7C",'Mapa final'!$O$55),"")</f>
        <v/>
      </c>
      <c r="P22" s="65" t="str">
        <f>IF(AND('Mapa final'!$Y$50="Alta",'Mapa final'!$AA$50="Menor"),CONCATENATE("R7C",'Mapa final'!$O$50),"")</f>
        <v/>
      </c>
      <c r="Q22" s="66" t="str">
        <f>IF(AND('Mapa final'!$Y$51="Alta",'Mapa final'!$AA$51="Menor"),CONCATENATE("R7C",'Mapa final'!$O$51),"")</f>
        <v/>
      </c>
      <c r="R22" s="66" t="str">
        <f>IF(AND('Mapa final'!$Y$52="Alta",'Mapa final'!$AA$52="Menor"),CONCATENATE("R7C",'Mapa final'!$O$52),"")</f>
        <v/>
      </c>
      <c r="S22" s="66" t="str">
        <f>IF(AND('Mapa final'!$Y$53="Alta",'Mapa final'!$AA$53="Menor"),CONCATENATE("R7C",'Mapa final'!$O$53),"")</f>
        <v/>
      </c>
      <c r="T22" s="66" t="str">
        <f>IF(AND('Mapa final'!$Y$54="Alta",'Mapa final'!$AA$54="Menor"),CONCATENATE("R7C",'Mapa final'!$O$54),"")</f>
        <v/>
      </c>
      <c r="U22" s="67" t="str">
        <f>IF(AND('Mapa final'!$Y$55="Alta",'Mapa final'!$AA$55="Menor"),CONCATENATE("R7C",'Mapa final'!$O$55),"")</f>
        <v/>
      </c>
      <c r="V22" s="50" t="str">
        <f>IF(AND('Mapa final'!$Y$50="Alta",'Mapa final'!$AA$50="Moderado"),CONCATENATE("R7C",'Mapa final'!$O$50),"")</f>
        <v/>
      </c>
      <c r="W22" s="51" t="str">
        <f>IF(AND('Mapa final'!$Y$51="Alta",'Mapa final'!$AA$51="Moderado"),CONCATENATE("R7C",'Mapa final'!$O$51),"")</f>
        <v/>
      </c>
      <c r="X22" s="51" t="str">
        <f>IF(AND('Mapa final'!$Y$52="Alta",'Mapa final'!$AA$52="Moderado"),CONCATENATE("R7C",'Mapa final'!$O$52),"")</f>
        <v/>
      </c>
      <c r="Y22" s="51" t="str">
        <f>IF(AND('Mapa final'!$Y$53="Alta",'Mapa final'!$AA$53="Moderado"),CONCATENATE("R7C",'Mapa final'!$O$53),"")</f>
        <v/>
      </c>
      <c r="Z22" s="51" t="str">
        <f>IF(AND('Mapa final'!$Y$54="Alta",'Mapa final'!$AA$54="Moderado"),CONCATENATE("R7C",'Mapa final'!$O$54),"")</f>
        <v/>
      </c>
      <c r="AA22" s="52" t="str">
        <f>IF(AND('Mapa final'!$Y$55="Alta",'Mapa final'!$AA$55="Moderado"),CONCATENATE("R7C",'Mapa final'!$O$55),"")</f>
        <v/>
      </c>
      <c r="AB22" s="50" t="str">
        <f>IF(AND('Mapa final'!$Y$50="Alta",'Mapa final'!$AA$50="Mayor"),CONCATENATE("R7C",'Mapa final'!$O$50),"")</f>
        <v/>
      </c>
      <c r="AC22" s="51" t="str">
        <f>IF(AND('Mapa final'!$Y$51="Alta",'Mapa final'!$AA$51="Mayor"),CONCATENATE("R7C",'Mapa final'!$O$51),"")</f>
        <v/>
      </c>
      <c r="AD22" s="51" t="str">
        <f>IF(AND('Mapa final'!$Y$52="Alta",'Mapa final'!$AA$52="Mayor"),CONCATENATE("R7C",'Mapa final'!$O$52),"")</f>
        <v/>
      </c>
      <c r="AE22" s="51" t="str">
        <f>IF(AND('Mapa final'!$Y$53="Alta",'Mapa final'!$AA$53="Mayor"),CONCATENATE("R7C",'Mapa final'!$O$53),"")</f>
        <v/>
      </c>
      <c r="AF22" s="51" t="str">
        <f>IF(AND('Mapa final'!$Y$54="Alta",'Mapa final'!$AA$54="Mayor"),CONCATENATE("R7C",'Mapa final'!$O$54),"")</f>
        <v/>
      </c>
      <c r="AG22" s="52" t="str">
        <f>IF(AND('Mapa final'!$Y$55="Alta",'Mapa final'!$AA$55="Mayor"),CONCATENATE("R7C",'Mapa final'!$O$55),"")</f>
        <v/>
      </c>
      <c r="AH22" s="53" t="str">
        <f>IF(AND('Mapa final'!$Y$50="Alta",'Mapa final'!$AA$50="Catastrófico"),CONCATENATE("R7C",'Mapa final'!$O$50),"")</f>
        <v/>
      </c>
      <c r="AI22" s="54" t="str">
        <f>IF(AND('Mapa final'!$Y$51="Alta",'Mapa final'!$AA$51="Catastrófico"),CONCATENATE("R7C",'Mapa final'!$O$51),"")</f>
        <v/>
      </c>
      <c r="AJ22" s="54" t="str">
        <f>IF(AND('Mapa final'!$Y$52="Alta",'Mapa final'!$AA$52="Catastrófico"),CONCATENATE("R7C",'Mapa final'!$O$52),"")</f>
        <v/>
      </c>
      <c r="AK22" s="54" t="str">
        <f>IF(AND('Mapa final'!$Y$53="Alta",'Mapa final'!$AA$53="Catastrófico"),CONCATENATE("R7C",'Mapa final'!$O$53),"")</f>
        <v/>
      </c>
      <c r="AL22" s="54" t="str">
        <f>IF(AND('Mapa final'!$Y$54="Alta",'Mapa final'!$AA$54="Catastrófico"),CONCATENATE("R7C",'Mapa final'!$O$54),"")</f>
        <v/>
      </c>
      <c r="AM22" s="55" t="str">
        <f>IF(AND('Mapa final'!$Y$55="Alta",'Mapa final'!$AA$55="Catastrófico"),CONCATENATE("R7C",'Mapa final'!$O$55),"")</f>
        <v/>
      </c>
      <c r="AN22" s="81"/>
      <c r="AO22" s="413"/>
      <c r="AP22" s="414"/>
      <c r="AQ22" s="414"/>
      <c r="AR22" s="414"/>
      <c r="AS22" s="414"/>
      <c r="AT22" s="415"/>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row>
    <row r="23" spans="1:76" ht="15" customHeight="1" x14ac:dyDescent="0.25">
      <c r="A23" s="81"/>
      <c r="B23" s="324"/>
      <c r="C23" s="324"/>
      <c r="D23" s="325"/>
      <c r="E23" s="423"/>
      <c r="F23" s="422"/>
      <c r="G23" s="422"/>
      <c r="H23" s="422"/>
      <c r="I23" s="422"/>
      <c r="J23" s="65" t="str">
        <f>IF(AND('Mapa final'!$Y$56="Alta",'Mapa final'!$AA$56="Leve"),CONCATENATE("R8C",'Mapa final'!$O$56),"")</f>
        <v/>
      </c>
      <c r="K23" s="66" t="str">
        <f>IF(AND('Mapa final'!$Y$57="Alta",'Mapa final'!$AA$57="Leve"),CONCATENATE("R8C",'Mapa final'!$O$57),"")</f>
        <v/>
      </c>
      <c r="L23" s="66" t="str">
        <f>IF(AND('Mapa final'!$Y$58="Alta",'Mapa final'!$AA$58="Leve"),CONCATENATE("R8C",'Mapa final'!$O$58),"")</f>
        <v/>
      </c>
      <c r="M23" s="66" t="str">
        <f>IF(AND('Mapa final'!$Y$59="Alta",'Mapa final'!$AA$59="Leve"),CONCATENATE("R8C",'Mapa final'!$O$59),"")</f>
        <v/>
      </c>
      <c r="N23" s="66" t="str">
        <f>IF(AND('Mapa final'!$Y$60="Alta",'Mapa final'!$AA$60="Leve"),CONCATENATE("R8C",'Mapa final'!$O$60),"")</f>
        <v/>
      </c>
      <c r="O23" s="67" t="str">
        <f>IF(AND('Mapa final'!$Y$61="Alta",'Mapa final'!$AA$61="Leve"),CONCATENATE("R8C",'Mapa final'!$O$61),"")</f>
        <v/>
      </c>
      <c r="P23" s="65" t="str">
        <f>IF(AND('Mapa final'!$Y$56="Alta",'Mapa final'!$AA$56="Menor"),CONCATENATE("R8C",'Mapa final'!$O$56),"")</f>
        <v/>
      </c>
      <c r="Q23" s="66" t="str">
        <f>IF(AND('Mapa final'!$Y$57="Alta",'Mapa final'!$AA$57="Menor"),CONCATENATE("R8C",'Mapa final'!$O$57),"")</f>
        <v/>
      </c>
      <c r="R23" s="66" t="str">
        <f>IF(AND('Mapa final'!$Y$58="Alta",'Mapa final'!$AA$58="Menor"),CONCATENATE("R8C",'Mapa final'!$O$58),"")</f>
        <v/>
      </c>
      <c r="S23" s="66" t="str">
        <f>IF(AND('Mapa final'!$Y$59="Alta",'Mapa final'!$AA$59="Menor"),CONCATENATE("R8C",'Mapa final'!$O$59),"")</f>
        <v/>
      </c>
      <c r="T23" s="66" t="str">
        <f>IF(AND('Mapa final'!$Y$60="Alta",'Mapa final'!$AA$60="Menor"),CONCATENATE("R8C",'Mapa final'!$O$60),"")</f>
        <v/>
      </c>
      <c r="U23" s="67" t="str">
        <f>IF(AND('Mapa final'!$Y$61="Alta",'Mapa final'!$AA$61="Menor"),CONCATENATE("R8C",'Mapa final'!$O$61),"")</f>
        <v/>
      </c>
      <c r="V23" s="50" t="str">
        <f>IF(AND('Mapa final'!$Y$56="Alta",'Mapa final'!$AA$56="Moderado"),CONCATENATE("R8C",'Mapa final'!$O$56),"")</f>
        <v/>
      </c>
      <c r="W23" s="51" t="str">
        <f>IF(AND('Mapa final'!$Y$57="Alta",'Mapa final'!$AA$57="Moderado"),CONCATENATE("R8C",'Mapa final'!$O$57),"")</f>
        <v/>
      </c>
      <c r="X23" s="51" t="str">
        <f>IF(AND('Mapa final'!$Y$58="Alta",'Mapa final'!$AA$58="Moderado"),CONCATENATE("R8C",'Mapa final'!$O$58),"")</f>
        <v/>
      </c>
      <c r="Y23" s="51" t="str">
        <f>IF(AND('Mapa final'!$Y$59="Alta",'Mapa final'!$AA$59="Moderado"),CONCATENATE("R8C",'Mapa final'!$O$59),"")</f>
        <v/>
      </c>
      <c r="Z23" s="51" t="str">
        <f>IF(AND('Mapa final'!$Y$60="Alta",'Mapa final'!$AA$60="Moderado"),CONCATENATE("R8C",'Mapa final'!$O$60),"")</f>
        <v/>
      </c>
      <c r="AA23" s="52" t="str">
        <f>IF(AND('Mapa final'!$Y$61="Alta",'Mapa final'!$AA$61="Moderado"),CONCATENATE("R8C",'Mapa final'!$O$61),"")</f>
        <v/>
      </c>
      <c r="AB23" s="50" t="str">
        <f>IF(AND('Mapa final'!$Y$56="Alta",'Mapa final'!$AA$56="Mayor"),CONCATENATE("R8C",'Mapa final'!$O$56),"")</f>
        <v/>
      </c>
      <c r="AC23" s="51" t="str">
        <f>IF(AND('Mapa final'!$Y$57="Alta",'Mapa final'!$AA$57="Mayor"),CONCATENATE("R8C",'Mapa final'!$O$57),"")</f>
        <v/>
      </c>
      <c r="AD23" s="51" t="str">
        <f>IF(AND('Mapa final'!$Y$58="Alta",'Mapa final'!$AA$58="Mayor"),CONCATENATE("R8C",'Mapa final'!$O$58),"")</f>
        <v/>
      </c>
      <c r="AE23" s="51" t="str">
        <f>IF(AND('Mapa final'!$Y$59="Alta",'Mapa final'!$AA$59="Mayor"),CONCATENATE("R8C",'Mapa final'!$O$59),"")</f>
        <v/>
      </c>
      <c r="AF23" s="51" t="str">
        <f>IF(AND('Mapa final'!$Y$60="Alta",'Mapa final'!$AA$60="Mayor"),CONCATENATE("R8C",'Mapa final'!$O$60),"")</f>
        <v/>
      </c>
      <c r="AG23" s="52" t="str">
        <f>IF(AND('Mapa final'!$Y$61="Alta",'Mapa final'!$AA$61="Mayor"),CONCATENATE("R8C",'Mapa final'!$O$61),"")</f>
        <v/>
      </c>
      <c r="AH23" s="53" t="str">
        <f>IF(AND('Mapa final'!$Y$56="Alta",'Mapa final'!$AA$56="Catastrófico"),CONCATENATE("R8C",'Mapa final'!$O$56),"")</f>
        <v/>
      </c>
      <c r="AI23" s="54" t="str">
        <f>IF(AND('Mapa final'!$Y$57="Alta",'Mapa final'!$AA$57="Catastrófico"),CONCATENATE("R8C",'Mapa final'!$O$57),"")</f>
        <v/>
      </c>
      <c r="AJ23" s="54" t="str">
        <f>IF(AND('Mapa final'!$Y$58="Alta",'Mapa final'!$AA$58="Catastrófico"),CONCATENATE("R8C",'Mapa final'!$O$58),"")</f>
        <v/>
      </c>
      <c r="AK23" s="54" t="str">
        <f>IF(AND('Mapa final'!$Y$59="Alta",'Mapa final'!$AA$59="Catastrófico"),CONCATENATE("R8C",'Mapa final'!$O$59),"")</f>
        <v/>
      </c>
      <c r="AL23" s="54" t="str">
        <f>IF(AND('Mapa final'!$Y$60="Alta",'Mapa final'!$AA$60="Catastrófico"),CONCATENATE("R8C",'Mapa final'!$O$60),"")</f>
        <v/>
      </c>
      <c r="AM23" s="55" t="str">
        <f>IF(AND('Mapa final'!$Y$61="Alta",'Mapa final'!$AA$61="Catastrófico"),CONCATENATE("R8C",'Mapa final'!$O$61),"")</f>
        <v/>
      </c>
      <c r="AN23" s="81"/>
      <c r="AO23" s="413"/>
      <c r="AP23" s="414"/>
      <c r="AQ23" s="414"/>
      <c r="AR23" s="414"/>
      <c r="AS23" s="414"/>
      <c r="AT23" s="415"/>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row>
    <row r="24" spans="1:76" ht="15" customHeight="1" x14ac:dyDescent="0.25">
      <c r="A24" s="81"/>
      <c r="B24" s="324"/>
      <c r="C24" s="324"/>
      <c r="D24" s="325"/>
      <c r="E24" s="423"/>
      <c r="F24" s="422"/>
      <c r="G24" s="422"/>
      <c r="H24" s="422"/>
      <c r="I24" s="422"/>
      <c r="J24" s="65" t="str">
        <f>IF(AND('Mapa final'!$Y$62="Alta",'Mapa final'!$AA$62="Leve"),CONCATENATE("R9C",'Mapa final'!$O$62),"")</f>
        <v/>
      </c>
      <c r="K24" s="66" t="str">
        <f>IF(AND('Mapa final'!$Y$63="Alta",'Mapa final'!$AA$63="Leve"),CONCATENATE("R9C",'Mapa final'!$O$63),"")</f>
        <v/>
      </c>
      <c r="L24" s="66" t="str">
        <f>IF(AND('Mapa final'!$Y$64="Alta",'Mapa final'!$AA$64="Leve"),CONCATENATE("R9C",'Mapa final'!$O$64),"")</f>
        <v/>
      </c>
      <c r="M24" s="66" t="str">
        <f>IF(AND('Mapa final'!$Y$65="Alta",'Mapa final'!$AA$65="Leve"),CONCATENATE("R9C",'Mapa final'!$O$65),"")</f>
        <v/>
      </c>
      <c r="N24" s="66" t="str">
        <f>IF(AND('Mapa final'!$Y$66="Alta",'Mapa final'!$AA$66="Leve"),CONCATENATE("R9C",'Mapa final'!$O$66),"")</f>
        <v/>
      </c>
      <c r="O24" s="67" t="str">
        <f>IF(AND('Mapa final'!$Y$67="Alta",'Mapa final'!$AA$67="Leve"),CONCATENATE("R9C",'Mapa final'!$O$67),"")</f>
        <v/>
      </c>
      <c r="P24" s="65" t="str">
        <f>IF(AND('Mapa final'!$Y$62="Alta",'Mapa final'!$AA$62="Menor"),CONCATENATE("R9C",'Mapa final'!$O$62),"")</f>
        <v/>
      </c>
      <c r="Q24" s="66" t="str">
        <f>IF(AND('Mapa final'!$Y$63="Alta",'Mapa final'!$AA$63="Menor"),CONCATENATE("R9C",'Mapa final'!$O$63),"")</f>
        <v/>
      </c>
      <c r="R24" s="66" t="str">
        <f>IF(AND('Mapa final'!$Y$64="Alta",'Mapa final'!$AA$64="Menor"),CONCATENATE("R9C",'Mapa final'!$O$64),"")</f>
        <v/>
      </c>
      <c r="S24" s="66" t="str">
        <f>IF(AND('Mapa final'!$Y$65="Alta",'Mapa final'!$AA$65="Menor"),CONCATENATE("R9C",'Mapa final'!$O$65),"")</f>
        <v/>
      </c>
      <c r="T24" s="66" t="str">
        <f>IF(AND('Mapa final'!$Y$66="Alta",'Mapa final'!$AA$66="Menor"),CONCATENATE("R9C",'Mapa final'!$O$66),"")</f>
        <v/>
      </c>
      <c r="U24" s="67" t="str">
        <f>IF(AND('Mapa final'!$Y$67="Alta",'Mapa final'!$AA$67="Menor"),CONCATENATE("R9C",'Mapa final'!$O$67),"")</f>
        <v/>
      </c>
      <c r="V24" s="50" t="str">
        <f>IF(AND('Mapa final'!$Y$62="Alta",'Mapa final'!$AA$62="Moderado"),CONCATENATE("R9C",'Mapa final'!$O$62),"")</f>
        <v/>
      </c>
      <c r="W24" s="51" t="str">
        <f>IF(AND('Mapa final'!$Y$63="Alta",'Mapa final'!$AA$63="Moderado"),CONCATENATE("R9C",'Mapa final'!$O$63),"")</f>
        <v/>
      </c>
      <c r="X24" s="51" t="str">
        <f>IF(AND('Mapa final'!$Y$64="Alta",'Mapa final'!$AA$64="Moderado"),CONCATENATE("R9C",'Mapa final'!$O$64),"")</f>
        <v/>
      </c>
      <c r="Y24" s="51" t="str">
        <f>IF(AND('Mapa final'!$Y$65="Alta",'Mapa final'!$AA$65="Moderado"),CONCATENATE("R9C",'Mapa final'!$O$65),"")</f>
        <v/>
      </c>
      <c r="Z24" s="51" t="str">
        <f>IF(AND('Mapa final'!$Y$66="Alta",'Mapa final'!$AA$66="Moderado"),CONCATENATE("R9C",'Mapa final'!$O$66),"")</f>
        <v/>
      </c>
      <c r="AA24" s="52" t="str">
        <f>IF(AND('Mapa final'!$Y$67="Alta",'Mapa final'!$AA$67="Moderado"),CONCATENATE("R9C",'Mapa final'!$O$67),"")</f>
        <v/>
      </c>
      <c r="AB24" s="50" t="str">
        <f>IF(AND('Mapa final'!$Y$62="Alta",'Mapa final'!$AA$62="Mayor"),CONCATENATE("R9C",'Mapa final'!$O$62),"")</f>
        <v/>
      </c>
      <c r="AC24" s="51" t="str">
        <f>IF(AND('Mapa final'!$Y$63="Alta",'Mapa final'!$AA$63="Mayor"),CONCATENATE("R9C",'Mapa final'!$O$63),"")</f>
        <v/>
      </c>
      <c r="AD24" s="51" t="str">
        <f>IF(AND('Mapa final'!$Y$64="Alta",'Mapa final'!$AA$64="Mayor"),CONCATENATE("R9C",'Mapa final'!$O$64),"")</f>
        <v/>
      </c>
      <c r="AE24" s="51" t="str">
        <f>IF(AND('Mapa final'!$Y$65="Alta",'Mapa final'!$AA$65="Mayor"),CONCATENATE("R9C",'Mapa final'!$O$65),"")</f>
        <v/>
      </c>
      <c r="AF24" s="51" t="str">
        <f>IF(AND('Mapa final'!$Y$66="Alta",'Mapa final'!$AA$66="Mayor"),CONCATENATE("R9C",'Mapa final'!$O$66),"")</f>
        <v/>
      </c>
      <c r="AG24" s="52" t="str">
        <f>IF(AND('Mapa final'!$Y$67="Alta",'Mapa final'!$AA$67="Mayor"),CONCATENATE("R9C",'Mapa final'!$O$67),"")</f>
        <v/>
      </c>
      <c r="AH24" s="53" t="str">
        <f>IF(AND('Mapa final'!$Y$62="Alta",'Mapa final'!$AA$62="Catastrófico"),CONCATENATE("R9C",'Mapa final'!$O$62),"")</f>
        <v/>
      </c>
      <c r="AI24" s="54" t="str">
        <f>IF(AND('Mapa final'!$Y$63="Alta",'Mapa final'!$AA$63="Catastrófico"),CONCATENATE("R9C",'Mapa final'!$O$63),"")</f>
        <v/>
      </c>
      <c r="AJ24" s="54" t="str">
        <f>IF(AND('Mapa final'!$Y$64="Alta",'Mapa final'!$AA$64="Catastrófico"),CONCATENATE("R9C",'Mapa final'!$O$64),"")</f>
        <v/>
      </c>
      <c r="AK24" s="54" t="str">
        <f>IF(AND('Mapa final'!$Y$65="Alta",'Mapa final'!$AA$65="Catastrófico"),CONCATENATE("R9C",'Mapa final'!$O$65),"")</f>
        <v/>
      </c>
      <c r="AL24" s="54" t="str">
        <f>IF(AND('Mapa final'!$Y$66="Alta",'Mapa final'!$AA$66="Catastrófico"),CONCATENATE("R9C",'Mapa final'!$O$66),"")</f>
        <v/>
      </c>
      <c r="AM24" s="55" t="str">
        <f>IF(AND('Mapa final'!$Y$67="Alta",'Mapa final'!$AA$67="Catastrófico"),CONCATENATE("R9C",'Mapa final'!$O$67),"")</f>
        <v/>
      </c>
      <c r="AN24" s="81"/>
      <c r="AO24" s="413"/>
      <c r="AP24" s="414"/>
      <c r="AQ24" s="414"/>
      <c r="AR24" s="414"/>
      <c r="AS24" s="414"/>
      <c r="AT24" s="415"/>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row>
    <row r="25" spans="1:76" ht="15.75" customHeight="1" thickBot="1" x14ac:dyDescent="0.3">
      <c r="A25" s="81"/>
      <c r="B25" s="324"/>
      <c r="C25" s="324"/>
      <c r="D25" s="325"/>
      <c r="E25" s="424"/>
      <c r="F25" s="425"/>
      <c r="G25" s="425"/>
      <c r="H25" s="425"/>
      <c r="I25" s="425"/>
      <c r="J25" s="68" t="str">
        <f>IF(AND('Mapa final'!$Y$68="Alta",'Mapa final'!$AA$68="Leve"),CONCATENATE("R10C",'Mapa final'!$O$68),"")</f>
        <v/>
      </c>
      <c r="K25" s="69" t="str">
        <f>IF(AND('Mapa final'!$Y$69="Alta",'Mapa final'!$AA$69="Leve"),CONCATENATE("R10C",'Mapa final'!$O$69),"")</f>
        <v/>
      </c>
      <c r="L25" s="69" t="str">
        <f>IF(AND('Mapa final'!$Y$70="Alta",'Mapa final'!$AA$70="Leve"),CONCATENATE("R10C",'Mapa final'!$O$70),"")</f>
        <v/>
      </c>
      <c r="M25" s="69" t="str">
        <f>IF(AND('Mapa final'!$Y$71="Alta",'Mapa final'!$AA$71="Leve"),CONCATENATE("R10C",'Mapa final'!$O$71),"")</f>
        <v/>
      </c>
      <c r="N25" s="69" t="str">
        <f>IF(AND('Mapa final'!$Y$72="Alta",'Mapa final'!$AA$72="Leve"),CONCATENATE("R10C",'Mapa final'!$O$72),"")</f>
        <v/>
      </c>
      <c r="O25" s="70" t="str">
        <f>IF(AND('Mapa final'!$Y$73="Alta",'Mapa final'!$AA$73="Leve"),CONCATENATE("R10C",'Mapa final'!$O$73),"")</f>
        <v/>
      </c>
      <c r="P25" s="68" t="str">
        <f>IF(AND('Mapa final'!$Y$68="Alta",'Mapa final'!$AA$68="Menor"),CONCATENATE("R10C",'Mapa final'!$O$68),"")</f>
        <v/>
      </c>
      <c r="Q25" s="69" t="str">
        <f>IF(AND('Mapa final'!$Y$69="Alta",'Mapa final'!$AA$69="Menor"),CONCATENATE("R10C",'Mapa final'!$O$69),"")</f>
        <v/>
      </c>
      <c r="R25" s="69" t="str">
        <f>IF(AND('Mapa final'!$Y$70="Alta",'Mapa final'!$AA$70="Menor"),CONCATENATE("R10C",'Mapa final'!$O$70),"")</f>
        <v/>
      </c>
      <c r="S25" s="69" t="str">
        <f>IF(AND('Mapa final'!$Y$71="Alta",'Mapa final'!$AA$71="Menor"),CONCATENATE("R10C",'Mapa final'!$O$71),"")</f>
        <v/>
      </c>
      <c r="T25" s="69" t="str">
        <f>IF(AND('Mapa final'!$Y$72="Alta",'Mapa final'!$AA$72="Menor"),CONCATENATE("R10C",'Mapa final'!$O$72),"")</f>
        <v/>
      </c>
      <c r="U25" s="70" t="str">
        <f>IF(AND('Mapa final'!$Y$73="Alta",'Mapa final'!$AA$73="Menor"),CONCATENATE("R10C",'Mapa final'!$O$73),"")</f>
        <v/>
      </c>
      <c r="V25" s="56" t="str">
        <f>IF(AND('Mapa final'!$Y$68="Alta",'Mapa final'!$AA$68="Moderado"),CONCATENATE("R10C",'Mapa final'!$O$68),"")</f>
        <v/>
      </c>
      <c r="W25" s="57" t="str">
        <f>IF(AND('Mapa final'!$Y$69="Alta",'Mapa final'!$AA$69="Moderado"),CONCATENATE("R10C",'Mapa final'!$O$69),"")</f>
        <v/>
      </c>
      <c r="X25" s="57" t="str">
        <f>IF(AND('Mapa final'!$Y$70="Alta",'Mapa final'!$AA$70="Moderado"),CONCATENATE("R10C",'Mapa final'!$O$70),"")</f>
        <v/>
      </c>
      <c r="Y25" s="57" t="str">
        <f>IF(AND('Mapa final'!$Y$71="Alta",'Mapa final'!$AA$71="Moderado"),CONCATENATE("R10C",'Mapa final'!$O$71),"")</f>
        <v/>
      </c>
      <c r="Z25" s="57" t="str">
        <f>IF(AND('Mapa final'!$Y$72="Alta",'Mapa final'!$AA$72="Moderado"),CONCATENATE("R10C",'Mapa final'!$O$72),"")</f>
        <v/>
      </c>
      <c r="AA25" s="58" t="str">
        <f>IF(AND('Mapa final'!$Y$73="Alta",'Mapa final'!$AA$73="Moderado"),CONCATENATE("R10C",'Mapa final'!$O$73),"")</f>
        <v/>
      </c>
      <c r="AB25" s="56" t="str">
        <f>IF(AND('Mapa final'!$Y$68="Alta",'Mapa final'!$AA$68="Mayor"),CONCATENATE("R10C",'Mapa final'!$O$68),"")</f>
        <v/>
      </c>
      <c r="AC25" s="57" t="str">
        <f>IF(AND('Mapa final'!$Y$69="Alta",'Mapa final'!$AA$69="Mayor"),CONCATENATE("R10C",'Mapa final'!$O$69),"")</f>
        <v/>
      </c>
      <c r="AD25" s="57" t="str">
        <f>IF(AND('Mapa final'!$Y$70="Alta",'Mapa final'!$AA$70="Mayor"),CONCATENATE("R10C",'Mapa final'!$O$70),"")</f>
        <v/>
      </c>
      <c r="AE25" s="57" t="str">
        <f>IF(AND('Mapa final'!$Y$71="Alta",'Mapa final'!$AA$71="Mayor"),CONCATENATE("R10C",'Mapa final'!$O$71),"")</f>
        <v/>
      </c>
      <c r="AF25" s="57" t="str">
        <f>IF(AND('Mapa final'!$Y$72="Alta",'Mapa final'!$AA$72="Mayor"),CONCATENATE("R10C",'Mapa final'!$O$72),"")</f>
        <v/>
      </c>
      <c r="AG25" s="58" t="str">
        <f>IF(AND('Mapa final'!$Y$73="Alta",'Mapa final'!$AA$73="Mayor"),CONCATENATE("R10C",'Mapa final'!$O$73),"")</f>
        <v/>
      </c>
      <c r="AH25" s="59" t="str">
        <f>IF(AND('Mapa final'!$Y$68="Alta",'Mapa final'!$AA$68="Catastrófico"),CONCATENATE("R10C",'Mapa final'!$O$68),"")</f>
        <v/>
      </c>
      <c r="AI25" s="60" t="str">
        <f>IF(AND('Mapa final'!$Y$69="Alta",'Mapa final'!$AA$69="Catastrófico"),CONCATENATE("R10C",'Mapa final'!$O$69),"")</f>
        <v/>
      </c>
      <c r="AJ25" s="60" t="str">
        <f>IF(AND('Mapa final'!$Y$70="Alta",'Mapa final'!$AA$70="Catastrófico"),CONCATENATE("R10C",'Mapa final'!$O$70),"")</f>
        <v/>
      </c>
      <c r="AK25" s="60" t="str">
        <f>IF(AND('Mapa final'!$Y$71="Alta",'Mapa final'!$AA$71="Catastrófico"),CONCATENATE("R10C",'Mapa final'!$O$71),"")</f>
        <v/>
      </c>
      <c r="AL25" s="60" t="str">
        <f>IF(AND('Mapa final'!$Y$72="Alta",'Mapa final'!$AA$72="Catastrófico"),CONCATENATE("R10C",'Mapa final'!$O$72),"")</f>
        <v/>
      </c>
      <c r="AM25" s="61" t="str">
        <f>IF(AND('Mapa final'!$Y$73="Alta",'Mapa final'!$AA$73="Catastrófico"),CONCATENATE("R10C",'Mapa final'!$O$73),"")</f>
        <v/>
      </c>
      <c r="AN25" s="81"/>
      <c r="AO25" s="416"/>
      <c r="AP25" s="417"/>
      <c r="AQ25" s="417"/>
      <c r="AR25" s="417"/>
      <c r="AS25" s="417"/>
      <c r="AT25" s="418"/>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row>
    <row r="26" spans="1:76" ht="15" customHeight="1" x14ac:dyDescent="0.25">
      <c r="A26" s="81"/>
      <c r="B26" s="324"/>
      <c r="C26" s="324"/>
      <c r="D26" s="325"/>
      <c r="E26" s="419" t="s">
        <v>96</v>
      </c>
      <c r="F26" s="420"/>
      <c r="G26" s="420"/>
      <c r="H26" s="420"/>
      <c r="I26" s="437"/>
      <c r="J26" s="62" t="str">
        <f>IF(AND('Mapa final'!$Y$25="Media",'Mapa final'!$AA$25="Leve"),CONCATENATE("R1C",'Mapa final'!$O$25),"")</f>
        <v/>
      </c>
      <c r="K26" s="63" t="str">
        <f>IF(AND('Mapa final'!$Y$26="Media",'Mapa final'!$AA$26="Leve"),CONCATENATE("R1C",'Mapa final'!$O$26),"")</f>
        <v/>
      </c>
      <c r="L26" s="63" t="str">
        <f>IF(AND('Mapa final'!$Y$27="Media",'Mapa final'!$AA$27="Leve"),CONCATENATE("R1C",'Mapa final'!$O$27),"")</f>
        <v/>
      </c>
      <c r="M26" s="63" t="e">
        <f>IF(AND('Mapa final'!#REF!="Media",'Mapa final'!#REF!="Leve"),CONCATENATE("R1C",'Mapa final'!#REF!),"")</f>
        <v>#REF!</v>
      </c>
      <c r="N26" s="63" t="e">
        <f>IF(AND('Mapa final'!#REF!="Media",'Mapa final'!#REF!="Leve"),CONCATENATE("R1C",'Mapa final'!#REF!),"")</f>
        <v>#REF!</v>
      </c>
      <c r="O26" s="64" t="e">
        <f>IF(AND('Mapa final'!#REF!="Media",'Mapa final'!#REF!="Leve"),CONCATENATE("R1C",'Mapa final'!#REF!),"")</f>
        <v>#REF!</v>
      </c>
      <c r="P26" s="62" t="str">
        <f>IF(AND('Mapa final'!$Y$25="Media",'Mapa final'!$AA$25="Menor"),CONCATENATE("R1C",'Mapa final'!$O$25),"")</f>
        <v/>
      </c>
      <c r="Q26" s="63" t="str">
        <f>IF(AND('Mapa final'!$Y$26="Media",'Mapa final'!$AA$26="Menor"),CONCATENATE("R1C",'Mapa final'!$O$26),"")</f>
        <v/>
      </c>
      <c r="R26" s="63" t="str">
        <f>IF(AND('Mapa final'!$Y$27="Media",'Mapa final'!$AA$27="Menor"),CONCATENATE("R1C",'Mapa final'!$O$27),"")</f>
        <v/>
      </c>
      <c r="S26" s="63" t="e">
        <f>IF(AND('Mapa final'!#REF!="Media",'Mapa final'!#REF!="Menor"),CONCATENATE("R1C",'Mapa final'!#REF!),"")</f>
        <v>#REF!</v>
      </c>
      <c r="T26" s="63" t="e">
        <f>IF(AND('Mapa final'!#REF!="Media",'Mapa final'!#REF!="Menor"),CONCATENATE("R1C",'Mapa final'!#REF!),"")</f>
        <v>#REF!</v>
      </c>
      <c r="U26" s="64" t="e">
        <f>IF(AND('Mapa final'!#REF!="Media",'Mapa final'!#REF!="Menor"),CONCATENATE("R1C",'Mapa final'!#REF!),"")</f>
        <v>#REF!</v>
      </c>
      <c r="V26" s="62" t="str">
        <f>IF(AND('Mapa final'!$Y$25="Media",'Mapa final'!$AA$25="Moderado"),CONCATENATE("R1C",'Mapa final'!$O$25),"")</f>
        <v/>
      </c>
      <c r="W26" s="63" t="str">
        <f>IF(AND('Mapa final'!$Y$26="Media",'Mapa final'!$AA$26="Moderado"),CONCATENATE("R1C",'Mapa final'!$O$26),"")</f>
        <v/>
      </c>
      <c r="X26" s="63" t="str">
        <f>IF(AND('Mapa final'!$Y$27="Media",'Mapa final'!$AA$27="Moderado"),CONCATENATE("R1C",'Mapa final'!$O$27),"")</f>
        <v/>
      </c>
      <c r="Y26" s="63" t="e">
        <f>IF(AND('Mapa final'!#REF!="Media",'Mapa final'!#REF!="Moderado"),CONCATENATE("R1C",'Mapa final'!#REF!),"")</f>
        <v>#REF!</v>
      </c>
      <c r="Z26" s="63" t="e">
        <f>IF(AND('Mapa final'!#REF!="Media",'Mapa final'!#REF!="Moderado"),CONCATENATE("R1C",'Mapa final'!#REF!),"")</f>
        <v>#REF!</v>
      </c>
      <c r="AA26" s="64" t="e">
        <f>IF(AND('Mapa final'!#REF!="Media",'Mapa final'!#REF!="Moderado"),CONCATENATE("R1C",'Mapa final'!#REF!),"")</f>
        <v>#REF!</v>
      </c>
      <c r="AB26" s="44" t="str">
        <f>IF(AND('Mapa final'!$Y$25="Media",'Mapa final'!$AA$25="Mayor"),CONCATENATE("R1C",'Mapa final'!$O$25),"")</f>
        <v/>
      </c>
      <c r="AC26" s="45" t="str">
        <f>IF(AND('Mapa final'!$Y$26="Media",'Mapa final'!$AA$26="Mayor"),CONCATENATE("R1C",'Mapa final'!$O$26),"")</f>
        <v/>
      </c>
      <c r="AD26" s="45" t="str">
        <f>IF(AND('Mapa final'!$Y$27="Media",'Mapa final'!$AA$27="Mayor"),CONCATENATE("R1C",'Mapa final'!$O$27),"")</f>
        <v/>
      </c>
      <c r="AE26" s="45" t="e">
        <f>IF(AND('Mapa final'!#REF!="Media",'Mapa final'!#REF!="Mayor"),CONCATENATE("R1C",'Mapa final'!#REF!),"")</f>
        <v>#REF!</v>
      </c>
      <c r="AF26" s="45" t="e">
        <f>IF(AND('Mapa final'!#REF!="Media",'Mapa final'!#REF!="Mayor"),CONCATENATE("R1C",'Mapa final'!#REF!),"")</f>
        <v>#REF!</v>
      </c>
      <c r="AG26" s="46" t="e">
        <f>IF(AND('Mapa final'!#REF!="Media",'Mapa final'!#REF!="Mayor"),CONCATENATE("R1C",'Mapa final'!#REF!),"")</f>
        <v>#REF!</v>
      </c>
      <c r="AH26" s="47" t="str">
        <f>IF(AND('Mapa final'!$Y$25="Media",'Mapa final'!$AA$25="Catastrófico"),CONCATENATE("R1C",'Mapa final'!$O$25),"")</f>
        <v/>
      </c>
      <c r="AI26" s="48" t="str">
        <f>IF(AND('Mapa final'!$Y$26="Media",'Mapa final'!$AA$26="Catastrófico"),CONCATENATE("R1C",'Mapa final'!$O$26),"")</f>
        <v/>
      </c>
      <c r="AJ26" s="48" t="str">
        <f>IF(AND('Mapa final'!$Y$27="Media",'Mapa final'!$AA$27="Catastrófico"),CONCATENATE("R1C",'Mapa final'!$O$27),"")</f>
        <v/>
      </c>
      <c r="AK26" s="48" t="e">
        <f>IF(AND('Mapa final'!#REF!="Media",'Mapa final'!#REF!="Catastrófico"),CONCATENATE("R1C",'Mapa final'!#REF!),"")</f>
        <v>#REF!</v>
      </c>
      <c r="AL26" s="48" t="e">
        <f>IF(AND('Mapa final'!#REF!="Media",'Mapa final'!#REF!="Catastrófico"),CONCATENATE("R1C",'Mapa final'!#REF!),"")</f>
        <v>#REF!</v>
      </c>
      <c r="AM26" s="49" t="e">
        <f>IF(AND('Mapa final'!#REF!="Media",'Mapa final'!#REF!="Catastrófico"),CONCATENATE("R1C",'Mapa final'!#REF!),"")</f>
        <v>#REF!</v>
      </c>
      <c r="AN26" s="81"/>
      <c r="AO26" s="449" t="s">
        <v>97</v>
      </c>
      <c r="AP26" s="450"/>
      <c r="AQ26" s="450"/>
      <c r="AR26" s="450"/>
      <c r="AS26" s="450"/>
      <c r="AT26" s="45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row>
    <row r="27" spans="1:76" ht="15" customHeight="1" x14ac:dyDescent="0.25">
      <c r="A27" s="81"/>
      <c r="B27" s="324"/>
      <c r="C27" s="324"/>
      <c r="D27" s="325"/>
      <c r="E27" s="421"/>
      <c r="F27" s="422"/>
      <c r="G27" s="422"/>
      <c r="H27" s="422"/>
      <c r="I27" s="438"/>
      <c r="J27" s="65" t="str">
        <f>IF(AND('Mapa final'!$Y$28="Media",'Mapa final'!$AA$28="Leve"),CONCATENATE("R2C",'Mapa final'!$O$28),"")</f>
        <v/>
      </c>
      <c r="K27" s="66" t="str">
        <f>IF(AND('Mapa final'!$Y$29="Media",'Mapa final'!$AA$29="Leve"),CONCATENATE("R2C",'Mapa final'!$O$29),"")</f>
        <v/>
      </c>
      <c r="L27" s="66" t="e">
        <f>IF(AND('Mapa final'!#REF!="Media",'Mapa final'!#REF!="Leve"),CONCATENATE("R2C",'Mapa final'!#REF!),"")</f>
        <v>#REF!</v>
      </c>
      <c r="M27" s="66" t="e">
        <f>IF(AND('Mapa final'!#REF!="Media",'Mapa final'!#REF!="Leve"),CONCATENATE("R2C",'Mapa final'!#REF!),"")</f>
        <v>#REF!</v>
      </c>
      <c r="N27" s="66" t="e">
        <f>IF(AND('Mapa final'!#REF!="Media",'Mapa final'!#REF!="Leve"),CONCATENATE("R2C",'Mapa final'!#REF!),"")</f>
        <v>#REF!</v>
      </c>
      <c r="O27" s="67" t="e">
        <f>IF(AND('Mapa final'!#REF!="Media",'Mapa final'!#REF!="Leve"),CONCATENATE("R2C",'Mapa final'!#REF!),"")</f>
        <v>#REF!</v>
      </c>
      <c r="P27" s="65" t="str">
        <f>IF(AND('Mapa final'!$Y$28="Media",'Mapa final'!$AA$28="Menor"),CONCATENATE("R2C",'Mapa final'!$O$28),"")</f>
        <v/>
      </c>
      <c r="Q27" s="66" t="str">
        <f>IF(AND('Mapa final'!$Y$29="Media",'Mapa final'!$AA$29="Menor"),CONCATENATE("R2C",'Mapa final'!$O$29),"")</f>
        <v/>
      </c>
      <c r="R27" s="66" t="e">
        <f>IF(AND('Mapa final'!#REF!="Media",'Mapa final'!#REF!="Menor"),CONCATENATE("R2C",'Mapa final'!#REF!),"")</f>
        <v>#REF!</v>
      </c>
      <c r="S27" s="66" t="e">
        <f>IF(AND('Mapa final'!#REF!="Media",'Mapa final'!#REF!="Menor"),CONCATENATE("R2C",'Mapa final'!#REF!),"")</f>
        <v>#REF!</v>
      </c>
      <c r="T27" s="66" t="e">
        <f>IF(AND('Mapa final'!#REF!="Media",'Mapa final'!#REF!="Menor"),CONCATENATE("R2C",'Mapa final'!#REF!),"")</f>
        <v>#REF!</v>
      </c>
      <c r="U27" s="67" t="e">
        <f>IF(AND('Mapa final'!#REF!="Media",'Mapa final'!#REF!="Menor"),CONCATENATE("R2C",'Mapa final'!#REF!),"")</f>
        <v>#REF!</v>
      </c>
      <c r="V27" s="65" t="str">
        <f>IF(AND('Mapa final'!$Y$28="Media",'Mapa final'!$AA$28="Moderado"),CONCATENATE("R2C",'Mapa final'!$O$28),"")</f>
        <v/>
      </c>
      <c r="W27" s="66" t="str">
        <f>IF(AND('Mapa final'!$Y$29="Media",'Mapa final'!$AA$29="Moderado"),CONCATENATE("R2C",'Mapa final'!$O$29),"")</f>
        <v/>
      </c>
      <c r="X27" s="66" t="e">
        <f>IF(AND('Mapa final'!#REF!="Media",'Mapa final'!#REF!="Moderado"),CONCATENATE("R2C",'Mapa final'!#REF!),"")</f>
        <v>#REF!</v>
      </c>
      <c r="Y27" s="66" t="e">
        <f>IF(AND('Mapa final'!#REF!="Media",'Mapa final'!#REF!="Moderado"),CONCATENATE("R2C",'Mapa final'!#REF!),"")</f>
        <v>#REF!</v>
      </c>
      <c r="Z27" s="66" t="e">
        <f>IF(AND('Mapa final'!#REF!="Media",'Mapa final'!#REF!="Moderado"),CONCATENATE("R2C",'Mapa final'!#REF!),"")</f>
        <v>#REF!</v>
      </c>
      <c r="AA27" s="67" t="e">
        <f>IF(AND('Mapa final'!#REF!="Media",'Mapa final'!#REF!="Moderado"),CONCATENATE("R2C",'Mapa final'!#REF!),"")</f>
        <v>#REF!</v>
      </c>
      <c r="AB27" s="50" t="str">
        <f>IF(AND('Mapa final'!$Y$28="Media",'Mapa final'!$AA$28="Mayor"),CONCATENATE("R2C",'Mapa final'!$O$28),"")</f>
        <v/>
      </c>
      <c r="AC27" s="51" t="str">
        <f>IF(AND('Mapa final'!$Y$29="Media",'Mapa final'!$AA$29="Mayor"),CONCATENATE("R2C",'Mapa final'!$O$29),"")</f>
        <v/>
      </c>
      <c r="AD27" s="51" t="e">
        <f>IF(AND('Mapa final'!#REF!="Media",'Mapa final'!#REF!="Mayor"),CONCATENATE("R2C",'Mapa final'!#REF!),"")</f>
        <v>#REF!</v>
      </c>
      <c r="AE27" s="51" t="e">
        <f>IF(AND('Mapa final'!#REF!="Media",'Mapa final'!#REF!="Mayor"),CONCATENATE("R2C",'Mapa final'!#REF!),"")</f>
        <v>#REF!</v>
      </c>
      <c r="AF27" s="51" t="e">
        <f>IF(AND('Mapa final'!#REF!="Media",'Mapa final'!#REF!="Mayor"),CONCATENATE("R2C",'Mapa final'!#REF!),"")</f>
        <v>#REF!</v>
      </c>
      <c r="AG27" s="52" t="e">
        <f>IF(AND('Mapa final'!#REF!="Media",'Mapa final'!#REF!="Mayor"),CONCATENATE("R2C",'Mapa final'!#REF!),"")</f>
        <v>#REF!</v>
      </c>
      <c r="AH27" s="53" t="str">
        <f>IF(AND('Mapa final'!$Y$28="Media",'Mapa final'!$AA$28="Catastrófico"),CONCATENATE("R2C",'Mapa final'!$O$28),"")</f>
        <v/>
      </c>
      <c r="AI27" s="54" t="str">
        <f>IF(AND('Mapa final'!$Y$29="Media",'Mapa final'!$AA$29="Catastrófico"),CONCATENATE("R2C",'Mapa final'!$O$29),"")</f>
        <v/>
      </c>
      <c r="AJ27" s="54" t="e">
        <f>IF(AND('Mapa final'!#REF!="Media",'Mapa final'!#REF!="Catastrófico"),CONCATENATE("R2C",'Mapa final'!#REF!),"")</f>
        <v>#REF!</v>
      </c>
      <c r="AK27" s="54" t="e">
        <f>IF(AND('Mapa final'!#REF!="Media",'Mapa final'!#REF!="Catastrófico"),CONCATENATE("R2C",'Mapa final'!#REF!),"")</f>
        <v>#REF!</v>
      </c>
      <c r="AL27" s="54" t="e">
        <f>IF(AND('Mapa final'!#REF!="Media",'Mapa final'!#REF!="Catastrófico"),CONCATENATE("R2C",'Mapa final'!#REF!),"")</f>
        <v>#REF!</v>
      </c>
      <c r="AM27" s="55" t="e">
        <f>IF(AND('Mapa final'!#REF!="Media",'Mapa final'!#REF!="Catastrófico"),CONCATENATE("R2C",'Mapa final'!#REF!),"")</f>
        <v>#REF!</v>
      </c>
      <c r="AN27" s="81"/>
      <c r="AO27" s="452"/>
      <c r="AP27" s="453"/>
      <c r="AQ27" s="453"/>
      <c r="AR27" s="453"/>
      <c r="AS27" s="453"/>
      <c r="AT27" s="454"/>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row>
    <row r="28" spans="1:76" ht="15" customHeight="1" x14ac:dyDescent="0.25">
      <c r="A28" s="81"/>
      <c r="B28" s="324"/>
      <c r="C28" s="324"/>
      <c r="D28" s="325"/>
      <c r="E28" s="423"/>
      <c r="F28" s="422"/>
      <c r="G28" s="422"/>
      <c r="H28" s="422"/>
      <c r="I28" s="438"/>
      <c r="J28" s="65" t="str">
        <f>IF(AND('Mapa final'!$Y$30="Media",'Mapa final'!$AA$30="Leve"),CONCATENATE("R3C",'Mapa final'!$O$30),"")</f>
        <v/>
      </c>
      <c r="K28" s="66" t="str">
        <f>IF(AND('Mapa final'!$Y$31="Media",'Mapa final'!$AA$31="Leve"),CONCATENATE("R3C",'Mapa final'!$O$31),"")</f>
        <v/>
      </c>
      <c r="L28" s="66" t="e">
        <f>IF(AND('Mapa final'!#REF!="Media",'Mapa final'!#REF!="Leve"),CONCATENATE("R3C",'Mapa final'!#REF!),"")</f>
        <v>#REF!</v>
      </c>
      <c r="M28" s="66" t="e">
        <f>IF(AND('Mapa final'!#REF!="Media",'Mapa final'!#REF!="Leve"),CONCATENATE("R3C",'Mapa final'!#REF!),"")</f>
        <v>#REF!</v>
      </c>
      <c r="N28" s="66" t="e">
        <f>IF(AND('Mapa final'!#REF!="Media",'Mapa final'!#REF!="Leve"),CONCATENATE("R3C",'Mapa final'!#REF!),"")</f>
        <v>#REF!</v>
      </c>
      <c r="O28" s="67" t="e">
        <f>IF(AND('Mapa final'!#REF!="Media",'Mapa final'!#REF!="Leve"),CONCATENATE("R3C",'Mapa final'!#REF!),"")</f>
        <v>#REF!</v>
      </c>
      <c r="P28" s="65" t="str">
        <f>IF(AND('Mapa final'!$Y$30="Media",'Mapa final'!$AA$30="Menor"),CONCATENATE("R3C",'Mapa final'!$O$30),"")</f>
        <v/>
      </c>
      <c r="Q28" s="66" t="str">
        <f>IF(AND('Mapa final'!$Y$31="Media",'Mapa final'!$AA$31="Menor"),CONCATENATE("R3C",'Mapa final'!$O$31),"")</f>
        <v/>
      </c>
      <c r="R28" s="66" t="e">
        <f>IF(AND('Mapa final'!#REF!="Media",'Mapa final'!#REF!="Menor"),CONCATENATE("R3C",'Mapa final'!#REF!),"")</f>
        <v>#REF!</v>
      </c>
      <c r="S28" s="66" t="e">
        <f>IF(AND('Mapa final'!#REF!="Media",'Mapa final'!#REF!="Menor"),CONCATENATE("R3C",'Mapa final'!#REF!),"")</f>
        <v>#REF!</v>
      </c>
      <c r="T28" s="66" t="e">
        <f>IF(AND('Mapa final'!#REF!="Media",'Mapa final'!#REF!="Menor"),CONCATENATE("R3C",'Mapa final'!#REF!),"")</f>
        <v>#REF!</v>
      </c>
      <c r="U28" s="67" t="e">
        <f>IF(AND('Mapa final'!#REF!="Media",'Mapa final'!#REF!="Menor"),CONCATENATE("R3C",'Mapa final'!#REF!),"")</f>
        <v>#REF!</v>
      </c>
      <c r="V28" s="65" t="str">
        <f>IF(AND('Mapa final'!$Y$30="Media",'Mapa final'!$AA$30="Moderado"),CONCATENATE("R3C",'Mapa final'!$O$30),"")</f>
        <v/>
      </c>
      <c r="W28" s="66" t="str">
        <f>IF(AND('Mapa final'!$Y$31="Media",'Mapa final'!$AA$31="Moderado"),CONCATENATE("R3C",'Mapa final'!$O$31),"")</f>
        <v/>
      </c>
      <c r="X28" s="66" t="e">
        <f>IF(AND('Mapa final'!#REF!="Media",'Mapa final'!#REF!="Moderado"),CONCATENATE("R3C",'Mapa final'!#REF!),"")</f>
        <v>#REF!</v>
      </c>
      <c r="Y28" s="66" t="e">
        <f>IF(AND('Mapa final'!#REF!="Media",'Mapa final'!#REF!="Moderado"),CONCATENATE("R3C",'Mapa final'!#REF!),"")</f>
        <v>#REF!</v>
      </c>
      <c r="Z28" s="66" t="e">
        <f>IF(AND('Mapa final'!#REF!="Media",'Mapa final'!#REF!="Moderado"),CONCATENATE("R3C",'Mapa final'!#REF!),"")</f>
        <v>#REF!</v>
      </c>
      <c r="AA28" s="67" t="e">
        <f>IF(AND('Mapa final'!#REF!="Media",'Mapa final'!#REF!="Moderado"),CONCATENATE("R3C",'Mapa final'!#REF!),"")</f>
        <v>#REF!</v>
      </c>
      <c r="AB28" s="50" t="str">
        <f>IF(AND('Mapa final'!$Y$30="Media",'Mapa final'!$AA$30="Mayor"),CONCATENATE("R3C",'Mapa final'!$O$30),"")</f>
        <v/>
      </c>
      <c r="AC28" s="51" t="str">
        <f>IF(AND('Mapa final'!$Y$31="Media",'Mapa final'!$AA$31="Mayor"),CONCATENATE("R3C",'Mapa final'!$O$31),"")</f>
        <v/>
      </c>
      <c r="AD28" s="51" t="e">
        <f>IF(AND('Mapa final'!#REF!="Media",'Mapa final'!#REF!="Mayor"),CONCATENATE("R3C",'Mapa final'!#REF!),"")</f>
        <v>#REF!</v>
      </c>
      <c r="AE28" s="51" t="e">
        <f>IF(AND('Mapa final'!#REF!="Media",'Mapa final'!#REF!="Mayor"),CONCATENATE("R3C",'Mapa final'!#REF!),"")</f>
        <v>#REF!</v>
      </c>
      <c r="AF28" s="51" t="e">
        <f>IF(AND('Mapa final'!#REF!="Media",'Mapa final'!#REF!="Mayor"),CONCATENATE("R3C",'Mapa final'!#REF!),"")</f>
        <v>#REF!</v>
      </c>
      <c r="AG28" s="52" t="e">
        <f>IF(AND('Mapa final'!#REF!="Media",'Mapa final'!#REF!="Mayor"),CONCATENATE("R3C",'Mapa final'!#REF!),"")</f>
        <v>#REF!</v>
      </c>
      <c r="AH28" s="53" t="str">
        <f>IF(AND('Mapa final'!$Y$30="Media",'Mapa final'!$AA$30="Catastrófico"),CONCATENATE("R3C",'Mapa final'!$O$30),"")</f>
        <v/>
      </c>
      <c r="AI28" s="54" t="str">
        <f>IF(AND('Mapa final'!$Y$31="Media",'Mapa final'!$AA$31="Catastrófico"),CONCATENATE("R3C",'Mapa final'!$O$31),"")</f>
        <v/>
      </c>
      <c r="AJ28" s="54" t="e">
        <f>IF(AND('Mapa final'!#REF!="Media",'Mapa final'!#REF!="Catastrófico"),CONCATENATE("R3C",'Mapa final'!#REF!),"")</f>
        <v>#REF!</v>
      </c>
      <c r="AK28" s="54" t="e">
        <f>IF(AND('Mapa final'!#REF!="Media",'Mapa final'!#REF!="Catastrófico"),CONCATENATE("R3C",'Mapa final'!#REF!),"")</f>
        <v>#REF!</v>
      </c>
      <c r="AL28" s="54" t="e">
        <f>IF(AND('Mapa final'!#REF!="Media",'Mapa final'!#REF!="Catastrófico"),CONCATENATE("R3C",'Mapa final'!#REF!),"")</f>
        <v>#REF!</v>
      </c>
      <c r="AM28" s="55" t="e">
        <f>IF(AND('Mapa final'!#REF!="Media",'Mapa final'!#REF!="Catastrófico"),CONCATENATE("R3C",'Mapa final'!#REF!),"")</f>
        <v>#REF!</v>
      </c>
      <c r="AN28" s="81"/>
      <c r="AO28" s="452"/>
      <c r="AP28" s="453"/>
      <c r="AQ28" s="453"/>
      <c r="AR28" s="453"/>
      <c r="AS28" s="453"/>
      <c r="AT28" s="454"/>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row>
    <row r="29" spans="1:76" ht="15" customHeight="1" x14ac:dyDescent="0.25">
      <c r="A29" s="81"/>
      <c r="B29" s="324"/>
      <c r="C29" s="324"/>
      <c r="D29" s="325"/>
      <c r="E29" s="423"/>
      <c r="F29" s="422"/>
      <c r="G29" s="422"/>
      <c r="H29" s="422"/>
      <c r="I29" s="438"/>
      <c r="J29" s="65" t="str">
        <f>IF(AND('Mapa final'!$Y$32="Media",'Mapa final'!$AA$32="Leve"),CONCATENATE("R4C",'Mapa final'!$O$32),"")</f>
        <v/>
      </c>
      <c r="K29" s="66" t="str">
        <f>IF(AND('Mapa final'!$Y$33="Media",'Mapa final'!$AA$33="Leve"),CONCATENATE("R4C",'Mapa final'!$O$33),"")</f>
        <v/>
      </c>
      <c r="L29" s="66" t="str">
        <f>IF(AND('Mapa final'!$Y$34="Media",'Mapa final'!$AA$34="Leve"),CONCATENATE("R4C",'Mapa final'!$O$34),"")</f>
        <v/>
      </c>
      <c r="M29" s="66" t="str">
        <f>IF(AND('Mapa final'!$Y$35="Media",'Mapa final'!$AA$35="Leve"),CONCATENATE("R4C",'Mapa final'!$O$35),"")</f>
        <v/>
      </c>
      <c r="N29" s="66" t="str">
        <f>IF(AND('Mapa final'!$Y$36="Media",'Mapa final'!$AA$36="Leve"),CONCATENATE("R4C",'Mapa final'!$O$36),"")</f>
        <v/>
      </c>
      <c r="O29" s="67" t="str">
        <f>IF(AND('Mapa final'!$Y$37="Media",'Mapa final'!$AA$37="Leve"),CONCATENATE("R4C",'Mapa final'!$O$37),"")</f>
        <v/>
      </c>
      <c r="P29" s="65" t="str">
        <f>IF(AND('Mapa final'!$Y$32="Media",'Mapa final'!$AA$32="Menor"),CONCATENATE("R4C",'Mapa final'!$O$32),"")</f>
        <v/>
      </c>
      <c r="Q29" s="66" t="str">
        <f>IF(AND('Mapa final'!$Y$33="Media",'Mapa final'!$AA$33="Menor"),CONCATENATE("R4C",'Mapa final'!$O$33),"")</f>
        <v/>
      </c>
      <c r="R29" s="66" t="str">
        <f>IF(AND('Mapa final'!$Y$34="Media",'Mapa final'!$AA$34="Menor"),CONCATENATE("R4C",'Mapa final'!$O$34),"")</f>
        <v/>
      </c>
      <c r="S29" s="66" t="str">
        <f>IF(AND('Mapa final'!$Y$35="Media",'Mapa final'!$AA$35="Menor"),CONCATENATE("R4C",'Mapa final'!$O$35),"")</f>
        <v/>
      </c>
      <c r="T29" s="66" t="str">
        <f>IF(AND('Mapa final'!$Y$36="Media",'Mapa final'!$AA$36="Menor"),CONCATENATE("R4C",'Mapa final'!$O$36),"")</f>
        <v/>
      </c>
      <c r="U29" s="67" t="str">
        <f>IF(AND('Mapa final'!$Y$37="Media",'Mapa final'!$AA$37="Menor"),CONCATENATE("R4C",'Mapa final'!$O$37),"")</f>
        <v/>
      </c>
      <c r="V29" s="65" t="str">
        <f>IF(AND('Mapa final'!$Y$32="Media",'Mapa final'!$AA$32="Moderado"),CONCATENATE("R4C",'Mapa final'!$O$32),"")</f>
        <v/>
      </c>
      <c r="W29" s="66" t="str">
        <f>IF(AND('Mapa final'!$Y$33="Media",'Mapa final'!$AA$33="Moderado"),CONCATENATE("R4C",'Mapa final'!$O$33),"")</f>
        <v/>
      </c>
      <c r="X29" s="66" t="str">
        <f>IF(AND('Mapa final'!$Y$34="Media",'Mapa final'!$AA$34="Moderado"),CONCATENATE("R4C",'Mapa final'!$O$34),"")</f>
        <v/>
      </c>
      <c r="Y29" s="66" t="str">
        <f>IF(AND('Mapa final'!$Y$35="Media",'Mapa final'!$AA$35="Moderado"),CONCATENATE("R4C",'Mapa final'!$O$35),"")</f>
        <v/>
      </c>
      <c r="Z29" s="66" t="str">
        <f>IF(AND('Mapa final'!$Y$36="Media",'Mapa final'!$AA$36="Moderado"),CONCATENATE("R4C",'Mapa final'!$O$36),"")</f>
        <v/>
      </c>
      <c r="AA29" s="67" t="str">
        <f>IF(AND('Mapa final'!$Y$37="Media",'Mapa final'!$AA$37="Moderado"),CONCATENATE("R4C",'Mapa final'!$O$37),"")</f>
        <v/>
      </c>
      <c r="AB29" s="50" t="str">
        <f>IF(AND('Mapa final'!$Y$32="Media",'Mapa final'!$AA$32="Mayor"),CONCATENATE("R4C",'Mapa final'!$O$32),"")</f>
        <v/>
      </c>
      <c r="AC29" s="51" t="str">
        <f>IF(AND('Mapa final'!$Y$33="Media",'Mapa final'!$AA$33="Mayor"),CONCATENATE("R4C",'Mapa final'!$O$33),"")</f>
        <v/>
      </c>
      <c r="AD29" s="51" t="str">
        <f>IF(AND('Mapa final'!$Y$34="Media",'Mapa final'!$AA$34="Mayor"),CONCATENATE("R4C",'Mapa final'!$O$34),"")</f>
        <v/>
      </c>
      <c r="AE29" s="51" t="str">
        <f>IF(AND('Mapa final'!$Y$35="Media",'Mapa final'!$AA$35="Mayor"),CONCATENATE("R4C",'Mapa final'!$O$35),"")</f>
        <v/>
      </c>
      <c r="AF29" s="51" t="str">
        <f>IF(AND('Mapa final'!$Y$36="Media",'Mapa final'!$AA$36="Mayor"),CONCATENATE("R4C",'Mapa final'!$O$36),"")</f>
        <v/>
      </c>
      <c r="AG29" s="52" t="str">
        <f>IF(AND('Mapa final'!$Y$37="Media",'Mapa final'!$AA$37="Mayor"),CONCATENATE("R4C",'Mapa final'!$O$37),"")</f>
        <v/>
      </c>
      <c r="AH29" s="53" t="str">
        <f>IF(AND('Mapa final'!$Y$32="Media",'Mapa final'!$AA$32="Catastrófico"),CONCATENATE("R4C",'Mapa final'!$O$32),"")</f>
        <v/>
      </c>
      <c r="AI29" s="54" t="str">
        <f>IF(AND('Mapa final'!$Y$33="Media",'Mapa final'!$AA$33="Catastrófico"),CONCATENATE("R4C",'Mapa final'!$O$33),"")</f>
        <v/>
      </c>
      <c r="AJ29" s="54" t="str">
        <f>IF(AND('Mapa final'!$Y$34="Media",'Mapa final'!$AA$34="Catastrófico"),CONCATENATE("R4C",'Mapa final'!$O$34),"")</f>
        <v/>
      </c>
      <c r="AK29" s="54" t="str">
        <f>IF(AND('Mapa final'!$Y$35="Media",'Mapa final'!$AA$35="Catastrófico"),CONCATENATE("R4C",'Mapa final'!$O$35),"")</f>
        <v/>
      </c>
      <c r="AL29" s="54" t="str">
        <f>IF(AND('Mapa final'!$Y$36="Media",'Mapa final'!$AA$36="Catastrófico"),CONCATENATE("R4C",'Mapa final'!$O$36),"")</f>
        <v/>
      </c>
      <c r="AM29" s="55" t="str">
        <f>IF(AND('Mapa final'!$Y$37="Media",'Mapa final'!$AA$37="Catastrófico"),CONCATENATE("R4C",'Mapa final'!$O$37),"")</f>
        <v/>
      </c>
      <c r="AN29" s="81"/>
      <c r="AO29" s="452"/>
      <c r="AP29" s="453"/>
      <c r="AQ29" s="453"/>
      <c r="AR29" s="453"/>
      <c r="AS29" s="453"/>
      <c r="AT29" s="454"/>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row>
    <row r="30" spans="1:76" ht="15" customHeight="1" x14ac:dyDescent="0.25">
      <c r="A30" s="81"/>
      <c r="B30" s="324"/>
      <c r="C30" s="324"/>
      <c r="D30" s="325"/>
      <c r="E30" s="423"/>
      <c r="F30" s="422"/>
      <c r="G30" s="422"/>
      <c r="H30" s="422"/>
      <c r="I30" s="438"/>
      <c r="J30" s="65" t="str">
        <f>IF(AND('Mapa final'!$Y$38="Media",'Mapa final'!$AA$38="Leve"),CONCATENATE("R5C",'Mapa final'!$O$38),"")</f>
        <v/>
      </c>
      <c r="K30" s="66" t="str">
        <f>IF(AND('Mapa final'!$Y$39="Media",'Mapa final'!$AA$39="Leve"),CONCATENATE("R5C",'Mapa final'!$O$39),"")</f>
        <v/>
      </c>
      <c r="L30" s="66" t="str">
        <f>IF(AND('Mapa final'!$Y$40="Media",'Mapa final'!$AA$40="Leve"),CONCATENATE("R5C",'Mapa final'!$O$40),"")</f>
        <v/>
      </c>
      <c r="M30" s="66" t="str">
        <f>IF(AND('Mapa final'!$Y$41="Media",'Mapa final'!$AA$41="Leve"),CONCATENATE("R5C",'Mapa final'!$O$41),"")</f>
        <v/>
      </c>
      <c r="N30" s="66" t="str">
        <f>IF(AND('Mapa final'!$Y$42="Media",'Mapa final'!$AA$42="Leve"),CONCATENATE("R5C",'Mapa final'!$O$42),"")</f>
        <v/>
      </c>
      <c r="O30" s="67" t="str">
        <f>IF(AND('Mapa final'!$Y$43="Media",'Mapa final'!$AA$43="Leve"),CONCATENATE("R5C",'Mapa final'!$O$43),"")</f>
        <v/>
      </c>
      <c r="P30" s="65" t="str">
        <f>IF(AND('Mapa final'!$Y$38="Media",'Mapa final'!$AA$38="Menor"),CONCATENATE("R5C",'Mapa final'!$O$38),"")</f>
        <v/>
      </c>
      <c r="Q30" s="66" t="str">
        <f>IF(AND('Mapa final'!$Y$39="Media",'Mapa final'!$AA$39="Menor"),CONCATENATE("R5C",'Mapa final'!$O$39),"")</f>
        <v/>
      </c>
      <c r="R30" s="66" t="str">
        <f>IF(AND('Mapa final'!$Y$40="Media",'Mapa final'!$AA$40="Menor"),CONCATENATE("R5C",'Mapa final'!$O$40),"")</f>
        <v/>
      </c>
      <c r="S30" s="66" t="str">
        <f>IF(AND('Mapa final'!$Y$41="Media",'Mapa final'!$AA$41="Menor"),CONCATENATE("R5C",'Mapa final'!$O$41),"")</f>
        <v/>
      </c>
      <c r="T30" s="66" t="str">
        <f>IF(AND('Mapa final'!$Y$42="Media",'Mapa final'!$AA$42="Menor"),CONCATENATE("R5C",'Mapa final'!$O$42),"")</f>
        <v/>
      </c>
      <c r="U30" s="67" t="str">
        <f>IF(AND('Mapa final'!$Y$43="Media",'Mapa final'!$AA$43="Menor"),CONCATENATE("R5C",'Mapa final'!$O$43),"")</f>
        <v/>
      </c>
      <c r="V30" s="65" t="str">
        <f>IF(AND('Mapa final'!$Y$38="Media",'Mapa final'!$AA$38="Moderado"),CONCATENATE("R5C",'Mapa final'!$O$38),"")</f>
        <v/>
      </c>
      <c r="W30" s="66" t="str">
        <f>IF(AND('Mapa final'!$Y$39="Media",'Mapa final'!$AA$39="Moderado"),CONCATENATE("R5C",'Mapa final'!$O$39),"")</f>
        <v/>
      </c>
      <c r="X30" s="66" t="str">
        <f>IF(AND('Mapa final'!$Y$40="Media",'Mapa final'!$AA$40="Moderado"),CONCATENATE("R5C",'Mapa final'!$O$40),"")</f>
        <v/>
      </c>
      <c r="Y30" s="66" t="str">
        <f>IF(AND('Mapa final'!$Y$41="Media",'Mapa final'!$AA$41="Moderado"),CONCATENATE("R5C",'Mapa final'!$O$41),"")</f>
        <v/>
      </c>
      <c r="Z30" s="66" t="str">
        <f>IF(AND('Mapa final'!$Y$42="Media",'Mapa final'!$AA$42="Moderado"),CONCATENATE("R5C",'Mapa final'!$O$42),"")</f>
        <v/>
      </c>
      <c r="AA30" s="67" t="str">
        <f>IF(AND('Mapa final'!$Y$43="Media",'Mapa final'!$AA$43="Moderado"),CONCATENATE("R5C",'Mapa final'!$O$43),"")</f>
        <v/>
      </c>
      <c r="AB30" s="50" t="str">
        <f>IF(AND('Mapa final'!$Y$38="Media",'Mapa final'!$AA$38="Mayor"),CONCATENATE("R5C",'Mapa final'!$O$38),"")</f>
        <v/>
      </c>
      <c r="AC30" s="51" t="str">
        <f>IF(AND('Mapa final'!$Y$39="Media",'Mapa final'!$AA$39="Mayor"),CONCATENATE("R5C",'Mapa final'!$O$39),"")</f>
        <v/>
      </c>
      <c r="AD30" s="51" t="str">
        <f>IF(AND('Mapa final'!$Y$40="Media",'Mapa final'!$AA$40="Mayor"),CONCATENATE("R5C",'Mapa final'!$O$40),"")</f>
        <v/>
      </c>
      <c r="AE30" s="51" t="str">
        <f>IF(AND('Mapa final'!$Y$41="Media",'Mapa final'!$AA$41="Mayor"),CONCATENATE("R5C",'Mapa final'!$O$41),"")</f>
        <v/>
      </c>
      <c r="AF30" s="51" t="str">
        <f>IF(AND('Mapa final'!$Y$42="Media",'Mapa final'!$AA$42="Mayor"),CONCATENATE("R5C",'Mapa final'!$O$42),"")</f>
        <v/>
      </c>
      <c r="AG30" s="52" t="str">
        <f>IF(AND('Mapa final'!$Y$43="Media",'Mapa final'!$AA$43="Mayor"),CONCATENATE("R5C",'Mapa final'!$O$43),"")</f>
        <v/>
      </c>
      <c r="AH30" s="53" t="str">
        <f>IF(AND('Mapa final'!$Y$38="Media",'Mapa final'!$AA$38="Catastrófico"),CONCATENATE("R5C",'Mapa final'!$O$38),"")</f>
        <v/>
      </c>
      <c r="AI30" s="54" t="str">
        <f>IF(AND('Mapa final'!$Y$39="Media",'Mapa final'!$AA$39="Catastrófico"),CONCATENATE("R5C",'Mapa final'!$O$39),"")</f>
        <v/>
      </c>
      <c r="AJ30" s="54" t="str">
        <f>IF(AND('Mapa final'!$Y$40="Media",'Mapa final'!$AA$40="Catastrófico"),CONCATENATE("R5C",'Mapa final'!$O$40),"")</f>
        <v/>
      </c>
      <c r="AK30" s="54" t="str">
        <f>IF(AND('Mapa final'!$Y$41="Media",'Mapa final'!$AA$41="Catastrófico"),CONCATENATE("R5C",'Mapa final'!$O$41),"")</f>
        <v/>
      </c>
      <c r="AL30" s="54" t="str">
        <f>IF(AND('Mapa final'!$Y$42="Media",'Mapa final'!$AA$42="Catastrófico"),CONCATENATE("R5C",'Mapa final'!$O$42),"")</f>
        <v/>
      </c>
      <c r="AM30" s="55" t="str">
        <f>IF(AND('Mapa final'!$Y$43="Media",'Mapa final'!$AA$43="Catastrófico"),CONCATENATE("R5C",'Mapa final'!$O$43),"")</f>
        <v/>
      </c>
      <c r="AN30" s="81"/>
      <c r="AO30" s="452"/>
      <c r="AP30" s="453"/>
      <c r="AQ30" s="453"/>
      <c r="AR30" s="453"/>
      <c r="AS30" s="453"/>
      <c r="AT30" s="454"/>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row>
    <row r="31" spans="1:76" ht="15" customHeight="1" x14ac:dyDescent="0.25">
      <c r="A31" s="81"/>
      <c r="B31" s="324"/>
      <c r="C31" s="324"/>
      <c r="D31" s="325"/>
      <c r="E31" s="423"/>
      <c r="F31" s="422"/>
      <c r="G31" s="422"/>
      <c r="H31" s="422"/>
      <c r="I31" s="438"/>
      <c r="J31" s="65" t="str">
        <f>IF(AND('Mapa final'!$Y$44="Media",'Mapa final'!$AA$44="Leve"),CONCATENATE("R6C",'Mapa final'!$O$44),"")</f>
        <v/>
      </c>
      <c r="K31" s="66" t="str">
        <f>IF(AND('Mapa final'!$Y$45="Media",'Mapa final'!$AA$45="Leve"),CONCATENATE("R6C",'Mapa final'!$O$45),"")</f>
        <v/>
      </c>
      <c r="L31" s="66" t="str">
        <f>IF(AND('Mapa final'!$Y$46="Media",'Mapa final'!$AA$46="Leve"),CONCATENATE("R6C",'Mapa final'!$O$46),"")</f>
        <v/>
      </c>
      <c r="M31" s="66" t="str">
        <f>IF(AND('Mapa final'!$Y$47="Media",'Mapa final'!$AA$47="Leve"),CONCATENATE("R6C",'Mapa final'!$O$47),"")</f>
        <v/>
      </c>
      <c r="N31" s="66" t="str">
        <f>IF(AND('Mapa final'!$Y$48="Media",'Mapa final'!$AA$48="Leve"),CONCATENATE("R6C",'Mapa final'!$O$48),"")</f>
        <v/>
      </c>
      <c r="O31" s="67" t="str">
        <f>IF(AND('Mapa final'!$Y$49="Media",'Mapa final'!$AA$49="Leve"),CONCATENATE("R6C",'Mapa final'!$O$49),"")</f>
        <v/>
      </c>
      <c r="P31" s="65" t="str">
        <f>IF(AND('Mapa final'!$Y$44="Media",'Mapa final'!$AA$44="Menor"),CONCATENATE("R6C",'Mapa final'!$O$44),"")</f>
        <v/>
      </c>
      <c r="Q31" s="66" t="str">
        <f>IF(AND('Mapa final'!$Y$45="Media",'Mapa final'!$AA$45="Menor"),CONCATENATE("R6C",'Mapa final'!$O$45),"")</f>
        <v/>
      </c>
      <c r="R31" s="66" t="str">
        <f>IF(AND('Mapa final'!$Y$46="Media",'Mapa final'!$AA$46="Menor"),CONCATENATE("R6C",'Mapa final'!$O$46),"")</f>
        <v/>
      </c>
      <c r="S31" s="66" t="str">
        <f>IF(AND('Mapa final'!$Y$47="Media",'Mapa final'!$AA$47="Menor"),CONCATENATE("R6C",'Mapa final'!$O$47),"")</f>
        <v/>
      </c>
      <c r="T31" s="66" t="str">
        <f>IF(AND('Mapa final'!$Y$48="Media",'Mapa final'!$AA$48="Menor"),CONCATENATE("R6C",'Mapa final'!$O$48),"")</f>
        <v/>
      </c>
      <c r="U31" s="67" t="str">
        <f>IF(AND('Mapa final'!$Y$49="Media",'Mapa final'!$AA$49="Menor"),CONCATENATE("R6C",'Mapa final'!$O$49),"")</f>
        <v/>
      </c>
      <c r="V31" s="65" t="str">
        <f>IF(AND('Mapa final'!$Y$44="Media",'Mapa final'!$AA$44="Moderado"),CONCATENATE("R6C",'Mapa final'!$O$44),"")</f>
        <v/>
      </c>
      <c r="W31" s="66" t="str">
        <f>IF(AND('Mapa final'!$Y$45="Media",'Mapa final'!$AA$45="Moderado"),CONCATENATE("R6C",'Mapa final'!$O$45),"")</f>
        <v/>
      </c>
      <c r="X31" s="66" t="str">
        <f>IF(AND('Mapa final'!$Y$46="Media",'Mapa final'!$AA$46="Moderado"),CONCATENATE("R6C",'Mapa final'!$O$46),"")</f>
        <v/>
      </c>
      <c r="Y31" s="66" t="str">
        <f>IF(AND('Mapa final'!$Y$47="Media",'Mapa final'!$AA$47="Moderado"),CONCATENATE("R6C",'Mapa final'!$O$47),"")</f>
        <v/>
      </c>
      <c r="Z31" s="66" t="str">
        <f>IF(AND('Mapa final'!$Y$48="Media",'Mapa final'!$AA$48="Moderado"),CONCATENATE("R6C",'Mapa final'!$O$48),"")</f>
        <v/>
      </c>
      <c r="AA31" s="67" t="str">
        <f>IF(AND('Mapa final'!$Y$49="Media",'Mapa final'!$AA$49="Moderado"),CONCATENATE("R6C",'Mapa final'!$O$49),"")</f>
        <v/>
      </c>
      <c r="AB31" s="50" t="str">
        <f>IF(AND('Mapa final'!$Y$44="Media",'Mapa final'!$AA$44="Mayor"),CONCATENATE("R6C",'Mapa final'!$O$44),"")</f>
        <v/>
      </c>
      <c r="AC31" s="51" t="str">
        <f>IF(AND('Mapa final'!$Y$45="Media",'Mapa final'!$AA$45="Mayor"),CONCATENATE("R6C",'Mapa final'!$O$45),"")</f>
        <v/>
      </c>
      <c r="AD31" s="51" t="str">
        <f>IF(AND('Mapa final'!$Y$46="Media",'Mapa final'!$AA$46="Mayor"),CONCATENATE("R6C",'Mapa final'!$O$46),"")</f>
        <v/>
      </c>
      <c r="AE31" s="51" t="str">
        <f>IF(AND('Mapa final'!$Y$47="Media",'Mapa final'!$AA$47="Mayor"),CONCATENATE("R6C",'Mapa final'!$O$47),"")</f>
        <v/>
      </c>
      <c r="AF31" s="51" t="str">
        <f>IF(AND('Mapa final'!$Y$48="Media",'Mapa final'!$AA$48="Mayor"),CONCATENATE("R6C",'Mapa final'!$O$48),"")</f>
        <v/>
      </c>
      <c r="AG31" s="52" t="str">
        <f>IF(AND('Mapa final'!$Y$49="Media",'Mapa final'!$AA$49="Mayor"),CONCATENATE("R6C",'Mapa final'!$O$49),"")</f>
        <v/>
      </c>
      <c r="AH31" s="53" t="str">
        <f>IF(AND('Mapa final'!$Y$44="Media",'Mapa final'!$AA$44="Catastrófico"),CONCATENATE("R6C",'Mapa final'!$O$44),"")</f>
        <v/>
      </c>
      <c r="AI31" s="54" t="str">
        <f>IF(AND('Mapa final'!$Y$45="Media",'Mapa final'!$AA$45="Catastrófico"),CONCATENATE("R6C",'Mapa final'!$O$45),"")</f>
        <v/>
      </c>
      <c r="AJ31" s="54" t="str">
        <f>IF(AND('Mapa final'!$Y$46="Media",'Mapa final'!$AA$46="Catastrófico"),CONCATENATE("R6C",'Mapa final'!$O$46),"")</f>
        <v/>
      </c>
      <c r="AK31" s="54" t="str">
        <f>IF(AND('Mapa final'!$Y$47="Media",'Mapa final'!$AA$47="Catastrófico"),CONCATENATE("R6C",'Mapa final'!$O$47),"")</f>
        <v/>
      </c>
      <c r="AL31" s="54" t="str">
        <f>IF(AND('Mapa final'!$Y$48="Media",'Mapa final'!$AA$48="Catastrófico"),CONCATENATE("R6C",'Mapa final'!$O$48),"")</f>
        <v/>
      </c>
      <c r="AM31" s="55" t="str">
        <f>IF(AND('Mapa final'!$Y$49="Media",'Mapa final'!$AA$49="Catastrófico"),CONCATENATE("R6C",'Mapa final'!$O$49),"")</f>
        <v/>
      </c>
      <c r="AN31" s="81"/>
      <c r="AO31" s="452"/>
      <c r="AP31" s="453"/>
      <c r="AQ31" s="453"/>
      <c r="AR31" s="453"/>
      <c r="AS31" s="453"/>
      <c r="AT31" s="454"/>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row>
    <row r="32" spans="1:76" ht="15" customHeight="1" x14ac:dyDescent="0.25">
      <c r="A32" s="81"/>
      <c r="B32" s="324"/>
      <c r="C32" s="324"/>
      <c r="D32" s="325"/>
      <c r="E32" s="423"/>
      <c r="F32" s="422"/>
      <c r="G32" s="422"/>
      <c r="H32" s="422"/>
      <c r="I32" s="438"/>
      <c r="J32" s="65" t="str">
        <f>IF(AND('Mapa final'!$Y$50="Media",'Mapa final'!$AA$50="Leve"),CONCATENATE("R7C",'Mapa final'!$O$50),"")</f>
        <v/>
      </c>
      <c r="K32" s="66" t="str">
        <f>IF(AND('Mapa final'!$Y$51="Media",'Mapa final'!$AA$51="Leve"),CONCATENATE("R7C",'Mapa final'!$O$51),"")</f>
        <v/>
      </c>
      <c r="L32" s="66" t="str">
        <f>IF(AND('Mapa final'!$Y$52="Media",'Mapa final'!$AA$52="Leve"),CONCATENATE("R7C",'Mapa final'!$O$52),"")</f>
        <v/>
      </c>
      <c r="M32" s="66" t="str">
        <f>IF(AND('Mapa final'!$Y$53="Media",'Mapa final'!$AA$53="Leve"),CONCATENATE("R7C",'Mapa final'!$O$53),"")</f>
        <v/>
      </c>
      <c r="N32" s="66" t="str">
        <f>IF(AND('Mapa final'!$Y$54="Media",'Mapa final'!$AA$54="Leve"),CONCATENATE("R7C",'Mapa final'!$O$54),"")</f>
        <v/>
      </c>
      <c r="O32" s="67" t="str">
        <f>IF(AND('Mapa final'!$Y$55="Media",'Mapa final'!$AA$55="Leve"),CONCATENATE("R7C",'Mapa final'!$O$55),"")</f>
        <v/>
      </c>
      <c r="P32" s="65" t="str">
        <f>IF(AND('Mapa final'!$Y$50="Media",'Mapa final'!$AA$50="Menor"),CONCATENATE("R7C",'Mapa final'!$O$50),"")</f>
        <v/>
      </c>
      <c r="Q32" s="66" t="str">
        <f>IF(AND('Mapa final'!$Y$51="Media",'Mapa final'!$AA$51="Menor"),CONCATENATE("R7C",'Mapa final'!$O$51),"")</f>
        <v/>
      </c>
      <c r="R32" s="66" t="str">
        <f>IF(AND('Mapa final'!$Y$52="Media",'Mapa final'!$AA$52="Menor"),CONCATENATE("R7C",'Mapa final'!$O$52),"")</f>
        <v/>
      </c>
      <c r="S32" s="66" t="str">
        <f>IF(AND('Mapa final'!$Y$53="Media",'Mapa final'!$AA$53="Menor"),CONCATENATE("R7C",'Mapa final'!$O$53),"")</f>
        <v/>
      </c>
      <c r="T32" s="66" t="str">
        <f>IF(AND('Mapa final'!$Y$54="Media",'Mapa final'!$AA$54="Menor"),CONCATENATE("R7C",'Mapa final'!$O$54),"")</f>
        <v/>
      </c>
      <c r="U32" s="67" t="str">
        <f>IF(AND('Mapa final'!$Y$55="Media",'Mapa final'!$AA$55="Menor"),CONCATENATE("R7C",'Mapa final'!$O$55),"")</f>
        <v/>
      </c>
      <c r="V32" s="65" t="str">
        <f>IF(AND('Mapa final'!$Y$50="Media",'Mapa final'!$AA$50="Moderado"),CONCATENATE("R7C",'Mapa final'!$O$50),"")</f>
        <v/>
      </c>
      <c r="W32" s="66" t="str">
        <f>IF(AND('Mapa final'!$Y$51="Media",'Mapa final'!$AA$51="Moderado"),CONCATENATE("R7C",'Mapa final'!$O$51),"")</f>
        <v/>
      </c>
      <c r="X32" s="66" t="str">
        <f>IF(AND('Mapa final'!$Y$52="Media",'Mapa final'!$AA$52="Moderado"),CONCATENATE("R7C",'Mapa final'!$O$52),"")</f>
        <v/>
      </c>
      <c r="Y32" s="66" t="str">
        <f>IF(AND('Mapa final'!$Y$53="Media",'Mapa final'!$AA$53="Moderado"),CONCATENATE("R7C",'Mapa final'!$O$53),"")</f>
        <v/>
      </c>
      <c r="Z32" s="66" t="str">
        <f>IF(AND('Mapa final'!$Y$54="Media",'Mapa final'!$AA$54="Moderado"),CONCATENATE("R7C",'Mapa final'!$O$54),"")</f>
        <v/>
      </c>
      <c r="AA32" s="67" t="str">
        <f>IF(AND('Mapa final'!$Y$55="Media",'Mapa final'!$AA$55="Moderado"),CONCATENATE("R7C",'Mapa final'!$O$55),"")</f>
        <v/>
      </c>
      <c r="AB32" s="50" t="str">
        <f>IF(AND('Mapa final'!$Y$50="Media",'Mapa final'!$AA$50="Mayor"),CONCATENATE("R7C",'Mapa final'!$O$50),"")</f>
        <v/>
      </c>
      <c r="AC32" s="51" t="str">
        <f>IF(AND('Mapa final'!$Y$51="Media",'Mapa final'!$AA$51="Mayor"),CONCATENATE("R7C",'Mapa final'!$O$51),"")</f>
        <v/>
      </c>
      <c r="AD32" s="51" t="str">
        <f>IF(AND('Mapa final'!$Y$52="Media",'Mapa final'!$AA$52="Mayor"),CONCATENATE("R7C",'Mapa final'!$O$52),"")</f>
        <v/>
      </c>
      <c r="AE32" s="51" t="str">
        <f>IF(AND('Mapa final'!$Y$53="Media",'Mapa final'!$AA$53="Mayor"),CONCATENATE("R7C",'Mapa final'!$O$53),"")</f>
        <v/>
      </c>
      <c r="AF32" s="51" t="str">
        <f>IF(AND('Mapa final'!$Y$54="Media",'Mapa final'!$AA$54="Mayor"),CONCATENATE("R7C",'Mapa final'!$O$54),"")</f>
        <v/>
      </c>
      <c r="AG32" s="52" t="str">
        <f>IF(AND('Mapa final'!$Y$55="Media",'Mapa final'!$AA$55="Mayor"),CONCATENATE("R7C",'Mapa final'!$O$55),"")</f>
        <v/>
      </c>
      <c r="AH32" s="53" t="str">
        <f>IF(AND('Mapa final'!$Y$50="Media",'Mapa final'!$AA$50="Catastrófico"),CONCATENATE("R7C",'Mapa final'!$O$50),"")</f>
        <v/>
      </c>
      <c r="AI32" s="54" t="str">
        <f>IF(AND('Mapa final'!$Y$51="Media",'Mapa final'!$AA$51="Catastrófico"),CONCATENATE("R7C",'Mapa final'!$O$51),"")</f>
        <v/>
      </c>
      <c r="AJ32" s="54" t="str">
        <f>IF(AND('Mapa final'!$Y$52="Media",'Mapa final'!$AA$52="Catastrófico"),CONCATENATE("R7C",'Mapa final'!$O$52),"")</f>
        <v/>
      </c>
      <c r="AK32" s="54" t="str">
        <f>IF(AND('Mapa final'!$Y$53="Media",'Mapa final'!$AA$53="Catastrófico"),CONCATENATE("R7C",'Mapa final'!$O$53),"")</f>
        <v/>
      </c>
      <c r="AL32" s="54" t="str">
        <f>IF(AND('Mapa final'!$Y$54="Media",'Mapa final'!$AA$54="Catastrófico"),CONCATENATE("R7C",'Mapa final'!$O$54),"")</f>
        <v/>
      </c>
      <c r="AM32" s="55" t="str">
        <f>IF(AND('Mapa final'!$Y$55="Media",'Mapa final'!$AA$55="Catastrófico"),CONCATENATE("R7C",'Mapa final'!$O$55),"")</f>
        <v/>
      </c>
      <c r="AN32" s="81"/>
      <c r="AO32" s="452"/>
      <c r="AP32" s="453"/>
      <c r="AQ32" s="453"/>
      <c r="AR32" s="453"/>
      <c r="AS32" s="453"/>
      <c r="AT32" s="454"/>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row>
    <row r="33" spans="1:80" ht="15" customHeight="1" x14ac:dyDescent="0.25">
      <c r="A33" s="81"/>
      <c r="B33" s="324"/>
      <c r="C33" s="324"/>
      <c r="D33" s="325"/>
      <c r="E33" s="423"/>
      <c r="F33" s="422"/>
      <c r="G33" s="422"/>
      <c r="H33" s="422"/>
      <c r="I33" s="438"/>
      <c r="J33" s="65" t="str">
        <f>IF(AND('Mapa final'!$Y$56="Media",'Mapa final'!$AA$56="Leve"),CONCATENATE("R8C",'Mapa final'!$O$56),"")</f>
        <v/>
      </c>
      <c r="K33" s="66" t="str">
        <f>IF(AND('Mapa final'!$Y$57="Media",'Mapa final'!$AA$57="Leve"),CONCATENATE("R8C",'Mapa final'!$O$57),"")</f>
        <v/>
      </c>
      <c r="L33" s="66" t="str">
        <f>IF(AND('Mapa final'!$Y$58="Media",'Mapa final'!$AA$58="Leve"),CONCATENATE("R8C",'Mapa final'!$O$58),"")</f>
        <v/>
      </c>
      <c r="M33" s="66" t="str">
        <f>IF(AND('Mapa final'!$Y$59="Media",'Mapa final'!$AA$59="Leve"),CONCATENATE("R8C",'Mapa final'!$O$59),"")</f>
        <v/>
      </c>
      <c r="N33" s="66" t="str">
        <f>IF(AND('Mapa final'!$Y$60="Media",'Mapa final'!$AA$60="Leve"),CONCATENATE("R8C",'Mapa final'!$O$60),"")</f>
        <v/>
      </c>
      <c r="O33" s="67" t="str">
        <f>IF(AND('Mapa final'!$Y$61="Media",'Mapa final'!$AA$61="Leve"),CONCATENATE("R8C",'Mapa final'!$O$61),"")</f>
        <v/>
      </c>
      <c r="P33" s="65" t="str">
        <f>IF(AND('Mapa final'!$Y$56="Media",'Mapa final'!$AA$56="Menor"),CONCATENATE("R8C",'Mapa final'!$O$56),"")</f>
        <v/>
      </c>
      <c r="Q33" s="66" t="str">
        <f>IF(AND('Mapa final'!$Y$57="Media",'Mapa final'!$AA$57="Menor"),CONCATENATE("R8C",'Mapa final'!$O$57),"")</f>
        <v/>
      </c>
      <c r="R33" s="66" t="str">
        <f>IF(AND('Mapa final'!$Y$58="Media",'Mapa final'!$AA$58="Menor"),CONCATENATE("R8C",'Mapa final'!$O$58),"")</f>
        <v/>
      </c>
      <c r="S33" s="66" t="str">
        <f>IF(AND('Mapa final'!$Y$59="Media",'Mapa final'!$AA$59="Menor"),CONCATENATE("R8C",'Mapa final'!$O$59),"")</f>
        <v/>
      </c>
      <c r="T33" s="66" t="str">
        <f>IF(AND('Mapa final'!$Y$60="Media",'Mapa final'!$AA$60="Menor"),CONCATENATE("R8C",'Mapa final'!$O$60),"")</f>
        <v/>
      </c>
      <c r="U33" s="67" t="str">
        <f>IF(AND('Mapa final'!$Y$61="Media",'Mapa final'!$AA$61="Menor"),CONCATENATE("R8C",'Mapa final'!$O$61),"")</f>
        <v/>
      </c>
      <c r="V33" s="65" t="str">
        <f>IF(AND('Mapa final'!$Y$56="Media",'Mapa final'!$AA$56="Moderado"),CONCATENATE("R8C",'Mapa final'!$O$56),"")</f>
        <v/>
      </c>
      <c r="W33" s="66" t="str">
        <f>IF(AND('Mapa final'!$Y$57="Media",'Mapa final'!$AA$57="Moderado"),CONCATENATE("R8C",'Mapa final'!$O$57),"")</f>
        <v/>
      </c>
      <c r="X33" s="66" t="str">
        <f>IF(AND('Mapa final'!$Y$58="Media",'Mapa final'!$AA$58="Moderado"),CONCATENATE("R8C",'Mapa final'!$O$58),"")</f>
        <v/>
      </c>
      <c r="Y33" s="66" t="str">
        <f>IF(AND('Mapa final'!$Y$59="Media",'Mapa final'!$AA$59="Moderado"),CONCATENATE("R8C",'Mapa final'!$O$59),"")</f>
        <v/>
      </c>
      <c r="Z33" s="66" t="str">
        <f>IF(AND('Mapa final'!$Y$60="Media",'Mapa final'!$AA$60="Moderado"),CONCATENATE("R8C",'Mapa final'!$O$60),"")</f>
        <v/>
      </c>
      <c r="AA33" s="67" t="str">
        <f>IF(AND('Mapa final'!$Y$61="Media",'Mapa final'!$AA$61="Moderado"),CONCATENATE("R8C",'Mapa final'!$O$61),"")</f>
        <v/>
      </c>
      <c r="AB33" s="50" t="str">
        <f>IF(AND('Mapa final'!$Y$56="Media",'Mapa final'!$AA$56="Mayor"),CONCATENATE("R8C",'Mapa final'!$O$56),"")</f>
        <v/>
      </c>
      <c r="AC33" s="51" t="str">
        <f>IF(AND('Mapa final'!$Y$57="Media",'Mapa final'!$AA$57="Mayor"),CONCATENATE("R8C",'Mapa final'!$O$57),"")</f>
        <v/>
      </c>
      <c r="AD33" s="51" t="str">
        <f>IF(AND('Mapa final'!$Y$58="Media",'Mapa final'!$AA$58="Mayor"),CONCATENATE("R8C",'Mapa final'!$O$58),"")</f>
        <v/>
      </c>
      <c r="AE33" s="51" t="str">
        <f>IF(AND('Mapa final'!$Y$59="Media",'Mapa final'!$AA$59="Mayor"),CONCATENATE("R8C",'Mapa final'!$O$59),"")</f>
        <v/>
      </c>
      <c r="AF33" s="51" t="str">
        <f>IF(AND('Mapa final'!$Y$60="Media",'Mapa final'!$AA$60="Mayor"),CONCATENATE("R8C",'Mapa final'!$O$60),"")</f>
        <v/>
      </c>
      <c r="AG33" s="52" t="str">
        <f>IF(AND('Mapa final'!$Y$61="Media",'Mapa final'!$AA$61="Mayor"),CONCATENATE("R8C",'Mapa final'!$O$61),"")</f>
        <v/>
      </c>
      <c r="AH33" s="53" t="str">
        <f>IF(AND('Mapa final'!$Y$56="Media",'Mapa final'!$AA$56="Catastrófico"),CONCATENATE("R8C",'Mapa final'!$O$56),"")</f>
        <v/>
      </c>
      <c r="AI33" s="54" t="str">
        <f>IF(AND('Mapa final'!$Y$57="Media",'Mapa final'!$AA$57="Catastrófico"),CONCATENATE("R8C",'Mapa final'!$O$57),"")</f>
        <v/>
      </c>
      <c r="AJ33" s="54" t="str">
        <f>IF(AND('Mapa final'!$Y$58="Media",'Mapa final'!$AA$58="Catastrófico"),CONCATENATE("R8C",'Mapa final'!$O$58),"")</f>
        <v/>
      </c>
      <c r="AK33" s="54" t="str">
        <f>IF(AND('Mapa final'!$Y$59="Media",'Mapa final'!$AA$59="Catastrófico"),CONCATENATE("R8C",'Mapa final'!$O$59),"")</f>
        <v/>
      </c>
      <c r="AL33" s="54" t="str">
        <f>IF(AND('Mapa final'!$Y$60="Media",'Mapa final'!$AA$60="Catastrófico"),CONCATENATE("R8C",'Mapa final'!$O$60),"")</f>
        <v/>
      </c>
      <c r="AM33" s="55" t="str">
        <f>IF(AND('Mapa final'!$Y$61="Media",'Mapa final'!$AA$61="Catastrófico"),CONCATENATE("R8C",'Mapa final'!$O$61),"")</f>
        <v/>
      </c>
      <c r="AN33" s="81"/>
      <c r="AO33" s="452"/>
      <c r="AP33" s="453"/>
      <c r="AQ33" s="453"/>
      <c r="AR33" s="453"/>
      <c r="AS33" s="453"/>
      <c r="AT33" s="454"/>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row>
    <row r="34" spans="1:80" ht="15" customHeight="1" x14ac:dyDescent="0.25">
      <c r="A34" s="81"/>
      <c r="B34" s="324"/>
      <c r="C34" s="324"/>
      <c r="D34" s="325"/>
      <c r="E34" s="423"/>
      <c r="F34" s="422"/>
      <c r="G34" s="422"/>
      <c r="H34" s="422"/>
      <c r="I34" s="438"/>
      <c r="J34" s="65" t="str">
        <f>IF(AND('Mapa final'!$Y$62="Media",'Mapa final'!$AA$62="Leve"),CONCATENATE("R9C",'Mapa final'!$O$62),"")</f>
        <v/>
      </c>
      <c r="K34" s="66" t="str">
        <f>IF(AND('Mapa final'!$Y$63="Media",'Mapa final'!$AA$63="Leve"),CONCATENATE("R9C",'Mapa final'!$O$63),"")</f>
        <v/>
      </c>
      <c r="L34" s="66" t="str">
        <f>IF(AND('Mapa final'!$Y$64="Media",'Mapa final'!$AA$64="Leve"),CONCATENATE("R9C",'Mapa final'!$O$64),"")</f>
        <v/>
      </c>
      <c r="M34" s="66" t="str">
        <f>IF(AND('Mapa final'!$Y$65="Media",'Mapa final'!$AA$65="Leve"),CONCATENATE("R9C",'Mapa final'!$O$65),"")</f>
        <v/>
      </c>
      <c r="N34" s="66" t="str">
        <f>IF(AND('Mapa final'!$Y$66="Media",'Mapa final'!$AA$66="Leve"),CONCATENATE("R9C",'Mapa final'!$O$66),"")</f>
        <v/>
      </c>
      <c r="O34" s="67" t="str">
        <f>IF(AND('Mapa final'!$Y$67="Media",'Mapa final'!$AA$67="Leve"),CONCATENATE("R9C",'Mapa final'!$O$67),"")</f>
        <v/>
      </c>
      <c r="P34" s="65" t="str">
        <f>IF(AND('Mapa final'!$Y$62="Media",'Mapa final'!$AA$62="Menor"),CONCATENATE("R9C",'Mapa final'!$O$62),"")</f>
        <v/>
      </c>
      <c r="Q34" s="66" t="str">
        <f>IF(AND('Mapa final'!$Y$63="Media",'Mapa final'!$AA$63="Menor"),CONCATENATE("R9C",'Mapa final'!$O$63),"")</f>
        <v/>
      </c>
      <c r="R34" s="66" t="str">
        <f>IF(AND('Mapa final'!$Y$64="Media",'Mapa final'!$AA$64="Menor"),CONCATENATE("R9C",'Mapa final'!$O$64),"")</f>
        <v/>
      </c>
      <c r="S34" s="66" t="str">
        <f>IF(AND('Mapa final'!$Y$65="Media",'Mapa final'!$AA$65="Menor"),CONCATENATE("R9C",'Mapa final'!$O$65),"")</f>
        <v/>
      </c>
      <c r="T34" s="66" t="str">
        <f>IF(AND('Mapa final'!$Y$66="Media",'Mapa final'!$AA$66="Menor"),CONCATENATE("R9C",'Mapa final'!$O$66),"")</f>
        <v/>
      </c>
      <c r="U34" s="67" t="str">
        <f>IF(AND('Mapa final'!$Y$67="Media",'Mapa final'!$AA$67="Menor"),CONCATENATE("R9C",'Mapa final'!$O$67),"")</f>
        <v/>
      </c>
      <c r="V34" s="65" t="str">
        <f>IF(AND('Mapa final'!$Y$62="Media",'Mapa final'!$AA$62="Moderado"),CONCATENATE("R9C",'Mapa final'!$O$62),"")</f>
        <v/>
      </c>
      <c r="W34" s="66" t="str">
        <f>IF(AND('Mapa final'!$Y$63="Media",'Mapa final'!$AA$63="Moderado"),CONCATENATE("R9C",'Mapa final'!$O$63),"")</f>
        <v/>
      </c>
      <c r="X34" s="66" t="str">
        <f>IF(AND('Mapa final'!$Y$64="Media",'Mapa final'!$AA$64="Moderado"),CONCATENATE("R9C",'Mapa final'!$O$64),"")</f>
        <v/>
      </c>
      <c r="Y34" s="66" t="str">
        <f>IF(AND('Mapa final'!$Y$65="Media",'Mapa final'!$AA$65="Moderado"),CONCATENATE("R9C",'Mapa final'!$O$65),"")</f>
        <v/>
      </c>
      <c r="Z34" s="66" t="str">
        <f>IF(AND('Mapa final'!$Y$66="Media",'Mapa final'!$AA$66="Moderado"),CONCATENATE("R9C",'Mapa final'!$O$66),"")</f>
        <v/>
      </c>
      <c r="AA34" s="67" t="str">
        <f>IF(AND('Mapa final'!$Y$67="Media",'Mapa final'!$AA$67="Moderado"),CONCATENATE("R9C",'Mapa final'!$O$67),"")</f>
        <v/>
      </c>
      <c r="AB34" s="50" t="str">
        <f>IF(AND('Mapa final'!$Y$62="Media",'Mapa final'!$AA$62="Mayor"),CONCATENATE("R9C",'Mapa final'!$O$62),"")</f>
        <v/>
      </c>
      <c r="AC34" s="51" t="str">
        <f>IF(AND('Mapa final'!$Y$63="Media",'Mapa final'!$AA$63="Mayor"),CONCATENATE("R9C",'Mapa final'!$O$63),"")</f>
        <v/>
      </c>
      <c r="AD34" s="51" t="str">
        <f>IF(AND('Mapa final'!$Y$64="Media",'Mapa final'!$AA$64="Mayor"),CONCATENATE("R9C",'Mapa final'!$O$64),"")</f>
        <v/>
      </c>
      <c r="AE34" s="51" t="str">
        <f>IF(AND('Mapa final'!$Y$65="Media",'Mapa final'!$AA$65="Mayor"),CONCATENATE("R9C",'Mapa final'!$O$65),"")</f>
        <v/>
      </c>
      <c r="AF34" s="51" t="str">
        <f>IF(AND('Mapa final'!$Y$66="Media",'Mapa final'!$AA$66="Mayor"),CONCATENATE("R9C",'Mapa final'!$O$66),"")</f>
        <v/>
      </c>
      <c r="AG34" s="52" t="str">
        <f>IF(AND('Mapa final'!$Y$67="Media",'Mapa final'!$AA$67="Mayor"),CONCATENATE("R9C",'Mapa final'!$O$67),"")</f>
        <v/>
      </c>
      <c r="AH34" s="53" t="str">
        <f>IF(AND('Mapa final'!$Y$62="Media",'Mapa final'!$AA$62="Catastrófico"),CONCATENATE("R9C",'Mapa final'!$O$62),"")</f>
        <v/>
      </c>
      <c r="AI34" s="54" t="str">
        <f>IF(AND('Mapa final'!$Y$63="Media",'Mapa final'!$AA$63="Catastrófico"),CONCATENATE("R9C",'Mapa final'!$O$63),"")</f>
        <v/>
      </c>
      <c r="AJ34" s="54" t="str">
        <f>IF(AND('Mapa final'!$Y$64="Media",'Mapa final'!$AA$64="Catastrófico"),CONCATENATE("R9C",'Mapa final'!$O$64),"")</f>
        <v/>
      </c>
      <c r="AK34" s="54" t="str">
        <f>IF(AND('Mapa final'!$Y$65="Media",'Mapa final'!$AA$65="Catastrófico"),CONCATENATE("R9C",'Mapa final'!$O$65),"")</f>
        <v/>
      </c>
      <c r="AL34" s="54" t="str">
        <f>IF(AND('Mapa final'!$Y$66="Media",'Mapa final'!$AA$66="Catastrófico"),CONCATENATE("R9C",'Mapa final'!$O$66),"")</f>
        <v/>
      </c>
      <c r="AM34" s="55" t="str">
        <f>IF(AND('Mapa final'!$Y$67="Media",'Mapa final'!$AA$67="Catastrófico"),CONCATENATE("R9C",'Mapa final'!$O$67),"")</f>
        <v/>
      </c>
      <c r="AN34" s="81"/>
      <c r="AO34" s="452"/>
      <c r="AP34" s="453"/>
      <c r="AQ34" s="453"/>
      <c r="AR34" s="453"/>
      <c r="AS34" s="453"/>
      <c r="AT34" s="454"/>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row>
    <row r="35" spans="1:80" ht="15.75" customHeight="1" thickBot="1" x14ac:dyDescent="0.3">
      <c r="A35" s="81"/>
      <c r="B35" s="324"/>
      <c r="C35" s="324"/>
      <c r="D35" s="325"/>
      <c r="E35" s="424"/>
      <c r="F35" s="425"/>
      <c r="G35" s="425"/>
      <c r="H35" s="425"/>
      <c r="I35" s="439"/>
      <c r="J35" s="65" t="str">
        <f>IF(AND('Mapa final'!$Y$68="Media",'Mapa final'!$AA$68="Leve"),CONCATENATE("R10C",'Mapa final'!$O$68),"")</f>
        <v/>
      </c>
      <c r="K35" s="66" t="str">
        <f>IF(AND('Mapa final'!$Y$69="Media",'Mapa final'!$AA$69="Leve"),CONCATENATE("R10C",'Mapa final'!$O$69),"")</f>
        <v/>
      </c>
      <c r="L35" s="66" t="str">
        <f>IF(AND('Mapa final'!$Y$70="Media",'Mapa final'!$AA$70="Leve"),CONCATENATE("R10C",'Mapa final'!$O$70),"")</f>
        <v/>
      </c>
      <c r="M35" s="66" t="str">
        <f>IF(AND('Mapa final'!$Y$71="Media",'Mapa final'!$AA$71="Leve"),CONCATENATE("R10C",'Mapa final'!$O$71),"")</f>
        <v/>
      </c>
      <c r="N35" s="66" t="str">
        <f>IF(AND('Mapa final'!$Y$72="Media",'Mapa final'!$AA$72="Leve"),CONCATENATE("R10C",'Mapa final'!$O$72),"")</f>
        <v/>
      </c>
      <c r="O35" s="67" t="str">
        <f>IF(AND('Mapa final'!$Y$73="Media",'Mapa final'!$AA$73="Leve"),CONCATENATE("R10C",'Mapa final'!$O$73),"")</f>
        <v/>
      </c>
      <c r="P35" s="65" t="str">
        <f>IF(AND('Mapa final'!$Y$68="Media",'Mapa final'!$AA$68="Menor"),CONCATENATE("R10C",'Mapa final'!$O$68),"")</f>
        <v/>
      </c>
      <c r="Q35" s="66" t="str">
        <f>IF(AND('Mapa final'!$Y$69="Media",'Mapa final'!$AA$69="Menor"),CONCATENATE("R10C",'Mapa final'!$O$69),"")</f>
        <v/>
      </c>
      <c r="R35" s="66" t="str">
        <f>IF(AND('Mapa final'!$Y$70="Media",'Mapa final'!$AA$70="Menor"),CONCATENATE("R10C",'Mapa final'!$O$70),"")</f>
        <v/>
      </c>
      <c r="S35" s="66" t="str">
        <f>IF(AND('Mapa final'!$Y$71="Media",'Mapa final'!$AA$71="Menor"),CONCATENATE("R10C",'Mapa final'!$O$71),"")</f>
        <v/>
      </c>
      <c r="T35" s="66" t="str">
        <f>IF(AND('Mapa final'!$Y$72="Media",'Mapa final'!$AA$72="Menor"),CONCATENATE("R10C",'Mapa final'!$O$72),"")</f>
        <v/>
      </c>
      <c r="U35" s="67" t="str">
        <f>IF(AND('Mapa final'!$Y$73="Media",'Mapa final'!$AA$73="Menor"),CONCATENATE("R10C",'Mapa final'!$O$73),"")</f>
        <v/>
      </c>
      <c r="V35" s="65" t="str">
        <f>IF(AND('Mapa final'!$Y$68="Media",'Mapa final'!$AA$68="Moderado"),CONCATENATE("R10C",'Mapa final'!$O$68),"")</f>
        <v/>
      </c>
      <c r="W35" s="66" t="str">
        <f>IF(AND('Mapa final'!$Y$69="Media",'Mapa final'!$AA$69="Moderado"),CONCATENATE("R10C",'Mapa final'!$O$69),"")</f>
        <v/>
      </c>
      <c r="X35" s="66" t="str">
        <f>IF(AND('Mapa final'!$Y$70="Media",'Mapa final'!$AA$70="Moderado"),CONCATENATE("R10C",'Mapa final'!$O$70),"")</f>
        <v/>
      </c>
      <c r="Y35" s="66" t="str">
        <f>IF(AND('Mapa final'!$Y$71="Media",'Mapa final'!$AA$71="Moderado"),CONCATENATE("R10C",'Mapa final'!$O$71),"")</f>
        <v/>
      </c>
      <c r="Z35" s="66" t="str">
        <f>IF(AND('Mapa final'!$Y$72="Media",'Mapa final'!$AA$72="Moderado"),CONCATENATE("R10C",'Mapa final'!$O$72),"")</f>
        <v/>
      </c>
      <c r="AA35" s="67" t="str">
        <f>IF(AND('Mapa final'!$Y$73="Media",'Mapa final'!$AA$73="Moderado"),CONCATENATE("R10C",'Mapa final'!$O$73),"")</f>
        <v/>
      </c>
      <c r="AB35" s="56" t="str">
        <f>IF(AND('Mapa final'!$Y$68="Media",'Mapa final'!$AA$68="Mayor"),CONCATENATE("R10C",'Mapa final'!$O$68),"")</f>
        <v/>
      </c>
      <c r="AC35" s="57" t="str">
        <f>IF(AND('Mapa final'!$Y$69="Media",'Mapa final'!$AA$69="Mayor"),CONCATENATE("R10C",'Mapa final'!$O$69),"")</f>
        <v/>
      </c>
      <c r="AD35" s="57" t="str">
        <f>IF(AND('Mapa final'!$Y$70="Media",'Mapa final'!$AA$70="Mayor"),CONCATENATE("R10C",'Mapa final'!$O$70),"")</f>
        <v/>
      </c>
      <c r="AE35" s="57" t="str">
        <f>IF(AND('Mapa final'!$Y$71="Media",'Mapa final'!$AA$71="Mayor"),CONCATENATE("R10C",'Mapa final'!$O$71),"")</f>
        <v/>
      </c>
      <c r="AF35" s="57" t="str">
        <f>IF(AND('Mapa final'!$Y$72="Media",'Mapa final'!$AA$72="Mayor"),CONCATENATE("R10C",'Mapa final'!$O$72),"")</f>
        <v/>
      </c>
      <c r="AG35" s="58" t="str">
        <f>IF(AND('Mapa final'!$Y$73="Media",'Mapa final'!$AA$73="Mayor"),CONCATENATE("R10C",'Mapa final'!$O$73),"")</f>
        <v/>
      </c>
      <c r="AH35" s="59" t="str">
        <f>IF(AND('Mapa final'!$Y$68="Media",'Mapa final'!$AA$68="Catastrófico"),CONCATENATE("R10C",'Mapa final'!$O$68),"")</f>
        <v/>
      </c>
      <c r="AI35" s="60" t="str">
        <f>IF(AND('Mapa final'!$Y$69="Media",'Mapa final'!$AA$69="Catastrófico"),CONCATENATE("R10C",'Mapa final'!$O$69),"")</f>
        <v/>
      </c>
      <c r="AJ35" s="60" t="str">
        <f>IF(AND('Mapa final'!$Y$70="Media",'Mapa final'!$AA$70="Catastrófico"),CONCATENATE("R10C",'Mapa final'!$O$70),"")</f>
        <v/>
      </c>
      <c r="AK35" s="60" t="str">
        <f>IF(AND('Mapa final'!$Y$71="Media",'Mapa final'!$AA$71="Catastrófico"),CONCATENATE("R10C",'Mapa final'!$O$71),"")</f>
        <v/>
      </c>
      <c r="AL35" s="60" t="str">
        <f>IF(AND('Mapa final'!$Y$72="Media",'Mapa final'!$AA$72="Catastrófico"),CONCATENATE("R10C",'Mapa final'!$O$72),"")</f>
        <v/>
      </c>
      <c r="AM35" s="61" t="str">
        <f>IF(AND('Mapa final'!$Y$73="Media",'Mapa final'!$AA$73="Catastrófico"),CONCATENATE("R10C",'Mapa final'!$O$73),"")</f>
        <v/>
      </c>
      <c r="AN35" s="81"/>
      <c r="AO35" s="455"/>
      <c r="AP35" s="456"/>
      <c r="AQ35" s="456"/>
      <c r="AR35" s="456"/>
      <c r="AS35" s="456"/>
      <c r="AT35" s="457"/>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row>
    <row r="36" spans="1:80" ht="15" customHeight="1" x14ac:dyDescent="0.25">
      <c r="A36" s="81"/>
      <c r="B36" s="324"/>
      <c r="C36" s="324"/>
      <c r="D36" s="325"/>
      <c r="E36" s="419" t="s">
        <v>98</v>
      </c>
      <c r="F36" s="420"/>
      <c r="G36" s="420"/>
      <c r="H36" s="420"/>
      <c r="I36" s="420"/>
      <c r="J36" s="71" t="str">
        <f>IF(AND('Mapa final'!$Y$25="Baja",'Mapa final'!$AA$25="Leve"),CONCATENATE("R1C",'Mapa final'!$O$25),"")</f>
        <v/>
      </c>
      <c r="K36" s="72" t="str">
        <f>IF(AND('Mapa final'!$Y$26="Baja",'Mapa final'!$AA$26="Leve"),CONCATENATE("R1C",'Mapa final'!$O$26),"")</f>
        <v/>
      </c>
      <c r="L36" s="72" t="str">
        <f>IF(AND('Mapa final'!$Y$27="Baja",'Mapa final'!$AA$27="Leve"),CONCATENATE("R1C",'Mapa final'!$O$27),"")</f>
        <v/>
      </c>
      <c r="M36" s="72" t="e">
        <f>IF(AND('Mapa final'!#REF!="Baja",'Mapa final'!#REF!="Leve"),CONCATENATE("R1C",'Mapa final'!#REF!),"")</f>
        <v>#REF!</v>
      </c>
      <c r="N36" s="72" t="e">
        <f>IF(AND('Mapa final'!#REF!="Baja",'Mapa final'!#REF!="Leve"),CONCATENATE("R1C",'Mapa final'!#REF!),"")</f>
        <v>#REF!</v>
      </c>
      <c r="O36" s="73" t="e">
        <f>IF(AND('Mapa final'!#REF!="Baja",'Mapa final'!#REF!="Leve"),CONCATENATE("R1C",'Mapa final'!#REF!),"")</f>
        <v>#REF!</v>
      </c>
      <c r="P36" s="62" t="str">
        <f>IF(AND('Mapa final'!$Y$25="Baja",'Mapa final'!$AA$25="Menor"),CONCATENATE("R1C",'Mapa final'!$O$25),"")</f>
        <v/>
      </c>
      <c r="Q36" s="63" t="str">
        <f>IF(AND('Mapa final'!$Y$26="Baja",'Mapa final'!$AA$26="Menor"),CONCATENATE("R1C",'Mapa final'!$O$26),"")</f>
        <v/>
      </c>
      <c r="R36" s="63" t="str">
        <f>IF(AND('Mapa final'!$Y$27="Baja",'Mapa final'!$AA$27="Menor"),CONCATENATE("R1C",'Mapa final'!$O$27),"")</f>
        <v/>
      </c>
      <c r="S36" s="63" t="e">
        <f>IF(AND('Mapa final'!#REF!="Baja",'Mapa final'!#REF!="Menor"),CONCATENATE("R1C",'Mapa final'!#REF!),"")</f>
        <v>#REF!</v>
      </c>
      <c r="T36" s="63" t="e">
        <f>IF(AND('Mapa final'!#REF!="Baja",'Mapa final'!#REF!="Menor"),CONCATENATE("R1C",'Mapa final'!#REF!),"")</f>
        <v>#REF!</v>
      </c>
      <c r="U36" s="64" t="e">
        <f>IF(AND('Mapa final'!#REF!="Baja",'Mapa final'!#REF!="Menor"),CONCATENATE("R1C",'Mapa final'!#REF!),"")</f>
        <v>#REF!</v>
      </c>
      <c r="V36" s="62" t="str">
        <f>IF(AND('Mapa final'!$Y$25="Baja",'Mapa final'!$AA$25="Moderado"),CONCATENATE("R1C",'Mapa final'!$O$25),"")</f>
        <v>R1C1</v>
      </c>
      <c r="W36" s="63" t="str">
        <f>IF(AND('Mapa final'!$Y$26="Baja",'Mapa final'!$AA$26="Moderado"),CONCATENATE("R1C",'Mapa final'!$O$26),"")</f>
        <v/>
      </c>
      <c r="X36" s="63" t="str">
        <f>IF(AND('Mapa final'!$Y$27="Baja",'Mapa final'!$AA$27="Moderado"),CONCATENATE("R1C",'Mapa final'!$O$27),"")</f>
        <v/>
      </c>
      <c r="Y36" s="63" t="e">
        <f>IF(AND('Mapa final'!#REF!="Baja",'Mapa final'!#REF!="Moderado"),CONCATENATE("R1C",'Mapa final'!#REF!),"")</f>
        <v>#REF!</v>
      </c>
      <c r="Z36" s="63" t="e">
        <f>IF(AND('Mapa final'!#REF!="Baja",'Mapa final'!#REF!="Moderado"),CONCATENATE("R1C",'Mapa final'!#REF!),"")</f>
        <v>#REF!</v>
      </c>
      <c r="AA36" s="64" t="e">
        <f>IF(AND('Mapa final'!#REF!="Baja",'Mapa final'!#REF!="Moderado"),CONCATENATE("R1C",'Mapa final'!#REF!),"")</f>
        <v>#REF!</v>
      </c>
      <c r="AB36" s="44" t="str">
        <f>IF(AND('Mapa final'!$Y$25="Baja",'Mapa final'!$AA$25="Mayor"),CONCATENATE("R1C",'Mapa final'!$O$25),"")</f>
        <v/>
      </c>
      <c r="AC36" s="45" t="str">
        <f>IF(AND('Mapa final'!$Y$26="Baja",'Mapa final'!$AA$26="Mayor"),CONCATENATE("R1C",'Mapa final'!$O$26),"")</f>
        <v/>
      </c>
      <c r="AD36" s="45" t="str">
        <f>IF(AND('Mapa final'!$Y$27="Baja",'Mapa final'!$AA$27="Mayor"),CONCATENATE("R1C",'Mapa final'!$O$27),"")</f>
        <v/>
      </c>
      <c r="AE36" s="45" t="e">
        <f>IF(AND('Mapa final'!#REF!="Baja",'Mapa final'!#REF!="Mayor"),CONCATENATE("R1C",'Mapa final'!#REF!),"")</f>
        <v>#REF!</v>
      </c>
      <c r="AF36" s="45" t="e">
        <f>IF(AND('Mapa final'!#REF!="Baja",'Mapa final'!#REF!="Mayor"),CONCATENATE("R1C",'Mapa final'!#REF!),"")</f>
        <v>#REF!</v>
      </c>
      <c r="AG36" s="46" t="e">
        <f>IF(AND('Mapa final'!#REF!="Baja",'Mapa final'!#REF!="Mayor"),CONCATENATE("R1C",'Mapa final'!#REF!),"")</f>
        <v>#REF!</v>
      </c>
      <c r="AH36" s="47" t="str">
        <f>IF(AND('Mapa final'!$Y$25="Baja",'Mapa final'!$AA$25="Catastrófico"),CONCATENATE("R1C",'Mapa final'!$O$25),"")</f>
        <v/>
      </c>
      <c r="AI36" s="48" t="str">
        <f>IF(AND('Mapa final'!$Y$26="Baja",'Mapa final'!$AA$26="Catastrófico"),CONCATENATE("R1C",'Mapa final'!$O$26),"")</f>
        <v/>
      </c>
      <c r="AJ36" s="48" t="str">
        <f>IF(AND('Mapa final'!$Y$27="Baja",'Mapa final'!$AA$27="Catastrófico"),CONCATENATE("R1C",'Mapa final'!$O$27),"")</f>
        <v/>
      </c>
      <c r="AK36" s="48" t="e">
        <f>IF(AND('Mapa final'!#REF!="Baja",'Mapa final'!#REF!="Catastrófico"),CONCATENATE("R1C",'Mapa final'!#REF!),"")</f>
        <v>#REF!</v>
      </c>
      <c r="AL36" s="48" t="e">
        <f>IF(AND('Mapa final'!#REF!="Baja",'Mapa final'!#REF!="Catastrófico"),CONCATENATE("R1C",'Mapa final'!#REF!),"")</f>
        <v>#REF!</v>
      </c>
      <c r="AM36" s="49" t="e">
        <f>IF(AND('Mapa final'!#REF!="Baja",'Mapa final'!#REF!="Catastrófico"),CONCATENATE("R1C",'Mapa final'!#REF!),"")</f>
        <v>#REF!</v>
      </c>
      <c r="AN36" s="81"/>
      <c r="AO36" s="440" t="s">
        <v>99</v>
      </c>
      <c r="AP36" s="441"/>
      <c r="AQ36" s="441"/>
      <c r="AR36" s="441"/>
      <c r="AS36" s="441"/>
      <c r="AT36" s="442"/>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row>
    <row r="37" spans="1:80" ht="15" customHeight="1" x14ac:dyDescent="0.25">
      <c r="A37" s="81"/>
      <c r="B37" s="324"/>
      <c r="C37" s="324"/>
      <c r="D37" s="325"/>
      <c r="E37" s="421"/>
      <c r="F37" s="422"/>
      <c r="G37" s="422"/>
      <c r="H37" s="422"/>
      <c r="I37" s="422"/>
      <c r="J37" s="74" t="str">
        <f>IF(AND('Mapa final'!$Y$28="Baja",'Mapa final'!$AA$28="Leve"),CONCATENATE("R2C",'Mapa final'!$O$28),"")</f>
        <v/>
      </c>
      <c r="K37" s="75" t="str">
        <f>IF(AND('Mapa final'!$Y$29="Baja",'Mapa final'!$AA$29="Leve"),CONCATENATE("R2C",'Mapa final'!$O$29),"")</f>
        <v/>
      </c>
      <c r="L37" s="75" t="e">
        <f>IF(AND('Mapa final'!#REF!="Baja",'Mapa final'!#REF!="Leve"),CONCATENATE("R2C",'Mapa final'!#REF!),"")</f>
        <v>#REF!</v>
      </c>
      <c r="M37" s="75" t="e">
        <f>IF(AND('Mapa final'!#REF!="Baja",'Mapa final'!#REF!="Leve"),CONCATENATE("R2C",'Mapa final'!#REF!),"")</f>
        <v>#REF!</v>
      </c>
      <c r="N37" s="75" t="e">
        <f>IF(AND('Mapa final'!#REF!="Baja",'Mapa final'!#REF!="Leve"),CONCATENATE("R2C",'Mapa final'!#REF!),"")</f>
        <v>#REF!</v>
      </c>
      <c r="O37" s="76" t="e">
        <f>IF(AND('Mapa final'!#REF!="Baja",'Mapa final'!#REF!="Leve"),CONCATENATE("R2C",'Mapa final'!#REF!),"")</f>
        <v>#REF!</v>
      </c>
      <c r="P37" s="65" t="str">
        <f>IF(AND('Mapa final'!$Y$28="Baja",'Mapa final'!$AA$28="Menor"),CONCATENATE("R2C",'Mapa final'!$O$28),"")</f>
        <v/>
      </c>
      <c r="Q37" s="66" t="str">
        <f>IF(AND('Mapa final'!$Y$29="Baja",'Mapa final'!$AA$29="Menor"),CONCATENATE("R2C",'Mapa final'!$O$29),"")</f>
        <v/>
      </c>
      <c r="R37" s="66" t="e">
        <f>IF(AND('Mapa final'!#REF!="Baja",'Mapa final'!#REF!="Menor"),CONCATENATE("R2C",'Mapa final'!#REF!),"")</f>
        <v>#REF!</v>
      </c>
      <c r="S37" s="66" t="e">
        <f>IF(AND('Mapa final'!#REF!="Baja",'Mapa final'!#REF!="Menor"),CONCATENATE("R2C",'Mapa final'!#REF!),"")</f>
        <v>#REF!</v>
      </c>
      <c r="T37" s="66" t="e">
        <f>IF(AND('Mapa final'!#REF!="Baja",'Mapa final'!#REF!="Menor"),CONCATENATE("R2C",'Mapa final'!#REF!),"")</f>
        <v>#REF!</v>
      </c>
      <c r="U37" s="67" t="e">
        <f>IF(AND('Mapa final'!#REF!="Baja",'Mapa final'!#REF!="Menor"),CONCATENATE("R2C",'Mapa final'!#REF!),"")</f>
        <v>#REF!</v>
      </c>
      <c r="V37" s="65" t="str">
        <f>IF(AND('Mapa final'!$Y$28="Baja",'Mapa final'!$AA$28="Moderado"),CONCATENATE("R2C",'Mapa final'!$O$28),"")</f>
        <v>R2C1</v>
      </c>
      <c r="W37" s="66" t="str">
        <f>IF(AND('Mapa final'!$Y$29="Baja",'Mapa final'!$AA$29="Moderado"),CONCATENATE("R2C",'Mapa final'!$O$29),"")</f>
        <v/>
      </c>
      <c r="X37" s="66" t="e">
        <f>IF(AND('Mapa final'!#REF!="Baja",'Mapa final'!#REF!="Moderado"),CONCATENATE("R2C",'Mapa final'!#REF!),"")</f>
        <v>#REF!</v>
      </c>
      <c r="Y37" s="66" t="e">
        <f>IF(AND('Mapa final'!#REF!="Baja",'Mapa final'!#REF!="Moderado"),CONCATENATE("R2C",'Mapa final'!#REF!),"")</f>
        <v>#REF!</v>
      </c>
      <c r="Z37" s="66" t="e">
        <f>IF(AND('Mapa final'!#REF!="Baja",'Mapa final'!#REF!="Moderado"),CONCATENATE("R2C",'Mapa final'!#REF!),"")</f>
        <v>#REF!</v>
      </c>
      <c r="AA37" s="67" t="e">
        <f>IF(AND('Mapa final'!#REF!="Baja",'Mapa final'!#REF!="Moderado"),CONCATENATE("R2C",'Mapa final'!#REF!),"")</f>
        <v>#REF!</v>
      </c>
      <c r="AB37" s="50" t="str">
        <f>IF(AND('Mapa final'!$Y$28="Baja",'Mapa final'!$AA$28="Mayor"),CONCATENATE("R2C",'Mapa final'!$O$28),"")</f>
        <v/>
      </c>
      <c r="AC37" s="51" t="str">
        <f>IF(AND('Mapa final'!$Y$29="Baja",'Mapa final'!$AA$29="Mayor"),CONCATENATE("R2C",'Mapa final'!$O$29),"")</f>
        <v/>
      </c>
      <c r="AD37" s="51" t="e">
        <f>IF(AND('Mapa final'!#REF!="Baja",'Mapa final'!#REF!="Mayor"),CONCATENATE("R2C",'Mapa final'!#REF!),"")</f>
        <v>#REF!</v>
      </c>
      <c r="AE37" s="51" t="e">
        <f>IF(AND('Mapa final'!#REF!="Baja",'Mapa final'!#REF!="Mayor"),CONCATENATE("R2C",'Mapa final'!#REF!),"")</f>
        <v>#REF!</v>
      </c>
      <c r="AF37" s="51" t="e">
        <f>IF(AND('Mapa final'!#REF!="Baja",'Mapa final'!#REF!="Mayor"),CONCATENATE("R2C",'Mapa final'!#REF!),"")</f>
        <v>#REF!</v>
      </c>
      <c r="AG37" s="52" t="e">
        <f>IF(AND('Mapa final'!#REF!="Baja",'Mapa final'!#REF!="Mayor"),CONCATENATE("R2C",'Mapa final'!#REF!),"")</f>
        <v>#REF!</v>
      </c>
      <c r="AH37" s="53" t="str">
        <f>IF(AND('Mapa final'!$Y$28="Baja",'Mapa final'!$AA$28="Catastrófico"),CONCATENATE("R2C",'Mapa final'!$O$28),"")</f>
        <v/>
      </c>
      <c r="AI37" s="54" t="str">
        <f>IF(AND('Mapa final'!$Y$29="Baja",'Mapa final'!$AA$29="Catastrófico"),CONCATENATE("R2C",'Mapa final'!$O$29),"")</f>
        <v/>
      </c>
      <c r="AJ37" s="54" t="e">
        <f>IF(AND('Mapa final'!#REF!="Baja",'Mapa final'!#REF!="Catastrófico"),CONCATENATE("R2C",'Mapa final'!#REF!),"")</f>
        <v>#REF!</v>
      </c>
      <c r="AK37" s="54" t="e">
        <f>IF(AND('Mapa final'!#REF!="Baja",'Mapa final'!#REF!="Catastrófico"),CONCATENATE("R2C",'Mapa final'!#REF!),"")</f>
        <v>#REF!</v>
      </c>
      <c r="AL37" s="54" t="e">
        <f>IF(AND('Mapa final'!#REF!="Baja",'Mapa final'!#REF!="Catastrófico"),CONCATENATE("R2C",'Mapa final'!#REF!),"")</f>
        <v>#REF!</v>
      </c>
      <c r="AM37" s="55" t="e">
        <f>IF(AND('Mapa final'!#REF!="Baja",'Mapa final'!#REF!="Catastrófico"),CONCATENATE("R2C",'Mapa final'!#REF!),"")</f>
        <v>#REF!</v>
      </c>
      <c r="AN37" s="81"/>
      <c r="AO37" s="443"/>
      <c r="AP37" s="444"/>
      <c r="AQ37" s="444"/>
      <c r="AR37" s="444"/>
      <c r="AS37" s="444"/>
      <c r="AT37" s="445"/>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row>
    <row r="38" spans="1:80" ht="15" customHeight="1" x14ac:dyDescent="0.25">
      <c r="A38" s="81"/>
      <c r="B38" s="324"/>
      <c r="C38" s="324"/>
      <c r="D38" s="325"/>
      <c r="E38" s="423"/>
      <c r="F38" s="422"/>
      <c r="G38" s="422"/>
      <c r="H38" s="422"/>
      <c r="I38" s="422"/>
      <c r="J38" s="74" t="str">
        <f>IF(AND('Mapa final'!$Y$30="Baja",'Mapa final'!$AA$30="Leve"),CONCATENATE("R3C",'Mapa final'!$O$30),"")</f>
        <v/>
      </c>
      <c r="K38" s="75" t="str">
        <f>IF(AND('Mapa final'!$Y$31="Baja",'Mapa final'!$AA$31="Leve"),CONCATENATE("R3C",'Mapa final'!$O$31),"")</f>
        <v/>
      </c>
      <c r="L38" s="75" t="e">
        <f>IF(AND('Mapa final'!#REF!="Baja",'Mapa final'!#REF!="Leve"),CONCATENATE("R3C",'Mapa final'!#REF!),"")</f>
        <v>#REF!</v>
      </c>
      <c r="M38" s="75" t="e">
        <f>IF(AND('Mapa final'!#REF!="Baja",'Mapa final'!#REF!="Leve"),CONCATENATE("R3C",'Mapa final'!#REF!),"")</f>
        <v>#REF!</v>
      </c>
      <c r="N38" s="75" t="e">
        <f>IF(AND('Mapa final'!#REF!="Baja",'Mapa final'!#REF!="Leve"),CONCATENATE("R3C",'Mapa final'!#REF!),"")</f>
        <v>#REF!</v>
      </c>
      <c r="O38" s="76" t="e">
        <f>IF(AND('Mapa final'!#REF!="Baja",'Mapa final'!#REF!="Leve"),CONCATENATE("R3C",'Mapa final'!#REF!),"")</f>
        <v>#REF!</v>
      </c>
      <c r="P38" s="65" t="str">
        <f>IF(AND('Mapa final'!$Y$30="Baja",'Mapa final'!$AA$30="Menor"),CONCATENATE("R3C",'Mapa final'!$O$30),"")</f>
        <v/>
      </c>
      <c r="Q38" s="66" t="str">
        <f>IF(AND('Mapa final'!$Y$31="Baja",'Mapa final'!$AA$31="Menor"),CONCATENATE("R3C",'Mapa final'!$O$31),"")</f>
        <v/>
      </c>
      <c r="R38" s="66" t="e">
        <f>IF(AND('Mapa final'!#REF!="Baja",'Mapa final'!#REF!="Menor"),CONCATENATE("R3C",'Mapa final'!#REF!),"")</f>
        <v>#REF!</v>
      </c>
      <c r="S38" s="66" t="e">
        <f>IF(AND('Mapa final'!#REF!="Baja",'Mapa final'!#REF!="Menor"),CONCATENATE("R3C",'Mapa final'!#REF!),"")</f>
        <v>#REF!</v>
      </c>
      <c r="T38" s="66" t="e">
        <f>IF(AND('Mapa final'!#REF!="Baja",'Mapa final'!#REF!="Menor"),CONCATENATE("R3C",'Mapa final'!#REF!),"")</f>
        <v>#REF!</v>
      </c>
      <c r="U38" s="67" t="e">
        <f>IF(AND('Mapa final'!#REF!="Baja",'Mapa final'!#REF!="Menor"),CONCATENATE("R3C",'Mapa final'!#REF!),"")</f>
        <v>#REF!</v>
      </c>
      <c r="V38" s="65" t="str">
        <f>IF(AND('Mapa final'!$Y$30="Baja",'Mapa final'!$AA$30="Moderado"),CONCATENATE("R3C",'Mapa final'!$O$30),"")</f>
        <v>R3C1</v>
      </c>
      <c r="W38" s="66" t="str">
        <f>IF(AND('Mapa final'!$Y$31="Baja",'Mapa final'!$AA$31="Moderado"),CONCATENATE("R3C",'Mapa final'!$O$31),"")</f>
        <v/>
      </c>
      <c r="X38" s="66" t="e">
        <f>IF(AND('Mapa final'!#REF!="Baja",'Mapa final'!#REF!="Moderado"),CONCATENATE("R3C",'Mapa final'!#REF!),"")</f>
        <v>#REF!</v>
      </c>
      <c r="Y38" s="66" t="e">
        <f>IF(AND('Mapa final'!#REF!="Baja",'Mapa final'!#REF!="Moderado"),CONCATENATE("R3C",'Mapa final'!#REF!),"")</f>
        <v>#REF!</v>
      </c>
      <c r="Z38" s="66" t="e">
        <f>IF(AND('Mapa final'!#REF!="Baja",'Mapa final'!#REF!="Moderado"),CONCATENATE("R3C",'Mapa final'!#REF!),"")</f>
        <v>#REF!</v>
      </c>
      <c r="AA38" s="67" t="e">
        <f>IF(AND('Mapa final'!#REF!="Baja",'Mapa final'!#REF!="Moderado"),CONCATENATE("R3C",'Mapa final'!#REF!),"")</f>
        <v>#REF!</v>
      </c>
      <c r="AB38" s="50" t="str">
        <f>IF(AND('Mapa final'!$Y$30="Baja",'Mapa final'!$AA$30="Mayor"),CONCATENATE("R3C",'Mapa final'!$O$30),"")</f>
        <v/>
      </c>
      <c r="AC38" s="51" t="str">
        <f>IF(AND('Mapa final'!$Y$31="Baja",'Mapa final'!$AA$31="Mayor"),CONCATENATE("R3C",'Mapa final'!$O$31),"")</f>
        <v/>
      </c>
      <c r="AD38" s="51" t="e">
        <f>IF(AND('Mapa final'!#REF!="Baja",'Mapa final'!#REF!="Mayor"),CONCATENATE("R3C",'Mapa final'!#REF!),"")</f>
        <v>#REF!</v>
      </c>
      <c r="AE38" s="51" t="e">
        <f>IF(AND('Mapa final'!#REF!="Baja",'Mapa final'!#REF!="Mayor"),CONCATENATE("R3C",'Mapa final'!#REF!),"")</f>
        <v>#REF!</v>
      </c>
      <c r="AF38" s="51" t="e">
        <f>IF(AND('Mapa final'!#REF!="Baja",'Mapa final'!#REF!="Mayor"),CONCATENATE("R3C",'Mapa final'!#REF!),"")</f>
        <v>#REF!</v>
      </c>
      <c r="AG38" s="52" t="e">
        <f>IF(AND('Mapa final'!#REF!="Baja",'Mapa final'!#REF!="Mayor"),CONCATENATE("R3C",'Mapa final'!#REF!),"")</f>
        <v>#REF!</v>
      </c>
      <c r="AH38" s="53" t="str">
        <f>IF(AND('Mapa final'!$Y$30="Baja",'Mapa final'!$AA$30="Catastrófico"),CONCATENATE("R3C",'Mapa final'!$O$30),"")</f>
        <v/>
      </c>
      <c r="AI38" s="54" t="str">
        <f>IF(AND('Mapa final'!$Y$31="Baja",'Mapa final'!$AA$31="Catastrófico"),CONCATENATE("R3C",'Mapa final'!$O$31),"")</f>
        <v/>
      </c>
      <c r="AJ38" s="54" t="e">
        <f>IF(AND('Mapa final'!#REF!="Baja",'Mapa final'!#REF!="Catastrófico"),CONCATENATE("R3C",'Mapa final'!#REF!),"")</f>
        <v>#REF!</v>
      </c>
      <c r="AK38" s="54" t="e">
        <f>IF(AND('Mapa final'!#REF!="Baja",'Mapa final'!#REF!="Catastrófico"),CONCATENATE("R3C",'Mapa final'!#REF!),"")</f>
        <v>#REF!</v>
      </c>
      <c r="AL38" s="54" t="e">
        <f>IF(AND('Mapa final'!#REF!="Baja",'Mapa final'!#REF!="Catastrófico"),CONCATENATE("R3C",'Mapa final'!#REF!),"")</f>
        <v>#REF!</v>
      </c>
      <c r="AM38" s="55" t="e">
        <f>IF(AND('Mapa final'!#REF!="Baja",'Mapa final'!#REF!="Catastrófico"),CONCATENATE("R3C",'Mapa final'!#REF!),"")</f>
        <v>#REF!</v>
      </c>
      <c r="AN38" s="81"/>
      <c r="AO38" s="443"/>
      <c r="AP38" s="444"/>
      <c r="AQ38" s="444"/>
      <c r="AR38" s="444"/>
      <c r="AS38" s="444"/>
      <c r="AT38" s="445"/>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row>
    <row r="39" spans="1:80" ht="15" customHeight="1" x14ac:dyDescent="0.25">
      <c r="A39" s="81"/>
      <c r="B39" s="324"/>
      <c r="C39" s="324"/>
      <c r="D39" s="325"/>
      <c r="E39" s="423"/>
      <c r="F39" s="422"/>
      <c r="G39" s="422"/>
      <c r="H39" s="422"/>
      <c r="I39" s="422"/>
      <c r="J39" s="74" t="str">
        <f>IF(AND('Mapa final'!$Y$32="Baja",'Mapa final'!$AA$32="Leve"),CONCATENATE("R4C",'Mapa final'!$O$32),"")</f>
        <v/>
      </c>
      <c r="K39" s="75" t="str">
        <f>IF(AND('Mapa final'!$Y$33="Baja",'Mapa final'!$AA$33="Leve"),CONCATENATE("R4C",'Mapa final'!$O$33),"")</f>
        <v/>
      </c>
      <c r="L39" s="75" t="str">
        <f>IF(AND('Mapa final'!$Y$34="Baja",'Mapa final'!$AA$34="Leve"),CONCATENATE("R4C",'Mapa final'!$O$34),"")</f>
        <v/>
      </c>
      <c r="M39" s="75" t="str">
        <f>IF(AND('Mapa final'!$Y$35="Baja",'Mapa final'!$AA$35="Leve"),CONCATENATE("R4C",'Mapa final'!$O$35),"")</f>
        <v/>
      </c>
      <c r="N39" s="75" t="str">
        <f>IF(AND('Mapa final'!$Y$36="Baja",'Mapa final'!$AA$36="Leve"),CONCATENATE("R4C",'Mapa final'!$O$36),"")</f>
        <v/>
      </c>
      <c r="O39" s="76" t="str">
        <f>IF(AND('Mapa final'!$Y$37="Baja",'Mapa final'!$AA$37="Leve"),CONCATENATE("R4C",'Mapa final'!$O$37),"")</f>
        <v/>
      </c>
      <c r="P39" s="65" t="str">
        <f>IF(AND('Mapa final'!$Y$32="Baja",'Mapa final'!$AA$32="Menor"),CONCATENATE("R4C",'Mapa final'!$O$32),"")</f>
        <v/>
      </c>
      <c r="Q39" s="66" t="str">
        <f>IF(AND('Mapa final'!$Y$33="Baja",'Mapa final'!$AA$33="Menor"),CONCATENATE("R4C",'Mapa final'!$O$33),"")</f>
        <v/>
      </c>
      <c r="R39" s="66" t="str">
        <f>IF(AND('Mapa final'!$Y$34="Baja",'Mapa final'!$AA$34="Menor"),CONCATENATE("R4C",'Mapa final'!$O$34),"")</f>
        <v/>
      </c>
      <c r="S39" s="66" t="str">
        <f>IF(AND('Mapa final'!$Y$35="Baja",'Mapa final'!$AA$35="Menor"),CONCATENATE("R4C",'Mapa final'!$O$35),"")</f>
        <v/>
      </c>
      <c r="T39" s="66" t="str">
        <f>IF(AND('Mapa final'!$Y$36="Baja",'Mapa final'!$AA$36="Menor"),CONCATENATE("R4C",'Mapa final'!$O$36),"")</f>
        <v/>
      </c>
      <c r="U39" s="67" t="str">
        <f>IF(AND('Mapa final'!$Y$37="Baja",'Mapa final'!$AA$37="Menor"),CONCATENATE("R4C",'Mapa final'!$O$37),"")</f>
        <v/>
      </c>
      <c r="V39" s="65" t="str">
        <f>IF(AND('Mapa final'!$Y$32="Baja",'Mapa final'!$AA$32="Moderado"),CONCATENATE("R4C",'Mapa final'!$O$32),"")</f>
        <v/>
      </c>
      <c r="W39" s="66" t="str">
        <f>IF(AND('Mapa final'!$Y$33="Baja",'Mapa final'!$AA$33="Moderado"),CONCATENATE("R4C",'Mapa final'!$O$33),"")</f>
        <v/>
      </c>
      <c r="X39" s="66" t="str">
        <f>IF(AND('Mapa final'!$Y$34="Baja",'Mapa final'!$AA$34="Moderado"),CONCATENATE("R4C",'Mapa final'!$O$34),"")</f>
        <v/>
      </c>
      <c r="Y39" s="66" t="str">
        <f>IF(AND('Mapa final'!$Y$35="Baja",'Mapa final'!$AA$35="Moderado"),CONCATENATE("R4C",'Mapa final'!$O$35),"")</f>
        <v/>
      </c>
      <c r="Z39" s="66" t="str">
        <f>IF(AND('Mapa final'!$Y$36="Baja",'Mapa final'!$AA$36="Moderado"),CONCATENATE("R4C",'Mapa final'!$O$36),"")</f>
        <v/>
      </c>
      <c r="AA39" s="67" t="str">
        <f>IF(AND('Mapa final'!$Y$37="Baja",'Mapa final'!$AA$37="Moderado"),CONCATENATE("R4C",'Mapa final'!$O$37),"")</f>
        <v/>
      </c>
      <c r="AB39" s="50" t="str">
        <f>IF(AND('Mapa final'!$Y$32="Baja",'Mapa final'!$AA$32="Mayor"),CONCATENATE("R4C",'Mapa final'!$O$32),"")</f>
        <v/>
      </c>
      <c r="AC39" s="51" t="str">
        <f>IF(AND('Mapa final'!$Y$33="Baja",'Mapa final'!$AA$33="Mayor"),CONCATENATE("R4C",'Mapa final'!$O$33),"")</f>
        <v/>
      </c>
      <c r="AD39" s="51" t="str">
        <f>IF(AND('Mapa final'!$Y$34="Baja",'Mapa final'!$AA$34="Mayor"),CONCATENATE("R4C",'Mapa final'!$O$34),"")</f>
        <v/>
      </c>
      <c r="AE39" s="51" t="str">
        <f>IF(AND('Mapa final'!$Y$35="Baja",'Mapa final'!$AA$35="Mayor"),CONCATENATE("R4C",'Mapa final'!$O$35),"")</f>
        <v/>
      </c>
      <c r="AF39" s="51" t="str">
        <f>IF(AND('Mapa final'!$Y$36="Baja",'Mapa final'!$AA$36="Mayor"),CONCATENATE("R4C",'Mapa final'!$O$36),"")</f>
        <v/>
      </c>
      <c r="AG39" s="52" t="str">
        <f>IF(AND('Mapa final'!$Y$37="Baja",'Mapa final'!$AA$37="Mayor"),CONCATENATE("R4C",'Mapa final'!$O$37),"")</f>
        <v/>
      </c>
      <c r="AH39" s="53" t="str">
        <f>IF(AND('Mapa final'!$Y$32="Baja",'Mapa final'!$AA$32="Catastrófico"),CONCATENATE("R4C",'Mapa final'!$O$32),"")</f>
        <v/>
      </c>
      <c r="AI39" s="54" t="str">
        <f>IF(AND('Mapa final'!$Y$33="Baja",'Mapa final'!$AA$33="Catastrófico"),CONCATENATE("R4C",'Mapa final'!$O$33),"")</f>
        <v/>
      </c>
      <c r="AJ39" s="54" t="str">
        <f>IF(AND('Mapa final'!$Y$34="Baja",'Mapa final'!$AA$34="Catastrófico"),CONCATENATE("R4C",'Mapa final'!$O$34),"")</f>
        <v/>
      </c>
      <c r="AK39" s="54" t="str">
        <f>IF(AND('Mapa final'!$Y$35="Baja",'Mapa final'!$AA$35="Catastrófico"),CONCATENATE("R4C",'Mapa final'!$O$35),"")</f>
        <v/>
      </c>
      <c r="AL39" s="54" t="str">
        <f>IF(AND('Mapa final'!$Y$36="Baja",'Mapa final'!$AA$36="Catastrófico"),CONCATENATE("R4C",'Mapa final'!$O$36),"")</f>
        <v/>
      </c>
      <c r="AM39" s="55" t="str">
        <f>IF(AND('Mapa final'!$Y$37="Baja",'Mapa final'!$AA$37="Catastrófico"),CONCATENATE("R4C",'Mapa final'!$O$37),"")</f>
        <v/>
      </c>
      <c r="AN39" s="81"/>
      <c r="AO39" s="443"/>
      <c r="AP39" s="444"/>
      <c r="AQ39" s="444"/>
      <c r="AR39" s="444"/>
      <c r="AS39" s="444"/>
      <c r="AT39" s="445"/>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row>
    <row r="40" spans="1:80" ht="15" customHeight="1" x14ac:dyDescent="0.25">
      <c r="A40" s="81"/>
      <c r="B40" s="324"/>
      <c r="C40" s="324"/>
      <c r="D40" s="325"/>
      <c r="E40" s="423"/>
      <c r="F40" s="422"/>
      <c r="G40" s="422"/>
      <c r="H40" s="422"/>
      <c r="I40" s="422"/>
      <c r="J40" s="74" t="str">
        <f>IF(AND('Mapa final'!$Y$38="Baja",'Mapa final'!$AA$38="Leve"),CONCATENATE("R5C",'Mapa final'!$O$38),"")</f>
        <v/>
      </c>
      <c r="K40" s="75" t="str">
        <f>IF(AND('Mapa final'!$Y$39="Baja",'Mapa final'!$AA$39="Leve"),CONCATENATE("R5C",'Mapa final'!$O$39),"")</f>
        <v/>
      </c>
      <c r="L40" s="75" t="str">
        <f>IF(AND('Mapa final'!$Y$40="Baja",'Mapa final'!$AA$40="Leve"),CONCATENATE("R5C",'Mapa final'!$O$40),"")</f>
        <v/>
      </c>
      <c r="M40" s="75" t="str">
        <f>IF(AND('Mapa final'!$Y$41="Baja",'Mapa final'!$AA$41="Leve"),CONCATENATE("R5C",'Mapa final'!$O$41),"")</f>
        <v/>
      </c>
      <c r="N40" s="75" t="str">
        <f>IF(AND('Mapa final'!$Y$42="Baja",'Mapa final'!$AA$42="Leve"),CONCATENATE("R5C",'Mapa final'!$O$42),"")</f>
        <v/>
      </c>
      <c r="O40" s="76" t="str">
        <f>IF(AND('Mapa final'!$Y$43="Baja",'Mapa final'!$AA$43="Leve"),CONCATENATE("R5C",'Mapa final'!$O$43),"")</f>
        <v/>
      </c>
      <c r="P40" s="65" t="str">
        <f>IF(AND('Mapa final'!$Y$38="Baja",'Mapa final'!$AA$38="Menor"),CONCATENATE("R5C",'Mapa final'!$O$38),"")</f>
        <v/>
      </c>
      <c r="Q40" s="66" t="str">
        <f>IF(AND('Mapa final'!$Y$39="Baja",'Mapa final'!$AA$39="Menor"),CONCATENATE("R5C",'Mapa final'!$O$39),"")</f>
        <v/>
      </c>
      <c r="R40" s="66" t="str">
        <f>IF(AND('Mapa final'!$Y$40="Baja",'Mapa final'!$AA$40="Menor"),CONCATENATE("R5C",'Mapa final'!$O$40),"")</f>
        <v/>
      </c>
      <c r="S40" s="66" t="str">
        <f>IF(AND('Mapa final'!$Y$41="Baja",'Mapa final'!$AA$41="Menor"),CONCATENATE("R5C",'Mapa final'!$O$41),"")</f>
        <v/>
      </c>
      <c r="T40" s="66" t="str">
        <f>IF(AND('Mapa final'!$Y$42="Baja",'Mapa final'!$AA$42="Menor"),CONCATENATE("R5C",'Mapa final'!$O$42),"")</f>
        <v/>
      </c>
      <c r="U40" s="67" t="str">
        <f>IF(AND('Mapa final'!$Y$43="Baja",'Mapa final'!$AA$43="Menor"),CONCATENATE("R5C",'Mapa final'!$O$43),"")</f>
        <v/>
      </c>
      <c r="V40" s="65" t="str">
        <f>IF(AND('Mapa final'!$Y$38="Baja",'Mapa final'!$AA$38="Moderado"),CONCATENATE("R5C",'Mapa final'!$O$38),"")</f>
        <v/>
      </c>
      <c r="W40" s="66" t="str">
        <f>IF(AND('Mapa final'!$Y$39="Baja",'Mapa final'!$AA$39="Moderado"),CONCATENATE("R5C",'Mapa final'!$O$39),"")</f>
        <v/>
      </c>
      <c r="X40" s="66" t="str">
        <f>IF(AND('Mapa final'!$Y$40="Baja",'Mapa final'!$AA$40="Moderado"),CONCATENATE("R5C",'Mapa final'!$O$40),"")</f>
        <v/>
      </c>
      <c r="Y40" s="66" t="str">
        <f>IF(AND('Mapa final'!$Y$41="Baja",'Mapa final'!$AA$41="Moderado"),CONCATENATE("R5C",'Mapa final'!$O$41),"")</f>
        <v/>
      </c>
      <c r="Z40" s="66" t="str">
        <f>IF(AND('Mapa final'!$Y$42="Baja",'Mapa final'!$AA$42="Moderado"),CONCATENATE("R5C",'Mapa final'!$O$42),"")</f>
        <v/>
      </c>
      <c r="AA40" s="67" t="str">
        <f>IF(AND('Mapa final'!$Y$43="Baja",'Mapa final'!$AA$43="Moderado"),CONCATENATE("R5C",'Mapa final'!$O$43),"")</f>
        <v/>
      </c>
      <c r="AB40" s="50" t="str">
        <f>IF(AND('Mapa final'!$Y$38="Baja",'Mapa final'!$AA$38="Mayor"),CONCATENATE("R5C",'Mapa final'!$O$38),"")</f>
        <v/>
      </c>
      <c r="AC40" s="51" t="str">
        <f>IF(AND('Mapa final'!$Y$39="Baja",'Mapa final'!$AA$39="Mayor"),CONCATENATE("R5C",'Mapa final'!$O$39),"")</f>
        <v/>
      </c>
      <c r="AD40" s="51" t="str">
        <f>IF(AND('Mapa final'!$Y$40="Baja",'Mapa final'!$AA$40="Mayor"),CONCATENATE("R5C",'Mapa final'!$O$40),"")</f>
        <v/>
      </c>
      <c r="AE40" s="51" t="str">
        <f>IF(AND('Mapa final'!$Y$41="Baja",'Mapa final'!$AA$41="Mayor"),CONCATENATE("R5C",'Mapa final'!$O$41),"")</f>
        <v/>
      </c>
      <c r="AF40" s="51" t="str">
        <f>IF(AND('Mapa final'!$Y$42="Baja",'Mapa final'!$AA$42="Mayor"),CONCATENATE("R5C",'Mapa final'!$O$42),"")</f>
        <v/>
      </c>
      <c r="AG40" s="52" t="str">
        <f>IF(AND('Mapa final'!$Y$43="Baja",'Mapa final'!$AA$43="Mayor"),CONCATENATE("R5C",'Mapa final'!$O$43),"")</f>
        <v/>
      </c>
      <c r="AH40" s="53" t="str">
        <f>IF(AND('Mapa final'!$Y$38="Baja",'Mapa final'!$AA$38="Catastrófico"),CONCATENATE("R5C",'Mapa final'!$O$38),"")</f>
        <v/>
      </c>
      <c r="AI40" s="54" t="str">
        <f>IF(AND('Mapa final'!$Y$39="Baja",'Mapa final'!$AA$39="Catastrófico"),CONCATENATE("R5C",'Mapa final'!$O$39),"")</f>
        <v/>
      </c>
      <c r="AJ40" s="54" t="str">
        <f>IF(AND('Mapa final'!$Y$40="Baja",'Mapa final'!$AA$40="Catastrófico"),CONCATENATE("R5C",'Mapa final'!$O$40),"")</f>
        <v/>
      </c>
      <c r="AK40" s="54" t="str">
        <f>IF(AND('Mapa final'!$Y$41="Baja",'Mapa final'!$AA$41="Catastrófico"),CONCATENATE("R5C",'Mapa final'!$O$41),"")</f>
        <v/>
      </c>
      <c r="AL40" s="54" t="str">
        <f>IF(AND('Mapa final'!$Y$42="Baja",'Mapa final'!$AA$42="Catastrófico"),CONCATENATE("R5C",'Mapa final'!$O$42),"")</f>
        <v/>
      </c>
      <c r="AM40" s="55" t="str">
        <f>IF(AND('Mapa final'!$Y$43="Baja",'Mapa final'!$AA$43="Catastrófico"),CONCATENATE("R5C",'Mapa final'!$O$43),"")</f>
        <v/>
      </c>
      <c r="AN40" s="81"/>
      <c r="AO40" s="443"/>
      <c r="AP40" s="444"/>
      <c r="AQ40" s="444"/>
      <c r="AR40" s="444"/>
      <c r="AS40" s="444"/>
      <c r="AT40" s="445"/>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row>
    <row r="41" spans="1:80" ht="15" customHeight="1" x14ac:dyDescent="0.25">
      <c r="A41" s="81"/>
      <c r="B41" s="324"/>
      <c r="C41" s="324"/>
      <c r="D41" s="325"/>
      <c r="E41" s="423"/>
      <c r="F41" s="422"/>
      <c r="G41" s="422"/>
      <c r="H41" s="422"/>
      <c r="I41" s="422"/>
      <c r="J41" s="74" t="str">
        <f>IF(AND('Mapa final'!$Y$44="Baja",'Mapa final'!$AA$44="Leve"),CONCATENATE("R6C",'Mapa final'!$O$44),"")</f>
        <v/>
      </c>
      <c r="K41" s="75" t="str">
        <f>IF(AND('Mapa final'!$Y$45="Baja",'Mapa final'!$AA$45="Leve"),CONCATENATE("R6C",'Mapa final'!$O$45),"")</f>
        <v/>
      </c>
      <c r="L41" s="75" t="str">
        <f>IF(AND('Mapa final'!$Y$46="Baja",'Mapa final'!$AA$46="Leve"),CONCATENATE("R6C",'Mapa final'!$O$46),"")</f>
        <v/>
      </c>
      <c r="M41" s="75" t="str">
        <f>IF(AND('Mapa final'!$Y$47="Baja",'Mapa final'!$AA$47="Leve"),CONCATENATE("R6C",'Mapa final'!$O$47),"")</f>
        <v/>
      </c>
      <c r="N41" s="75" t="str">
        <f>IF(AND('Mapa final'!$Y$48="Baja",'Mapa final'!$AA$48="Leve"),CONCATENATE("R6C",'Mapa final'!$O$48),"")</f>
        <v/>
      </c>
      <c r="O41" s="76" t="str">
        <f>IF(AND('Mapa final'!$Y$49="Baja",'Mapa final'!$AA$49="Leve"),CONCATENATE("R6C",'Mapa final'!$O$49),"")</f>
        <v/>
      </c>
      <c r="P41" s="65" t="str">
        <f>IF(AND('Mapa final'!$Y$44="Baja",'Mapa final'!$AA$44="Menor"),CONCATENATE("R6C",'Mapa final'!$O$44),"")</f>
        <v/>
      </c>
      <c r="Q41" s="66" t="str">
        <f>IF(AND('Mapa final'!$Y$45="Baja",'Mapa final'!$AA$45="Menor"),CONCATENATE("R6C",'Mapa final'!$O$45),"")</f>
        <v/>
      </c>
      <c r="R41" s="66" t="str">
        <f>IF(AND('Mapa final'!$Y$46="Baja",'Mapa final'!$AA$46="Menor"),CONCATENATE("R6C",'Mapa final'!$O$46),"")</f>
        <v/>
      </c>
      <c r="S41" s="66" t="str">
        <f>IF(AND('Mapa final'!$Y$47="Baja",'Mapa final'!$AA$47="Menor"),CONCATENATE("R6C",'Mapa final'!$O$47),"")</f>
        <v/>
      </c>
      <c r="T41" s="66" t="str">
        <f>IF(AND('Mapa final'!$Y$48="Baja",'Mapa final'!$AA$48="Menor"),CONCATENATE("R6C",'Mapa final'!$O$48),"")</f>
        <v/>
      </c>
      <c r="U41" s="67" t="str">
        <f>IF(AND('Mapa final'!$Y$49="Baja",'Mapa final'!$AA$49="Menor"),CONCATENATE("R6C",'Mapa final'!$O$49),"")</f>
        <v/>
      </c>
      <c r="V41" s="65" t="str">
        <f>IF(AND('Mapa final'!$Y$44="Baja",'Mapa final'!$AA$44="Moderado"),CONCATENATE("R6C",'Mapa final'!$O$44),"")</f>
        <v/>
      </c>
      <c r="W41" s="66" t="str">
        <f>IF(AND('Mapa final'!$Y$45="Baja",'Mapa final'!$AA$45="Moderado"),CONCATENATE("R6C",'Mapa final'!$O$45),"")</f>
        <v/>
      </c>
      <c r="X41" s="66" t="str">
        <f>IF(AND('Mapa final'!$Y$46="Baja",'Mapa final'!$AA$46="Moderado"),CONCATENATE("R6C",'Mapa final'!$O$46),"")</f>
        <v/>
      </c>
      <c r="Y41" s="66" t="str">
        <f>IF(AND('Mapa final'!$Y$47="Baja",'Mapa final'!$AA$47="Moderado"),CONCATENATE("R6C",'Mapa final'!$O$47),"")</f>
        <v/>
      </c>
      <c r="Z41" s="66" t="str">
        <f>IF(AND('Mapa final'!$Y$48="Baja",'Mapa final'!$AA$48="Moderado"),CONCATENATE("R6C",'Mapa final'!$O$48),"")</f>
        <v/>
      </c>
      <c r="AA41" s="67" t="str">
        <f>IF(AND('Mapa final'!$Y$49="Baja",'Mapa final'!$AA$49="Moderado"),CONCATENATE("R6C",'Mapa final'!$O$49),"")</f>
        <v/>
      </c>
      <c r="AB41" s="50" t="str">
        <f>IF(AND('Mapa final'!$Y$44="Baja",'Mapa final'!$AA$44="Mayor"),CONCATENATE("R6C",'Mapa final'!$O$44),"")</f>
        <v/>
      </c>
      <c r="AC41" s="51" t="str">
        <f>IF(AND('Mapa final'!$Y$45="Baja",'Mapa final'!$AA$45="Mayor"),CONCATENATE("R6C",'Mapa final'!$O$45),"")</f>
        <v/>
      </c>
      <c r="AD41" s="51" t="str">
        <f>IF(AND('Mapa final'!$Y$46="Baja",'Mapa final'!$AA$46="Mayor"),CONCATENATE("R6C",'Mapa final'!$O$46),"")</f>
        <v/>
      </c>
      <c r="AE41" s="51" t="str">
        <f>IF(AND('Mapa final'!$Y$47="Baja",'Mapa final'!$AA$47="Mayor"),CONCATENATE("R6C",'Mapa final'!$O$47),"")</f>
        <v/>
      </c>
      <c r="AF41" s="51" t="str">
        <f>IF(AND('Mapa final'!$Y$48="Baja",'Mapa final'!$AA$48="Mayor"),CONCATENATE("R6C",'Mapa final'!$O$48),"")</f>
        <v/>
      </c>
      <c r="AG41" s="52" t="str">
        <f>IF(AND('Mapa final'!$Y$49="Baja",'Mapa final'!$AA$49="Mayor"),CONCATENATE("R6C",'Mapa final'!$O$49),"")</f>
        <v/>
      </c>
      <c r="AH41" s="53" t="str">
        <f>IF(AND('Mapa final'!$Y$44="Baja",'Mapa final'!$AA$44="Catastrófico"),CONCATENATE("R6C",'Mapa final'!$O$44),"")</f>
        <v/>
      </c>
      <c r="AI41" s="54" t="str">
        <f>IF(AND('Mapa final'!$Y$45="Baja",'Mapa final'!$AA$45="Catastrófico"),CONCATENATE("R6C",'Mapa final'!$O$45),"")</f>
        <v/>
      </c>
      <c r="AJ41" s="54" t="str">
        <f>IF(AND('Mapa final'!$Y$46="Baja",'Mapa final'!$AA$46="Catastrófico"),CONCATENATE("R6C",'Mapa final'!$O$46),"")</f>
        <v/>
      </c>
      <c r="AK41" s="54" t="str">
        <f>IF(AND('Mapa final'!$Y$47="Baja",'Mapa final'!$AA$47="Catastrófico"),CONCATENATE("R6C",'Mapa final'!$O$47),"")</f>
        <v/>
      </c>
      <c r="AL41" s="54" t="str">
        <f>IF(AND('Mapa final'!$Y$48="Baja",'Mapa final'!$AA$48="Catastrófico"),CONCATENATE("R6C",'Mapa final'!$O$48),"")</f>
        <v/>
      </c>
      <c r="AM41" s="55" t="str">
        <f>IF(AND('Mapa final'!$Y$49="Baja",'Mapa final'!$AA$49="Catastrófico"),CONCATENATE("R6C",'Mapa final'!$O$49),"")</f>
        <v/>
      </c>
      <c r="AN41" s="81"/>
      <c r="AO41" s="443"/>
      <c r="AP41" s="444"/>
      <c r="AQ41" s="444"/>
      <c r="AR41" s="444"/>
      <c r="AS41" s="444"/>
      <c r="AT41" s="445"/>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row>
    <row r="42" spans="1:80" ht="15" customHeight="1" x14ac:dyDescent="0.25">
      <c r="A42" s="81"/>
      <c r="B42" s="324"/>
      <c r="C42" s="324"/>
      <c r="D42" s="325"/>
      <c r="E42" s="423"/>
      <c r="F42" s="422"/>
      <c r="G42" s="422"/>
      <c r="H42" s="422"/>
      <c r="I42" s="422"/>
      <c r="J42" s="74" t="str">
        <f>IF(AND('Mapa final'!$Y$50="Baja",'Mapa final'!$AA$50="Leve"),CONCATENATE("R7C",'Mapa final'!$O$50),"")</f>
        <v/>
      </c>
      <c r="K42" s="75" t="str">
        <f>IF(AND('Mapa final'!$Y$51="Baja",'Mapa final'!$AA$51="Leve"),CONCATENATE("R7C",'Mapa final'!$O$51),"")</f>
        <v/>
      </c>
      <c r="L42" s="75" t="str">
        <f>IF(AND('Mapa final'!$Y$52="Baja",'Mapa final'!$AA$52="Leve"),CONCATENATE("R7C",'Mapa final'!$O$52),"")</f>
        <v/>
      </c>
      <c r="M42" s="75" t="str">
        <f>IF(AND('Mapa final'!$Y$53="Baja",'Mapa final'!$AA$53="Leve"),CONCATENATE("R7C",'Mapa final'!$O$53),"")</f>
        <v/>
      </c>
      <c r="N42" s="75" t="str">
        <f>IF(AND('Mapa final'!$Y$54="Baja",'Mapa final'!$AA$54="Leve"),CONCATENATE("R7C",'Mapa final'!$O$54),"")</f>
        <v/>
      </c>
      <c r="O42" s="76" t="str">
        <f>IF(AND('Mapa final'!$Y$55="Baja",'Mapa final'!$AA$55="Leve"),CONCATENATE("R7C",'Mapa final'!$O$55),"")</f>
        <v/>
      </c>
      <c r="P42" s="65" t="str">
        <f>IF(AND('Mapa final'!$Y$50="Baja",'Mapa final'!$AA$50="Menor"),CONCATENATE("R7C",'Mapa final'!$O$50),"")</f>
        <v/>
      </c>
      <c r="Q42" s="66" t="str">
        <f>IF(AND('Mapa final'!$Y$51="Baja",'Mapa final'!$AA$51="Menor"),CONCATENATE("R7C",'Mapa final'!$O$51),"")</f>
        <v/>
      </c>
      <c r="R42" s="66" t="str">
        <f>IF(AND('Mapa final'!$Y$52="Baja",'Mapa final'!$AA$52="Menor"),CONCATENATE("R7C",'Mapa final'!$O$52),"")</f>
        <v/>
      </c>
      <c r="S42" s="66" t="str">
        <f>IF(AND('Mapa final'!$Y$53="Baja",'Mapa final'!$AA$53="Menor"),CONCATENATE("R7C",'Mapa final'!$O$53),"")</f>
        <v/>
      </c>
      <c r="T42" s="66" t="str">
        <f>IF(AND('Mapa final'!$Y$54="Baja",'Mapa final'!$AA$54="Menor"),CONCATENATE("R7C",'Mapa final'!$O$54),"")</f>
        <v/>
      </c>
      <c r="U42" s="67" t="str">
        <f>IF(AND('Mapa final'!$Y$55="Baja",'Mapa final'!$AA$55="Menor"),CONCATENATE("R7C",'Mapa final'!$O$55),"")</f>
        <v/>
      </c>
      <c r="V42" s="65" t="str">
        <f>IF(AND('Mapa final'!$Y$50="Baja",'Mapa final'!$AA$50="Moderado"),CONCATENATE("R7C",'Mapa final'!$O$50),"")</f>
        <v/>
      </c>
      <c r="W42" s="66" t="str">
        <f>IF(AND('Mapa final'!$Y$51="Baja",'Mapa final'!$AA$51="Moderado"),CONCATENATE("R7C",'Mapa final'!$O$51),"")</f>
        <v/>
      </c>
      <c r="X42" s="66" t="str">
        <f>IF(AND('Mapa final'!$Y$52="Baja",'Mapa final'!$AA$52="Moderado"),CONCATENATE("R7C",'Mapa final'!$O$52),"")</f>
        <v/>
      </c>
      <c r="Y42" s="66" t="str">
        <f>IF(AND('Mapa final'!$Y$53="Baja",'Mapa final'!$AA$53="Moderado"),CONCATENATE("R7C",'Mapa final'!$O$53),"")</f>
        <v/>
      </c>
      <c r="Z42" s="66" t="str">
        <f>IF(AND('Mapa final'!$Y$54="Baja",'Mapa final'!$AA$54="Moderado"),CONCATENATE("R7C",'Mapa final'!$O$54),"")</f>
        <v/>
      </c>
      <c r="AA42" s="67" t="str">
        <f>IF(AND('Mapa final'!$Y$55="Baja",'Mapa final'!$AA$55="Moderado"),CONCATENATE("R7C",'Mapa final'!$O$55),"")</f>
        <v/>
      </c>
      <c r="AB42" s="50" t="str">
        <f>IF(AND('Mapa final'!$Y$50="Baja",'Mapa final'!$AA$50="Mayor"),CONCATENATE("R7C",'Mapa final'!$O$50),"")</f>
        <v/>
      </c>
      <c r="AC42" s="51" t="str">
        <f>IF(AND('Mapa final'!$Y$51="Baja",'Mapa final'!$AA$51="Mayor"),CONCATENATE("R7C",'Mapa final'!$O$51),"")</f>
        <v/>
      </c>
      <c r="AD42" s="51" t="str">
        <f>IF(AND('Mapa final'!$Y$52="Baja",'Mapa final'!$AA$52="Mayor"),CONCATENATE("R7C",'Mapa final'!$O$52),"")</f>
        <v/>
      </c>
      <c r="AE42" s="51" t="str">
        <f>IF(AND('Mapa final'!$Y$53="Baja",'Mapa final'!$AA$53="Mayor"),CONCATENATE("R7C",'Mapa final'!$O$53),"")</f>
        <v/>
      </c>
      <c r="AF42" s="51" t="str">
        <f>IF(AND('Mapa final'!$Y$54="Baja",'Mapa final'!$AA$54="Mayor"),CONCATENATE("R7C",'Mapa final'!$O$54),"")</f>
        <v/>
      </c>
      <c r="AG42" s="52" t="str">
        <f>IF(AND('Mapa final'!$Y$55="Baja",'Mapa final'!$AA$55="Mayor"),CONCATENATE("R7C",'Mapa final'!$O$55),"")</f>
        <v/>
      </c>
      <c r="AH42" s="53" t="str">
        <f>IF(AND('Mapa final'!$Y$50="Baja",'Mapa final'!$AA$50="Catastrófico"),CONCATENATE("R7C",'Mapa final'!$O$50),"")</f>
        <v/>
      </c>
      <c r="AI42" s="54" t="str">
        <f>IF(AND('Mapa final'!$Y$51="Baja",'Mapa final'!$AA$51="Catastrófico"),CONCATENATE("R7C",'Mapa final'!$O$51),"")</f>
        <v/>
      </c>
      <c r="AJ42" s="54" t="str">
        <f>IF(AND('Mapa final'!$Y$52="Baja",'Mapa final'!$AA$52="Catastrófico"),CONCATENATE("R7C",'Mapa final'!$O$52),"")</f>
        <v/>
      </c>
      <c r="AK42" s="54" t="str">
        <f>IF(AND('Mapa final'!$Y$53="Baja",'Mapa final'!$AA$53="Catastrófico"),CONCATENATE("R7C",'Mapa final'!$O$53),"")</f>
        <v/>
      </c>
      <c r="AL42" s="54" t="str">
        <f>IF(AND('Mapa final'!$Y$54="Baja",'Mapa final'!$AA$54="Catastrófico"),CONCATENATE("R7C",'Mapa final'!$O$54),"")</f>
        <v/>
      </c>
      <c r="AM42" s="55" t="str">
        <f>IF(AND('Mapa final'!$Y$55="Baja",'Mapa final'!$AA$55="Catastrófico"),CONCATENATE("R7C",'Mapa final'!$O$55),"")</f>
        <v/>
      </c>
      <c r="AN42" s="81"/>
      <c r="AO42" s="443"/>
      <c r="AP42" s="444"/>
      <c r="AQ42" s="444"/>
      <c r="AR42" s="444"/>
      <c r="AS42" s="444"/>
      <c r="AT42" s="445"/>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row>
    <row r="43" spans="1:80" ht="15" customHeight="1" x14ac:dyDescent="0.25">
      <c r="A43" s="81"/>
      <c r="B43" s="324"/>
      <c r="C43" s="324"/>
      <c r="D43" s="325"/>
      <c r="E43" s="423"/>
      <c r="F43" s="422"/>
      <c r="G43" s="422"/>
      <c r="H43" s="422"/>
      <c r="I43" s="422"/>
      <c r="J43" s="74" t="str">
        <f>IF(AND('Mapa final'!$Y$56="Baja",'Mapa final'!$AA$56="Leve"),CONCATENATE("R8C",'Mapa final'!$O$56),"")</f>
        <v/>
      </c>
      <c r="K43" s="75" t="str">
        <f>IF(AND('Mapa final'!$Y$57="Baja",'Mapa final'!$AA$57="Leve"),CONCATENATE("R8C",'Mapa final'!$O$57),"")</f>
        <v/>
      </c>
      <c r="L43" s="75" t="str">
        <f>IF(AND('Mapa final'!$Y$58="Baja",'Mapa final'!$AA$58="Leve"),CONCATENATE("R8C",'Mapa final'!$O$58),"")</f>
        <v/>
      </c>
      <c r="M43" s="75" t="str">
        <f>IF(AND('Mapa final'!$Y$59="Baja",'Mapa final'!$AA$59="Leve"),CONCATENATE("R8C",'Mapa final'!$O$59),"")</f>
        <v/>
      </c>
      <c r="N43" s="75" t="str">
        <f>IF(AND('Mapa final'!$Y$60="Baja",'Mapa final'!$AA$60="Leve"),CONCATENATE("R8C",'Mapa final'!$O$60),"")</f>
        <v/>
      </c>
      <c r="O43" s="76" t="str">
        <f>IF(AND('Mapa final'!$Y$61="Baja",'Mapa final'!$AA$61="Leve"),CONCATENATE("R8C",'Mapa final'!$O$61),"")</f>
        <v/>
      </c>
      <c r="P43" s="65" t="str">
        <f>IF(AND('Mapa final'!$Y$56="Baja",'Mapa final'!$AA$56="Menor"),CONCATENATE("R8C",'Mapa final'!$O$56),"")</f>
        <v/>
      </c>
      <c r="Q43" s="66" t="str">
        <f>IF(AND('Mapa final'!$Y$57="Baja",'Mapa final'!$AA$57="Menor"),CONCATENATE("R8C",'Mapa final'!$O$57),"")</f>
        <v/>
      </c>
      <c r="R43" s="66" t="str">
        <f>IF(AND('Mapa final'!$Y$58="Baja",'Mapa final'!$AA$58="Menor"),CONCATENATE("R8C",'Mapa final'!$O$58),"")</f>
        <v/>
      </c>
      <c r="S43" s="66" t="str">
        <f>IF(AND('Mapa final'!$Y$59="Baja",'Mapa final'!$AA$59="Menor"),CONCATENATE("R8C",'Mapa final'!$O$59),"")</f>
        <v/>
      </c>
      <c r="T43" s="66" t="str">
        <f>IF(AND('Mapa final'!$Y$60="Baja",'Mapa final'!$AA$60="Menor"),CONCATENATE("R8C",'Mapa final'!$O$60),"")</f>
        <v/>
      </c>
      <c r="U43" s="67" t="str">
        <f>IF(AND('Mapa final'!$Y$61="Baja",'Mapa final'!$AA$61="Menor"),CONCATENATE("R8C",'Mapa final'!$O$61),"")</f>
        <v/>
      </c>
      <c r="V43" s="65" t="str">
        <f>IF(AND('Mapa final'!$Y$56="Baja",'Mapa final'!$AA$56="Moderado"),CONCATENATE("R8C",'Mapa final'!$O$56),"")</f>
        <v/>
      </c>
      <c r="W43" s="66" t="str">
        <f>IF(AND('Mapa final'!$Y$57="Baja",'Mapa final'!$AA$57="Moderado"),CONCATENATE("R8C",'Mapa final'!$O$57),"")</f>
        <v/>
      </c>
      <c r="X43" s="66" t="str">
        <f>IF(AND('Mapa final'!$Y$58="Baja",'Mapa final'!$AA$58="Moderado"),CONCATENATE("R8C",'Mapa final'!$O$58),"")</f>
        <v/>
      </c>
      <c r="Y43" s="66" t="str">
        <f>IF(AND('Mapa final'!$Y$59="Baja",'Mapa final'!$AA$59="Moderado"),CONCATENATE("R8C",'Mapa final'!$O$59),"")</f>
        <v/>
      </c>
      <c r="Z43" s="66" t="str">
        <f>IF(AND('Mapa final'!$Y$60="Baja",'Mapa final'!$AA$60="Moderado"),CONCATENATE("R8C",'Mapa final'!$O$60),"")</f>
        <v/>
      </c>
      <c r="AA43" s="67" t="str">
        <f>IF(AND('Mapa final'!$Y$61="Baja",'Mapa final'!$AA$61="Moderado"),CONCATENATE("R8C",'Mapa final'!$O$61),"")</f>
        <v/>
      </c>
      <c r="AB43" s="50" t="str">
        <f>IF(AND('Mapa final'!$Y$56="Baja",'Mapa final'!$AA$56="Mayor"),CONCATENATE("R8C",'Mapa final'!$O$56),"")</f>
        <v/>
      </c>
      <c r="AC43" s="51" t="str">
        <f>IF(AND('Mapa final'!$Y$57="Baja",'Mapa final'!$AA$57="Mayor"),CONCATENATE("R8C",'Mapa final'!$O$57),"")</f>
        <v/>
      </c>
      <c r="AD43" s="51" t="str">
        <f>IF(AND('Mapa final'!$Y$58="Baja",'Mapa final'!$AA$58="Mayor"),CONCATENATE("R8C",'Mapa final'!$O$58),"")</f>
        <v/>
      </c>
      <c r="AE43" s="51" t="str">
        <f>IF(AND('Mapa final'!$Y$59="Baja",'Mapa final'!$AA$59="Mayor"),CONCATENATE("R8C",'Mapa final'!$O$59),"")</f>
        <v/>
      </c>
      <c r="AF43" s="51" t="str">
        <f>IF(AND('Mapa final'!$Y$60="Baja",'Mapa final'!$AA$60="Mayor"),CONCATENATE("R8C",'Mapa final'!$O$60),"")</f>
        <v/>
      </c>
      <c r="AG43" s="52" t="str">
        <f>IF(AND('Mapa final'!$Y$61="Baja",'Mapa final'!$AA$61="Mayor"),CONCATENATE("R8C",'Mapa final'!$O$61),"")</f>
        <v/>
      </c>
      <c r="AH43" s="53" t="str">
        <f>IF(AND('Mapa final'!$Y$56="Baja",'Mapa final'!$AA$56="Catastrófico"),CONCATENATE("R8C",'Mapa final'!$O$56),"")</f>
        <v/>
      </c>
      <c r="AI43" s="54" t="str">
        <f>IF(AND('Mapa final'!$Y$57="Baja",'Mapa final'!$AA$57="Catastrófico"),CONCATENATE("R8C",'Mapa final'!$O$57),"")</f>
        <v/>
      </c>
      <c r="AJ43" s="54" t="str">
        <f>IF(AND('Mapa final'!$Y$58="Baja",'Mapa final'!$AA$58="Catastrófico"),CONCATENATE("R8C",'Mapa final'!$O$58),"")</f>
        <v/>
      </c>
      <c r="AK43" s="54" t="str">
        <f>IF(AND('Mapa final'!$Y$59="Baja",'Mapa final'!$AA$59="Catastrófico"),CONCATENATE("R8C",'Mapa final'!$O$59),"")</f>
        <v/>
      </c>
      <c r="AL43" s="54" t="str">
        <f>IF(AND('Mapa final'!$Y$60="Baja",'Mapa final'!$AA$60="Catastrófico"),CONCATENATE("R8C",'Mapa final'!$O$60),"")</f>
        <v/>
      </c>
      <c r="AM43" s="55" t="str">
        <f>IF(AND('Mapa final'!$Y$61="Baja",'Mapa final'!$AA$61="Catastrófico"),CONCATENATE("R8C",'Mapa final'!$O$61),"")</f>
        <v/>
      </c>
      <c r="AN43" s="81"/>
      <c r="AO43" s="443"/>
      <c r="AP43" s="444"/>
      <c r="AQ43" s="444"/>
      <c r="AR43" s="444"/>
      <c r="AS43" s="444"/>
      <c r="AT43" s="445"/>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row>
    <row r="44" spans="1:80" ht="15" customHeight="1" x14ac:dyDescent="0.25">
      <c r="A44" s="81"/>
      <c r="B44" s="324"/>
      <c r="C44" s="324"/>
      <c r="D44" s="325"/>
      <c r="E44" s="423"/>
      <c r="F44" s="422"/>
      <c r="G44" s="422"/>
      <c r="H44" s="422"/>
      <c r="I44" s="422"/>
      <c r="J44" s="74" t="str">
        <f>IF(AND('Mapa final'!$Y$62="Baja",'Mapa final'!$AA$62="Leve"),CONCATENATE("R9C",'Mapa final'!$O$62),"")</f>
        <v/>
      </c>
      <c r="K44" s="75" t="str">
        <f>IF(AND('Mapa final'!$Y$63="Baja",'Mapa final'!$AA$63="Leve"),CONCATENATE("R9C",'Mapa final'!$O$63),"")</f>
        <v/>
      </c>
      <c r="L44" s="75" t="str">
        <f>IF(AND('Mapa final'!$Y$64="Baja",'Mapa final'!$AA$64="Leve"),CONCATENATE("R9C",'Mapa final'!$O$64),"")</f>
        <v/>
      </c>
      <c r="M44" s="75" t="str">
        <f>IF(AND('Mapa final'!$Y$65="Baja",'Mapa final'!$AA$65="Leve"),CONCATENATE("R9C",'Mapa final'!$O$65),"")</f>
        <v/>
      </c>
      <c r="N44" s="75" t="str">
        <f>IF(AND('Mapa final'!$Y$66="Baja",'Mapa final'!$AA$66="Leve"),CONCATENATE("R9C",'Mapa final'!$O$66),"")</f>
        <v/>
      </c>
      <c r="O44" s="76" t="str">
        <f>IF(AND('Mapa final'!$Y$67="Baja",'Mapa final'!$AA$67="Leve"),CONCATENATE("R9C",'Mapa final'!$O$67),"")</f>
        <v/>
      </c>
      <c r="P44" s="65" t="str">
        <f>IF(AND('Mapa final'!$Y$62="Baja",'Mapa final'!$AA$62="Menor"),CONCATENATE("R9C",'Mapa final'!$O$62),"")</f>
        <v/>
      </c>
      <c r="Q44" s="66" t="str">
        <f>IF(AND('Mapa final'!$Y$63="Baja",'Mapa final'!$AA$63="Menor"),CONCATENATE("R9C",'Mapa final'!$O$63),"")</f>
        <v/>
      </c>
      <c r="R44" s="66" t="str">
        <f>IF(AND('Mapa final'!$Y$64="Baja",'Mapa final'!$AA$64="Menor"),CONCATENATE("R9C",'Mapa final'!$O$64),"")</f>
        <v/>
      </c>
      <c r="S44" s="66" t="str">
        <f>IF(AND('Mapa final'!$Y$65="Baja",'Mapa final'!$AA$65="Menor"),CONCATENATE("R9C",'Mapa final'!$O$65),"")</f>
        <v/>
      </c>
      <c r="T44" s="66" t="str">
        <f>IF(AND('Mapa final'!$Y$66="Baja",'Mapa final'!$AA$66="Menor"),CONCATENATE("R9C",'Mapa final'!$O$66),"")</f>
        <v/>
      </c>
      <c r="U44" s="67" t="str">
        <f>IF(AND('Mapa final'!$Y$67="Baja",'Mapa final'!$AA$67="Menor"),CONCATENATE("R9C",'Mapa final'!$O$67),"")</f>
        <v/>
      </c>
      <c r="V44" s="65" t="str">
        <f>IF(AND('Mapa final'!$Y$62="Baja",'Mapa final'!$AA$62="Moderado"),CONCATENATE("R9C",'Mapa final'!$O$62),"")</f>
        <v/>
      </c>
      <c r="W44" s="66" t="str">
        <f>IF(AND('Mapa final'!$Y$63="Baja",'Mapa final'!$AA$63="Moderado"),CONCATENATE("R9C",'Mapa final'!$O$63),"")</f>
        <v/>
      </c>
      <c r="X44" s="66" t="str">
        <f>IF(AND('Mapa final'!$Y$64="Baja",'Mapa final'!$AA$64="Moderado"),CONCATENATE("R9C",'Mapa final'!$O$64),"")</f>
        <v/>
      </c>
      <c r="Y44" s="66" t="str">
        <f>IF(AND('Mapa final'!$Y$65="Baja",'Mapa final'!$AA$65="Moderado"),CONCATENATE("R9C",'Mapa final'!$O$65),"")</f>
        <v/>
      </c>
      <c r="Z44" s="66" t="str">
        <f>IF(AND('Mapa final'!$Y$66="Baja",'Mapa final'!$AA$66="Moderado"),CONCATENATE("R9C",'Mapa final'!$O$66),"")</f>
        <v/>
      </c>
      <c r="AA44" s="67" t="str">
        <f>IF(AND('Mapa final'!$Y$67="Baja",'Mapa final'!$AA$67="Moderado"),CONCATENATE("R9C",'Mapa final'!$O$67),"")</f>
        <v/>
      </c>
      <c r="AB44" s="50" t="str">
        <f>IF(AND('Mapa final'!$Y$62="Baja",'Mapa final'!$AA$62="Mayor"),CONCATENATE("R9C",'Mapa final'!$O$62),"")</f>
        <v/>
      </c>
      <c r="AC44" s="51" t="str">
        <f>IF(AND('Mapa final'!$Y$63="Baja",'Mapa final'!$AA$63="Mayor"),CONCATENATE("R9C",'Mapa final'!$O$63),"")</f>
        <v/>
      </c>
      <c r="AD44" s="51" t="str">
        <f>IF(AND('Mapa final'!$Y$64="Baja",'Mapa final'!$AA$64="Mayor"),CONCATENATE("R9C",'Mapa final'!$O$64),"")</f>
        <v/>
      </c>
      <c r="AE44" s="51" t="str">
        <f>IF(AND('Mapa final'!$Y$65="Baja",'Mapa final'!$AA$65="Mayor"),CONCATENATE("R9C",'Mapa final'!$O$65),"")</f>
        <v/>
      </c>
      <c r="AF44" s="51" t="str">
        <f>IF(AND('Mapa final'!$Y$66="Baja",'Mapa final'!$AA$66="Mayor"),CONCATENATE("R9C",'Mapa final'!$O$66),"")</f>
        <v/>
      </c>
      <c r="AG44" s="52" t="str">
        <f>IF(AND('Mapa final'!$Y$67="Baja",'Mapa final'!$AA$67="Mayor"),CONCATENATE("R9C",'Mapa final'!$O$67),"")</f>
        <v/>
      </c>
      <c r="AH44" s="53" t="str">
        <f>IF(AND('Mapa final'!$Y$62="Baja",'Mapa final'!$AA$62="Catastrófico"),CONCATENATE("R9C",'Mapa final'!$O$62),"")</f>
        <v/>
      </c>
      <c r="AI44" s="54" t="str">
        <f>IF(AND('Mapa final'!$Y$63="Baja",'Mapa final'!$AA$63="Catastrófico"),CONCATENATE("R9C",'Mapa final'!$O$63),"")</f>
        <v/>
      </c>
      <c r="AJ44" s="54" t="str">
        <f>IF(AND('Mapa final'!$Y$64="Baja",'Mapa final'!$AA$64="Catastrófico"),CONCATENATE("R9C",'Mapa final'!$O$64),"")</f>
        <v/>
      </c>
      <c r="AK44" s="54" t="str">
        <f>IF(AND('Mapa final'!$Y$65="Baja",'Mapa final'!$AA$65="Catastrófico"),CONCATENATE("R9C",'Mapa final'!$O$65),"")</f>
        <v/>
      </c>
      <c r="AL44" s="54" t="str">
        <f>IF(AND('Mapa final'!$Y$66="Baja",'Mapa final'!$AA$66="Catastrófico"),CONCATENATE("R9C",'Mapa final'!$O$66),"")</f>
        <v/>
      </c>
      <c r="AM44" s="55" t="str">
        <f>IF(AND('Mapa final'!$Y$67="Baja",'Mapa final'!$AA$67="Catastrófico"),CONCATENATE("R9C",'Mapa final'!$O$67),"")</f>
        <v/>
      </c>
      <c r="AN44" s="81"/>
      <c r="AO44" s="443"/>
      <c r="AP44" s="444"/>
      <c r="AQ44" s="444"/>
      <c r="AR44" s="444"/>
      <c r="AS44" s="444"/>
      <c r="AT44" s="445"/>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row>
    <row r="45" spans="1:80" ht="15.75" customHeight="1" thickBot="1" x14ac:dyDescent="0.3">
      <c r="A45" s="81"/>
      <c r="B45" s="324"/>
      <c r="C45" s="324"/>
      <c r="D45" s="325"/>
      <c r="E45" s="424"/>
      <c r="F45" s="425"/>
      <c r="G45" s="425"/>
      <c r="H45" s="425"/>
      <c r="I45" s="425"/>
      <c r="J45" s="77" t="str">
        <f>IF(AND('Mapa final'!$Y$68="Baja",'Mapa final'!$AA$68="Leve"),CONCATENATE("R10C",'Mapa final'!$O$68),"")</f>
        <v/>
      </c>
      <c r="K45" s="78" t="str">
        <f>IF(AND('Mapa final'!$Y$69="Baja",'Mapa final'!$AA$69="Leve"),CONCATENATE("R10C",'Mapa final'!$O$69),"")</f>
        <v/>
      </c>
      <c r="L45" s="78" t="str">
        <f>IF(AND('Mapa final'!$Y$70="Baja",'Mapa final'!$AA$70="Leve"),CONCATENATE("R10C",'Mapa final'!$O$70),"")</f>
        <v/>
      </c>
      <c r="M45" s="78" t="str">
        <f>IF(AND('Mapa final'!$Y$71="Baja",'Mapa final'!$AA$71="Leve"),CONCATENATE("R10C",'Mapa final'!$O$71),"")</f>
        <v/>
      </c>
      <c r="N45" s="78" t="str">
        <f>IF(AND('Mapa final'!$Y$72="Baja",'Mapa final'!$AA$72="Leve"),CONCATENATE("R10C",'Mapa final'!$O$72),"")</f>
        <v/>
      </c>
      <c r="O45" s="79" t="str">
        <f>IF(AND('Mapa final'!$Y$73="Baja",'Mapa final'!$AA$73="Leve"),CONCATENATE("R10C",'Mapa final'!$O$73),"")</f>
        <v/>
      </c>
      <c r="P45" s="65" t="str">
        <f>IF(AND('Mapa final'!$Y$68="Baja",'Mapa final'!$AA$68="Menor"),CONCATENATE("R10C",'Mapa final'!$O$68),"")</f>
        <v/>
      </c>
      <c r="Q45" s="66" t="str">
        <f>IF(AND('Mapa final'!$Y$69="Baja",'Mapa final'!$AA$69="Menor"),CONCATENATE("R10C",'Mapa final'!$O$69),"")</f>
        <v/>
      </c>
      <c r="R45" s="66" t="str">
        <f>IF(AND('Mapa final'!$Y$70="Baja",'Mapa final'!$AA$70="Menor"),CONCATENATE("R10C",'Mapa final'!$O$70),"")</f>
        <v/>
      </c>
      <c r="S45" s="66" t="str">
        <f>IF(AND('Mapa final'!$Y$71="Baja",'Mapa final'!$AA$71="Menor"),CONCATENATE("R10C",'Mapa final'!$O$71),"")</f>
        <v/>
      </c>
      <c r="T45" s="66" t="str">
        <f>IF(AND('Mapa final'!$Y$72="Baja",'Mapa final'!$AA$72="Menor"),CONCATENATE("R10C",'Mapa final'!$O$72),"")</f>
        <v/>
      </c>
      <c r="U45" s="67" t="str">
        <f>IF(AND('Mapa final'!$Y$73="Baja",'Mapa final'!$AA$73="Menor"),CONCATENATE("R10C",'Mapa final'!$O$73),"")</f>
        <v/>
      </c>
      <c r="V45" s="68" t="str">
        <f>IF(AND('Mapa final'!$Y$68="Baja",'Mapa final'!$AA$68="Moderado"),CONCATENATE("R10C",'Mapa final'!$O$68),"")</f>
        <v/>
      </c>
      <c r="W45" s="69" t="str">
        <f>IF(AND('Mapa final'!$Y$69="Baja",'Mapa final'!$AA$69="Moderado"),CONCATENATE("R10C",'Mapa final'!$O$69),"")</f>
        <v/>
      </c>
      <c r="X45" s="69" t="str">
        <f>IF(AND('Mapa final'!$Y$70="Baja",'Mapa final'!$AA$70="Moderado"),CONCATENATE("R10C",'Mapa final'!$O$70),"")</f>
        <v/>
      </c>
      <c r="Y45" s="69" t="str">
        <f>IF(AND('Mapa final'!$Y$71="Baja",'Mapa final'!$AA$71="Moderado"),CONCATENATE("R10C",'Mapa final'!$O$71),"")</f>
        <v/>
      </c>
      <c r="Z45" s="69" t="str">
        <f>IF(AND('Mapa final'!$Y$72="Baja",'Mapa final'!$AA$72="Moderado"),CONCATENATE("R10C",'Mapa final'!$O$72),"")</f>
        <v/>
      </c>
      <c r="AA45" s="70" t="str">
        <f>IF(AND('Mapa final'!$Y$73="Baja",'Mapa final'!$AA$73="Moderado"),CONCATENATE("R10C",'Mapa final'!$O$73),"")</f>
        <v/>
      </c>
      <c r="AB45" s="56" t="str">
        <f>IF(AND('Mapa final'!$Y$68="Baja",'Mapa final'!$AA$68="Mayor"),CONCATENATE("R10C",'Mapa final'!$O$68),"")</f>
        <v/>
      </c>
      <c r="AC45" s="57" t="str">
        <f>IF(AND('Mapa final'!$Y$69="Baja",'Mapa final'!$AA$69="Mayor"),CONCATENATE("R10C",'Mapa final'!$O$69),"")</f>
        <v/>
      </c>
      <c r="AD45" s="57" t="str">
        <f>IF(AND('Mapa final'!$Y$70="Baja",'Mapa final'!$AA$70="Mayor"),CONCATENATE("R10C",'Mapa final'!$O$70),"")</f>
        <v/>
      </c>
      <c r="AE45" s="57" t="str">
        <f>IF(AND('Mapa final'!$Y$71="Baja",'Mapa final'!$AA$71="Mayor"),CONCATENATE("R10C",'Mapa final'!$O$71),"")</f>
        <v/>
      </c>
      <c r="AF45" s="57" t="str">
        <f>IF(AND('Mapa final'!$Y$72="Baja",'Mapa final'!$AA$72="Mayor"),CONCATENATE("R10C",'Mapa final'!$O$72),"")</f>
        <v/>
      </c>
      <c r="AG45" s="58" t="str">
        <f>IF(AND('Mapa final'!$Y$73="Baja",'Mapa final'!$AA$73="Mayor"),CONCATENATE("R10C",'Mapa final'!$O$73),"")</f>
        <v/>
      </c>
      <c r="AH45" s="59" t="str">
        <f>IF(AND('Mapa final'!$Y$68="Baja",'Mapa final'!$AA$68="Catastrófico"),CONCATENATE("R10C",'Mapa final'!$O$68),"")</f>
        <v/>
      </c>
      <c r="AI45" s="60" t="str">
        <f>IF(AND('Mapa final'!$Y$69="Baja",'Mapa final'!$AA$69="Catastrófico"),CONCATENATE("R10C",'Mapa final'!$O$69),"")</f>
        <v/>
      </c>
      <c r="AJ45" s="60" t="str">
        <f>IF(AND('Mapa final'!$Y$70="Baja",'Mapa final'!$AA$70="Catastrófico"),CONCATENATE("R10C",'Mapa final'!$O$70),"")</f>
        <v/>
      </c>
      <c r="AK45" s="60" t="str">
        <f>IF(AND('Mapa final'!$Y$71="Baja",'Mapa final'!$AA$71="Catastrófico"),CONCATENATE("R10C",'Mapa final'!$O$71),"")</f>
        <v/>
      </c>
      <c r="AL45" s="60" t="str">
        <f>IF(AND('Mapa final'!$Y$72="Baja",'Mapa final'!$AA$72="Catastrófico"),CONCATENATE("R10C",'Mapa final'!$O$72),"")</f>
        <v/>
      </c>
      <c r="AM45" s="61" t="str">
        <f>IF(AND('Mapa final'!$Y$73="Baja",'Mapa final'!$AA$73="Catastrófico"),CONCATENATE("R10C",'Mapa final'!$O$73),"")</f>
        <v/>
      </c>
      <c r="AN45" s="81"/>
      <c r="AO45" s="446"/>
      <c r="AP45" s="447"/>
      <c r="AQ45" s="447"/>
      <c r="AR45" s="447"/>
      <c r="AS45" s="447"/>
      <c r="AT45" s="448"/>
    </row>
    <row r="46" spans="1:80" ht="46.5" customHeight="1" x14ac:dyDescent="0.35">
      <c r="A46" s="81"/>
      <c r="B46" s="324"/>
      <c r="C46" s="324"/>
      <c r="D46" s="325"/>
      <c r="E46" s="419" t="s">
        <v>100</v>
      </c>
      <c r="F46" s="420"/>
      <c r="G46" s="420"/>
      <c r="H46" s="420"/>
      <c r="I46" s="437"/>
      <c r="J46" s="71" t="str">
        <f>IF(AND('Mapa final'!$Y$25="Muy Baja",'Mapa final'!$AA$25="Leve"),CONCATENATE("R1C",'Mapa final'!$O$25),"")</f>
        <v/>
      </c>
      <c r="K46" s="72" t="str">
        <f>IF(AND('Mapa final'!$Y$26="Muy Baja",'Mapa final'!$AA$26="Leve"),CONCATENATE("R1C",'Mapa final'!$O$26),"")</f>
        <v/>
      </c>
      <c r="L46" s="72" t="str">
        <f>IF(AND('Mapa final'!$Y$27="Muy Baja",'Mapa final'!$AA$27="Leve"),CONCATENATE("R1C",'Mapa final'!$O$27),"")</f>
        <v/>
      </c>
      <c r="M46" s="72" t="e">
        <f>IF(AND('Mapa final'!#REF!="Muy Baja",'Mapa final'!#REF!="Leve"),CONCATENATE("R1C",'Mapa final'!#REF!),"")</f>
        <v>#REF!</v>
      </c>
      <c r="N46" s="72" t="e">
        <f>IF(AND('Mapa final'!#REF!="Muy Baja",'Mapa final'!#REF!="Leve"),CONCATENATE("R1C",'Mapa final'!#REF!),"")</f>
        <v>#REF!</v>
      </c>
      <c r="O46" s="73" t="e">
        <f>IF(AND('Mapa final'!#REF!="Muy Baja",'Mapa final'!#REF!="Leve"),CONCATENATE("R1C",'Mapa final'!#REF!),"")</f>
        <v>#REF!</v>
      </c>
      <c r="P46" s="71" t="str">
        <f>IF(AND('Mapa final'!$Y$25="Muy Baja",'Mapa final'!$AA$25="Menor"),CONCATENATE("R1C",'Mapa final'!$O$25),"")</f>
        <v/>
      </c>
      <c r="Q46" s="72" t="str">
        <f>IF(AND('Mapa final'!$Y$26="Muy Baja",'Mapa final'!$AA$26="Menor"),CONCATENATE("R1C",'Mapa final'!$O$26),"")</f>
        <v/>
      </c>
      <c r="R46" s="72" t="str">
        <f>IF(AND('Mapa final'!$Y$27="Muy Baja",'Mapa final'!$AA$27="Menor"),CONCATENATE("R1C",'Mapa final'!$O$27),"")</f>
        <v/>
      </c>
      <c r="S46" s="72" t="e">
        <f>IF(AND('Mapa final'!#REF!="Muy Baja",'Mapa final'!#REF!="Menor"),CONCATENATE("R1C",'Mapa final'!#REF!),"")</f>
        <v>#REF!</v>
      </c>
      <c r="T46" s="72" t="e">
        <f>IF(AND('Mapa final'!#REF!="Muy Baja",'Mapa final'!#REF!="Menor"),CONCATENATE("R1C",'Mapa final'!#REF!),"")</f>
        <v>#REF!</v>
      </c>
      <c r="U46" s="73" t="e">
        <f>IF(AND('Mapa final'!#REF!="Muy Baja",'Mapa final'!#REF!="Menor"),CONCATENATE("R1C",'Mapa final'!#REF!),"")</f>
        <v>#REF!</v>
      </c>
      <c r="V46" s="62" t="str">
        <f>IF(AND('Mapa final'!$Y$25="Muy Baja",'Mapa final'!$AA$25="Moderado"),CONCATENATE("R1C",'Mapa final'!$O$25),"")</f>
        <v/>
      </c>
      <c r="W46" s="80" t="str">
        <f>IF(AND('Mapa final'!$Y$26="Muy Baja",'Mapa final'!$AA$26="Moderado"),CONCATENATE("R1C",'Mapa final'!$O$26),"")</f>
        <v/>
      </c>
      <c r="X46" s="63" t="str">
        <f>IF(AND('Mapa final'!$Y$27="Muy Baja",'Mapa final'!$AA$27="Moderado"),CONCATENATE("R1C",'Mapa final'!$O$27),"")</f>
        <v/>
      </c>
      <c r="Y46" s="63" t="e">
        <f>IF(AND('Mapa final'!#REF!="Muy Baja",'Mapa final'!#REF!="Moderado"),CONCATENATE("R1C",'Mapa final'!#REF!),"")</f>
        <v>#REF!</v>
      </c>
      <c r="Z46" s="63" t="e">
        <f>IF(AND('Mapa final'!#REF!="Muy Baja",'Mapa final'!#REF!="Moderado"),CONCATENATE("R1C",'Mapa final'!#REF!),"")</f>
        <v>#REF!</v>
      </c>
      <c r="AA46" s="64" t="e">
        <f>IF(AND('Mapa final'!#REF!="Muy Baja",'Mapa final'!#REF!="Moderado"),CONCATENATE("R1C",'Mapa final'!#REF!),"")</f>
        <v>#REF!</v>
      </c>
      <c r="AB46" s="44" t="str">
        <f>IF(AND('Mapa final'!$Y$25="Muy Baja",'Mapa final'!$AA$25="Mayor"),CONCATENATE("R1C",'Mapa final'!$O$25),"")</f>
        <v/>
      </c>
      <c r="AC46" s="45" t="str">
        <f>IF(AND('Mapa final'!$Y$26="Muy Baja",'Mapa final'!$AA$26="Mayor"),CONCATENATE("R1C",'Mapa final'!$O$26),"")</f>
        <v/>
      </c>
      <c r="AD46" s="45" t="str">
        <f>IF(AND('Mapa final'!$Y$27="Muy Baja",'Mapa final'!$AA$27="Mayor"),CONCATENATE("R1C",'Mapa final'!$O$27),"")</f>
        <v/>
      </c>
      <c r="AE46" s="45" t="e">
        <f>IF(AND('Mapa final'!#REF!="Muy Baja",'Mapa final'!#REF!="Mayor"),CONCATENATE("R1C",'Mapa final'!#REF!),"")</f>
        <v>#REF!</v>
      </c>
      <c r="AF46" s="45" t="e">
        <f>IF(AND('Mapa final'!#REF!="Muy Baja",'Mapa final'!#REF!="Mayor"),CONCATENATE("R1C",'Mapa final'!#REF!),"")</f>
        <v>#REF!</v>
      </c>
      <c r="AG46" s="46" t="e">
        <f>IF(AND('Mapa final'!#REF!="Muy Baja",'Mapa final'!#REF!="Mayor"),CONCATENATE("R1C",'Mapa final'!#REF!),"")</f>
        <v>#REF!</v>
      </c>
      <c r="AH46" s="47" t="str">
        <f>IF(AND('Mapa final'!$Y$25="Muy Baja",'Mapa final'!$AA$25="Catastrófico"),CONCATENATE("R1C",'Mapa final'!$O$25),"")</f>
        <v/>
      </c>
      <c r="AI46" s="48" t="str">
        <f>IF(AND('Mapa final'!$Y$26="Muy Baja",'Mapa final'!$AA$26="Catastrófico"),CONCATENATE("R1C",'Mapa final'!$O$26),"")</f>
        <v/>
      </c>
      <c r="AJ46" s="48" t="str">
        <f>IF(AND('Mapa final'!$Y$27="Muy Baja",'Mapa final'!$AA$27="Catastrófico"),CONCATENATE("R1C",'Mapa final'!$O$27),"")</f>
        <v/>
      </c>
      <c r="AK46" s="48" t="e">
        <f>IF(AND('Mapa final'!#REF!="Muy Baja",'Mapa final'!#REF!="Catastrófico"),CONCATENATE("R1C",'Mapa final'!#REF!),"")</f>
        <v>#REF!</v>
      </c>
      <c r="AL46" s="48" t="e">
        <f>IF(AND('Mapa final'!#REF!="Muy Baja",'Mapa final'!#REF!="Catastrófico"),CONCATENATE("R1C",'Mapa final'!#REF!),"")</f>
        <v>#REF!</v>
      </c>
      <c r="AM46" s="49" t="e">
        <f>IF(AND('Mapa final'!#REF!="Muy Baja",'Mapa final'!#REF!="Catastrófico"),CONCATENATE("R1C",'Mapa final'!#REF!),"")</f>
        <v>#REF!</v>
      </c>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ht="46.5" customHeight="1" x14ac:dyDescent="0.25">
      <c r="A47" s="81"/>
      <c r="B47" s="324"/>
      <c r="C47" s="324"/>
      <c r="D47" s="325"/>
      <c r="E47" s="421"/>
      <c r="F47" s="422"/>
      <c r="G47" s="422"/>
      <c r="H47" s="422"/>
      <c r="I47" s="438"/>
      <c r="J47" s="74" t="str">
        <f>IF(AND('Mapa final'!$Y$28="Muy Baja",'Mapa final'!$AA$28="Leve"),CONCATENATE("R2C",'Mapa final'!$O$28),"")</f>
        <v/>
      </c>
      <c r="K47" s="75" t="str">
        <f>IF(AND('Mapa final'!$Y$29="Muy Baja",'Mapa final'!$AA$29="Leve"),CONCATENATE("R2C",'Mapa final'!$O$29),"")</f>
        <v/>
      </c>
      <c r="L47" s="75" t="e">
        <f>IF(AND('Mapa final'!#REF!="Muy Baja",'Mapa final'!#REF!="Leve"),CONCATENATE("R2C",'Mapa final'!#REF!),"")</f>
        <v>#REF!</v>
      </c>
      <c r="M47" s="75" t="e">
        <f>IF(AND('Mapa final'!#REF!="Muy Baja",'Mapa final'!#REF!="Leve"),CONCATENATE("R2C",'Mapa final'!#REF!),"")</f>
        <v>#REF!</v>
      </c>
      <c r="N47" s="75" t="e">
        <f>IF(AND('Mapa final'!#REF!="Muy Baja",'Mapa final'!#REF!="Leve"),CONCATENATE("R2C",'Mapa final'!#REF!),"")</f>
        <v>#REF!</v>
      </c>
      <c r="O47" s="76" t="e">
        <f>IF(AND('Mapa final'!#REF!="Muy Baja",'Mapa final'!#REF!="Leve"),CONCATENATE("R2C",'Mapa final'!#REF!),"")</f>
        <v>#REF!</v>
      </c>
      <c r="P47" s="74" t="str">
        <f>IF(AND('Mapa final'!$Y$28="Muy Baja",'Mapa final'!$AA$28="Menor"),CONCATENATE("R2C",'Mapa final'!$O$28),"")</f>
        <v/>
      </c>
      <c r="Q47" s="75" t="str">
        <f>IF(AND('Mapa final'!$Y$29="Muy Baja",'Mapa final'!$AA$29="Menor"),CONCATENATE("R2C",'Mapa final'!$O$29),"")</f>
        <v/>
      </c>
      <c r="R47" s="75" t="e">
        <f>IF(AND('Mapa final'!#REF!="Muy Baja",'Mapa final'!#REF!="Menor"),CONCATENATE("R2C",'Mapa final'!#REF!),"")</f>
        <v>#REF!</v>
      </c>
      <c r="S47" s="75" t="e">
        <f>IF(AND('Mapa final'!#REF!="Muy Baja",'Mapa final'!#REF!="Menor"),CONCATENATE("R2C",'Mapa final'!#REF!),"")</f>
        <v>#REF!</v>
      </c>
      <c r="T47" s="75" t="e">
        <f>IF(AND('Mapa final'!#REF!="Muy Baja",'Mapa final'!#REF!="Menor"),CONCATENATE("R2C",'Mapa final'!#REF!),"")</f>
        <v>#REF!</v>
      </c>
      <c r="U47" s="76" t="e">
        <f>IF(AND('Mapa final'!#REF!="Muy Baja",'Mapa final'!#REF!="Menor"),CONCATENATE("R2C",'Mapa final'!#REF!),"")</f>
        <v>#REF!</v>
      </c>
      <c r="V47" s="65" t="str">
        <f>IF(AND('Mapa final'!$Y$28="Muy Baja",'Mapa final'!$AA$28="Moderado"),CONCATENATE("R2C",'Mapa final'!$O$28),"")</f>
        <v/>
      </c>
      <c r="W47" s="66" t="str">
        <f>IF(AND('Mapa final'!$Y$29="Muy Baja",'Mapa final'!$AA$29="Moderado"),CONCATENATE("R2C",'Mapa final'!$O$29),"")</f>
        <v>R2C2</v>
      </c>
      <c r="X47" s="66" t="e">
        <f>IF(AND('Mapa final'!#REF!="Muy Baja",'Mapa final'!#REF!="Moderado"),CONCATENATE("R2C",'Mapa final'!#REF!),"")</f>
        <v>#REF!</v>
      </c>
      <c r="Y47" s="66" t="e">
        <f>IF(AND('Mapa final'!#REF!="Muy Baja",'Mapa final'!#REF!="Moderado"),CONCATENATE("R2C",'Mapa final'!#REF!),"")</f>
        <v>#REF!</v>
      </c>
      <c r="Z47" s="66" t="e">
        <f>IF(AND('Mapa final'!#REF!="Muy Baja",'Mapa final'!#REF!="Moderado"),CONCATENATE("R2C",'Mapa final'!#REF!),"")</f>
        <v>#REF!</v>
      </c>
      <c r="AA47" s="67" t="e">
        <f>IF(AND('Mapa final'!#REF!="Muy Baja",'Mapa final'!#REF!="Moderado"),CONCATENATE("R2C",'Mapa final'!#REF!),"")</f>
        <v>#REF!</v>
      </c>
      <c r="AB47" s="50" t="str">
        <f>IF(AND('Mapa final'!$Y$28="Muy Baja",'Mapa final'!$AA$28="Mayor"),CONCATENATE("R2C",'Mapa final'!$O$28),"")</f>
        <v/>
      </c>
      <c r="AC47" s="51" t="str">
        <f>IF(AND('Mapa final'!$Y$29="Muy Baja",'Mapa final'!$AA$29="Mayor"),CONCATENATE("R2C",'Mapa final'!$O$29),"")</f>
        <v/>
      </c>
      <c r="AD47" s="51" t="e">
        <f>IF(AND('Mapa final'!#REF!="Muy Baja",'Mapa final'!#REF!="Mayor"),CONCATENATE("R2C",'Mapa final'!#REF!),"")</f>
        <v>#REF!</v>
      </c>
      <c r="AE47" s="51" t="e">
        <f>IF(AND('Mapa final'!#REF!="Muy Baja",'Mapa final'!#REF!="Mayor"),CONCATENATE("R2C",'Mapa final'!#REF!),"")</f>
        <v>#REF!</v>
      </c>
      <c r="AF47" s="51" t="e">
        <f>IF(AND('Mapa final'!#REF!="Muy Baja",'Mapa final'!#REF!="Mayor"),CONCATENATE("R2C",'Mapa final'!#REF!),"")</f>
        <v>#REF!</v>
      </c>
      <c r="AG47" s="52" t="e">
        <f>IF(AND('Mapa final'!#REF!="Muy Baja",'Mapa final'!#REF!="Mayor"),CONCATENATE("R2C",'Mapa final'!#REF!),"")</f>
        <v>#REF!</v>
      </c>
      <c r="AH47" s="53" t="str">
        <f>IF(AND('Mapa final'!$Y$28="Muy Baja",'Mapa final'!$AA$28="Catastrófico"),CONCATENATE("R2C",'Mapa final'!$O$28),"")</f>
        <v/>
      </c>
      <c r="AI47" s="54" t="str">
        <f>IF(AND('Mapa final'!$Y$29="Muy Baja",'Mapa final'!$AA$29="Catastrófico"),CONCATENATE("R2C",'Mapa final'!$O$29),"")</f>
        <v/>
      </c>
      <c r="AJ47" s="54" t="e">
        <f>IF(AND('Mapa final'!#REF!="Muy Baja",'Mapa final'!#REF!="Catastrófico"),CONCATENATE("R2C",'Mapa final'!#REF!),"")</f>
        <v>#REF!</v>
      </c>
      <c r="AK47" s="54" t="e">
        <f>IF(AND('Mapa final'!#REF!="Muy Baja",'Mapa final'!#REF!="Catastrófico"),CONCATENATE("R2C",'Mapa final'!#REF!),"")</f>
        <v>#REF!</v>
      </c>
      <c r="AL47" s="54" t="e">
        <f>IF(AND('Mapa final'!#REF!="Muy Baja",'Mapa final'!#REF!="Catastrófico"),CONCATENATE("R2C",'Mapa final'!#REF!),"")</f>
        <v>#REF!</v>
      </c>
      <c r="AM47" s="55" t="e">
        <f>IF(AND('Mapa final'!#REF!="Muy Baja",'Mapa final'!#REF!="Catastrófico"),CONCATENATE("R2C",'Mapa final'!#REF!),"")</f>
        <v>#REF!</v>
      </c>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ht="15" customHeight="1" x14ac:dyDescent="0.25">
      <c r="A48" s="81"/>
      <c r="B48" s="324"/>
      <c r="C48" s="324"/>
      <c r="D48" s="325"/>
      <c r="E48" s="421"/>
      <c r="F48" s="422"/>
      <c r="G48" s="422"/>
      <c r="H48" s="422"/>
      <c r="I48" s="438"/>
      <c r="J48" s="74" t="str">
        <f>IF(AND('Mapa final'!$Y$30="Muy Baja",'Mapa final'!$AA$30="Leve"),CONCATENATE("R3C",'Mapa final'!$O$30),"")</f>
        <v/>
      </c>
      <c r="K48" s="75" t="str">
        <f>IF(AND('Mapa final'!$Y$31="Muy Baja",'Mapa final'!$AA$31="Leve"),CONCATENATE("R3C",'Mapa final'!$O$31),"")</f>
        <v/>
      </c>
      <c r="L48" s="75" t="e">
        <f>IF(AND('Mapa final'!#REF!="Muy Baja",'Mapa final'!#REF!="Leve"),CONCATENATE("R3C",'Mapa final'!#REF!),"")</f>
        <v>#REF!</v>
      </c>
      <c r="M48" s="75" t="e">
        <f>IF(AND('Mapa final'!#REF!="Muy Baja",'Mapa final'!#REF!="Leve"),CONCATENATE("R3C",'Mapa final'!#REF!),"")</f>
        <v>#REF!</v>
      </c>
      <c r="N48" s="75" t="e">
        <f>IF(AND('Mapa final'!#REF!="Muy Baja",'Mapa final'!#REF!="Leve"),CONCATENATE("R3C",'Mapa final'!#REF!),"")</f>
        <v>#REF!</v>
      </c>
      <c r="O48" s="76" t="e">
        <f>IF(AND('Mapa final'!#REF!="Muy Baja",'Mapa final'!#REF!="Leve"),CONCATENATE("R3C",'Mapa final'!#REF!),"")</f>
        <v>#REF!</v>
      </c>
      <c r="P48" s="74" t="str">
        <f>IF(AND('Mapa final'!$Y$30="Muy Baja",'Mapa final'!$AA$30="Menor"),CONCATENATE("R3C",'Mapa final'!$O$30),"")</f>
        <v/>
      </c>
      <c r="Q48" s="75" t="str">
        <f>IF(AND('Mapa final'!$Y$31="Muy Baja",'Mapa final'!$AA$31="Menor"),CONCATENATE("R3C",'Mapa final'!$O$31),"")</f>
        <v/>
      </c>
      <c r="R48" s="75" t="e">
        <f>IF(AND('Mapa final'!#REF!="Muy Baja",'Mapa final'!#REF!="Menor"),CONCATENATE("R3C",'Mapa final'!#REF!),"")</f>
        <v>#REF!</v>
      </c>
      <c r="S48" s="75" t="e">
        <f>IF(AND('Mapa final'!#REF!="Muy Baja",'Mapa final'!#REF!="Menor"),CONCATENATE("R3C",'Mapa final'!#REF!),"")</f>
        <v>#REF!</v>
      </c>
      <c r="T48" s="75" t="e">
        <f>IF(AND('Mapa final'!#REF!="Muy Baja",'Mapa final'!#REF!="Menor"),CONCATENATE("R3C",'Mapa final'!#REF!),"")</f>
        <v>#REF!</v>
      </c>
      <c r="U48" s="76" t="e">
        <f>IF(AND('Mapa final'!#REF!="Muy Baja",'Mapa final'!#REF!="Menor"),CONCATENATE("R3C",'Mapa final'!#REF!),"")</f>
        <v>#REF!</v>
      </c>
      <c r="V48" s="65" t="str">
        <f>IF(AND('Mapa final'!$Y$30="Muy Baja",'Mapa final'!$AA$30="Moderado"),CONCATENATE("R3C",'Mapa final'!$O$30),"")</f>
        <v/>
      </c>
      <c r="W48" s="66" t="str">
        <f>IF(AND('Mapa final'!$Y$31="Muy Baja",'Mapa final'!$AA$31="Moderado"),CONCATENATE("R3C",'Mapa final'!$O$31),"")</f>
        <v>R3C2</v>
      </c>
      <c r="X48" s="66" t="e">
        <f>IF(AND('Mapa final'!#REF!="Muy Baja",'Mapa final'!#REF!="Moderado"),CONCATENATE("R3C",'Mapa final'!#REF!),"")</f>
        <v>#REF!</v>
      </c>
      <c r="Y48" s="66" t="e">
        <f>IF(AND('Mapa final'!#REF!="Muy Baja",'Mapa final'!#REF!="Moderado"),CONCATENATE("R3C",'Mapa final'!#REF!),"")</f>
        <v>#REF!</v>
      </c>
      <c r="Z48" s="66" t="e">
        <f>IF(AND('Mapa final'!#REF!="Muy Baja",'Mapa final'!#REF!="Moderado"),CONCATENATE("R3C",'Mapa final'!#REF!),"")</f>
        <v>#REF!</v>
      </c>
      <c r="AA48" s="67" t="e">
        <f>IF(AND('Mapa final'!#REF!="Muy Baja",'Mapa final'!#REF!="Moderado"),CONCATENATE("R3C",'Mapa final'!#REF!),"")</f>
        <v>#REF!</v>
      </c>
      <c r="AB48" s="50" t="str">
        <f>IF(AND('Mapa final'!$Y$30="Muy Baja",'Mapa final'!$AA$30="Mayor"),CONCATENATE("R3C",'Mapa final'!$O$30),"")</f>
        <v/>
      </c>
      <c r="AC48" s="51" t="str">
        <f>IF(AND('Mapa final'!$Y$31="Muy Baja",'Mapa final'!$AA$31="Mayor"),CONCATENATE("R3C",'Mapa final'!$O$31),"")</f>
        <v/>
      </c>
      <c r="AD48" s="51" t="e">
        <f>IF(AND('Mapa final'!#REF!="Muy Baja",'Mapa final'!#REF!="Mayor"),CONCATENATE("R3C",'Mapa final'!#REF!),"")</f>
        <v>#REF!</v>
      </c>
      <c r="AE48" s="51" t="e">
        <f>IF(AND('Mapa final'!#REF!="Muy Baja",'Mapa final'!#REF!="Mayor"),CONCATENATE("R3C",'Mapa final'!#REF!),"")</f>
        <v>#REF!</v>
      </c>
      <c r="AF48" s="51" t="e">
        <f>IF(AND('Mapa final'!#REF!="Muy Baja",'Mapa final'!#REF!="Mayor"),CONCATENATE("R3C",'Mapa final'!#REF!),"")</f>
        <v>#REF!</v>
      </c>
      <c r="AG48" s="52" t="e">
        <f>IF(AND('Mapa final'!#REF!="Muy Baja",'Mapa final'!#REF!="Mayor"),CONCATENATE("R3C",'Mapa final'!#REF!),"")</f>
        <v>#REF!</v>
      </c>
      <c r="AH48" s="53" t="str">
        <f>IF(AND('Mapa final'!$Y$30="Muy Baja",'Mapa final'!$AA$30="Catastrófico"),CONCATENATE("R3C",'Mapa final'!$O$30),"")</f>
        <v/>
      </c>
      <c r="AI48" s="54" t="str">
        <f>IF(AND('Mapa final'!$Y$31="Muy Baja",'Mapa final'!$AA$31="Catastrófico"),CONCATENATE("R3C",'Mapa final'!$O$31),"")</f>
        <v/>
      </c>
      <c r="AJ48" s="54" t="e">
        <f>IF(AND('Mapa final'!#REF!="Muy Baja",'Mapa final'!#REF!="Catastrófico"),CONCATENATE("R3C",'Mapa final'!#REF!),"")</f>
        <v>#REF!</v>
      </c>
      <c r="AK48" s="54" t="e">
        <f>IF(AND('Mapa final'!#REF!="Muy Baja",'Mapa final'!#REF!="Catastrófico"),CONCATENATE("R3C",'Mapa final'!#REF!),"")</f>
        <v>#REF!</v>
      </c>
      <c r="AL48" s="54" t="e">
        <f>IF(AND('Mapa final'!#REF!="Muy Baja",'Mapa final'!#REF!="Catastrófico"),CONCATENATE("R3C",'Mapa final'!#REF!),"")</f>
        <v>#REF!</v>
      </c>
      <c r="AM48" s="55" t="e">
        <f>IF(AND('Mapa final'!#REF!="Muy Baja",'Mapa final'!#REF!="Catastrófico"),CONCATENATE("R3C",'Mapa final'!#REF!),"")</f>
        <v>#REF!</v>
      </c>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ht="15" customHeight="1" x14ac:dyDescent="0.25">
      <c r="A49" s="81"/>
      <c r="B49" s="324"/>
      <c r="C49" s="324"/>
      <c r="D49" s="325"/>
      <c r="E49" s="423"/>
      <c r="F49" s="422"/>
      <c r="G49" s="422"/>
      <c r="H49" s="422"/>
      <c r="I49" s="438"/>
      <c r="J49" s="74" t="str">
        <f>IF(AND('Mapa final'!$Y$32="Muy Baja",'Mapa final'!$AA$32="Leve"),CONCATENATE("R4C",'Mapa final'!$O$32),"")</f>
        <v/>
      </c>
      <c r="K49" s="75" t="str">
        <f>IF(AND('Mapa final'!$Y$33="Muy Baja",'Mapa final'!$AA$33="Leve"),CONCATENATE("R4C",'Mapa final'!$O$33),"")</f>
        <v/>
      </c>
      <c r="L49" s="75" t="str">
        <f>IF(AND('Mapa final'!$Y$34="Muy Baja",'Mapa final'!$AA$34="Leve"),CONCATENATE("R4C",'Mapa final'!$O$34),"")</f>
        <v/>
      </c>
      <c r="M49" s="75" t="str">
        <f>IF(AND('Mapa final'!$Y$35="Muy Baja",'Mapa final'!$AA$35="Leve"),CONCATENATE("R4C",'Mapa final'!$O$35),"")</f>
        <v/>
      </c>
      <c r="N49" s="75" t="str">
        <f>IF(AND('Mapa final'!$Y$36="Muy Baja",'Mapa final'!$AA$36="Leve"),CONCATENATE("R4C",'Mapa final'!$O$36),"")</f>
        <v/>
      </c>
      <c r="O49" s="76" t="str">
        <f>IF(AND('Mapa final'!$Y$37="Muy Baja",'Mapa final'!$AA$37="Leve"),CONCATENATE("R4C",'Mapa final'!$O$37),"")</f>
        <v/>
      </c>
      <c r="P49" s="74" t="str">
        <f>IF(AND('Mapa final'!$Y$32="Muy Baja",'Mapa final'!$AA$32="Menor"),CONCATENATE("R4C",'Mapa final'!$O$32),"")</f>
        <v/>
      </c>
      <c r="Q49" s="75" t="str">
        <f>IF(AND('Mapa final'!$Y$33="Muy Baja",'Mapa final'!$AA$33="Menor"),CONCATENATE("R4C",'Mapa final'!$O$33),"")</f>
        <v/>
      </c>
      <c r="R49" s="75" t="str">
        <f>IF(AND('Mapa final'!$Y$34="Muy Baja",'Mapa final'!$AA$34="Menor"),CONCATENATE("R4C",'Mapa final'!$O$34),"")</f>
        <v/>
      </c>
      <c r="S49" s="75" t="str">
        <f>IF(AND('Mapa final'!$Y$35="Muy Baja",'Mapa final'!$AA$35="Menor"),CONCATENATE("R4C",'Mapa final'!$O$35),"")</f>
        <v/>
      </c>
      <c r="T49" s="75" t="str">
        <f>IF(AND('Mapa final'!$Y$36="Muy Baja",'Mapa final'!$AA$36="Menor"),CONCATENATE("R4C",'Mapa final'!$O$36),"")</f>
        <v/>
      </c>
      <c r="U49" s="76" t="str">
        <f>IF(AND('Mapa final'!$Y$37="Muy Baja",'Mapa final'!$AA$37="Menor"),CONCATENATE("R4C",'Mapa final'!$O$37),"")</f>
        <v/>
      </c>
      <c r="V49" s="65" t="str">
        <f>IF(AND('Mapa final'!$Y$32="Muy Baja",'Mapa final'!$AA$32="Moderado"),CONCATENATE("R4C",'Mapa final'!$O$32),"")</f>
        <v/>
      </c>
      <c r="W49" s="66" t="str">
        <f>IF(AND('Mapa final'!$Y$33="Muy Baja",'Mapa final'!$AA$33="Moderado"),CONCATENATE("R4C",'Mapa final'!$O$33),"")</f>
        <v/>
      </c>
      <c r="X49" s="66" t="str">
        <f>IF(AND('Mapa final'!$Y$34="Muy Baja",'Mapa final'!$AA$34="Moderado"),CONCATENATE("R4C",'Mapa final'!$O$34),"")</f>
        <v/>
      </c>
      <c r="Y49" s="66" t="str">
        <f>IF(AND('Mapa final'!$Y$35="Muy Baja",'Mapa final'!$AA$35="Moderado"),CONCATENATE("R4C",'Mapa final'!$O$35),"")</f>
        <v/>
      </c>
      <c r="Z49" s="66" t="str">
        <f>IF(AND('Mapa final'!$Y$36="Muy Baja",'Mapa final'!$AA$36="Moderado"),CONCATENATE("R4C",'Mapa final'!$O$36),"")</f>
        <v/>
      </c>
      <c r="AA49" s="67" t="str">
        <f>IF(AND('Mapa final'!$Y$37="Muy Baja",'Mapa final'!$AA$37="Moderado"),CONCATENATE("R4C",'Mapa final'!$O$37),"")</f>
        <v/>
      </c>
      <c r="AB49" s="50" t="str">
        <f>IF(AND('Mapa final'!$Y$32="Muy Baja",'Mapa final'!$AA$32="Mayor"),CONCATENATE("R4C",'Mapa final'!$O$32),"")</f>
        <v/>
      </c>
      <c r="AC49" s="51" t="str">
        <f>IF(AND('Mapa final'!$Y$33="Muy Baja",'Mapa final'!$AA$33="Mayor"),CONCATENATE("R4C",'Mapa final'!$O$33),"")</f>
        <v/>
      </c>
      <c r="AD49" s="51" t="str">
        <f>IF(AND('Mapa final'!$Y$34="Muy Baja",'Mapa final'!$AA$34="Mayor"),CONCATENATE("R4C",'Mapa final'!$O$34),"")</f>
        <v/>
      </c>
      <c r="AE49" s="51" t="str">
        <f>IF(AND('Mapa final'!$Y$35="Muy Baja",'Mapa final'!$AA$35="Mayor"),CONCATENATE("R4C",'Mapa final'!$O$35),"")</f>
        <v/>
      </c>
      <c r="AF49" s="51" t="str">
        <f>IF(AND('Mapa final'!$Y$36="Muy Baja",'Mapa final'!$AA$36="Mayor"),CONCATENATE("R4C",'Mapa final'!$O$36),"")</f>
        <v/>
      </c>
      <c r="AG49" s="52" t="str">
        <f>IF(AND('Mapa final'!$Y$37="Muy Baja",'Mapa final'!$AA$37="Mayor"),CONCATENATE("R4C",'Mapa final'!$O$37),"")</f>
        <v/>
      </c>
      <c r="AH49" s="53" t="str">
        <f>IF(AND('Mapa final'!$Y$32="Muy Baja",'Mapa final'!$AA$32="Catastrófico"),CONCATENATE("R4C",'Mapa final'!$O$32),"")</f>
        <v/>
      </c>
      <c r="AI49" s="54" t="str">
        <f>IF(AND('Mapa final'!$Y$33="Muy Baja",'Mapa final'!$AA$33="Catastrófico"),CONCATENATE("R4C",'Mapa final'!$O$33),"")</f>
        <v/>
      </c>
      <c r="AJ49" s="54" t="str">
        <f>IF(AND('Mapa final'!$Y$34="Muy Baja",'Mapa final'!$AA$34="Catastrófico"),CONCATENATE("R4C",'Mapa final'!$O$34),"")</f>
        <v/>
      </c>
      <c r="AK49" s="54" t="str">
        <f>IF(AND('Mapa final'!$Y$35="Muy Baja",'Mapa final'!$AA$35="Catastrófico"),CONCATENATE("R4C",'Mapa final'!$O$35),"")</f>
        <v/>
      </c>
      <c r="AL49" s="54" t="str">
        <f>IF(AND('Mapa final'!$Y$36="Muy Baja",'Mapa final'!$AA$36="Catastrófico"),CONCATENATE("R4C",'Mapa final'!$O$36),"")</f>
        <v/>
      </c>
      <c r="AM49" s="55" t="str">
        <f>IF(AND('Mapa final'!$Y$37="Muy Baja",'Mapa final'!$AA$37="Catastrófico"),CONCATENATE("R4C",'Mapa final'!$O$37),"")</f>
        <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ht="15" customHeight="1" x14ac:dyDescent="0.25">
      <c r="A50" s="81"/>
      <c r="B50" s="324"/>
      <c r="C50" s="324"/>
      <c r="D50" s="325"/>
      <c r="E50" s="423"/>
      <c r="F50" s="422"/>
      <c r="G50" s="422"/>
      <c r="H50" s="422"/>
      <c r="I50" s="438"/>
      <c r="J50" s="74" t="str">
        <f>IF(AND('Mapa final'!$Y$38="Muy Baja",'Mapa final'!$AA$38="Leve"),CONCATENATE("R5C",'Mapa final'!$O$38),"")</f>
        <v/>
      </c>
      <c r="K50" s="75" t="str">
        <f>IF(AND('Mapa final'!$Y$39="Muy Baja",'Mapa final'!$AA$39="Leve"),CONCATENATE("R5C",'Mapa final'!$O$39),"")</f>
        <v/>
      </c>
      <c r="L50" s="75" t="str">
        <f>IF(AND('Mapa final'!$Y$40="Muy Baja",'Mapa final'!$AA$40="Leve"),CONCATENATE("R5C",'Mapa final'!$O$40),"")</f>
        <v/>
      </c>
      <c r="M50" s="75" t="str">
        <f>IF(AND('Mapa final'!$Y$41="Muy Baja",'Mapa final'!$AA$41="Leve"),CONCATENATE("R5C",'Mapa final'!$O$41),"")</f>
        <v/>
      </c>
      <c r="N50" s="75" t="str">
        <f>IF(AND('Mapa final'!$Y$42="Muy Baja",'Mapa final'!$AA$42="Leve"),CONCATENATE("R5C",'Mapa final'!$O$42),"")</f>
        <v/>
      </c>
      <c r="O50" s="76" t="str">
        <f>IF(AND('Mapa final'!$Y$43="Muy Baja",'Mapa final'!$AA$43="Leve"),CONCATENATE("R5C",'Mapa final'!$O$43),"")</f>
        <v/>
      </c>
      <c r="P50" s="74" t="str">
        <f>IF(AND('Mapa final'!$Y$38="Muy Baja",'Mapa final'!$AA$38="Menor"),CONCATENATE("R5C",'Mapa final'!$O$38),"")</f>
        <v/>
      </c>
      <c r="Q50" s="75" t="str">
        <f>IF(AND('Mapa final'!$Y$39="Muy Baja",'Mapa final'!$AA$39="Menor"),CONCATENATE("R5C",'Mapa final'!$O$39),"")</f>
        <v/>
      </c>
      <c r="R50" s="75" t="str">
        <f>IF(AND('Mapa final'!$Y$40="Muy Baja",'Mapa final'!$AA$40="Menor"),CONCATENATE("R5C",'Mapa final'!$O$40),"")</f>
        <v/>
      </c>
      <c r="S50" s="75" t="str">
        <f>IF(AND('Mapa final'!$Y$41="Muy Baja",'Mapa final'!$AA$41="Menor"),CONCATENATE("R5C",'Mapa final'!$O$41),"")</f>
        <v/>
      </c>
      <c r="T50" s="75" t="str">
        <f>IF(AND('Mapa final'!$Y$42="Muy Baja",'Mapa final'!$AA$42="Menor"),CONCATENATE("R5C",'Mapa final'!$O$42),"")</f>
        <v/>
      </c>
      <c r="U50" s="76" t="str">
        <f>IF(AND('Mapa final'!$Y$43="Muy Baja",'Mapa final'!$AA$43="Menor"),CONCATENATE("R5C",'Mapa final'!$O$43),"")</f>
        <v/>
      </c>
      <c r="V50" s="65" t="str">
        <f>IF(AND('Mapa final'!$Y$38="Muy Baja",'Mapa final'!$AA$38="Moderado"),CONCATENATE("R5C",'Mapa final'!$O$38),"")</f>
        <v/>
      </c>
      <c r="W50" s="66" t="str">
        <f>IF(AND('Mapa final'!$Y$39="Muy Baja",'Mapa final'!$AA$39="Moderado"),CONCATENATE("R5C",'Mapa final'!$O$39),"")</f>
        <v/>
      </c>
      <c r="X50" s="66" t="str">
        <f>IF(AND('Mapa final'!$Y$40="Muy Baja",'Mapa final'!$AA$40="Moderado"),CONCATENATE("R5C",'Mapa final'!$O$40),"")</f>
        <v/>
      </c>
      <c r="Y50" s="66" t="str">
        <f>IF(AND('Mapa final'!$Y$41="Muy Baja",'Mapa final'!$AA$41="Moderado"),CONCATENATE("R5C",'Mapa final'!$O$41),"")</f>
        <v/>
      </c>
      <c r="Z50" s="66" t="str">
        <f>IF(AND('Mapa final'!$Y$42="Muy Baja",'Mapa final'!$AA$42="Moderado"),CONCATENATE("R5C",'Mapa final'!$O$42),"")</f>
        <v/>
      </c>
      <c r="AA50" s="67" t="str">
        <f>IF(AND('Mapa final'!$Y$43="Muy Baja",'Mapa final'!$AA$43="Moderado"),CONCATENATE("R5C",'Mapa final'!$O$43),"")</f>
        <v/>
      </c>
      <c r="AB50" s="50" t="str">
        <f>IF(AND('Mapa final'!$Y$38="Muy Baja",'Mapa final'!$AA$38="Mayor"),CONCATENATE("R5C",'Mapa final'!$O$38),"")</f>
        <v/>
      </c>
      <c r="AC50" s="51" t="str">
        <f>IF(AND('Mapa final'!$Y$39="Muy Baja",'Mapa final'!$AA$39="Mayor"),CONCATENATE("R5C",'Mapa final'!$O$39),"")</f>
        <v/>
      </c>
      <c r="AD50" s="51" t="str">
        <f>IF(AND('Mapa final'!$Y$40="Muy Baja",'Mapa final'!$AA$40="Mayor"),CONCATENATE("R5C",'Mapa final'!$O$40),"")</f>
        <v/>
      </c>
      <c r="AE50" s="51" t="str">
        <f>IF(AND('Mapa final'!$Y$41="Muy Baja",'Mapa final'!$AA$41="Mayor"),CONCATENATE("R5C",'Mapa final'!$O$41),"")</f>
        <v/>
      </c>
      <c r="AF50" s="51" t="str">
        <f>IF(AND('Mapa final'!$Y$42="Muy Baja",'Mapa final'!$AA$42="Mayor"),CONCATENATE("R5C",'Mapa final'!$O$42),"")</f>
        <v/>
      </c>
      <c r="AG50" s="52" t="str">
        <f>IF(AND('Mapa final'!$Y$43="Muy Baja",'Mapa final'!$AA$43="Mayor"),CONCATENATE("R5C",'Mapa final'!$O$43),"")</f>
        <v/>
      </c>
      <c r="AH50" s="53" t="str">
        <f>IF(AND('Mapa final'!$Y$38="Muy Baja",'Mapa final'!$AA$38="Catastrófico"),CONCATENATE("R5C",'Mapa final'!$O$38),"")</f>
        <v/>
      </c>
      <c r="AI50" s="54" t="str">
        <f>IF(AND('Mapa final'!$Y$39="Muy Baja",'Mapa final'!$AA$39="Catastrófico"),CONCATENATE("R5C",'Mapa final'!$O$39),"")</f>
        <v/>
      </c>
      <c r="AJ50" s="54" t="str">
        <f>IF(AND('Mapa final'!$Y$40="Muy Baja",'Mapa final'!$AA$40="Catastrófico"),CONCATENATE("R5C",'Mapa final'!$O$40),"")</f>
        <v/>
      </c>
      <c r="AK50" s="54" t="str">
        <f>IF(AND('Mapa final'!$Y$41="Muy Baja",'Mapa final'!$AA$41="Catastrófico"),CONCATENATE("R5C",'Mapa final'!$O$41),"")</f>
        <v/>
      </c>
      <c r="AL50" s="54" t="str">
        <f>IF(AND('Mapa final'!$Y$42="Muy Baja",'Mapa final'!$AA$42="Catastrófico"),CONCATENATE("R5C",'Mapa final'!$O$42),"")</f>
        <v/>
      </c>
      <c r="AM50" s="55" t="str">
        <f>IF(AND('Mapa final'!$Y$43="Muy Baja",'Mapa final'!$AA$43="Catastrófico"),CONCATENATE("R5C",'Mapa final'!$O$43),"")</f>
        <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 customHeight="1" x14ac:dyDescent="0.25">
      <c r="A51" s="81"/>
      <c r="B51" s="324"/>
      <c r="C51" s="324"/>
      <c r="D51" s="325"/>
      <c r="E51" s="423"/>
      <c r="F51" s="422"/>
      <c r="G51" s="422"/>
      <c r="H51" s="422"/>
      <c r="I51" s="438"/>
      <c r="J51" s="74" t="str">
        <f>IF(AND('Mapa final'!$Y$44="Muy Baja",'Mapa final'!$AA$44="Leve"),CONCATENATE("R6C",'Mapa final'!$O$44),"")</f>
        <v/>
      </c>
      <c r="K51" s="75" t="str">
        <f>IF(AND('Mapa final'!$Y$45="Muy Baja",'Mapa final'!$AA$45="Leve"),CONCATENATE("R6C",'Mapa final'!$O$45),"")</f>
        <v/>
      </c>
      <c r="L51" s="75" t="str">
        <f>IF(AND('Mapa final'!$Y$46="Muy Baja",'Mapa final'!$AA$46="Leve"),CONCATENATE("R6C",'Mapa final'!$O$46),"")</f>
        <v/>
      </c>
      <c r="M51" s="75" t="str">
        <f>IF(AND('Mapa final'!$Y$47="Muy Baja",'Mapa final'!$AA$47="Leve"),CONCATENATE("R6C",'Mapa final'!$O$47),"")</f>
        <v/>
      </c>
      <c r="N51" s="75" t="str">
        <f>IF(AND('Mapa final'!$Y$48="Muy Baja",'Mapa final'!$AA$48="Leve"),CONCATENATE("R6C",'Mapa final'!$O$48),"")</f>
        <v/>
      </c>
      <c r="O51" s="76" t="str">
        <f>IF(AND('Mapa final'!$Y$49="Muy Baja",'Mapa final'!$AA$49="Leve"),CONCATENATE("R6C",'Mapa final'!$O$49),"")</f>
        <v/>
      </c>
      <c r="P51" s="74" t="str">
        <f>IF(AND('Mapa final'!$Y$44="Muy Baja",'Mapa final'!$AA$44="Menor"),CONCATENATE("R6C",'Mapa final'!$O$44),"")</f>
        <v/>
      </c>
      <c r="Q51" s="75" t="str">
        <f>IF(AND('Mapa final'!$Y$45="Muy Baja",'Mapa final'!$AA$45="Menor"),CONCATENATE("R6C",'Mapa final'!$O$45),"")</f>
        <v/>
      </c>
      <c r="R51" s="75" t="str">
        <f>IF(AND('Mapa final'!$Y$46="Muy Baja",'Mapa final'!$AA$46="Menor"),CONCATENATE("R6C",'Mapa final'!$O$46),"")</f>
        <v/>
      </c>
      <c r="S51" s="75" t="str">
        <f>IF(AND('Mapa final'!$Y$47="Muy Baja",'Mapa final'!$AA$47="Menor"),CONCATENATE("R6C",'Mapa final'!$O$47),"")</f>
        <v/>
      </c>
      <c r="T51" s="75" t="str">
        <f>IF(AND('Mapa final'!$Y$48="Muy Baja",'Mapa final'!$AA$48="Menor"),CONCATENATE("R6C",'Mapa final'!$O$48),"")</f>
        <v/>
      </c>
      <c r="U51" s="76" t="str">
        <f>IF(AND('Mapa final'!$Y$49="Muy Baja",'Mapa final'!$AA$49="Menor"),CONCATENATE("R6C",'Mapa final'!$O$49),"")</f>
        <v/>
      </c>
      <c r="V51" s="65" t="str">
        <f>IF(AND('Mapa final'!$Y$44="Muy Baja",'Mapa final'!$AA$44="Moderado"),CONCATENATE("R6C",'Mapa final'!$O$44),"")</f>
        <v/>
      </c>
      <c r="W51" s="66" t="str">
        <f>IF(AND('Mapa final'!$Y$45="Muy Baja",'Mapa final'!$AA$45="Moderado"),CONCATENATE("R6C",'Mapa final'!$O$45),"")</f>
        <v/>
      </c>
      <c r="X51" s="66" t="str">
        <f>IF(AND('Mapa final'!$Y$46="Muy Baja",'Mapa final'!$AA$46="Moderado"),CONCATENATE("R6C",'Mapa final'!$O$46),"")</f>
        <v/>
      </c>
      <c r="Y51" s="66" t="str">
        <f>IF(AND('Mapa final'!$Y$47="Muy Baja",'Mapa final'!$AA$47="Moderado"),CONCATENATE("R6C",'Mapa final'!$O$47),"")</f>
        <v/>
      </c>
      <c r="Z51" s="66" t="str">
        <f>IF(AND('Mapa final'!$Y$48="Muy Baja",'Mapa final'!$AA$48="Moderado"),CONCATENATE("R6C",'Mapa final'!$O$48),"")</f>
        <v/>
      </c>
      <c r="AA51" s="67" t="str">
        <f>IF(AND('Mapa final'!$Y$49="Muy Baja",'Mapa final'!$AA$49="Moderado"),CONCATENATE("R6C",'Mapa final'!$O$49),"")</f>
        <v/>
      </c>
      <c r="AB51" s="50" t="str">
        <f>IF(AND('Mapa final'!$Y$44="Muy Baja",'Mapa final'!$AA$44="Mayor"),CONCATENATE("R6C",'Mapa final'!$O$44),"")</f>
        <v/>
      </c>
      <c r="AC51" s="51" t="str">
        <f>IF(AND('Mapa final'!$Y$45="Muy Baja",'Mapa final'!$AA$45="Mayor"),CONCATENATE("R6C",'Mapa final'!$O$45),"")</f>
        <v/>
      </c>
      <c r="AD51" s="51" t="str">
        <f>IF(AND('Mapa final'!$Y$46="Muy Baja",'Mapa final'!$AA$46="Mayor"),CONCATENATE("R6C",'Mapa final'!$O$46),"")</f>
        <v/>
      </c>
      <c r="AE51" s="51" t="str">
        <f>IF(AND('Mapa final'!$Y$47="Muy Baja",'Mapa final'!$AA$47="Mayor"),CONCATENATE("R6C",'Mapa final'!$O$47),"")</f>
        <v/>
      </c>
      <c r="AF51" s="51" t="str">
        <f>IF(AND('Mapa final'!$Y$48="Muy Baja",'Mapa final'!$AA$48="Mayor"),CONCATENATE("R6C",'Mapa final'!$O$48),"")</f>
        <v/>
      </c>
      <c r="AG51" s="52" t="str">
        <f>IF(AND('Mapa final'!$Y$49="Muy Baja",'Mapa final'!$AA$49="Mayor"),CONCATENATE("R6C",'Mapa final'!$O$49),"")</f>
        <v/>
      </c>
      <c r="AH51" s="53" t="str">
        <f>IF(AND('Mapa final'!$Y$44="Muy Baja",'Mapa final'!$AA$44="Catastrófico"),CONCATENATE("R6C",'Mapa final'!$O$44),"")</f>
        <v/>
      </c>
      <c r="AI51" s="54" t="str">
        <f>IF(AND('Mapa final'!$Y$45="Muy Baja",'Mapa final'!$AA$45="Catastrófico"),CONCATENATE("R6C",'Mapa final'!$O$45),"")</f>
        <v/>
      </c>
      <c r="AJ51" s="54" t="str">
        <f>IF(AND('Mapa final'!$Y$46="Muy Baja",'Mapa final'!$AA$46="Catastrófico"),CONCATENATE("R6C",'Mapa final'!$O$46),"")</f>
        <v/>
      </c>
      <c r="AK51" s="54" t="str">
        <f>IF(AND('Mapa final'!$Y$47="Muy Baja",'Mapa final'!$AA$47="Catastrófico"),CONCATENATE("R6C",'Mapa final'!$O$47),"")</f>
        <v/>
      </c>
      <c r="AL51" s="54" t="str">
        <f>IF(AND('Mapa final'!$Y$48="Muy Baja",'Mapa final'!$AA$48="Catastrófico"),CONCATENATE("R6C",'Mapa final'!$O$48),"")</f>
        <v/>
      </c>
      <c r="AM51" s="55" t="str">
        <f>IF(AND('Mapa final'!$Y$49="Muy Baja",'Mapa final'!$AA$49="Catastrófico"),CONCATENATE("R6C",'Mapa final'!$O$49),"")</f>
        <v/>
      </c>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ht="15" customHeight="1" x14ac:dyDescent="0.25">
      <c r="A52" s="81"/>
      <c r="B52" s="324"/>
      <c r="C52" s="324"/>
      <c r="D52" s="325"/>
      <c r="E52" s="423"/>
      <c r="F52" s="422"/>
      <c r="G52" s="422"/>
      <c r="H52" s="422"/>
      <c r="I52" s="438"/>
      <c r="J52" s="74" t="str">
        <f>IF(AND('Mapa final'!$Y$50="Muy Baja",'Mapa final'!$AA$50="Leve"),CONCATENATE("R7C",'Mapa final'!$O$50),"")</f>
        <v/>
      </c>
      <c r="K52" s="75" t="str">
        <f>IF(AND('Mapa final'!$Y$51="Muy Baja",'Mapa final'!$AA$51="Leve"),CONCATENATE("R7C",'Mapa final'!$O$51),"")</f>
        <v/>
      </c>
      <c r="L52" s="75" t="str">
        <f>IF(AND('Mapa final'!$Y$52="Muy Baja",'Mapa final'!$AA$52="Leve"),CONCATENATE("R7C",'Mapa final'!$O$52),"")</f>
        <v/>
      </c>
      <c r="M52" s="75" t="str">
        <f>IF(AND('Mapa final'!$Y$53="Muy Baja",'Mapa final'!$AA$53="Leve"),CONCATENATE("R7C",'Mapa final'!$O$53),"")</f>
        <v/>
      </c>
      <c r="N52" s="75" t="str">
        <f>IF(AND('Mapa final'!$Y$54="Muy Baja",'Mapa final'!$AA$54="Leve"),CONCATENATE("R7C",'Mapa final'!$O$54),"")</f>
        <v/>
      </c>
      <c r="O52" s="76" t="str">
        <f>IF(AND('Mapa final'!$Y$55="Muy Baja",'Mapa final'!$AA$55="Leve"),CONCATENATE("R7C",'Mapa final'!$O$55),"")</f>
        <v/>
      </c>
      <c r="P52" s="74" t="str">
        <f>IF(AND('Mapa final'!$Y$50="Muy Baja",'Mapa final'!$AA$50="Menor"),CONCATENATE("R7C",'Mapa final'!$O$50),"")</f>
        <v/>
      </c>
      <c r="Q52" s="75" t="str">
        <f>IF(AND('Mapa final'!$Y$51="Muy Baja",'Mapa final'!$AA$51="Menor"),CONCATENATE("R7C",'Mapa final'!$O$51),"")</f>
        <v/>
      </c>
      <c r="R52" s="75" t="str">
        <f>IF(AND('Mapa final'!$Y$52="Muy Baja",'Mapa final'!$AA$52="Menor"),CONCATENATE("R7C",'Mapa final'!$O$52),"")</f>
        <v/>
      </c>
      <c r="S52" s="75" t="str">
        <f>IF(AND('Mapa final'!$Y$53="Muy Baja",'Mapa final'!$AA$53="Menor"),CONCATENATE("R7C",'Mapa final'!$O$53),"")</f>
        <v/>
      </c>
      <c r="T52" s="75" t="str">
        <f>IF(AND('Mapa final'!$Y$54="Muy Baja",'Mapa final'!$AA$54="Menor"),CONCATENATE("R7C",'Mapa final'!$O$54),"")</f>
        <v/>
      </c>
      <c r="U52" s="76" t="str">
        <f>IF(AND('Mapa final'!$Y$55="Muy Baja",'Mapa final'!$AA$55="Menor"),CONCATENATE("R7C",'Mapa final'!$O$55),"")</f>
        <v/>
      </c>
      <c r="V52" s="65" t="str">
        <f>IF(AND('Mapa final'!$Y$50="Muy Baja",'Mapa final'!$AA$50="Moderado"),CONCATENATE("R7C",'Mapa final'!$O$50),"")</f>
        <v/>
      </c>
      <c r="W52" s="66" t="str">
        <f>IF(AND('Mapa final'!$Y$51="Muy Baja",'Mapa final'!$AA$51="Moderado"),CONCATENATE("R7C",'Mapa final'!$O$51),"")</f>
        <v/>
      </c>
      <c r="X52" s="66" t="str">
        <f>IF(AND('Mapa final'!$Y$52="Muy Baja",'Mapa final'!$AA$52="Moderado"),CONCATENATE("R7C",'Mapa final'!$O$52),"")</f>
        <v/>
      </c>
      <c r="Y52" s="66" t="str">
        <f>IF(AND('Mapa final'!$Y$53="Muy Baja",'Mapa final'!$AA$53="Moderado"),CONCATENATE("R7C",'Mapa final'!$O$53),"")</f>
        <v/>
      </c>
      <c r="Z52" s="66" t="str">
        <f>IF(AND('Mapa final'!$Y$54="Muy Baja",'Mapa final'!$AA$54="Moderado"),CONCATENATE("R7C",'Mapa final'!$O$54),"")</f>
        <v/>
      </c>
      <c r="AA52" s="67" t="str">
        <f>IF(AND('Mapa final'!$Y$55="Muy Baja",'Mapa final'!$AA$55="Moderado"),CONCATENATE("R7C",'Mapa final'!$O$55),"")</f>
        <v/>
      </c>
      <c r="AB52" s="50" t="str">
        <f>IF(AND('Mapa final'!$Y$50="Muy Baja",'Mapa final'!$AA$50="Mayor"),CONCATENATE("R7C",'Mapa final'!$O$50),"")</f>
        <v/>
      </c>
      <c r="AC52" s="51" t="str">
        <f>IF(AND('Mapa final'!$Y$51="Muy Baja",'Mapa final'!$AA$51="Mayor"),CONCATENATE("R7C",'Mapa final'!$O$51),"")</f>
        <v/>
      </c>
      <c r="AD52" s="51" t="str">
        <f>IF(AND('Mapa final'!$Y$52="Muy Baja",'Mapa final'!$AA$52="Mayor"),CONCATENATE("R7C",'Mapa final'!$O$52),"")</f>
        <v/>
      </c>
      <c r="AE52" s="51" t="str">
        <f>IF(AND('Mapa final'!$Y$53="Muy Baja",'Mapa final'!$AA$53="Mayor"),CONCATENATE("R7C",'Mapa final'!$O$53),"")</f>
        <v/>
      </c>
      <c r="AF52" s="51" t="str">
        <f>IF(AND('Mapa final'!$Y$54="Muy Baja",'Mapa final'!$AA$54="Mayor"),CONCATENATE("R7C",'Mapa final'!$O$54),"")</f>
        <v/>
      </c>
      <c r="AG52" s="52" t="str">
        <f>IF(AND('Mapa final'!$Y$55="Muy Baja",'Mapa final'!$AA$55="Mayor"),CONCATENATE("R7C",'Mapa final'!$O$55),"")</f>
        <v/>
      </c>
      <c r="AH52" s="53" t="str">
        <f>IF(AND('Mapa final'!$Y$50="Muy Baja",'Mapa final'!$AA$50="Catastrófico"),CONCATENATE("R7C",'Mapa final'!$O$50),"")</f>
        <v/>
      </c>
      <c r="AI52" s="54" t="str">
        <f>IF(AND('Mapa final'!$Y$51="Muy Baja",'Mapa final'!$AA$51="Catastrófico"),CONCATENATE("R7C",'Mapa final'!$O$51),"")</f>
        <v/>
      </c>
      <c r="AJ52" s="54" t="str">
        <f>IF(AND('Mapa final'!$Y$52="Muy Baja",'Mapa final'!$AA$52="Catastrófico"),CONCATENATE("R7C",'Mapa final'!$O$52),"")</f>
        <v/>
      </c>
      <c r="AK52" s="54" t="str">
        <f>IF(AND('Mapa final'!$Y$53="Muy Baja",'Mapa final'!$AA$53="Catastrófico"),CONCATENATE("R7C",'Mapa final'!$O$53),"")</f>
        <v/>
      </c>
      <c r="AL52" s="54" t="str">
        <f>IF(AND('Mapa final'!$Y$54="Muy Baja",'Mapa final'!$AA$54="Catastrófico"),CONCATENATE("R7C",'Mapa final'!$O$54),"")</f>
        <v/>
      </c>
      <c r="AM52" s="55" t="str">
        <f>IF(AND('Mapa final'!$Y$55="Muy Baja",'Mapa final'!$AA$55="Catastrófico"),CONCATENATE("R7C",'Mapa final'!$O$55),"")</f>
        <v/>
      </c>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324"/>
      <c r="C53" s="324"/>
      <c r="D53" s="325"/>
      <c r="E53" s="423"/>
      <c r="F53" s="422"/>
      <c r="G53" s="422"/>
      <c r="H53" s="422"/>
      <c r="I53" s="438"/>
      <c r="J53" s="74" t="str">
        <f>IF(AND('Mapa final'!$Y$56="Muy Baja",'Mapa final'!$AA$56="Leve"),CONCATENATE("R8C",'Mapa final'!$O$56),"")</f>
        <v/>
      </c>
      <c r="K53" s="75" t="str">
        <f>IF(AND('Mapa final'!$Y$57="Muy Baja",'Mapa final'!$AA$57="Leve"),CONCATENATE("R8C",'Mapa final'!$O$57),"")</f>
        <v/>
      </c>
      <c r="L53" s="75" t="str">
        <f>IF(AND('Mapa final'!$Y$58="Muy Baja",'Mapa final'!$AA$58="Leve"),CONCATENATE("R8C",'Mapa final'!$O$58),"")</f>
        <v/>
      </c>
      <c r="M53" s="75" t="str">
        <f>IF(AND('Mapa final'!$Y$59="Muy Baja",'Mapa final'!$AA$59="Leve"),CONCATENATE("R8C",'Mapa final'!$O$59),"")</f>
        <v/>
      </c>
      <c r="N53" s="75" t="str">
        <f>IF(AND('Mapa final'!$Y$60="Muy Baja",'Mapa final'!$AA$60="Leve"),CONCATENATE("R8C",'Mapa final'!$O$60),"")</f>
        <v/>
      </c>
      <c r="O53" s="76" t="str">
        <f>IF(AND('Mapa final'!$Y$61="Muy Baja",'Mapa final'!$AA$61="Leve"),CONCATENATE("R8C",'Mapa final'!$O$61),"")</f>
        <v/>
      </c>
      <c r="P53" s="74" t="str">
        <f>IF(AND('Mapa final'!$Y$56="Muy Baja",'Mapa final'!$AA$56="Menor"),CONCATENATE("R8C",'Mapa final'!$O$56),"")</f>
        <v/>
      </c>
      <c r="Q53" s="75" t="str">
        <f>IF(AND('Mapa final'!$Y$57="Muy Baja",'Mapa final'!$AA$57="Menor"),CONCATENATE("R8C",'Mapa final'!$O$57),"")</f>
        <v/>
      </c>
      <c r="R53" s="75" t="str">
        <f>IF(AND('Mapa final'!$Y$58="Muy Baja",'Mapa final'!$AA$58="Menor"),CONCATENATE("R8C",'Mapa final'!$O$58),"")</f>
        <v/>
      </c>
      <c r="S53" s="75" t="str">
        <f>IF(AND('Mapa final'!$Y$59="Muy Baja",'Mapa final'!$AA$59="Menor"),CONCATENATE("R8C",'Mapa final'!$O$59),"")</f>
        <v/>
      </c>
      <c r="T53" s="75" t="str">
        <f>IF(AND('Mapa final'!$Y$60="Muy Baja",'Mapa final'!$AA$60="Menor"),CONCATENATE("R8C",'Mapa final'!$O$60),"")</f>
        <v/>
      </c>
      <c r="U53" s="76" t="str">
        <f>IF(AND('Mapa final'!$Y$61="Muy Baja",'Mapa final'!$AA$61="Menor"),CONCATENATE("R8C",'Mapa final'!$O$61),"")</f>
        <v/>
      </c>
      <c r="V53" s="65" t="str">
        <f>IF(AND('Mapa final'!$Y$56="Muy Baja",'Mapa final'!$AA$56="Moderado"),CONCATENATE("R8C",'Mapa final'!$O$56),"")</f>
        <v/>
      </c>
      <c r="W53" s="66" t="str">
        <f>IF(AND('Mapa final'!$Y$57="Muy Baja",'Mapa final'!$AA$57="Moderado"),CONCATENATE("R8C",'Mapa final'!$O$57),"")</f>
        <v/>
      </c>
      <c r="X53" s="66" t="str">
        <f>IF(AND('Mapa final'!$Y$58="Muy Baja",'Mapa final'!$AA$58="Moderado"),CONCATENATE("R8C",'Mapa final'!$O$58),"")</f>
        <v/>
      </c>
      <c r="Y53" s="66" t="str">
        <f>IF(AND('Mapa final'!$Y$59="Muy Baja",'Mapa final'!$AA$59="Moderado"),CONCATENATE("R8C",'Mapa final'!$O$59),"")</f>
        <v/>
      </c>
      <c r="Z53" s="66" t="str">
        <f>IF(AND('Mapa final'!$Y$60="Muy Baja",'Mapa final'!$AA$60="Moderado"),CONCATENATE("R8C",'Mapa final'!$O$60),"")</f>
        <v/>
      </c>
      <c r="AA53" s="67" t="str">
        <f>IF(AND('Mapa final'!$Y$61="Muy Baja",'Mapa final'!$AA$61="Moderado"),CONCATENATE("R8C",'Mapa final'!$O$61),"")</f>
        <v/>
      </c>
      <c r="AB53" s="50" t="str">
        <f>IF(AND('Mapa final'!$Y$56="Muy Baja",'Mapa final'!$AA$56="Mayor"),CONCATENATE("R8C",'Mapa final'!$O$56),"")</f>
        <v/>
      </c>
      <c r="AC53" s="51" t="str">
        <f>IF(AND('Mapa final'!$Y$57="Muy Baja",'Mapa final'!$AA$57="Mayor"),CONCATENATE("R8C",'Mapa final'!$O$57),"")</f>
        <v/>
      </c>
      <c r="AD53" s="51" t="str">
        <f>IF(AND('Mapa final'!$Y$58="Muy Baja",'Mapa final'!$AA$58="Mayor"),CONCATENATE("R8C",'Mapa final'!$O$58),"")</f>
        <v/>
      </c>
      <c r="AE53" s="51" t="str">
        <f>IF(AND('Mapa final'!$Y$59="Muy Baja",'Mapa final'!$AA$59="Mayor"),CONCATENATE("R8C",'Mapa final'!$O$59),"")</f>
        <v/>
      </c>
      <c r="AF53" s="51" t="str">
        <f>IF(AND('Mapa final'!$Y$60="Muy Baja",'Mapa final'!$AA$60="Mayor"),CONCATENATE("R8C",'Mapa final'!$O$60),"")</f>
        <v/>
      </c>
      <c r="AG53" s="52" t="str">
        <f>IF(AND('Mapa final'!$Y$61="Muy Baja",'Mapa final'!$AA$61="Mayor"),CONCATENATE("R8C",'Mapa final'!$O$61),"")</f>
        <v/>
      </c>
      <c r="AH53" s="53" t="str">
        <f>IF(AND('Mapa final'!$Y$56="Muy Baja",'Mapa final'!$AA$56="Catastrófico"),CONCATENATE("R8C",'Mapa final'!$O$56),"")</f>
        <v/>
      </c>
      <c r="AI53" s="54" t="str">
        <f>IF(AND('Mapa final'!$Y$57="Muy Baja",'Mapa final'!$AA$57="Catastrófico"),CONCATENATE("R8C",'Mapa final'!$O$57),"")</f>
        <v/>
      </c>
      <c r="AJ53" s="54" t="str">
        <f>IF(AND('Mapa final'!$Y$58="Muy Baja",'Mapa final'!$AA$58="Catastrófico"),CONCATENATE("R8C",'Mapa final'!$O$58),"")</f>
        <v/>
      </c>
      <c r="AK53" s="54" t="str">
        <f>IF(AND('Mapa final'!$Y$59="Muy Baja",'Mapa final'!$AA$59="Catastrófico"),CONCATENATE("R8C",'Mapa final'!$O$59),"")</f>
        <v/>
      </c>
      <c r="AL53" s="54" t="str">
        <f>IF(AND('Mapa final'!$Y$60="Muy Baja",'Mapa final'!$AA$60="Catastrófico"),CONCATENATE("R8C",'Mapa final'!$O$60),"")</f>
        <v/>
      </c>
      <c r="AM53" s="55" t="str">
        <f>IF(AND('Mapa final'!$Y$61="Muy Baja",'Mapa final'!$AA$61="Catastrófico"),CONCATENATE("R8C",'Mapa final'!$O$61),"")</f>
        <v/>
      </c>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324"/>
      <c r="C54" s="324"/>
      <c r="D54" s="325"/>
      <c r="E54" s="423"/>
      <c r="F54" s="422"/>
      <c r="G54" s="422"/>
      <c r="H54" s="422"/>
      <c r="I54" s="438"/>
      <c r="J54" s="74" t="str">
        <f>IF(AND('Mapa final'!$Y$62="Muy Baja",'Mapa final'!$AA$62="Leve"),CONCATENATE("R9C",'Mapa final'!$O$62),"")</f>
        <v/>
      </c>
      <c r="K54" s="75" t="str">
        <f>IF(AND('Mapa final'!$Y$63="Muy Baja",'Mapa final'!$AA$63="Leve"),CONCATENATE("R9C",'Mapa final'!$O$63),"")</f>
        <v/>
      </c>
      <c r="L54" s="75" t="str">
        <f>IF(AND('Mapa final'!$Y$64="Muy Baja",'Mapa final'!$AA$64="Leve"),CONCATENATE("R9C",'Mapa final'!$O$64),"")</f>
        <v/>
      </c>
      <c r="M54" s="75" t="str">
        <f>IF(AND('Mapa final'!$Y$65="Muy Baja",'Mapa final'!$AA$65="Leve"),CONCATENATE("R9C",'Mapa final'!$O$65),"")</f>
        <v/>
      </c>
      <c r="N54" s="75" t="str">
        <f>IF(AND('Mapa final'!$Y$66="Muy Baja",'Mapa final'!$AA$66="Leve"),CONCATENATE("R9C",'Mapa final'!$O$66),"")</f>
        <v/>
      </c>
      <c r="O54" s="76" t="str">
        <f>IF(AND('Mapa final'!$Y$67="Muy Baja",'Mapa final'!$AA$67="Leve"),CONCATENATE("R9C",'Mapa final'!$O$67),"")</f>
        <v/>
      </c>
      <c r="P54" s="74" t="str">
        <f>IF(AND('Mapa final'!$Y$62="Muy Baja",'Mapa final'!$AA$62="Menor"),CONCATENATE("R9C",'Mapa final'!$O$62),"")</f>
        <v/>
      </c>
      <c r="Q54" s="75" t="str">
        <f>IF(AND('Mapa final'!$Y$63="Muy Baja",'Mapa final'!$AA$63="Menor"),CONCATENATE("R9C",'Mapa final'!$O$63),"")</f>
        <v/>
      </c>
      <c r="R54" s="75" t="str">
        <f>IF(AND('Mapa final'!$Y$64="Muy Baja",'Mapa final'!$AA$64="Menor"),CONCATENATE("R9C",'Mapa final'!$O$64),"")</f>
        <v/>
      </c>
      <c r="S54" s="75" t="str">
        <f>IF(AND('Mapa final'!$Y$65="Muy Baja",'Mapa final'!$AA$65="Menor"),CONCATENATE("R9C",'Mapa final'!$O$65),"")</f>
        <v/>
      </c>
      <c r="T54" s="75" t="str">
        <f>IF(AND('Mapa final'!$Y$66="Muy Baja",'Mapa final'!$AA$66="Menor"),CONCATENATE("R9C",'Mapa final'!$O$66),"")</f>
        <v/>
      </c>
      <c r="U54" s="76" t="str">
        <f>IF(AND('Mapa final'!$Y$67="Muy Baja",'Mapa final'!$AA$67="Menor"),CONCATENATE("R9C",'Mapa final'!$O$67),"")</f>
        <v/>
      </c>
      <c r="V54" s="65" t="str">
        <f>IF(AND('Mapa final'!$Y$62="Muy Baja",'Mapa final'!$AA$62="Moderado"),CONCATENATE("R9C",'Mapa final'!$O$62),"")</f>
        <v/>
      </c>
      <c r="W54" s="66" t="str">
        <f>IF(AND('Mapa final'!$Y$63="Muy Baja",'Mapa final'!$AA$63="Moderado"),CONCATENATE("R9C",'Mapa final'!$O$63),"")</f>
        <v/>
      </c>
      <c r="X54" s="66" t="str">
        <f>IF(AND('Mapa final'!$Y$64="Muy Baja",'Mapa final'!$AA$64="Moderado"),CONCATENATE("R9C",'Mapa final'!$O$64),"")</f>
        <v/>
      </c>
      <c r="Y54" s="66" t="str">
        <f>IF(AND('Mapa final'!$Y$65="Muy Baja",'Mapa final'!$AA$65="Moderado"),CONCATENATE("R9C",'Mapa final'!$O$65),"")</f>
        <v/>
      </c>
      <c r="Z54" s="66" t="str">
        <f>IF(AND('Mapa final'!$Y$66="Muy Baja",'Mapa final'!$AA$66="Moderado"),CONCATENATE("R9C",'Mapa final'!$O$66),"")</f>
        <v/>
      </c>
      <c r="AA54" s="67" t="str">
        <f>IF(AND('Mapa final'!$Y$67="Muy Baja",'Mapa final'!$AA$67="Moderado"),CONCATENATE("R9C",'Mapa final'!$O$67),"")</f>
        <v/>
      </c>
      <c r="AB54" s="50" t="str">
        <f>IF(AND('Mapa final'!$Y$62="Muy Baja",'Mapa final'!$AA$62="Mayor"),CONCATENATE("R9C",'Mapa final'!$O$62),"")</f>
        <v/>
      </c>
      <c r="AC54" s="51" t="str">
        <f>IF(AND('Mapa final'!$Y$63="Muy Baja",'Mapa final'!$AA$63="Mayor"),CONCATENATE("R9C",'Mapa final'!$O$63),"")</f>
        <v/>
      </c>
      <c r="AD54" s="51" t="str">
        <f>IF(AND('Mapa final'!$Y$64="Muy Baja",'Mapa final'!$AA$64="Mayor"),CONCATENATE("R9C",'Mapa final'!$O$64),"")</f>
        <v/>
      </c>
      <c r="AE54" s="51" t="str">
        <f>IF(AND('Mapa final'!$Y$65="Muy Baja",'Mapa final'!$AA$65="Mayor"),CONCATENATE("R9C",'Mapa final'!$O$65),"")</f>
        <v/>
      </c>
      <c r="AF54" s="51" t="str">
        <f>IF(AND('Mapa final'!$Y$66="Muy Baja",'Mapa final'!$AA$66="Mayor"),CONCATENATE("R9C",'Mapa final'!$O$66),"")</f>
        <v/>
      </c>
      <c r="AG54" s="52" t="str">
        <f>IF(AND('Mapa final'!$Y$67="Muy Baja",'Mapa final'!$AA$67="Mayor"),CONCATENATE("R9C",'Mapa final'!$O$67),"")</f>
        <v/>
      </c>
      <c r="AH54" s="53" t="str">
        <f>IF(AND('Mapa final'!$Y$62="Muy Baja",'Mapa final'!$AA$62="Catastrófico"),CONCATENATE("R9C",'Mapa final'!$O$62),"")</f>
        <v/>
      </c>
      <c r="AI54" s="54" t="str">
        <f>IF(AND('Mapa final'!$Y$63="Muy Baja",'Mapa final'!$AA$63="Catastrófico"),CONCATENATE("R9C",'Mapa final'!$O$63),"")</f>
        <v/>
      </c>
      <c r="AJ54" s="54" t="str">
        <f>IF(AND('Mapa final'!$Y$64="Muy Baja",'Mapa final'!$AA$64="Catastrófico"),CONCATENATE("R9C",'Mapa final'!$O$64),"")</f>
        <v/>
      </c>
      <c r="AK54" s="54" t="str">
        <f>IF(AND('Mapa final'!$Y$65="Muy Baja",'Mapa final'!$AA$65="Catastrófico"),CONCATENATE("R9C",'Mapa final'!$O$65),"")</f>
        <v/>
      </c>
      <c r="AL54" s="54" t="str">
        <f>IF(AND('Mapa final'!$Y$66="Muy Baja",'Mapa final'!$AA$66="Catastrófico"),CONCATENATE("R9C",'Mapa final'!$O$66),"")</f>
        <v/>
      </c>
      <c r="AM54" s="55" t="str">
        <f>IF(AND('Mapa final'!$Y$67="Muy Baja",'Mapa final'!$AA$67="Catastrófico"),CONCATENATE("R9C",'Mapa final'!$O$67),"")</f>
        <v/>
      </c>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ht="15.75" customHeight="1" thickBot="1" x14ac:dyDescent="0.3">
      <c r="A55" s="81"/>
      <c r="B55" s="324"/>
      <c r="C55" s="324"/>
      <c r="D55" s="325"/>
      <c r="E55" s="424"/>
      <c r="F55" s="425"/>
      <c r="G55" s="425"/>
      <c r="H55" s="425"/>
      <c r="I55" s="439"/>
      <c r="J55" s="77" t="str">
        <f>IF(AND('Mapa final'!$Y$68="Muy Baja",'Mapa final'!$AA$68="Leve"),CONCATENATE("R10C",'Mapa final'!$O$68),"")</f>
        <v/>
      </c>
      <c r="K55" s="78" t="str">
        <f>IF(AND('Mapa final'!$Y$69="Muy Baja",'Mapa final'!$AA$69="Leve"),CONCATENATE("R10C",'Mapa final'!$O$69),"")</f>
        <v/>
      </c>
      <c r="L55" s="78" t="str">
        <f>IF(AND('Mapa final'!$Y$70="Muy Baja",'Mapa final'!$AA$70="Leve"),CONCATENATE("R10C",'Mapa final'!$O$70),"")</f>
        <v/>
      </c>
      <c r="M55" s="78" t="str">
        <f>IF(AND('Mapa final'!$Y$71="Muy Baja",'Mapa final'!$AA$71="Leve"),CONCATENATE("R10C",'Mapa final'!$O$71),"")</f>
        <v/>
      </c>
      <c r="N55" s="78" t="str">
        <f>IF(AND('Mapa final'!$Y$72="Muy Baja",'Mapa final'!$AA$72="Leve"),CONCATENATE("R10C",'Mapa final'!$O$72),"")</f>
        <v/>
      </c>
      <c r="O55" s="79" t="str">
        <f>IF(AND('Mapa final'!$Y$73="Muy Baja",'Mapa final'!$AA$73="Leve"),CONCATENATE("R10C",'Mapa final'!$O$73),"")</f>
        <v/>
      </c>
      <c r="P55" s="77" t="str">
        <f>IF(AND('Mapa final'!$Y$68="Muy Baja",'Mapa final'!$AA$68="Menor"),CONCATENATE("R10C",'Mapa final'!$O$68),"")</f>
        <v/>
      </c>
      <c r="Q55" s="78" t="str">
        <f>IF(AND('Mapa final'!$Y$69="Muy Baja",'Mapa final'!$AA$69="Menor"),CONCATENATE("R10C",'Mapa final'!$O$69),"")</f>
        <v/>
      </c>
      <c r="R55" s="78" t="str">
        <f>IF(AND('Mapa final'!$Y$70="Muy Baja",'Mapa final'!$AA$70="Menor"),CONCATENATE("R10C",'Mapa final'!$O$70),"")</f>
        <v/>
      </c>
      <c r="S55" s="78" t="str">
        <f>IF(AND('Mapa final'!$Y$71="Muy Baja",'Mapa final'!$AA$71="Menor"),CONCATENATE("R10C",'Mapa final'!$O$71),"")</f>
        <v/>
      </c>
      <c r="T55" s="78" t="str">
        <f>IF(AND('Mapa final'!$Y$72="Muy Baja",'Mapa final'!$AA$72="Menor"),CONCATENATE("R10C",'Mapa final'!$O$72),"")</f>
        <v/>
      </c>
      <c r="U55" s="79" t="str">
        <f>IF(AND('Mapa final'!$Y$73="Muy Baja",'Mapa final'!$AA$73="Menor"),CONCATENATE("R10C",'Mapa final'!$O$73),"")</f>
        <v/>
      </c>
      <c r="V55" s="68" t="str">
        <f>IF(AND('Mapa final'!$Y$68="Muy Baja",'Mapa final'!$AA$68="Moderado"),CONCATENATE("R10C",'Mapa final'!$O$68),"")</f>
        <v/>
      </c>
      <c r="W55" s="69" t="str">
        <f>IF(AND('Mapa final'!$Y$69="Muy Baja",'Mapa final'!$AA$69="Moderado"),CONCATENATE("R10C",'Mapa final'!$O$69),"")</f>
        <v/>
      </c>
      <c r="X55" s="69" t="str">
        <f>IF(AND('Mapa final'!$Y$70="Muy Baja",'Mapa final'!$AA$70="Moderado"),CONCATENATE("R10C",'Mapa final'!$O$70),"")</f>
        <v/>
      </c>
      <c r="Y55" s="69" t="str">
        <f>IF(AND('Mapa final'!$Y$71="Muy Baja",'Mapa final'!$AA$71="Moderado"),CONCATENATE("R10C",'Mapa final'!$O$71),"")</f>
        <v/>
      </c>
      <c r="Z55" s="69" t="str">
        <f>IF(AND('Mapa final'!$Y$72="Muy Baja",'Mapa final'!$AA$72="Moderado"),CONCATENATE("R10C",'Mapa final'!$O$72),"")</f>
        <v/>
      </c>
      <c r="AA55" s="70" t="str">
        <f>IF(AND('Mapa final'!$Y$73="Muy Baja",'Mapa final'!$AA$73="Moderado"),CONCATENATE("R10C",'Mapa final'!$O$73),"")</f>
        <v/>
      </c>
      <c r="AB55" s="56" t="str">
        <f>IF(AND('Mapa final'!$Y$68="Muy Baja",'Mapa final'!$AA$68="Mayor"),CONCATENATE("R10C",'Mapa final'!$O$68),"")</f>
        <v/>
      </c>
      <c r="AC55" s="57" t="str">
        <f>IF(AND('Mapa final'!$Y$69="Muy Baja",'Mapa final'!$AA$69="Mayor"),CONCATENATE("R10C",'Mapa final'!$O$69),"")</f>
        <v/>
      </c>
      <c r="AD55" s="57" t="str">
        <f>IF(AND('Mapa final'!$Y$70="Muy Baja",'Mapa final'!$AA$70="Mayor"),CONCATENATE("R10C",'Mapa final'!$O$70),"")</f>
        <v/>
      </c>
      <c r="AE55" s="57" t="str">
        <f>IF(AND('Mapa final'!$Y$71="Muy Baja",'Mapa final'!$AA$71="Mayor"),CONCATENATE("R10C",'Mapa final'!$O$71),"")</f>
        <v/>
      </c>
      <c r="AF55" s="57" t="str">
        <f>IF(AND('Mapa final'!$Y$72="Muy Baja",'Mapa final'!$AA$72="Mayor"),CONCATENATE("R10C",'Mapa final'!$O$72),"")</f>
        <v/>
      </c>
      <c r="AG55" s="58" t="str">
        <f>IF(AND('Mapa final'!$Y$73="Muy Baja",'Mapa final'!$AA$73="Mayor"),CONCATENATE("R10C",'Mapa final'!$O$73),"")</f>
        <v/>
      </c>
      <c r="AH55" s="59" t="str">
        <f>IF(AND('Mapa final'!$Y$68="Muy Baja",'Mapa final'!$AA$68="Catastrófico"),CONCATENATE("R10C",'Mapa final'!$O$68),"")</f>
        <v/>
      </c>
      <c r="AI55" s="60" t="str">
        <f>IF(AND('Mapa final'!$Y$69="Muy Baja",'Mapa final'!$AA$69="Catastrófico"),CONCATENATE("R10C",'Mapa final'!$O$69),"")</f>
        <v/>
      </c>
      <c r="AJ55" s="60" t="str">
        <f>IF(AND('Mapa final'!$Y$70="Muy Baja",'Mapa final'!$AA$70="Catastrófico"),CONCATENATE("R10C",'Mapa final'!$O$70),"")</f>
        <v/>
      </c>
      <c r="AK55" s="60" t="str">
        <f>IF(AND('Mapa final'!$Y$71="Muy Baja",'Mapa final'!$AA$71="Catastrófico"),CONCATENATE("R10C",'Mapa final'!$O$71),"")</f>
        <v/>
      </c>
      <c r="AL55" s="60" t="str">
        <f>IF(AND('Mapa final'!$Y$72="Muy Baja",'Mapa final'!$AA$72="Catastrófico"),CONCATENATE("R10C",'Mapa final'!$O$72),"")</f>
        <v/>
      </c>
      <c r="AM55" s="61" t="str">
        <f>IF(AND('Mapa final'!$Y$73="Muy Baja",'Mapa final'!$AA$73="Catastrófico"),CONCATENATE("R10C",'Mapa final'!$O$73),"")</f>
        <v/>
      </c>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419" t="s">
        <v>101</v>
      </c>
      <c r="K56" s="420"/>
      <c r="L56" s="420"/>
      <c r="M56" s="420"/>
      <c r="N56" s="420"/>
      <c r="O56" s="437"/>
      <c r="P56" s="419" t="s">
        <v>102</v>
      </c>
      <c r="Q56" s="420"/>
      <c r="R56" s="420"/>
      <c r="S56" s="420"/>
      <c r="T56" s="420"/>
      <c r="U56" s="437"/>
      <c r="V56" s="419" t="s">
        <v>103</v>
      </c>
      <c r="W56" s="420"/>
      <c r="X56" s="420"/>
      <c r="Y56" s="420"/>
      <c r="Z56" s="420"/>
      <c r="AA56" s="437"/>
      <c r="AB56" s="419" t="s">
        <v>104</v>
      </c>
      <c r="AC56" s="458"/>
      <c r="AD56" s="420"/>
      <c r="AE56" s="420"/>
      <c r="AF56" s="420"/>
      <c r="AG56" s="437"/>
      <c r="AH56" s="419" t="s">
        <v>105</v>
      </c>
      <c r="AI56" s="420"/>
      <c r="AJ56" s="420"/>
      <c r="AK56" s="420"/>
      <c r="AL56" s="420"/>
      <c r="AM56" s="437"/>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423"/>
      <c r="K57" s="422"/>
      <c r="L57" s="422"/>
      <c r="M57" s="422"/>
      <c r="N57" s="422"/>
      <c r="O57" s="438"/>
      <c r="P57" s="423"/>
      <c r="Q57" s="422"/>
      <c r="R57" s="422"/>
      <c r="S57" s="422"/>
      <c r="T57" s="422"/>
      <c r="U57" s="438"/>
      <c r="V57" s="423"/>
      <c r="W57" s="422"/>
      <c r="X57" s="422"/>
      <c r="Y57" s="422"/>
      <c r="Z57" s="422"/>
      <c r="AA57" s="438"/>
      <c r="AB57" s="423"/>
      <c r="AC57" s="422"/>
      <c r="AD57" s="422"/>
      <c r="AE57" s="422"/>
      <c r="AF57" s="422"/>
      <c r="AG57" s="438"/>
      <c r="AH57" s="423"/>
      <c r="AI57" s="422"/>
      <c r="AJ57" s="422"/>
      <c r="AK57" s="422"/>
      <c r="AL57" s="422"/>
      <c r="AM57" s="438"/>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423"/>
      <c r="K58" s="422"/>
      <c r="L58" s="422"/>
      <c r="M58" s="422"/>
      <c r="N58" s="422"/>
      <c r="O58" s="438"/>
      <c r="P58" s="423"/>
      <c r="Q58" s="422"/>
      <c r="R58" s="422"/>
      <c r="S58" s="422"/>
      <c r="T58" s="422"/>
      <c r="U58" s="438"/>
      <c r="V58" s="423"/>
      <c r="W58" s="422"/>
      <c r="X58" s="422"/>
      <c r="Y58" s="422"/>
      <c r="Z58" s="422"/>
      <c r="AA58" s="438"/>
      <c r="AB58" s="423"/>
      <c r="AC58" s="422"/>
      <c r="AD58" s="422"/>
      <c r="AE58" s="422"/>
      <c r="AF58" s="422"/>
      <c r="AG58" s="438"/>
      <c r="AH58" s="423"/>
      <c r="AI58" s="422"/>
      <c r="AJ58" s="422"/>
      <c r="AK58" s="422"/>
      <c r="AL58" s="422"/>
      <c r="AM58" s="438"/>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423"/>
      <c r="K59" s="422"/>
      <c r="L59" s="422"/>
      <c r="M59" s="422"/>
      <c r="N59" s="422"/>
      <c r="O59" s="438"/>
      <c r="P59" s="423"/>
      <c r="Q59" s="422"/>
      <c r="R59" s="422"/>
      <c r="S59" s="422"/>
      <c r="T59" s="422"/>
      <c r="U59" s="438"/>
      <c r="V59" s="423"/>
      <c r="W59" s="422"/>
      <c r="X59" s="422"/>
      <c r="Y59" s="422"/>
      <c r="Z59" s="422"/>
      <c r="AA59" s="438"/>
      <c r="AB59" s="423"/>
      <c r="AC59" s="422"/>
      <c r="AD59" s="422"/>
      <c r="AE59" s="422"/>
      <c r="AF59" s="422"/>
      <c r="AG59" s="438"/>
      <c r="AH59" s="423"/>
      <c r="AI59" s="422"/>
      <c r="AJ59" s="422"/>
      <c r="AK59" s="422"/>
      <c r="AL59" s="422"/>
      <c r="AM59" s="438"/>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423"/>
      <c r="K60" s="422"/>
      <c r="L60" s="422"/>
      <c r="M60" s="422"/>
      <c r="N60" s="422"/>
      <c r="O60" s="438"/>
      <c r="P60" s="423"/>
      <c r="Q60" s="422"/>
      <c r="R60" s="422"/>
      <c r="S60" s="422"/>
      <c r="T60" s="422"/>
      <c r="U60" s="438"/>
      <c r="V60" s="423"/>
      <c r="W60" s="422"/>
      <c r="X60" s="422"/>
      <c r="Y60" s="422"/>
      <c r="Z60" s="422"/>
      <c r="AA60" s="438"/>
      <c r="AB60" s="423"/>
      <c r="AC60" s="422"/>
      <c r="AD60" s="422"/>
      <c r="AE60" s="422"/>
      <c r="AF60" s="422"/>
      <c r="AG60" s="438"/>
      <c r="AH60" s="423"/>
      <c r="AI60" s="422"/>
      <c r="AJ60" s="422"/>
      <c r="AK60" s="422"/>
      <c r="AL60" s="422"/>
      <c r="AM60" s="438"/>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ht="15.75" thickBot="1" x14ac:dyDescent="0.3">
      <c r="A61" s="81"/>
      <c r="B61" s="81"/>
      <c r="C61" s="81"/>
      <c r="D61" s="81"/>
      <c r="E61" s="81"/>
      <c r="F61" s="81"/>
      <c r="G61" s="81"/>
      <c r="H61" s="81"/>
      <c r="I61" s="81"/>
      <c r="J61" s="424"/>
      <c r="K61" s="425"/>
      <c r="L61" s="425"/>
      <c r="M61" s="425"/>
      <c r="N61" s="425"/>
      <c r="O61" s="439"/>
      <c r="P61" s="424"/>
      <c r="Q61" s="425"/>
      <c r="R61" s="425"/>
      <c r="S61" s="425"/>
      <c r="T61" s="425"/>
      <c r="U61" s="439"/>
      <c r="V61" s="424"/>
      <c r="W61" s="425"/>
      <c r="X61" s="425"/>
      <c r="Y61" s="425"/>
      <c r="Z61" s="425"/>
      <c r="AA61" s="439"/>
      <c r="AB61" s="424"/>
      <c r="AC61" s="425"/>
      <c r="AD61" s="425"/>
      <c r="AE61" s="425"/>
      <c r="AF61" s="425"/>
      <c r="AG61" s="439"/>
      <c r="AH61" s="424"/>
      <c r="AI61" s="425"/>
      <c r="AJ61" s="425"/>
      <c r="AK61" s="425"/>
      <c r="AL61" s="425"/>
      <c r="AM61" s="439"/>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row>
    <row r="63" spans="1:80" ht="15" customHeight="1" x14ac:dyDescent="0.25">
      <c r="A63" s="81"/>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1"/>
      <c r="AV63" s="81"/>
      <c r="AW63" s="81"/>
      <c r="AX63" s="81"/>
      <c r="AY63" s="81"/>
      <c r="AZ63" s="81"/>
      <c r="BA63" s="81"/>
      <c r="BB63" s="81"/>
      <c r="BC63" s="81"/>
      <c r="BD63" s="81"/>
      <c r="BE63" s="81"/>
      <c r="BF63" s="81"/>
      <c r="BG63" s="81"/>
      <c r="BH63" s="81"/>
    </row>
    <row r="64" spans="1:80" ht="15" customHeight="1" x14ac:dyDescent="0.25">
      <c r="A64" s="81"/>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1"/>
      <c r="AV64" s="81"/>
      <c r="AW64" s="81"/>
      <c r="AX64" s="81"/>
      <c r="AY64" s="81"/>
      <c r="AZ64" s="81"/>
      <c r="BA64" s="81"/>
      <c r="BB64" s="81"/>
      <c r="BC64" s="81"/>
      <c r="BD64" s="81"/>
      <c r="BE64" s="81"/>
      <c r="BF64" s="81"/>
      <c r="BG64" s="81"/>
      <c r="BH64" s="81"/>
    </row>
    <row r="65" spans="1:6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row>
    <row r="66" spans="1:6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row>
    <row r="67" spans="1:6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row>
    <row r="68" spans="1:6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row>
    <row r="69" spans="1:6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row>
    <row r="70" spans="1:6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row>
    <row r="71" spans="1:6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row>
    <row r="72" spans="1:6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row>
    <row r="73" spans="1:6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row>
    <row r="74" spans="1:6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row>
    <row r="75" spans="1:6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row>
    <row r="76" spans="1:6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row>
    <row r="77" spans="1:6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row>
    <row r="78" spans="1:6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row>
    <row r="79" spans="1:6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row>
    <row r="81" spans="1:60"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row>
    <row r="82" spans="1:60"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row>
    <row r="83" spans="1:60"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row>
    <row r="84" spans="1:60"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row>
    <row r="85" spans="1:60"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row>
    <row r="86" spans="1:60"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row>
    <row r="87" spans="1:60"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row>
    <row r="88" spans="1:60"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row>
    <row r="89" spans="1:60"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row>
    <row r="90" spans="1:60"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row>
    <row r="91" spans="1:60"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row>
    <row r="92" spans="1:60"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row>
    <row r="93" spans="1:60"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row>
    <row r="94" spans="1:60"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row>
    <row r="95" spans="1:60"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row>
    <row r="96" spans="1:60"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row>
    <row r="97" spans="1:60"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row>
    <row r="98" spans="1:60"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row>
    <row r="99" spans="1:60"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row>
    <row r="100" spans="1:60"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row>
    <row r="101" spans="1:60"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row>
    <row r="102" spans="1:60"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row>
    <row r="103" spans="1:60"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row>
    <row r="104" spans="1:60"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row>
    <row r="105" spans="1:60"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row>
    <row r="106" spans="1:60"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row>
    <row r="107" spans="1:60"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row>
    <row r="108" spans="1:60"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row>
    <row r="109" spans="1:60"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row>
    <row r="110" spans="1:60"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row>
    <row r="111" spans="1:60"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row>
    <row r="112" spans="1:60"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row>
    <row r="113" spans="1:60"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row>
    <row r="114" spans="1:60"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row>
    <row r="115" spans="1:60"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row>
    <row r="116" spans="1:60"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row>
    <row r="117" spans="1:60"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row>
    <row r="118" spans="1:60"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row>
    <row r="119" spans="1:60"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row>
    <row r="120" spans="1:60"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row>
    <row r="121" spans="1:60"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row>
    <row r="122" spans="1:60"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row>
    <row r="123" spans="1:60"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row>
    <row r="124" spans="1:60"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row>
    <row r="125" spans="1:60" x14ac:dyDescent="0.25">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row>
    <row r="126" spans="1:60" x14ac:dyDescent="0.25">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row>
    <row r="127" spans="1:60"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row>
    <row r="128" spans="1:60" x14ac:dyDescent="0.25">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row>
    <row r="129" spans="1:60" x14ac:dyDescent="0.25">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row>
    <row r="130" spans="1:60" x14ac:dyDescent="0.25">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row>
    <row r="131" spans="1:60" x14ac:dyDescent="0.25">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row>
    <row r="132" spans="1:60" x14ac:dyDescent="0.25">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row>
    <row r="133" spans="1:60" x14ac:dyDescent="0.25">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row>
    <row r="134" spans="1:60" x14ac:dyDescent="0.25">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row>
    <row r="135" spans="1:60" x14ac:dyDescent="0.25">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row>
    <row r="136" spans="1:60" x14ac:dyDescent="0.25">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row>
    <row r="137" spans="1:60" x14ac:dyDescent="0.25">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row>
    <row r="138" spans="1:60" x14ac:dyDescent="0.25">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row>
    <row r="139" spans="1:60" x14ac:dyDescent="0.25">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row>
    <row r="140" spans="1:60" x14ac:dyDescent="0.25">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row>
    <row r="141" spans="1:60" x14ac:dyDescent="0.25">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row>
    <row r="142" spans="1:60" x14ac:dyDescent="0.25">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row>
    <row r="143" spans="1:60" x14ac:dyDescent="0.25">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row>
    <row r="144" spans="1:60" x14ac:dyDescent="0.25">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row>
    <row r="145" spans="1:60" x14ac:dyDescent="0.25">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row>
    <row r="146" spans="1:60" x14ac:dyDescent="0.25">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row>
    <row r="147" spans="1:60" x14ac:dyDescent="0.25">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row>
    <row r="148" spans="1:60"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row>
    <row r="149" spans="1:60" x14ac:dyDescent="0.25">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row>
    <row r="150" spans="1:60" x14ac:dyDescent="0.25">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row>
    <row r="151" spans="1:60" x14ac:dyDescent="0.25">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row>
    <row r="152" spans="1:60" x14ac:dyDescent="0.25">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row>
    <row r="153" spans="1:60" x14ac:dyDescent="0.25">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row>
    <row r="154" spans="1:60" x14ac:dyDescent="0.25">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row>
    <row r="155" spans="1:60" x14ac:dyDescent="0.25">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row>
    <row r="156" spans="1:60" x14ac:dyDescent="0.25">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row>
    <row r="157" spans="1:60" x14ac:dyDescent="0.25">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row>
    <row r="158" spans="1:60" x14ac:dyDescent="0.25">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row>
    <row r="159" spans="1:60" x14ac:dyDescent="0.25">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row>
    <row r="160" spans="1:60" x14ac:dyDescent="0.25">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row>
    <row r="161" spans="1:60" x14ac:dyDescent="0.25">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row>
    <row r="162" spans="1:60" x14ac:dyDescent="0.25">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row>
    <row r="163" spans="1:60" x14ac:dyDescent="0.25">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row>
    <row r="164" spans="1:60" x14ac:dyDescent="0.25">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row>
    <row r="165" spans="1:60" x14ac:dyDescent="0.25">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row>
    <row r="166" spans="1:60" x14ac:dyDescent="0.25">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row>
    <row r="167" spans="1:60" x14ac:dyDescent="0.25">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row>
    <row r="168" spans="1:60" x14ac:dyDescent="0.25">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row>
    <row r="169" spans="1:60" x14ac:dyDescent="0.25">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row>
    <row r="170" spans="1:60" x14ac:dyDescent="0.25">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row>
    <row r="171" spans="1:60" x14ac:dyDescent="0.25">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row>
    <row r="172" spans="1:60" x14ac:dyDescent="0.25">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row>
    <row r="173" spans="1:60" x14ac:dyDescent="0.25">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row>
    <row r="174" spans="1:60" x14ac:dyDescent="0.25">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row>
    <row r="175" spans="1:60" x14ac:dyDescent="0.25">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row>
    <row r="176" spans="1:60" x14ac:dyDescent="0.25">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row>
    <row r="177" spans="1:60" x14ac:dyDescent="0.25">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row>
    <row r="178" spans="1:60" x14ac:dyDescent="0.25">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row>
    <row r="179" spans="1:60" x14ac:dyDescent="0.25">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row>
    <row r="180" spans="1:60" x14ac:dyDescent="0.25">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row>
    <row r="181" spans="1:60" x14ac:dyDescent="0.25">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row>
    <row r="182" spans="1:60" x14ac:dyDescent="0.25">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row>
    <row r="183" spans="1:60" x14ac:dyDescent="0.25">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row>
    <row r="184" spans="1:60" x14ac:dyDescent="0.25">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row>
    <row r="185" spans="1:60" x14ac:dyDescent="0.25">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row>
    <row r="186" spans="1:60" x14ac:dyDescent="0.25">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row>
    <row r="187" spans="1:60" x14ac:dyDescent="0.25">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row>
    <row r="188" spans="1:60" x14ac:dyDescent="0.25">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row>
    <row r="189" spans="1:60" x14ac:dyDescent="0.25">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row>
    <row r="190" spans="1:60" x14ac:dyDescent="0.25">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row>
    <row r="191" spans="1:60" x14ac:dyDescent="0.25">
      <c r="A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row>
    <row r="192" spans="1:60" x14ac:dyDescent="0.25">
      <c r="A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row>
    <row r="193" spans="1:60" x14ac:dyDescent="0.25">
      <c r="A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row>
    <row r="194" spans="1:60" x14ac:dyDescent="0.25">
      <c r="A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row>
    <row r="195" spans="1:60" x14ac:dyDescent="0.25">
      <c r="A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row>
    <row r="196" spans="1:60" x14ac:dyDescent="0.25">
      <c r="A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row>
    <row r="197" spans="1:60" x14ac:dyDescent="0.25">
      <c r="A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row>
    <row r="198" spans="1:60" x14ac:dyDescent="0.25">
      <c r="A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row>
    <row r="199" spans="1:60" x14ac:dyDescent="0.25">
      <c r="A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row>
    <row r="200" spans="1:60" x14ac:dyDescent="0.25">
      <c r="A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row>
    <row r="201" spans="1:60" x14ac:dyDescent="0.25">
      <c r="A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row>
    <row r="202" spans="1:60" x14ac:dyDescent="0.25">
      <c r="A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row>
    <row r="203" spans="1:60" x14ac:dyDescent="0.25">
      <c r="A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row>
    <row r="204" spans="1:60" x14ac:dyDescent="0.25">
      <c r="A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row>
    <row r="205" spans="1:60" x14ac:dyDescent="0.25">
      <c r="A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row>
    <row r="206" spans="1:60" x14ac:dyDescent="0.25">
      <c r="A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row>
    <row r="207" spans="1:60" x14ac:dyDescent="0.25">
      <c r="A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row>
    <row r="208" spans="1:60" x14ac:dyDescent="0.25">
      <c r="A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row>
    <row r="209" spans="1:60" x14ac:dyDescent="0.25">
      <c r="A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row>
    <row r="210" spans="1:60" x14ac:dyDescent="0.25">
      <c r="A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row>
    <row r="211" spans="1:60" x14ac:dyDescent="0.25">
      <c r="A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row>
    <row r="212" spans="1:60" x14ac:dyDescent="0.25">
      <c r="A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row>
    <row r="213" spans="1:60" x14ac:dyDescent="0.25">
      <c r="A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row>
    <row r="214" spans="1:60" x14ac:dyDescent="0.25">
      <c r="A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row>
    <row r="215" spans="1:60" x14ac:dyDescent="0.25">
      <c r="A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row>
    <row r="216" spans="1:60" x14ac:dyDescent="0.25">
      <c r="A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row>
    <row r="217" spans="1:60" x14ac:dyDescent="0.25">
      <c r="A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row>
    <row r="218" spans="1:60" x14ac:dyDescent="0.25">
      <c r="A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row>
    <row r="219" spans="1:60" x14ac:dyDescent="0.25">
      <c r="A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row>
    <row r="220" spans="1:60" x14ac:dyDescent="0.25">
      <c r="A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row>
    <row r="221" spans="1:60" x14ac:dyDescent="0.25">
      <c r="A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row>
    <row r="222" spans="1:60" x14ac:dyDescent="0.25">
      <c r="A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row>
    <row r="223" spans="1:60" x14ac:dyDescent="0.25">
      <c r="A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row>
    <row r="224" spans="1:60" x14ac:dyDescent="0.25">
      <c r="A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row>
    <row r="225" spans="1:60" x14ac:dyDescent="0.25">
      <c r="A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row>
    <row r="226" spans="1:60" x14ac:dyDescent="0.25">
      <c r="A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row>
    <row r="227" spans="1:60" x14ac:dyDescent="0.25">
      <c r="A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row>
    <row r="228" spans="1:60" x14ac:dyDescent="0.25">
      <c r="A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row>
    <row r="229" spans="1:60" x14ac:dyDescent="0.25">
      <c r="A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row>
    <row r="230" spans="1:60" x14ac:dyDescent="0.25">
      <c r="A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row>
    <row r="231" spans="1:60" x14ac:dyDescent="0.25">
      <c r="A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row>
    <row r="232" spans="1:60" x14ac:dyDescent="0.25">
      <c r="A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row>
    <row r="233" spans="1:60" x14ac:dyDescent="0.25">
      <c r="A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row>
    <row r="234" spans="1:60" x14ac:dyDescent="0.25">
      <c r="A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row>
    <row r="235" spans="1:60" x14ac:dyDescent="0.25">
      <c r="A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row>
    <row r="236" spans="1:60" x14ac:dyDescent="0.25">
      <c r="A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row>
    <row r="237" spans="1:60" x14ac:dyDescent="0.25">
      <c r="A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81"/>
      <c r="BH237" s="81"/>
    </row>
    <row r="238" spans="1:60" x14ac:dyDescent="0.25">
      <c r="A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row>
    <row r="239" spans="1:60" x14ac:dyDescent="0.25">
      <c r="A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row>
    <row r="240" spans="1:60" x14ac:dyDescent="0.25">
      <c r="A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row>
    <row r="241" spans="1:60" x14ac:dyDescent="0.25">
      <c r="A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row>
    <row r="242" spans="1:60" x14ac:dyDescent="0.25">
      <c r="A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1"/>
    </row>
    <row r="243" spans="1:60" x14ac:dyDescent="0.25">
      <c r="A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row>
    <row r="244" spans="1:60" x14ac:dyDescent="0.25">
      <c r="A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row>
    <row r="245" spans="1:60" x14ac:dyDescent="0.25">
      <c r="A245" s="81"/>
    </row>
    <row r="246" spans="1:60" x14ac:dyDescent="0.25">
      <c r="A246" s="81"/>
    </row>
    <row r="247" spans="1:60" x14ac:dyDescent="0.25">
      <c r="A247" s="81"/>
    </row>
    <row r="248" spans="1:60" x14ac:dyDescent="0.25">
      <c r="A248" s="81"/>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7" sqref="C7"/>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1"/>
      <c r="B1" s="459" t="s">
        <v>107</v>
      </c>
      <c r="C1" s="459"/>
      <c r="D1" s="459"/>
      <c r="E1" s="81"/>
      <c r="F1" s="81"/>
      <c r="G1" s="81"/>
      <c r="H1" s="81"/>
      <c r="I1" s="81"/>
      <c r="J1" s="81"/>
      <c r="K1" s="81"/>
      <c r="L1" s="81"/>
      <c r="M1" s="81"/>
      <c r="N1" s="81"/>
      <c r="O1" s="81"/>
      <c r="P1" s="81"/>
      <c r="Q1" s="81"/>
      <c r="R1" s="81"/>
      <c r="S1" s="81"/>
      <c r="T1" s="81"/>
      <c r="U1" s="81"/>
      <c r="V1" s="81"/>
      <c r="W1" s="81"/>
      <c r="X1" s="81"/>
      <c r="Y1" s="81"/>
      <c r="Z1" s="81"/>
      <c r="AA1" s="81"/>
      <c r="AB1" s="81"/>
      <c r="AC1" s="81"/>
      <c r="AD1" s="81"/>
      <c r="AE1" s="81"/>
    </row>
    <row r="2" spans="1:37" x14ac:dyDescent="0.2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row>
    <row r="3" spans="1:37" ht="25.5" x14ac:dyDescent="0.25">
      <c r="A3" s="81"/>
      <c r="B3" s="10"/>
      <c r="C3" s="11" t="s">
        <v>108</v>
      </c>
      <c r="D3" s="11" t="s">
        <v>91</v>
      </c>
      <c r="E3" s="81"/>
      <c r="F3" s="81"/>
      <c r="G3" s="81"/>
      <c r="H3" s="81"/>
      <c r="I3" s="81"/>
      <c r="J3" s="81"/>
      <c r="K3" s="81"/>
      <c r="L3" s="81"/>
      <c r="M3" s="81"/>
      <c r="N3" s="81"/>
      <c r="O3" s="81"/>
      <c r="P3" s="81"/>
      <c r="Q3" s="81"/>
      <c r="R3" s="81"/>
      <c r="S3" s="81"/>
      <c r="T3" s="81"/>
      <c r="U3" s="81"/>
      <c r="V3" s="81"/>
      <c r="W3" s="81"/>
      <c r="X3" s="81"/>
      <c r="Y3" s="81"/>
      <c r="Z3" s="81"/>
      <c r="AA3" s="81"/>
      <c r="AB3" s="81"/>
      <c r="AC3" s="81"/>
      <c r="AD3" s="81"/>
      <c r="AE3" s="81"/>
    </row>
    <row r="4" spans="1:37" ht="51" x14ac:dyDescent="0.25">
      <c r="A4" s="81"/>
      <c r="B4" s="12" t="s">
        <v>109</v>
      </c>
      <c r="C4" s="13" t="s">
        <v>110</v>
      </c>
      <c r="D4" s="14">
        <v>0.2</v>
      </c>
      <c r="E4" s="81"/>
      <c r="F4" s="81"/>
      <c r="G4" s="81"/>
      <c r="H4" s="81"/>
      <c r="I4" s="81"/>
      <c r="J4" s="81"/>
      <c r="K4" s="81"/>
      <c r="L4" s="81"/>
      <c r="M4" s="81"/>
      <c r="N4" s="81"/>
      <c r="O4" s="81"/>
      <c r="P4" s="81"/>
      <c r="Q4" s="81"/>
      <c r="R4" s="81"/>
      <c r="S4" s="81"/>
      <c r="T4" s="81"/>
      <c r="U4" s="81"/>
      <c r="V4" s="81"/>
      <c r="W4" s="81"/>
      <c r="X4" s="81"/>
      <c r="Y4" s="81"/>
      <c r="Z4" s="81"/>
      <c r="AA4" s="81"/>
      <c r="AB4" s="81"/>
      <c r="AC4" s="81"/>
      <c r="AD4" s="81"/>
      <c r="AE4" s="81"/>
    </row>
    <row r="5" spans="1:37" ht="51" x14ac:dyDescent="0.25">
      <c r="A5" s="81"/>
      <c r="B5" s="15" t="s">
        <v>111</v>
      </c>
      <c r="C5" s="16" t="s">
        <v>112</v>
      </c>
      <c r="D5" s="17">
        <v>0.4</v>
      </c>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7" ht="51" x14ac:dyDescent="0.25">
      <c r="A6" s="81"/>
      <c r="B6" s="18" t="s">
        <v>113</v>
      </c>
      <c r="C6" s="16" t="s">
        <v>114</v>
      </c>
      <c r="D6" s="17">
        <v>0.6</v>
      </c>
      <c r="E6" s="81"/>
      <c r="F6" s="81"/>
      <c r="G6" s="81"/>
      <c r="H6" s="81"/>
      <c r="I6" s="81"/>
      <c r="J6" s="81"/>
      <c r="K6" s="81"/>
      <c r="L6" s="81"/>
      <c r="M6" s="81"/>
      <c r="N6" s="81"/>
      <c r="O6" s="81"/>
      <c r="P6" s="81"/>
      <c r="Q6" s="81"/>
      <c r="R6" s="81"/>
      <c r="S6" s="81"/>
      <c r="T6" s="81"/>
      <c r="U6" s="81"/>
      <c r="V6" s="81"/>
      <c r="W6" s="81"/>
      <c r="X6" s="81"/>
      <c r="Y6" s="81"/>
      <c r="Z6" s="81"/>
      <c r="AA6" s="81"/>
      <c r="AB6" s="81"/>
      <c r="AC6" s="81"/>
      <c r="AD6" s="81"/>
      <c r="AE6" s="81"/>
    </row>
    <row r="7" spans="1:37" ht="76.5" x14ac:dyDescent="0.25">
      <c r="A7" s="81"/>
      <c r="B7" s="19" t="s">
        <v>115</v>
      </c>
      <c r="C7" s="16" t="s">
        <v>116</v>
      </c>
      <c r="D7" s="17">
        <v>0.8</v>
      </c>
      <c r="E7" s="81"/>
      <c r="F7" s="81"/>
      <c r="G7" s="81"/>
      <c r="H7" s="81"/>
      <c r="I7" s="81"/>
      <c r="J7" s="81"/>
      <c r="K7" s="81"/>
      <c r="L7" s="81"/>
      <c r="M7" s="81"/>
      <c r="N7" s="81"/>
      <c r="O7" s="81"/>
      <c r="P7" s="81"/>
      <c r="Q7" s="81"/>
      <c r="R7" s="81"/>
      <c r="S7" s="81"/>
      <c r="T7" s="81"/>
      <c r="U7" s="81"/>
      <c r="V7" s="81"/>
      <c r="W7" s="81"/>
      <c r="X7" s="81"/>
      <c r="Y7" s="81"/>
      <c r="Z7" s="81"/>
      <c r="AA7" s="81"/>
      <c r="AB7" s="81"/>
      <c r="AC7" s="81"/>
      <c r="AD7" s="81"/>
      <c r="AE7" s="81"/>
    </row>
    <row r="8" spans="1:37" ht="51" x14ac:dyDescent="0.25">
      <c r="A8" s="81"/>
      <c r="B8" s="20" t="s">
        <v>117</v>
      </c>
      <c r="C8" s="16" t="s">
        <v>118</v>
      </c>
      <c r="D8" s="17">
        <v>1</v>
      </c>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7" x14ac:dyDescent="0.25">
      <c r="A9" s="81"/>
      <c r="B9" s="105"/>
      <c r="C9" s="105"/>
      <c r="D9" s="105"/>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ht="16.5" x14ac:dyDescent="0.25">
      <c r="A10" s="81"/>
      <c r="B10" s="106"/>
      <c r="C10" s="105"/>
      <c r="D10" s="105"/>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row>
    <row r="11" spans="1:37" x14ac:dyDescent="0.25">
      <c r="A11" s="81"/>
      <c r="B11" s="105"/>
      <c r="C11" s="105"/>
      <c r="D11" s="105"/>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row>
    <row r="12" spans="1:37" x14ac:dyDescent="0.25">
      <c r="A12" s="81"/>
      <c r="B12" s="105"/>
      <c r="C12" s="105"/>
      <c r="D12" s="105"/>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row>
    <row r="13" spans="1:37" x14ac:dyDescent="0.25">
      <c r="A13" s="81"/>
      <c r="B13" s="105"/>
      <c r="C13" s="105"/>
      <c r="D13" s="105"/>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1:37" x14ac:dyDescent="0.25">
      <c r="A14" s="81"/>
      <c r="B14" s="105"/>
      <c r="C14" s="105"/>
      <c r="D14" s="105"/>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row>
    <row r="15" spans="1:37" x14ac:dyDescent="0.25">
      <c r="A15" s="81"/>
      <c r="B15" s="105"/>
      <c r="C15" s="105"/>
      <c r="D15" s="105"/>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row>
    <row r="16" spans="1:37" x14ac:dyDescent="0.25">
      <c r="A16" s="81"/>
      <c r="B16" s="105"/>
      <c r="C16" s="105"/>
      <c r="D16" s="105"/>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row>
    <row r="17" spans="1:37" x14ac:dyDescent="0.25">
      <c r="A17" s="81"/>
      <c r="B17" s="105"/>
      <c r="C17" s="105"/>
      <c r="D17" s="105"/>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row>
    <row r="18" spans="1:37" x14ac:dyDescent="0.25">
      <c r="A18" s="81"/>
      <c r="B18" s="105"/>
      <c r="C18" s="105"/>
      <c r="D18" s="105"/>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row>
    <row r="19" spans="1:37" x14ac:dyDescent="0.25">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row>
    <row r="20" spans="1:37" x14ac:dyDescent="0.25">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row>
    <row r="21" spans="1:37" x14ac:dyDescent="0.25">
      <c r="A21" s="81"/>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row>
    <row r="22" spans="1:37" x14ac:dyDescent="0.25">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x14ac:dyDescent="0.25">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row>
    <row r="24" spans="1:37" x14ac:dyDescent="0.25">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row>
    <row r="25" spans="1:37" x14ac:dyDescent="0.25">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row r="26" spans="1:37" x14ac:dyDescent="0.25">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row>
    <row r="27" spans="1:37" x14ac:dyDescent="0.25">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1:37" x14ac:dyDescent="0.25">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row>
    <row r="29" spans="1:37" x14ac:dyDescent="0.25">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row>
    <row r="30" spans="1:37" x14ac:dyDescent="0.25">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row>
    <row r="31" spans="1:37" x14ac:dyDescent="0.25">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row>
    <row r="32" spans="1:37" x14ac:dyDescent="0.25">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row>
    <row r="33" spans="1:31" x14ac:dyDescent="0.25">
      <c r="A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1" x14ac:dyDescent="0.25">
      <c r="A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row>
    <row r="35" spans="1:31" x14ac:dyDescent="0.25">
      <c r="A35" s="81"/>
    </row>
    <row r="36" spans="1:31" x14ac:dyDescent="0.25">
      <c r="A36" s="81"/>
    </row>
    <row r="37" spans="1:31" x14ac:dyDescent="0.25">
      <c r="A37" s="81"/>
    </row>
    <row r="38" spans="1:31" x14ac:dyDescent="0.25">
      <c r="A38" s="81"/>
    </row>
    <row r="39" spans="1:31" x14ac:dyDescent="0.25">
      <c r="A39" s="81"/>
    </row>
    <row r="40" spans="1:31" x14ac:dyDescent="0.25">
      <c r="A40" s="81"/>
    </row>
    <row r="41" spans="1:31" x14ac:dyDescent="0.25">
      <c r="A41" s="81"/>
    </row>
    <row r="42" spans="1:31" x14ac:dyDescent="0.25">
      <c r="A42" s="81"/>
    </row>
    <row r="43" spans="1:31" x14ac:dyDescent="0.25">
      <c r="A43" s="81"/>
    </row>
    <row r="44" spans="1:31" x14ac:dyDescent="0.25">
      <c r="A44" s="81"/>
    </row>
    <row r="45" spans="1:31" x14ac:dyDescent="0.25">
      <c r="A45" s="81"/>
    </row>
    <row r="46" spans="1:31" x14ac:dyDescent="0.25">
      <c r="A46" s="81"/>
    </row>
    <row r="47" spans="1:31" x14ac:dyDescent="0.25">
      <c r="A47" s="81"/>
    </row>
    <row r="48" spans="1:31" x14ac:dyDescent="0.25">
      <c r="A48" s="81"/>
    </row>
    <row r="49" spans="1:1" x14ac:dyDescent="0.25">
      <c r="A49" s="81"/>
    </row>
    <row r="50" spans="1:1" x14ac:dyDescent="0.25">
      <c r="A50" s="81"/>
    </row>
    <row r="51" spans="1:1" x14ac:dyDescent="0.25">
      <c r="A51" s="81"/>
    </row>
    <row r="52" spans="1:1" x14ac:dyDescent="0.25">
      <c r="A52" s="81"/>
    </row>
    <row r="53" spans="1:1" x14ac:dyDescent="0.25">
      <c r="A53" s="81"/>
    </row>
    <row r="54" spans="1:1" x14ac:dyDescent="0.25">
      <c r="A54" s="81"/>
    </row>
    <row r="55" spans="1:1" x14ac:dyDescent="0.25">
      <c r="A55" s="81"/>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60" zoomScaleNormal="60" workbookViewId="0">
      <selection activeCell="A6" sqref="A6"/>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1"/>
      <c r="B1" s="460" t="s">
        <v>119</v>
      </c>
      <c r="C1" s="460"/>
      <c r="D1" s="460"/>
      <c r="E1" s="81"/>
      <c r="F1" s="81"/>
      <c r="G1" s="81"/>
      <c r="H1" s="81"/>
      <c r="I1" s="81"/>
      <c r="J1" s="81"/>
      <c r="K1" s="81"/>
      <c r="L1" s="81"/>
      <c r="M1" s="81"/>
      <c r="N1" s="81"/>
      <c r="O1" s="81"/>
      <c r="P1" s="81"/>
      <c r="Q1" s="81"/>
      <c r="R1" s="81"/>
      <c r="S1" s="81"/>
      <c r="T1" s="81"/>
      <c r="U1" s="81"/>
    </row>
    <row r="2" spans="1:21" x14ac:dyDescent="0.25">
      <c r="A2" s="81"/>
      <c r="B2" s="81"/>
      <c r="C2" s="81"/>
      <c r="D2" s="81"/>
      <c r="E2" s="81"/>
      <c r="F2" s="81"/>
      <c r="G2" s="81"/>
      <c r="H2" s="81"/>
      <c r="I2" s="81"/>
      <c r="J2" s="81"/>
      <c r="K2" s="81"/>
      <c r="L2" s="81"/>
      <c r="M2" s="81"/>
      <c r="N2" s="81"/>
      <c r="O2" s="81"/>
      <c r="P2" s="81"/>
      <c r="Q2" s="81"/>
      <c r="R2" s="81"/>
      <c r="S2" s="81"/>
      <c r="T2" s="81"/>
      <c r="U2" s="81"/>
    </row>
    <row r="3" spans="1:21" ht="30" x14ac:dyDescent="0.25">
      <c r="A3" s="81"/>
      <c r="B3" s="102"/>
      <c r="C3" s="34" t="s">
        <v>120</v>
      </c>
      <c r="D3" s="34" t="s">
        <v>121</v>
      </c>
      <c r="E3" s="81"/>
      <c r="F3" s="81"/>
      <c r="G3" s="81"/>
      <c r="H3" s="81"/>
      <c r="I3" s="81"/>
      <c r="J3" s="81"/>
      <c r="K3" s="81"/>
      <c r="L3" s="81"/>
      <c r="M3" s="81"/>
      <c r="N3" s="81"/>
      <c r="O3" s="81"/>
      <c r="P3" s="81"/>
      <c r="Q3" s="81"/>
      <c r="R3" s="81"/>
      <c r="S3" s="81"/>
      <c r="T3" s="81"/>
      <c r="U3" s="81"/>
    </row>
    <row r="4" spans="1:21" ht="33.75" x14ac:dyDescent="0.25">
      <c r="A4" s="101" t="s">
        <v>122</v>
      </c>
      <c r="B4" s="37" t="s">
        <v>123</v>
      </c>
      <c r="C4" s="42" t="s">
        <v>124</v>
      </c>
      <c r="D4" s="35" t="s">
        <v>125</v>
      </c>
      <c r="E4" s="81"/>
      <c r="F4" s="81"/>
      <c r="G4" s="81"/>
      <c r="H4" s="81"/>
      <c r="I4" s="81"/>
      <c r="J4" s="81"/>
      <c r="K4" s="81"/>
      <c r="L4" s="81"/>
      <c r="M4" s="81"/>
      <c r="N4" s="81"/>
      <c r="O4" s="81"/>
      <c r="P4" s="81"/>
      <c r="Q4" s="81"/>
      <c r="R4" s="81"/>
      <c r="S4" s="81"/>
      <c r="T4" s="81"/>
      <c r="U4" s="81"/>
    </row>
    <row r="5" spans="1:21" ht="67.5" x14ac:dyDescent="0.25">
      <c r="A5" s="101" t="s">
        <v>126</v>
      </c>
      <c r="B5" s="38" t="s">
        <v>127</v>
      </c>
      <c r="C5" s="43" t="s">
        <v>128</v>
      </c>
      <c r="D5" s="36" t="s">
        <v>129</v>
      </c>
      <c r="E5" s="81"/>
      <c r="F5" s="81"/>
      <c r="G5" s="81"/>
      <c r="H5" s="81"/>
      <c r="I5" s="81"/>
      <c r="J5" s="81"/>
      <c r="K5" s="81"/>
      <c r="L5" s="81"/>
      <c r="M5" s="81"/>
      <c r="N5" s="81"/>
      <c r="O5" s="81"/>
      <c r="P5" s="81"/>
      <c r="Q5" s="81"/>
      <c r="R5" s="81"/>
      <c r="S5" s="81"/>
      <c r="T5" s="81"/>
      <c r="U5" s="81"/>
    </row>
    <row r="6" spans="1:21" ht="67.5" x14ac:dyDescent="0.25">
      <c r="A6" s="101" t="s">
        <v>97</v>
      </c>
      <c r="B6" s="39" t="s">
        <v>130</v>
      </c>
      <c r="C6" s="43" t="s">
        <v>131</v>
      </c>
      <c r="D6" s="36" t="s">
        <v>132</v>
      </c>
      <c r="E6" s="81"/>
      <c r="F6" s="81"/>
      <c r="G6" s="81"/>
      <c r="H6" s="81"/>
      <c r="I6" s="81"/>
      <c r="J6" s="81"/>
      <c r="K6" s="81"/>
      <c r="L6" s="81"/>
      <c r="M6" s="81"/>
      <c r="N6" s="81"/>
      <c r="O6" s="81"/>
      <c r="P6" s="81"/>
      <c r="Q6" s="81"/>
      <c r="R6" s="81"/>
      <c r="S6" s="81"/>
      <c r="T6" s="81"/>
      <c r="U6" s="81"/>
    </row>
    <row r="7" spans="1:21" ht="101.25" x14ac:dyDescent="0.25">
      <c r="A7" s="101" t="s">
        <v>133</v>
      </c>
      <c r="B7" s="40" t="s">
        <v>134</v>
      </c>
      <c r="C7" s="43" t="s">
        <v>135</v>
      </c>
      <c r="D7" s="36" t="s">
        <v>136</v>
      </c>
      <c r="E7" s="81"/>
      <c r="F7" s="81"/>
      <c r="G7" s="81"/>
      <c r="H7" s="81"/>
      <c r="I7" s="81"/>
      <c r="J7" s="81"/>
      <c r="K7" s="81"/>
      <c r="L7" s="81"/>
      <c r="M7" s="81"/>
      <c r="N7" s="81"/>
      <c r="O7" s="81"/>
      <c r="P7" s="81"/>
      <c r="Q7" s="81"/>
      <c r="R7" s="81"/>
      <c r="S7" s="81"/>
      <c r="T7" s="81"/>
      <c r="U7" s="81"/>
    </row>
    <row r="8" spans="1:21" ht="67.5" x14ac:dyDescent="0.25">
      <c r="A8" s="101" t="s">
        <v>137</v>
      </c>
      <c r="B8" s="41" t="s">
        <v>138</v>
      </c>
      <c r="C8" s="43" t="s">
        <v>139</v>
      </c>
      <c r="D8" s="36" t="s">
        <v>140</v>
      </c>
      <c r="E8" s="81"/>
      <c r="F8" s="81"/>
      <c r="G8" s="81"/>
      <c r="H8" s="81"/>
      <c r="I8" s="81"/>
      <c r="J8" s="81"/>
      <c r="K8" s="81"/>
      <c r="L8" s="81"/>
      <c r="M8" s="81"/>
      <c r="N8" s="81"/>
      <c r="O8" s="81"/>
      <c r="P8" s="81"/>
      <c r="Q8" s="81"/>
      <c r="R8" s="81"/>
      <c r="S8" s="81"/>
      <c r="T8" s="81"/>
      <c r="U8" s="81"/>
    </row>
    <row r="9" spans="1:21" ht="20.25" x14ac:dyDescent="0.25">
      <c r="A9" s="101"/>
      <c r="B9" s="101"/>
      <c r="C9" s="103"/>
      <c r="D9" s="103"/>
      <c r="E9" s="81"/>
      <c r="F9" s="81"/>
      <c r="G9" s="81"/>
      <c r="H9" s="81"/>
      <c r="I9" s="81"/>
      <c r="J9" s="81"/>
      <c r="K9" s="81"/>
      <c r="L9" s="81"/>
      <c r="M9" s="81"/>
      <c r="N9" s="81"/>
      <c r="O9" s="81"/>
      <c r="P9" s="81"/>
      <c r="Q9" s="81"/>
      <c r="R9" s="81"/>
      <c r="S9" s="81"/>
      <c r="T9" s="81"/>
      <c r="U9" s="81"/>
    </row>
    <row r="10" spans="1:21" ht="16.5" x14ac:dyDescent="0.25">
      <c r="A10" s="101"/>
      <c r="B10" s="104"/>
      <c r="C10" s="104"/>
      <c r="D10" s="104"/>
      <c r="E10" s="81"/>
      <c r="F10" s="81"/>
      <c r="G10" s="81"/>
      <c r="H10" s="81"/>
      <c r="I10" s="81"/>
      <c r="J10" s="81"/>
      <c r="K10" s="81"/>
      <c r="L10" s="81"/>
      <c r="M10" s="81"/>
      <c r="N10" s="81"/>
      <c r="O10" s="81"/>
      <c r="P10" s="81"/>
      <c r="Q10" s="81"/>
      <c r="R10" s="81"/>
      <c r="S10" s="81"/>
      <c r="T10" s="81"/>
      <c r="U10" s="81"/>
    </row>
    <row r="11" spans="1:21" x14ac:dyDescent="0.25">
      <c r="A11" s="101"/>
      <c r="B11" s="101" t="s">
        <v>141</v>
      </c>
      <c r="C11" s="101" t="s">
        <v>142</v>
      </c>
      <c r="D11" s="101" t="s">
        <v>143</v>
      </c>
      <c r="E11" s="81"/>
      <c r="F11" s="81"/>
      <c r="G11" s="81"/>
      <c r="H11" s="81"/>
      <c r="I11" s="81"/>
      <c r="J11" s="81"/>
      <c r="K11" s="81"/>
      <c r="L11" s="81"/>
      <c r="M11" s="81"/>
      <c r="N11" s="81"/>
      <c r="O11" s="81"/>
      <c r="P11" s="81"/>
      <c r="Q11" s="81"/>
      <c r="R11" s="81"/>
      <c r="S11" s="81"/>
      <c r="T11" s="81"/>
      <c r="U11" s="81"/>
    </row>
    <row r="12" spans="1:21" x14ac:dyDescent="0.25">
      <c r="A12" s="101"/>
      <c r="B12" s="101" t="s">
        <v>144</v>
      </c>
      <c r="C12" s="101" t="s">
        <v>145</v>
      </c>
      <c r="D12" s="101" t="s">
        <v>146</v>
      </c>
      <c r="E12" s="81"/>
      <c r="F12" s="81"/>
      <c r="G12" s="81"/>
      <c r="H12" s="81"/>
      <c r="I12" s="81"/>
      <c r="J12" s="81"/>
      <c r="K12" s="81"/>
      <c r="L12" s="81"/>
      <c r="M12" s="81"/>
      <c r="N12" s="81"/>
      <c r="O12" s="81"/>
      <c r="P12" s="81"/>
      <c r="Q12" s="81"/>
      <c r="R12" s="81"/>
      <c r="S12" s="81"/>
      <c r="T12" s="81"/>
      <c r="U12" s="81"/>
    </row>
    <row r="13" spans="1:21" x14ac:dyDescent="0.25">
      <c r="A13" s="101"/>
      <c r="B13" s="101"/>
      <c r="C13" s="101" t="s">
        <v>147</v>
      </c>
      <c r="D13" s="101" t="s">
        <v>148</v>
      </c>
      <c r="E13" s="81"/>
      <c r="F13" s="81"/>
      <c r="G13" s="81"/>
      <c r="H13" s="81"/>
      <c r="I13" s="81"/>
      <c r="J13" s="81"/>
      <c r="K13" s="81"/>
      <c r="L13" s="81"/>
      <c r="M13" s="81"/>
      <c r="N13" s="81"/>
      <c r="O13" s="81"/>
      <c r="P13" s="81"/>
      <c r="Q13" s="81"/>
      <c r="R13" s="81"/>
      <c r="S13" s="81"/>
      <c r="T13" s="81"/>
      <c r="U13" s="81"/>
    </row>
    <row r="14" spans="1:21" x14ac:dyDescent="0.25">
      <c r="A14" s="101"/>
      <c r="B14" s="101"/>
      <c r="C14" s="101" t="s">
        <v>149</v>
      </c>
      <c r="D14" s="101" t="s">
        <v>150</v>
      </c>
      <c r="E14" s="81"/>
      <c r="F14" s="81"/>
      <c r="G14" s="81"/>
      <c r="H14" s="81"/>
      <c r="I14" s="81"/>
      <c r="J14" s="81"/>
      <c r="K14" s="81"/>
      <c r="L14" s="81"/>
      <c r="M14" s="81"/>
      <c r="N14" s="81"/>
      <c r="O14" s="81"/>
      <c r="P14" s="81"/>
      <c r="Q14" s="81"/>
      <c r="R14" s="81"/>
      <c r="S14" s="81"/>
      <c r="T14" s="81"/>
      <c r="U14" s="81"/>
    </row>
    <row r="15" spans="1:21" x14ac:dyDescent="0.25">
      <c r="A15" s="101"/>
      <c r="B15" s="101"/>
      <c r="C15" s="101" t="s">
        <v>151</v>
      </c>
      <c r="D15" s="101" t="s">
        <v>152</v>
      </c>
      <c r="E15" s="81"/>
      <c r="F15" s="81"/>
      <c r="G15" s="81"/>
      <c r="H15" s="81"/>
      <c r="I15" s="81"/>
      <c r="J15" s="81"/>
      <c r="K15" s="81"/>
      <c r="L15" s="81"/>
      <c r="M15" s="81"/>
      <c r="N15" s="81"/>
      <c r="O15" s="81"/>
      <c r="P15" s="81"/>
      <c r="Q15" s="81"/>
      <c r="R15" s="81"/>
      <c r="S15" s="81"/>
      <c r="T15" s="81"/>
      <c r="U15" s="81"/>
    </row>
    <row r="16" spans="1:21" x14ac:dyDescent="0.25">
      <c r="A16" s="101"/>
      <c r="B16" s="101"/>
      <c r="C16" s="101"/>
      <c r="D16" s="101"/>
      <c r="E16" s="81"/>
      <c r="F16" s="81"/>
      <c r="G16" s="81"/>
      <c r="H16" s="81"/>
      <c r="I16" s="81"/>
      <c r="J16" s="81"/>
      <c r="K16" s="81"/>
      <c r="L16" s="81"/>
      <c r="M16" s="81"/>
      <c r="N16" s="81"/>
      <c r="O16" s="81"/>
    </row>
    <row r="17" spans="1:15" x14ac:dyDescent="0.25">
      <c r="A17" s="101"/>
      <c r="B17" s="101"/>
      <c r="C17" s="101"/>
      <c r="D17" s="101"/>
      <c r="E17" s="81"/>
      <c r="F17" s="81"/>
      <c r="G17" s="81"/>
      <c r="H17" s="81"/>
      <c r="I17" s="81"/>
      <c r="J17" s="81"/>
      <c r="K17" s="81"/>
      <c r="L17" s="81"/>
      <c r="M17" s="81"/>
      <c r="N17" s="81"/>
      <c r="O17" s="81"/>
    </row>
    <row r="18" spans="1:15" x14ac:dyDescent="0.25">
      <c r="A18" s="101"/>
      <c r="B18" s="105"/>
      <c r="C18" s="105"/>
      <c r="D18" s="105"/>
      <c r="E18" s="81"/>
      <c r="F18" s="81"/>
      <c r="G18" s="81"/>
      <c r="H18" s="81"/>
      <c r="I18" s="81"/>
      <c r="J18" s="81"/>
      <c r="K18" s="81"/>
      <c r="L18" s="81"/>
      <c r="M18" s="81"/>
      <c r="N18" s="81"/>
      <c r="O18" s="81"/>
    </row>
    <row r="19" spans="1:15" x14ac:dyDescent="0.25">
      <c r="A19" s="101"/>
      <c r="B19" s="105"/>
      <c r="C19" s="105"/>
      <c r="D19" s="105"/>
      <c r="E19" s="81"/>
      <c r="F19" s="81"/>
      <c r="G19" s="81"/>
      <c r="H19" s="81"/>
      <c r="I19" s="81"/>
      <c r="J19" s="81"/>
      <c r="K19" s="81"/>
      <c r="L19" s="81"/>
      <c r="M19" s="81"/>
      <c r="N19" s="81"/>
      <c r="O19" s="81"/>
    </row>
    <row r="20" spans="1:15" x14ac:dyDescent="0.25">
      <c r="A20" s="101"/>
      <c r="B20" s="105"/>
      <c r="C20" s="105"/>
      <c r="D20" s="105"/>
      <c r="E20" s="81"/>
      <c r="F20" s="81"/>
      <c r="G20" s="81"/>
      <c r="H20" s="81"/>
      <c r="I20" s="81"/>
      <c r="J20" s="81"/>
      <c r="K20" s="81"/>
      <c r="L20" s="81"/>
      <c r="M20" s="81"/>
      <c r="N20" s="81"/>
      <c r="O20" s="81"/>
    </row>
    <row r="21" spans="1:15" x14ac:dyDescent="0.25">
      <c r="A21" s="101"/>
      <c r="B21" s="105"/>
      <c r="C21" s="105"/>
      <c r="D21" s="105"/>
      <c r="E21" s="81"/>
      <c r="F21" s="81"/>
      <c r="G21" s="81"/>
      <c r="H21" s="81"/>
      <c r="I21" s="81"/>
      <c r="J21" s="81"/>
      <c r="K21" s="81"/>
      <c r="L21" s="81"/>
      <c r="M21" s="81"/>
      <c r="N21" s="81"/>
      <c r="O21" s="81"/>
    </row>
    <row r="22" spans="1:15" ht="20.25" x14ac:dyDescent="0.25">
      <c r="A22" s="101"/>
      <c r="B22" s="101"/>
      <c r="C22" s="103"/>
      <c r="D22" s="103"/>
      <c r="E22" s="81"/>
      <c r="F22" s="81"/>
      <c r="G22" s="81"/>
      <c r="H22" s="81"/>
      <c r="I22" s="81"/>
      <c r="J22" s="81"/>
      <c r="K22" s="81"/>
      <c r="L22" s="81"/>
      <c r="M22" s="81"/>
      <c r="N22" s="81"/>
      <c r="O22" s="81"/>
    </row>
    <row r="23" spans="1:15" ht="20.25" x14ac:dyDescent="0.25">
      <c r="A23" s="101"/>
      <c r="B23" s="101"/>
      <c r="C23" s="103"/>
      <c r="D23" s="103"/>
      <c r="E23" s="81"/>
      <c r="F23" s="81"/>
      <c r="G23" s="81"/>
      <c r="H23" s="81"/>
      <c r="I23" s="81"/>
      <c r="J23" s="81"/>
      <c r="K23" s="81"/>
      <c r="L23" s="81"/>
      <c r="M23" s="81"/>
      <c r="N23" s="81"/>
      <c r="O23" s="81"/>
    </row>
    <row r="24" spans="1:15" ht="20.25" x14ac:dyDescent="0.25">
      <c r="A24" s="101"/>
      <c r="B24" s="101"/>
      <c r="C24" s="103"/>
      <c r="D24" s="103"/>
      <c r="E24" s="81"/>
      <c r="F24" s="81"/>
      <c r="G24" s="81"/>
      <c r="H24" s="81"/>
      <c r="I24" s="81"/>
      <c r="J24" s="81"/>
      <c r="K24" s="81"/>
      <c r="L24" s="81"/>
      <c r="M24" s="81"/>
      <c r="N24" s="81"/>
      <c r="O24" s="81"/>
    </row>
    <row r="25" spans="1:15" ht="20.25" x14ac:dyDescent="0.25">
      <c r="A25" s="101"/>
      <c r="B25" s="101"/>
      <c r="C25" s="103"/>
      <c r="D25" s="103"/>
      <c r="E25" s="81"/>
      <c r="F25" s="81"/>
      <c r="G25" s="81"/>
      <c r="H25" s="81"/>
      <c r="I25" s="81"/>
      <c r="J25" s="81"/>
      <c r="K25" s="81"/>
      <c r="L25" s="81"/>
      <c r="M25" s="81"/>
      <c r="N25" s="81"/>
      <c r="O25" s="81"/>
    </row>
    <row r="26" spans="1:15" ht="20.25" x14ac:dyDescent="0.25">
      <c r="A26" s="101"/>
      <c r="B26" s="101"/>
      <c r="C26" s="103"/>
      <c r="D26" s="103"/>
      <c r="E26" s="81"/>
      <c r="F26" s="81"/>
      <c r="G26" s="81"/>
      <c r="H26" s="81"/>
      <c r="I26" s="81"/>
      <c r="J26" s="81"/>
      <c r="K26" s="81"/>
      <c r="L26" s="81"/>
      <c r="M26" s="81"/>
      <c r="N26" s="81"/>
      <c r="O26" s="81"/>
    </row>
    <row r="27" spans="1:15" ht="20.25" x14ac:dyDescent="0.25">
      <c r="A27" s="101"/>
      <c r="B27" s="101"/>
      <c r="C27" s="103"/>
      <c r="D27" s="103"/>
      <c r="E27" s="81"/>
      <c r="F27" s="81"/>
      <c r="G27" s="81"/>
      <c r="H27" s="81"/>
      <c r="I27" s="81"/>
      <c r="J27" s="81"/>
      <c r="K27" s="81"/>
      <c r="L27" s="81"/>
      <c r="M27" s="81"/>
      <c r="N27" s="81"/>
      <c r="O27" s="81"/>
    </row>
    <row r="28" spans="1:15" ht="20.25" x14ac:dyDescent="0.25">
      <c r="A28" s="101"/>
      <c r="B28" s="101"/>
      <c r="C28" s="103"/>
      <c r="D28" s="103"/>
      <c r="E28" s="81"/>
      <c r="F28" s="81"/>
      <c r="G28" s="81"/>
      <c r="H28" s="81"/>
      <c r="I28" s="81"/>
      <c r="J28" s="81"/>
      <c r="K28" s="81"/>
      <c r="L28" s="81"/>
      <c r="M28" s="81"/>
      <c r="N28" s="81"/>
      <c r="O28" s="81"/>
    </row>
    <row r="29" spans="1:15" ht="20.25" x14ac:dyDescent="0.25">
      <c r="A29" s="101"/>
      <c r="B29" s="101"/>
      <c r="C29" s="103"/>
      <c r="D29" s="103"/>
      <c r="E29" s="81"/>
      <c r="F29" s="81"/>
      <c r="G29" s="81"/>
      <c r="H29" s="81"/>
      <c r="I29" s="81"/>
      <c r="J29" s="81"/>
      <c r="K29" s="81"/>
      <c r="L29" s="81"/>
      <c r="M29" s="81"/>
      <c r="N29" s="81"/>
      <c r="O29" s="81"/>
    </row>
    <row r="30" spans="1:15" ht="20.25" x14ac:dyDescent="0.25">
      <c r="A30" s="101"/>
      <c r="B30" s="101"/>
      <c r="C30" s="103"/>
      <c r="D30" s="103"/>
      <c r="E30" s="81"/>
      <c r="F30" s="81"/>
      <c r="G30" s="81"/>
      <c r="H30" s="81"/>
      <c r="I30" s="81"/>
      <c r="J30" s="81"/>
      <c r="K30" s="81"/>
      <c r="L30" s="81"/>
      <c r="M30" s="81"/>
      <c r="N30" s="81"/>
      <c r="O30" s="81"/>
    </row>
    <row r="31" spans="1:15" ht="20.25" x14ac:dyDescent="0.25">
      <c r="A31" s="101"/>
      <c r="B31" s="101"/>
      <c r="C31" s="103"/>
      <c r="D31" s="103"/>
      <c r="E31" s="81"/>
      <c r="F31" s="81"/>
      <c r="G31" s="81"/>
      <c r="H31" s="81"/>
      <c r="I31" s="81"/>
      <c r="J31" s="81"/>
      <c r="K31" s="81"/>
      <c r="L31" s="81"/>
      <c r="M31" s="81"/>
      <c r="N31" s="81"/>
      <c r="O31" s="81"/>
    </row>
    <row r="32" spans="1:15" ht="20.25" x14ac:dyDescent="0.25">
      <c r="A32" s="101"/>
      <c r="B32" s="101"/>
      <c r="C32" s="103"/>
      <c r="D32" s="103"/>
      <c r="E32" s="81"/>
      <c r="F32" s="81"/>
      <c r="G32" s="81"/>
      <c r="H32" s="81"/>
      <c r="I32" s="81"/>
      <c r="J32" s="81"/>
      <c r="K32" s="81"/>
      <c r="L32" s="81"/>
      <c r="M32" s="81"/>
      <c r="N32" s="81"/>
      <c r="O32" s="81"/>
    </row>
    <row r="33" spans="1:15" ht="20.25" x14ac:dyDescent="0.25">
      <c r="A33" s="101"/>
      <c r="B33" s="101"/>
      <c r="C33" s="103"/>
      <c r="D33" s="103"/>
      <c r="E33" s="81"/>
      <c r="F33" s="81"/>
      <c r="G33" s="81"/>
      <c r="H33" s="81"/>
      <c r="I33" s="81"/>
      <c r="J33" s="81"/>
      <c r="K33" s="81"/>
      <c r="L33" s="81"/>
      <c r="M33" s="81"/>
      <c r="N33" s="81"/>
      <c r="O33" s="81"/>
    </row>
    <row r="34" spans="1:15" ht="20.25" x14ac:dyDescent="0.25">
      <c r="A34" s="101"/>
      <c r="B34" s="101"/>
      <c r="C34" s="103"/>
      <c r="D34" s="103"/>
      <c r="E34" s="81"/>
      <c r="F34" s="81"/>
      <c r="G34" s="81"/>
      <c r="H34" s="81"/>
      <c r="I34" s="81"/>
      <c r="J34" s="81"/>
      <c r="K34" s="81"/>
      <c r="L34" s="81"/>
      <c r="M34" s="81"/>
      <c r="N34" s="81"/>
      <c r="O34" s="81"/>
    </row>
    <row r="35" spans="1:15" ht="20.25" x14ac:dyDescent="0.25">
      <c r="A35" s="101"/>
      <c r="B35" s="101"/>
      <c r="C35" s="103"/>
      <c r="D35" s="103"/>
      <c r="E35" s="81"/>
      <c r="F35" s="81"/>
      <c r="G35" s="81"/>
      <c r="H35" s="81"/>
      <c r="I35" s="81"/>
      <c r="J35" s="81"/>
      <c r="K35" s="81"/>
      <c r="L35" s="81"/>
      <c r="M35" s="81"/>
      <c r="N35" s="81"/>
      <c r="O35" s="81"/>
    </row>
    <row r="36" spans="1:15" ht="20.25" x14ac:dyDescent="0.25">
      <c r="A36" s="101"/>
      <c r="B36" s="101"/>
      <c r="C36" s="103"/>
      <c r="D36" s="103"/>
      <c r="E36" s="81"/>
      <c r="F36" s="81"/>
      <c r="G36" s="81"/>
      <c r="H36" s="81"/>
      <c r="I36" s="81"/>
      <c r="J36" s="81"/>
      <c r="K36" s="81"/>
      <c r="L36" s="81"/>
      <c r="M36" s="81"/>
      <c r="N36" s="81"/>
      <c r="O36" s="81"/>
    </row>
    <row r="37" spans="1:15" ht="20.25" x14ac:dyDescent="0.25">
      <c r="A37" s="101"/>
      <c r="B37" s="101"/>
      <c r="C37" s="103"/>
      <c r="D37" s="103"/>
      <c r="E37" s="81"/>
      <c r="F37" s="81"/>
      <c r="G37" s="81"/>
      <c r="H37" s="81"/>
      <c r="I37" s="81"/>
      <c r="J37" s="81"/>
      <c r="K37" s="81"/>
      <c r="L37" s="81"/>
      <c r="M37" s="81"/>
      <c r="N37" s="81"/>
      <c r="O37" s="81"/>
    </row>
    <row r="38" spans="1:15" ht="20.25" x14ac:dyDescent="0.25">
      <c r="A38" s="101"/>
      <c r="B38" s="101"/>
      <c r="C38" s="103"/>
      <c r="D38" s="103"/>
      <c r="E38" s="81"/>
      <c r="F38" s="81"/>
      <c r="G38" s="81"/>
      <c r="H38" s="81"/>
      <c r="I38" s="81"/>
      <c r="J38" s="81"/>
      <c r="K38" s="81"/>
      <c r="L38" s="81"/>
      <c r="M38" s="81"/>
      <c r="N38" s="81"/>
      <c r="O38" s="81"/>
    </row>
    <row r="39" spans="1:15" ht="20.25" x14ac:dyDescent="0.25">
      <c r="A39" s="101"/>
      <c r="B39" s="101"/>
      <c r="C39" s="103"/>
      <c r="D39" s="103"/>
      <c r="E39" s="81"/>
      <c r="F39" s="81"/>
      <c r="G39" s="81"/>
      <c r="H39" s="81"/>
      <c r="I39" s="81"/>
      <c r="J39" s="81"/>
      <c r="K39" s="81"/>
      <c r="L39" s="81"/>
      <c r="M39" s="81"/>
      <c r="N39" s="81"/>
      <c r="O39" s="81"/>
    </row>
    <row r="40" spans="1:15" ht="20.25" x14ac:dyDescent="0.25">
      <c r="A40" s="101"/>
      <c r="B40" s="101"/>
      <c r="C40" s="103"/>
      <c r="D40" s="103"/>
      <c r="E40" s="81"/>
      <c r="F40" s="81"/>
      <c r="G40" s="81"/>
      <c r="H40" s="81"/>
      <c r="I40" s="81"/>
      <c r="J40" s="81"/>
      <c r="K40" s="81"/>
      <c r="L40" s="81"/>
      <c r="M40" s="81"/>
      <c r="N40" s="81"/>
      <c r="O40" s="81"/>
    </row>
    <row r="41" spans="1:15" ht="20.25" x14ac:dyDescent="0.25">
      <c r="A41" s="101"/>
      <c r="B41" s="101"/>
      <c r="C41" s="103"/>
      <c r="D41" s="103"/>
      <c r="E41" s="81"/>
      <c r="F41" s="81"/>
      <c r="G41" s="81"/>
      <c r="H41" s="81"/>
      <c r="I41" s="81"/>
      <c r="J41" s="81"/>
      <c r="K41" s="81"/>
      <c r="L41" s="81"/>
      <c r="M41" s="81"/>
      <c r="N41" s="81"/>
      <c r="O41" s="81"/>
    </row>
    <row r="42" spans="1:15" ht="20.25" x14ac:dyDescent="0.25">
      <c r="A42" s="101"/>
      <c r="B42" s="101"/>
      <c r="C42" s="103"/>
      <c r="D42" s="103"/>
      <c r="E42" s="81"/>
      <c r="F42" s="81"/>
      <c r="G42" s="81"/>
      <c r="H42" s="81"/>
      <c r="I42" s="81"/>
      <c r="J42" s="81"/>
      <c r="K42" s="81"/>
      <c r="L42" s="81"/>
      <c r="M42" s="81"/>
      <c r="N42" s="81"/>
      <c r="O42" s="81"/>
    </row>
    <row r="43" spans="1:15" ht="20.25" x14ac:dyDescent="0.25">
      <c r="A43" s="101"/>
      <c r="B43" s="101"/>
      <c r="C43" s="103"/>
      <c r="D43" s="103"/>
      <c r="E43" s="81"/>
      <c r="F43" s="81"/>
      <c r="G43" s="81"/>
      <c r="H43" s="81"/>
      <c r="I43" s="81"/>
      <c r="J43" s="81"/>
      <c r="K43" s="81"/>
      <c r="L43" s="81"/>
      <c r="M43" s="81"/>
      <c r="N43" s="81"/>
      <c r="O43" s="81"/>
    </row>
    <row r="44" spans="1:15" ht="20.25" x14ac:dyDescent="0.25">
      <c r="A44" s="101"/>
      <c r="B44" s="101"/>
      <c r="C44" s="103"/>
      <c r="D44" s="103"/>
      <c r="E44" s="81"/>
      <c r="F44" s="81"/>
      <c r="G44" s="81"/>
      <c r="H44" s="81"/>
      <c r="I44" s="81"/>
      <c r="J44" s="81"/>
      <c r="K44" s="81"/>
      <c r="L44" s="81"/>
      <c r="M44" s="81"/>
      <c r="N44" s="81"/>
      <c r="O44" s="81"/>
    </row>
    <row r="45" spans="1:15" ht="20.25" x14ac:dyDescent="0.25">
      <c r="A45" s="101"/>
      <c r="B45" s="101"/>
      <c r="C45" s="103"/>
      <c r="D45" s="103"/>
      <c r="E45" s="81"/>
      <c r="F45" s="81"/>
      <c r="G45" s="81"/>
      <c r="H45" s="81"/>
      <c r="I45" s="81"/>
      <c r="J45" s="81"/>
      <c r="K45" s="81"/>
      <c r="L45" s="81"/>
      <c r="M45" s="81"/>
      <c r="N45" s="81"/>
      <c r="O45" s="81"/>
    </row>
    <row r="46" spans="1:15" ht="20.25" x14ac:dyDescent="0.25">
      <c r="A46" s="101"/>
      <c r="B46" s="101"/>
      <c r="C46" s="103"/>
      <c r="D46" s="103"/>
      <c r="E46" s="81"/>
      <c r="F46" s="81"/>
      <c r="G46" s="81"/>
      <c r="H46" s="81"/>
      <c r="I46" s="81"/>
      <c r="J46" s="81"/>
      <c r="K46" s="81"/>
      <c r="L46" s="81"/>
      <c r="M46" s="81"/>
      <c r="N46" s="81"/>
      <c r="O46" s="81"/>
    </row>
    <row r="47" spans="1:15" ht="20.25" x14ac:dyDescent="0.25">
      <c r="A47" s="101"/>
      <c r="B47" s="101"/>
      <c r="C47" s="103"/>
      <c r="D47" s="103"/>
      <c r="E47" s="81"/>
      <c r="F47" s="81"/>
      <c r="G47" s="81"/>
      <c r="H47" s="81"/>
      <c r="I47" s="81"/>
      <c r="J47" s="81"/>
      <c r="K47" s="81"/>
      <c r="L47" s="81"/>
      <c r="M47" s="81"/>
      <c r="N47" s="81"/>
      <c r="O47" s="81"/>
    </row>
    <row r="48" spans="1:15" ht="20.25" x14ac:dyDescent="0.25">
      <c r="A48" s="101"/>
      <c r="B48" s="101"/>
      <c r="C48" s="103"/>
      <c r="D48" s="103"/>
      <c r="E48" s="81"/>
      <c r="F48" s="81"/>
      <c r="G48" s="81"/>
      <c r="H48" s="81"/>
      <c r="I48" s="81"/>
      <c r="J48" s="81"/>
      <c r="K48" s="81"/>
      <c r="L48" s="81"/>
      <c r="M48" s="81"/>
      <c r="N48" s="81"/>
      <c r="O48" s="81"/>
    </row>
    <row r="49" spans="1:15" ht="20.25" x14ac:dyDescent="0.25">
      <c r="A49" s="101"/>
      <c r="B49" s="101"/>
      <c r="C49" s="103"/>
      <c r="D49" s="103"/>
      <c r="E49" s="81"/>
      <c r="F49" s="81"/>
      <c r="G49" s="81"/>
      <c r="H49" s="81"/>
      <c r="I49" s="81"/>
      <c r="J49" s="81"/>
      <c r="K49" s="81"/>
      <c r="L49" s="81"/>
      <c r="M49" s="81"/>
      <c r="N49" s="81"/>
      <c r="O49" s="81"/>
    </row>
    <row r="50" spans="1:15" ht="20.25" x14ac:dyDescent="0.25">
      <c r="A50" s="101"/>
      <c r="B50" s="101"/>
      <c r="C50" s="103"/>
      <c r="D50" s="103"/>
      <c r="E50" s="81"/>
      <c r="F50" s="81"/>
      <c r="G50" s="81"/>
      <c r="H50" s="81"/>
      <c r="I50" s="81"/>
      <c r="J50" s="81"/>
      <c r="K50" s="81"/>
      <c r="L50" s="81"/>
      <c r="M50" s="81"/>
      <c r="N50" s="81"/>
      <c r="O50" s="81"/>
    </row>
    <row r="51" spans="1:15" ht="20.25" x14ac:dyDescent="0.25">
      <c r="A51" s="101"/>
      <c r="B51" s="101"/>
      <c r="C51" s="103"/>
      <c r="D51" s="103"/>
      <c r="E51" s="81"/>
      <c r="F51" s="81"/>
      <c r="G51" s="81"/>
      <c r="H51" s="81"/>
      <c r="I51" s="81"/>
      <c r="J51" s="81"/>
      <c r="K51" s="81"/>
      <c r="L51" s="81"/>
      <c r="M51" s="81"/>
      <c r="N51" s="81"/>
      <c r="O51" s="81"/>
    </row>
    <row r="52" spans="1:15" ht="20.25" x14ac:dyDescent="0.25">
      <c r="A52" s="101"/>
      <c r="B52" s="22"/>
      <c r="C52" s="32"/>
      <c r="D52" s="32"/>
    </row>
    <row r="53" spans="1:15" ht="20.25" x14ac:dyDescent="0.25">
      <c r="A53" s="101"/>
      <c r="B53" s="22"/>
      <c r="C53" s="32"/>
      <c r="D53" s="32"/>
    </row>
    <row r="54" spans="1:15" ht="20.25" x14ac:dyDescent="0.25">
      <c r="A54" s="101"/>
      <c r="B54" s="22"/>
      <c r="C54" s="32"/>
      <c r="D54" s="32"/>
    </row>
    <row r="55" spans="1:15" ht="20.25" x14ac:dyDescent="0.25">
      <c r="A55" s="101"/>
      <c r="B55" s="22"/>
      <c r="C55" s="32"/>
      <c r="D55" s="32"/>
    </row>
    <row r="56" spans="1:15" ht="20.25" x14ac:dyDescent="0.25">
      <c r="A56" s="101"/>
      <c r="B56" s="22"/>
      <c r="C56" s="32"/>
      <c r="D56" s="32"/>
    </row>
    <row r="57" spans="1:15" ht="20.25" x14ac:dyDescent="0.25">
      <c r="A57" s="101"/>
      <c r="B57" s="22"/>
      <c r="C57" s="32"/>
      <c r="D57" s="32"/>
    </row>
    <row r="58" spans="1:15" ht="20.25" x14ac:dyDescent="0.25">
      <c r="A58" s="101"/>
      <c r="B58" s="22"/>
      <c r="C58" s="32"/>
      <c r="D58" s="32"/>
    </row>
    <row r="59" spans="1:15" ht="20.25" x14ac:dyDescent="0.25">
      <c r="A59" s="101"/>
      <c r="B59" s="22"/>
      <c r="C59" s="32"/>
      <c r="D59" s="32"/>
    </row>
    <row r="60" spans="1:15" ht="20.25" x14ac:dyDescent="0.25">
      <c r="A60" s="101"/>
      <c r="B60" s="22"/>
      <c r="C60" s="32"/>
      <c r="D60" s="32"/>
    </row>
    <row r="61" spans="1:15" ht="20.25" x14ac:dyDescent="0.25">
      <c r="A61" s="101"/>
      <c r="B61" s="22"/>
      <c r="C61" s="32"/>
      <c r="D61" s="32"/>
    </row>
    <row r="62" spans="1:15" ht="20.25" x14ac:dyDescent="0.25">
      <c r="A62" s="101"/>
      <c r="B62" s="22"/>
      <c r="C62" s="32"/>
      <c r="D62" s="32"/>
    </row>
    <row r="63" spans="1:15" ht="20.25" x14ac:dyDescent="0.25">
      <c r="A63" s="101"/>
      <c r="B63" s="22"/>
      <c r="C63" s="32"/>
      <c r="D63" s="32"/>
    </row>
    <row r="64" spans="1:15" ht="20.25" x14ac:dyDescent="0.25">
      <c r="A64" s="101"/>
      <c r="B64" s="22"/>
      <c r="C64" s="32"/>
      <c r="D64" s="32"/>
    </row>
    <row r="65" spans="1:4" ht="20.25" x14ac:dyDescent="0.25">
      <c r="A65" s="101"/>
      <c r="B65" s="22"/>
      <c r="C65" s="32"/>
      <c r="D65" s="32"/>
    </row>
    <row r="66" spans="1:4" ht="20.25" x14ac:dyDescent="0.25">
      <c r="A66" s="101"/>
      <c r="B66" s="22"/>
      <c r="C66" s="32"/>
      <c r="D66" s="32"/>
    </row>
    <row r="67" spans="1:4" ht="20.25" x14ac:dyDescent="0.25">
      <c r="A67" s="101"/>
      <c r="B67" s="22"/>
      <c r="C67" s="32"/>
      <c r="D67" s="32"/>
    </row>
    <row r="68" spans="1:4" ht="20.25" x14ac:dyDescent="0.25">
      <c r="A68" s="101"/>
      <c r="B68" s="22"/>
      <c r="C68" s="32"/>
      <c r="D68" s="32"/>
    </row>
    <row r="69" spans="1:4" ht="20.25" x14ac:dyDescent="0.25">
      <c r="A69" s="101"/>
      <c r="B69" s="22"/>
      <c r="C69" s="32"/>
      <c r="D69" s="32"/>
    </row>
    <row r="70" spans="1:4" ht="20.25" x14ac:dyDescent="0.25">
      <c r="A70" s="101"/>
      <c r="B70" s="22"/>
      <c r="C70" s="32"/>
      <c r="D70" s="32"/>
    </row>
    <row r="71" spans="1:4" ht="20.25" x14ac:dyDescent="0.25">
      <c r="A71" s="101"/>
      <c r="B71" s="22"/>
      <c r="C71" s="32"/>
      <c r="D71" s="32"/>
    </row>
    <row r="72" spans="1:4" ht="20.25" x14ac:dyDescent="0.25">
      <c r="A72" s="101"/>
      <c r="B72" s="22"/>
      <c r="C72" s="32"/>
      <c r="D72" s="32"/>
    </row>
    <row r="73" spans="1:4" ht="20.25" x14ac:dyDescent="0.25">
      <c r="A73" s="101"/>
      <c r="B73" s="22"/>
      <c r="C73" s="32"/>
      <c r="D73" s="32"/>
    </row>
    <row r="74" spans="1:4" ht="20.25" x14ac:dyDescent="0.25">
      <c r="A74" s="101"/>
      <c r="B74" s="22"/>
      <c r="C74" s="32"/>
      <c r="D74" s="32"/>
    </row>
    <row r="75" spans="1:4" ht="20.25" x14ac:dyDescent="0.25">
      <c r="A75" s="101"/>
      <c r="B75" s="22"/>
      <c r="C75" s="32"/>
      <c r="D75" s="32"/>
    </row>
    <row r="76" spans="1:4" ht="20.25" x14ac:dyDescent="0.25">
      <c r="A76" s="101"/>
      <c r="B76" s="22"/>
      <c r="C76" s="32"/>
      <c r="D76" s="32"/>
    </row>
    <row r="77" spans="1:4" ht="20.25" x14ac:dyDescent="0.25">
      <c r="A77" s="101"/>
      <c r="B77" s="22"/>
      <c r="C77" s="32"/>
      <c r="D77" s="32"/>
    </row>
    <row r="78" spans="1:4" ht="20.25" x14ac:dyDescent="0.25">
      <c r="A78" s="101"/>
      <c r="B78" s="22"/>
      <c r="C78" s="32"/>
      <c r="D78" s="32"/>
    </row>
    <row r="79" spans="1:4" ht="20.25" x14ac:dyDescent="0.25">
      <c r="A79" s="101"/>
      <c r="B79" s="22"/>
      <c r="C79" s="32"/>
      <c r="D79" s="32"/>
    </row>
    <row r="80" spans="1:4" ht="20.25" x14ac:dyDescent="0.25">
      <c r="A80" s="101"/>
      <c r="B80" s="22"/>
      <c r="C80" s="32"/>
      <c r="D80" s="32"/>
    </row>
    <row r="81" spans="1:4" ht="20.25" x14ac:dyDescent="0.25">
      <c r="A81" s="101"/>
      <c r="B81" s="22"/>
      <c r="C81" s="32"/>
      <c r="D81" s="32"/>
    </row>
    <row r="82" spans="1:4" ht="20.25" x14ac:dyDescent="0.25">
      <c r="A82" s="101"/>
      <c r="B82" s="22"/>
      <c r="C82" s="32"/>
      <c r="D82" s="32"/>
    </row>
    <row r="83" spans="1:4" ht="20.25" x14ac:dyDescent="0.25">
      <c r="A83" s="101"/>
      <c r="B83" s="22"/>
      <c r="C83" s="32"/>
      <c r="D83" s="32"/>
    </row>
    <row r="84" spans="1:4" ht="20.25" x14ac:dyDescent="0.25">
      <c r="A84" s="101"/>
      <c r="B84" s="22"/>
      <c r="C84" s="32"/>
      <c r="D84" s="32"/>
    </row>
    <row r="85" spans="1:4" ht="20.25" x14ac:dyDescent="0.25">
      <c r="A85" s="101"/>
      <c r="B85" s="22"/>
      <c r="C85" s="32"/>
      <c r="D85" s="32"/>
    </row>
    <row r="86" spans="1:4" ht="20.25" x14ac:dyDescent="0.25">
      <c r="A86" s="101"/>
      <c r="B86" s="22"/>
      <c r="C86" s="32"/>
      <c r="D86" s="32"/>
    </row>
    <row r="87" spans="1:4" ht="20.25" x14ac:dyDescent="0.25">
      <c r="A87" s="101"/>
      <c r="B87" s="22"/>
      <c r="C87" s="32"/>
      <c r="D87" s="32"/>
    </row>
    <row r="88" spans="1:4" ht="20.25" x14ac:dyDescent="0.25">
      <c r="A88" s="101"/>
      <c r="B88" s="22"/>
      <c r="C88" s="32"/>
      <c r="D88" s="32"/>
    </row>
    <row r="89" spans="1:4" ht="20.25" x14ac:dyDescent="0.25">
      <c r="A89" s="101"/>
      <c r="B89" s="22"/>
      <c r="C89" s="32"/>
      <c r="D89" s="32"/>
    </row>
    <row r="90" spans="1:4" ht="20.25" x14ac:dyDescent="0.25">
      <c r="A90" s="101"/>
      <c r="B90" s="22"/>
      <c r="C90" s="32"/>
      <c r="D90" s="32"/>
    </row>
    <row r="91" spans="1:4" ht="20.25" x14ac:dyDescent="0.25">
      <c r="A91" s="101"/>
      <c r="B91" s="22"/>
      <c r="C91" s="32"/>
      <c r="D91" s="32"/>
    </row>
    <row r="92" spans="1:4" ht="20.25" x14ac:dyDescent="0.25">
      <c r="A92" s="101"/>
      <c r="B92" s="22"/>
      <c r="C92" s="32"/>
      <c r="D92" s="32"/>
    </row>
    <row r="93" spans="1:4" ht="20.25" x14ac:dyDescent="0.25">
      <c r="A93" s="101"/>
      <c r="B93" s="22"/>
      <c r="C93" s="32"/>
      <c r="D93" s="32"/>
    </row>
    <row r="94" spans="1:4" ht="20.25" x14ac:dyDescent="0.25">
      <c r="A94" s="101"/>
      <c r="B94" s="22"/>
      <c r="C94" s="32"/>
      <c r="D94" s="32"/>
    </row>
    <row r="95" spans="1:4" ht="20.25" x14ac:dyDescent="0.25">
      <c r="A95" s="101"/>
      <c r="B95" s="22"/>
      <c r="C95" s="32"/>
      <c r="D95" s="32"/>
    </row>
    <row r="96" spans="1:4" ht="20.25" x14ac:dyDescent="0.25">
      <c r="A96" s="101"/>
      <c r="B96" s="22"/>
      <c r="C96" s="32"/>
      <c r="D96" s="32"/>
    </row>
    <row r="97" spans="1:4" ht="20.25" x14ac:dyDescent="0.25">
      <c r="A97" s="101"/>
      <c r="B97" s="22"/>
      <c r="C97" s="32"/>
      <c r="D97" s="32"/>
    </row>
    <row r="98" spans="1:4" ht="20.25" x14ac:dyDescent="0.25">
      <c r="A98" s="101"/>
      <c r="B98" s="22"/>
      <c r="C98" s="32"/>
      <c r="D98" s="32"/>
    </row>
    <row r="99" spans="1:4" ht="20.25" x14ac:dyDescent="0.25">
      <c r="A99" s="101"/>
      <c r="B99" s="22"/>
      <c r="C99" s="32"/>
      <c r="D99" s="32"/>
    </row>
    <row r="100" spans="1:4" ht="20.25" x14ac:dyDescent="0.25">
      <c r="A100" s="101"/>
      <c r="B100" s="22"/>
      <c r="C100" s="32"/>
      <c r="D100" s="32"/>
    </row>
    <row r="101" spans="1:4" ht="20.25" x14ac:dyDescent="0.25">
      <c r="A101" s="101"/>
      <c r="B101" s="22"/>
      <c r="C101" s="32"/>
      <c r="D101" s="32"/>
    </row>
    <row r="102" spans="1:4" ht="20.25" x14ac:dyDescent="0.25">
      <c r="A102" s="101"/>
      <c r="B102" s="22"/>
      <c r="C102" s="32"/>
      <c r="D102" s="32"/>
    </row>
    <row r="103" spans="1:4" ht="20.25" x14ac:dyDescent="0.25">
      <c r="A103" s="101"/>
      <c r="B103" s="22"/>
      <c r="C103" s="32"/>
      <c r="D103" s="32"/>
    </row>
    <row r="104" spans="1:4" ht="20.25" x14ac:dyDescent="0.25">
      <c r="A104" s="101"/>
      <c r="B104" s="22"/>
      <c r="C104" s="32"/>
      <c r="D104" s="32"/>
    </row>
    <row r="105" spans="1:4" ht="20.25" x14ac:dyDescent="0.25">
      <c r="A105" s="101"/>
      <c r="B105" s="22"/>
      <c r="C105" s="32"/>
      <c r="D105" s="32"/>
    </row>
    <row r="106" spans="1:4" ht="20.25" x14ac:dyDescent="0.25">
      <c r="A106" s="101"/>
      <c r="B106" s="22"/>
      <c r="C106" s="32"/>
      <c r="D106" s="32"/>
    </row>
    <row r="107" spans="1:4" ht="20.25" x14ac:dyDescent="0.25">
      <c r="A107" s="101"/>
      <c r="B107" s="22"/>
      <c r="C107" s="32"/>
      <c r="D107" s="32"/>
    </row>
    <row r="108" spans="1:4" ht="20.25" x14ac:dyDescent="0.25">
      <c r="A108" s="101"/>
      <c r="B108" s="22"/>
      <c r="C108" s="32"/>
      <c r="D108" s="32"/>
    </row>
    <row r="109" spans="1:4" ht="20.25" x14ac:dyDescent="0.25">
      <c r="A109" s="101"/>
      <c r="B109" s="22"/>
      <c r="C109" s="32"/>
      <c r="D109" s="32"/>
    </row>
    <row r="110" spans="1:4" ht="20.25" x14ac:dyDescent="0.25">
      <c r="A110" s="101"/>
      <c r="B110" s="22"/>
      <c r="C110" s="32"/>
      <c r="D110" s="32"/>
    </row>
    <row r="111" spans="1:4" ht="20.25" x14ac:dyDescent="0.25">
      <c r="A111" s="101"/>
      <c r="B111" s="22"/>
      <c r="C111" s="32"/>
      <c r="D111" s="32"/>
    </row>
    <row r="112" spans="1:4" ht="20.25" x14ac:dyDescent="0.25">
      <c r="A112" s="101"/>
      <c r="B112" s="22"/>
      <c r="C112" s="32"/>
      <c r="D112" s="32"/>
    </row>
    <row r="113" spans="1:4" ht="20.25" x14ac:dyDescent="0.25">
      <c r="A113" s="101"/>
      <c r="B113" s="22"/>
      <c r="C113" s="32"/>
      <c r="D113" s="32"/>
    </row>
    <row r="114" spans="1:4" ht="20.25" x14ac:dyDescent="0.25">
      <c r="A114" s="101"/>
      <c r="B114" s="22"/>
      <c r="C114" s="32"/>
      <c r="D114" s="32"/>
    </row>
    <row r="115" spans="1:4" ht="20.25" x14ac:dyDescent="0.25">
      <c r="A115" s="101"/>
      <c r="B115" s="22"/>
      <c r="C115" s="32"/>
      <c r="D115" s="32"/>
    </row>
    <row r="116" spans="1:4" ht="20.25" x14ac:dyDescent="0.25">
      <c r="A116" s="101"/>
      <c r="B116" s="22"/>
      <c r="C116" s="32"/>
      <c r="D116" s="32"/>
    </row>
    <row r="117" spans="1:4" ht="20.25" x14ac:dyDescent="0.25">
      <c r="A117" s="101"/>
      <c r="B117" s="22"/>
      <c r="C117" s="32"/>
      <c r="D117" s="32"/>
    </row>
    <row r="118" spans="1:4" ht="20.25" x14ac:dyDescent="0.25">
      <c r="A118" s="101"/>
      <c r="B118" s="22"/>
      <c r="C118" s="32"/>
      <c r="D118" s="32"/>
    </row>
    <row r="119" spans="1:4" ht="20.25" x14ac:dyDescent="0.25">
      <c r="A119" s="101"/>
      <c r="B119" s="22"/>
      <c r="C119" s="32"/>
      <c r="D119" s="32"/>
    </row>
    <row r="120" spans="1:4" ht="20.25" x14ac:dyDescent="0.25">
      <c r="A120" s="101"/>
      <c r="B120" s="22"/>
      <c r="C120" s="32"/>
      <c r="D120" s="32"/>
    </row>
    <row r="121" spans="1:4" ht="20.25" x14ac:dyDescent="0.25">
      <c r="A121" s="101"/>
      <c r="B121" s="22"/>
      <c r="C121" s="32"/>
      <c r="D121" s="32"/>
    </row>
    <row r="122" spans="1:4" ht="20.25" x14ac:dyDescent="0.25">
      <c r="A122" s="101"/>
      <c r="B122" s="22"/>
      <c r="C122" s="32"/>
      <c r="D122" s="32"/>
    </row>
    <row r="123" spans="1:4" ht="20.25" x14ac:dyDescent="0.25">
      <c r="A123" s="101"/>
      <c r="B123" s="22"/>
      <c r="C123" s="32"/>
      <c r="D123" s="32"/>
    </row>
    <row r="124" spans="1:4" ht="20.25" x14ac:dyDescent="0.25">
      <c r="A124" s="101"/>
      <c r="B124" s="22"/>
      <c r="C124" s="32"/>
      <c r="D124" s="32"/>
    </row>
    <row r="125" spans="1:4" ht="20.25" x14ac:dyDescent="0.25">
      <c r="A125" s="101"/>
      <c r="B125" s="22"/>
      <c r="C125" s="32"/>
      <c r="D125" s="32"/>
    </row>
    <row r="126" spans="1:4" ht="20.25" x14ac:dyDescent="0.25">
      <c r="A126" s="101"/>
      <c r="B126" s="22"/>
      <c r="C126" s="32"/>
      <c r="D126" s="32"/>
    </row>
    <row r="127" spans="1:4" ht="20.25" x14ac:dyDescent="0.25">
      <c r="A127" s="101"/>
      <c r="B127" s="22"/>
      <c r="C127" s="32"/>
      <c r="D127" s="32"/>
    </row>
    <row r="128" spans="1:4" ht="20.25" x14ac:dyDescent="0.25">
      <c r="A128" s="101"/>
      <c r="B128" s="22"/>
      <c r="C128" s="32"/>
      <c r="D128" s="32"/>
    </row>
    <row r="129" spans="1:4" ht="20.25" x14ac:dyDescent="0.25">
      <c r="A129" s="101"/>
      <c r="B129" s="22"/>
      <c r="C129" s="32"/>
      <c r="D129" s="32"/>
    </row>
    <row r="130" spans="1:4" ht="20.25" x14ac:dyDescent="0.25">
      <c r="A130" s="101"/>
      <c r="B130" s="22"/>
      <c r="C130" s="32"/>
      <c r="D130" s="32"/>
    </row>
    <row r="131" spans="1:4" ht="20.25" x14ac:dyDescent="0.25">
      <c r="A131" s="101"/>
      <c r="B131" s="22"/>
      <c r="C131" s="32"/>
      <c r="D131" s="32"/>
    </row>
    <row r="132" spans="1:4" ht="20.25" x14ac:dyDescent="0.25">
      <c r="A132" s="101"/>
      <c r="B132" s="22"/>
      <c r="C132" s="32"/>
      <c r="D132" s="32"/>
    </row>
    <row r="133" spans="1:4" ht="20.25" x14ac:dyDescent="0.25">
      <c r="A133" s="101"/>
      <c r="B133" s="22"/>
      <c r="C133" s="32"/>
      <c r="D133" s="32"/>
    </row>
    <row r="134" spans="1:4" ht="20.25" x14ac:dyDescent="0.25">
      <c r="A134" s="101"/>
      <c r="B134" s="22"/>
      <c r="C134" s="32"/>
      <c r="D134" s="32"/>
    </row>
    <row r="135" spans="1:4" ht="20.25" x14ac:dyDescent="0.25">
      <c r="A135" s="101"/>
      <c r="B135" s="22"/>
      <c r="C135" s="32"/>
      <c r="D135" s="32"/>
    </row>
    <row r="136" spans="1:4" ht="20.25" x14ac:dyDescent="0.25">
      <c r="A136" s="101"/>
      <c r="B136" s="22"/>
      <c r="C136" s="32"/>
      <c r="D136" s="32"/>
    </row>
    <row r="137" spans="1:4" ht="20.25" x14ac:dyDescent="0.25">
      <c r="A137" s="101"/>
      <c r="B137" s="22"/>
      <c r="C137" s="32"/>
      <c r="D137" s="32"/>
    </row>
    <row r="138" spans="1:4" ht="20.25" x14ac:dyDescent="0.25">
      <c r="A138" s="101"/>
      <c r="B138" s="22"/>
      <c r="C138" s="32"/>
      <c r="D138" s="32"/>
    </row>
    <row r="139" spans="1:4" ht="20.25" x14ac:dyDescent="0.25">
      <c r="A139" s="101"/>
      <c r="B139" s="22"/>
      <c r="C139" s="32"/>
      <c r="D139" s="32"/>
    </row>
    <row r="140" spans="1:4" ht="20.25" x14ac:dyDescent="0.25">
      <c r="A140" s="101"/>
      <c r="B140" s="22"/>
      <c r="C140" s="32"/>
      <c r="D140" s="32"/>
    </row>
    <row r="141" spans="1:4" ht="20.25" x14ac:dyDescent="0.25">
      <c r="A141" s="101"/>
      <c r="B141" s="22"/>
      <c r="C141" s="32"/>
      <c r="D141" s="32"/>
    </row>
    <row r="142" spans="1:4" ht="20.25" x14ac:dyDescent="0.25">
      <c r="A142" s="101"/>
      <c r="B142" s="22"/>
      <c r="C142" s="32"/>
      <c r="D142" s="32"/>
    </row>
    <row r="143" spans="1:4" ht="20.25" x14ac:dyDescent="0.25">
      <c r="A143" s="101"/>
      <c r="B143" s="22"/>
      <c r="C143" s="32"/>
      <c r="D143" s="32"/>
    </row>
    <row r="144" spans="1:4" ht="20.25" x14ac:dyDescent="0.25">
      <c r="A144" s="101"/>
      <c r="B144" s="22"/>
      <c r="C144" s="32"/>
      <c r="D144" s="32"/>
    </row>
    <row r="145" spans="1:4" ht="20.25" x14ac:dyDescent="0.25">
      <c r="A145" s="101"/>
      <c r="B145" s="22"/>
      <c r="C145" s="32"/>
      <c r="D145" s="32"/>
    </row>
    <row r="146" spans="1:4" ht="20.25" x14ac:dyDescent="0.25">
      <c r="A146" s="101"/>
      <c r="B146" s="22"/>
      <c r="C146" s="32"/>
      <c r="D146" s="32"/>
    </row>
    <row r="147" spans="1:4" ht="20.25" x14ac:dyDescent="0.25">
      <c r="A147" s="101"/>
      <c r="B147" s="22"/>
      <c r="C147" s="32"/>
      <c r="D147" s="32"/>
    </row>
    <row r="148" spans="1:4" ht="20.25" x14ac:dyDescent="0.25">
      <c r="A148" s="101"/>
      <c r="B148" s="22"/>
      <c r="C148" s="32"/>
      <c r="D148" s="32"/>
    </row>
    <row r="149" spans="1:4" ht="20.25" x14ac:dyDescent="0.25">
      <c r="A149" s="101"/>
      <c r="B149" s="22"/>
      <c r="C149" s="32"/>
      <c r="D149" s="32"/>
    </row>
    <row r="150" spans="1:4" ht="20.25" x14ac:dyDescent="0.25">
      <c r="A150" s="101"/>
      <c r="B150" s="22"/>
      <c r="C150" s="32"/>
      <c r="D150" s="32"/>
    </row>
    <row r="151" spans="1:4" ht="20.25" x14ac:dyDescent="0.25">
      <c r="A151" s="101"/>
      <c r="B151" s="22"/>
      <c r="C151" s="32"/>
      <c r="D151" s="32"/>
    </row>
    <row r="152" spans="1:4" ht="20.25" x14ac:dyDescent="0.25">
      <c r="A152" s="101"/>
      <c r="B152" s="22"/>
      <c r="C152" s="32"/>
      <c r="D152" s="32"/>
    </row>
    <row r="153" spans="1:4" ht="20.25" x14ac:dyDescent="0.25">
      <c r="A153" s="101"/>
      <c r="B153" s="22"/>
      <c r="C153" s="32"/>
      <c r="D153" s="32"/>
    </row>
    <row r="154" spans="1:4" ht="20.25" x14ac:dyDescent="0.25">
      <c r="A154" s="101"/>
      <c r="B154" s="22"/>
      <c r="C154" s="32"/>
      <c r="D154" s="32"/>
    </row>
    <row r="155" spans="1:4" ht="20.25" x14ac:dyDescent="0.25">
      <c r="A155" s="101"/>
      <c r="B155" s="22"/>
      <c r="C155" s="32"/>
      <c r="D155" s="32"/>
    </row>
    <row r="156" spans="1:4" ht="20.25" x14ac:dyDescent="0.25">
      <c r="A156" s="101"/>
      <c r="B156" s="22"/>
      <c r="C156" s="32"/>
      <c r="D156" s="32"/>
    </row>
    <row r="157" spans="1:4" ht="20.25" x14ac:dyDescent="0.25">
      <c r="A157" s="101"/>
      <c r="B157" s="22"/>
      <c r="C157" s="32"/>
      <c r="D157" s="32"/>
    </row>
    <row r="158" spans="1:4" ht="20.25" x14ac:dyDescent="0.25">
      <c r="A158" s="101"/>
      <c r="B158" s="22"/>
      <c r="C158" s="32"/>
      <c r="D158" s="32"/>
    </row>
    <row r="159" spans="1:4" ht="20.25" x14ac:dyDescent="0.25">
      <c r="A159" s="101"/>
      <c r="B159" s="22"/>
      <c r="C159" s="32"/>
      <c r="D159" s="32"/>
    </row>
    <row r="160" spans="1:4" ht="20.25" x14ac:dyDescent="0.25">
      <c r="A160" s="101"/>
      <c r="B160" s="22"/>
      <c r="C160" s="32"/>
      <c r="D160" s="32"/>
    </row>
    <row r="161" spans="1:4" ht="20.25" x14ac:dyDescent="0.25">
      <c r="A161" s="101"/>
      <c r="B161" s="22"/>
      <c r="C161" s="32"/>
      <c r="D161" s="32"/>
    </row>
    <row r="162" spans="1:4" ht="20.25" x14ac:dyDescent="0.25">
      <c r="A162" s="101"/>
      <c r="B162" s="22"/>
      <c r="C162" s="32"/>
      <c r="D162" s="32"/>
    </row>
    <row r="163" spans="1:4" ht="20.25" x14ac:dyDescent="0.25">
      <c r="A163" s="101"/>
      <c r="B163" s="22"/>
      <c r="C163" s="32"/>
      <c r="D163" s="32"/>
    </row>
    <row r="164" spans="1:4" ht="20.25" x14ac:dyDescent="0.25">
      <c r="A164" s="101"/>
      <c r="B164" s="22"/>
      <c r="C164" s="32"/>
      <c r="D164" s="32"/>
    </row>
    <row r="165" spans="1:4" ht="20.25" x14ac:dyDescent="0.25">
      <c r="A165" s="101"/>
      <c r="B165" s="22"/>
      <c r="C165" s="32"/>
      <c r="D165" s="32"/>
    </row>
    <row r="166" spans="1:4" ht="20.25" x14ac:dyDescent="0.25">
      <c r="A166" s="101"/>
      <c r="B166" s="22"/>
      <c r="C166" s="32"/>
      <c r="D166" s="32"/>
    </row>
    <row r="167" spans="1:4" ht="20.25" x14ac:dyDescent="0.25">
      <c r="A167" s="101"/>
      <c r="B167" s="22"/>
      <c r="C167" s="32"/>
      <c r="D167" s="32"/>
    </row>
    <row r="168" spans="1:4" ht="20.25" x14ac:dyDescent="0.25">
      <c r="A168" s="101"/>
      <c r="B168" s="22"/>
      <c r="C168" s="32"/>
      <c r="D168" s="32"/>
    </row>
    <row r="169" spans="1:4" ht="20.25" x14ac:dyDescent="0.25">
      <c r="A169" s="101"/>
      <c r="B169" s="22"/>
      <c r="C169" s="32"/>
      <c r="D169" s="32"/>
    </row>
    <row r="170" spans="1:4" ht="20.25" x14ac:dyDescent="0.25">
      <c r="A170" s="101"/>
      <c r="B170" s="22"/>
      <c r="C170" s="32"/>
      <c r="D170" s="32"/>
    </row>
    <row r="171" spans="1:4" ht="20.25" x14ac:dyDescent="0.25">
      <c r="A171" s="101"/>
      <c r="B171" s="22"/>
      <c r="C171" s="32"/>
      <c r="D171" s="32"/>
    </row>
    <row r="172" spans="1:4" ht="20.25" x14ac:dyDescent="0.25">
      <c r="A172" s="101"/>
      <c r="B172" s="22"/>
      <c r="C172" s="32"/>
      <c r="D172" s="32"/>
    </row>
    <row r="173" spans="1:4" ht="20.25" x14ac:dyDescent="0.25">
      <c r="A173" s="101"/>
      <c r="B173" s="22"/>
      <c r="C173" s="32"/>
      <c r="D173" s="32"/>
    </row>
    <row r="174" spans="1:4" ht="20.25" x14ac:dyDescent="0.25">
      <c r="A174" s="101"/>
      <c r="B174" s="22"/>
      <c r="C174" s="32"/>
      <c r="D174" s="32"/>
    </row>
    <row r="175" spans="1:4" ht="20.25" x14ac:dyDescent="0.25">
      <c r="A175" s="101"/>
      <c r="B175" s="22"/>
      <c r="C175" s="32"/>
      <c r="D175" s="32"/>
    </row>
    <row r="176" spans="1:4" ht="20.25" x14ac:dyDescent="0.25">
      <c r="A176" s="101"/>
      <c r="B176" s="22"/>
      <c r="C176" s="32"/>
      <c r="D176" s="32"/>
    </row>
    <row r="177" spans="1:4" ht="20.25" x14ac:dyDescent="0.25">
      <c r="A177" s="101"/>
      <c r="B177" s="22"/>
      <c r="C177" s="32"/>
      <c r="D177" s="32"/>
    </row>
    <row r="178" spans="1:4" ht="20.25" x14ac:dyDescent="0.25">
      <c r="A178" s="101"/>
      <c r="B178" s="22"/>
      <c r="C178" s="32"/>
      <c r="D178" s="32"/>
    </row>
    <row r="179" spans="1:4" ht="20.25" x14ac:dyDescent="0.25">
      <c r="A179" s="101"/>
      <c r="B179" s="22"/>
      <c r="C179" s="32"/>
      <c r="D179" s="32"/>
    </row>
    <row r="180" spans="1:4" ht="20.25" x14ac:dyDescent="0.25">
      <c r="A180" s="101"/>
      <c r="B180" s="22"/>
      <c r="C180" s="32"/>
      <c r="D180" s="32"/>
    </row>
    <row r="181" spans="1:4" ht="20.25" x14ac:dyDescent="0.25">
      <c r="A181" s="101"/>
      <c r="B181" s="22"/>
      <c r="C181" s="32"/>
      <c r="D181" s="32"/>
    </row>
    <row r="182" spans="1:4" ht="20.25" x14ac:dyDescent="0.25">
      <c r="A182" s="101"/>
      <c r="B182" s="22"/>
      <c r="C182" s="32"/>
      <c r="D182" s="32"/>
    </row>
    <row r="183" spans="1:4" ht="20.25" x14ac:dyDescent="0.25">
      <c r="A183" s="101"/>
      <c r="B183" s="22"/>
      <c r="C183" s="32"/>
      <c r="D183" s="32"/>
    </row>
    <row r="184" spans="1:4" ht="20.25" x14ac:dyDescent="0.25">
      <c r="A184" s="101"/>
      <c r="B184" s="22"/>
      <c r="C184" s="32"/>
      <c r="D184" s="32"/>
    </row>
    <row r="185" spans="1:4" ht="20.25" x14ac:dyDescent="0.25">
      <c r="A185" s="101"/>
      <c r="B185" s="22"/>
      <c r="C185" s="32"/>
      <c r="D185" s="32"/>
    </row>
    <row r="186" spans="1:4" ht="20.25" x14ac:dyDescent="0.25">
      <c r="A186" s="101"/>
      <c r="B186" s="22"/>
      <c r="C186" s="32"/>
      <c r="D186" s="32"/>
    </row>
    <row r="187" spans="1:4" ht="20.25" x14ac:dyDescent="0.25">
      <c r="A187" s="101"/>
      <c r="B187" s="22"/>
      <c r="C187" s="32"/>
      <c r="D187" s="32"/>
    </row>
    <row r="188" spans="1:4" ht="20.25" x14ac:dyDescent="0.25">
      <c r="A188" s="101"/>
      <c r="B188" s="22"/>
      <c r="C188" s="32"/>
      <c r="D188" s="32"/>
    </row>
    <row r="189" spans="1:4" ht="20.25" x14ac:dyDescent="0.25">
      <c r="A189" s="101"/>
      <c r="B189" s="22"/>
      <c r="C189" s="32"/>
      <c r="D189" s="32"/>
    </row>
    <row r="190" spans="1:4" ht="20.25" x14ac:dyDescent="0.25">
      <c r="A190" s="101"/>
      <c r="B190" s="22"/>
      <c r="C190" s="32"/>
      <c r="D190" s="32"/>
    </row>
    <row r="191" spans="1:4" ht="20.25" x14ac:dyDescent="0.25">
      <c r="A191" s="101"/>
      <c r="B191" s="22"/>
      <c r="C191" s="32"/>
      <c r="D191" s="32"/>
    </row>
    <row r="192" spans="1:4" ht="20.25" x14ac:dyDescent="0.25">
      <c r="A192" s="101"/>
      <c r="B192" s="22"/>
      <c r="C192" s="32"/>
      <c r="D192" s="32"/>
    </row>
    <row r="193" spans="1:4" ht="20.25" x14ac:dyDescent="0.25">
      <c r="A193" s="101"/>
      <c r="B193" s="22"/>
      <c r="C193" s="32"/>
      <c r="D193" s="32"/>
    </row>
    <row r="194" spans="1:4" ht="20.25" x14ac:dyDescent="0.25">
      <c r="A194" s="101"/>
      <c r="B194" s="22"/>
      <c r="C194" s="32"/>
      <c r="D194" s="32"/>
    </row>
    <row r="195" spans="1:4" ht="20.25" x14ac:dyDescent="0.25">
      <c r="A195" s="101"/>
      <c r="B195" s="22"/>
      <c r="C195" s="32"/>
      <c r="D195" s="32"/>
    </row>
    <row r="196" spans="1:4" ht="20.25" x14ac:dyDescent="0.25">
      <c r="A196" s="101"/>
      <c r="B196" s="22"/>
      <c r="C196" s="32"/>
      <c r="D196" s="32"/>
    </row>
    <row r="197" spans="1:4" ht="20.25" x14ac:dyDescent="0.25">
      <c r="A197" s="101"/>
      <c r="B197" s="22"/>
      <c r="C197" s="32"/>
      <c r="D197" s="32"/>
    </row>
    <row r="198" spans="1:4" ht="20.25" x14ac:dyDescent="0.25">
      <c r="A198" s="101"/>
      <c r="B198" s="22"/>
      <c r="C198" s="32"/>
      <c r="D198" s="32"/>
    </row>
    <row r="199" spans="1:4" ht="20.25" x14ac:dyDescent="0.25">
      <c r="A199" s="101"/>
      <c r="B199" s="22"/>
      <c r="C199" s="32"/>
      <c r="D199" s="32"/>
    </row>
    <row r="200" spans="1:4" ht="20.25" x14ac:dyDescent="0.25">
      <c r="A200" s="101"/>
      <c r="B200" s="22"/>
      <c r="C200" s="32"/>
      <c r="D200" s="32"/>
    </row>
    <row r="201" spans="1:4" ht="20.25" x14ac:dyDescent="0.25">
      <c r="A201" s="101"/>
      <c r="B201" s="22"/>
      <c r="C201" s="32"/>
      <c r="D201" s="32"/>
    </row>
    <row r="202" spans="1:4" ht="20.25" x14ac:dyDescent="0.25">
      <c r="A202" s="101"/>
      <c r="B202" s="22"/>
      <c r="C202" s="32"/>
      <c r="D202" s="32"/>
    </row>
    <row r="203" spans="1:4" ht="20.25" x14ac:dyDescent="0.25">
      <c r="A203" s="101"/>
      <c r="B203" s="22"/>
      <c r="C203" s="32"/>
      <c r="D203" s="32"/>
    </row>
    <row r="204" spans="1:4" ht="20.25" x14ac:dyDescent="0.25">
      <c r="A204" s="101"/>
      <c r="B204" s="22"/>
      <c r="C204" s="32"/>
      <c r="D204" s="32"/>
    </row>
    <row r="205" spans="1:4" ht="20.25" x14ac:dyDescent="0.25">
      <c r="A205" s="101"/>
      <c r="B205" s="22"/>
      <c r="C205" s="32"/>
      <c r="D205" s="32"/>
    </row>
    <row r="206" spans="1:4" ht="20.25" x14ac:dyDescent="0.25">
      <c r="A206" s="101"/>
      <c r="B206" s="22"/>
      <c r="C206" s="32"/>
      <c r="D206" s="32"/>
    </row>
    <row r="207" spans="1:4" ht="20.25" x14ac:dyDescent="0.25">
      <c r="A207" s="101"/>
      <c r="B207" s="22"/>
      <c r="C207" s="32"/>
      <c r="D207" s="32"/>
    </row>
    <row r="208" spans="1:4" x14ac:dyDescent="0.25">
      <c r="A208" s="81"/>
      <c r="B208" s="22"/>
      <c r="C208" s="22"/>
      <c r="D208" s="22"/>
    </row>
    <row r="209" spans="1:8" ht="20.25" x14ac:dyDescent="0.25">
      <c r="A209" s="81"/>
      <c r="B209" s="28" t="s">
        <v>153</v>
      </c>
      <c r="C209" s="28" t="s">
        <v>154</v>
      </c>
      <c r="D209" s="31" t="s">
        <v>153</v>
      </c>
      <c r="E209" s="31" t="s">
        <v>154</v>
      </c>
    </row>
    <row r="210" spans="1:8" ht="21" x14ac:dyDescent="0.35">
      <c r="A210" s="81"/>
      <c r="B210" s="29" t="s">
        <v>155</v>
      </c>
      <c r="C210" s="29" t="s">
        <v>156</v>
      </c>
      <c r="D210" t="s">
        <v>155</v>
      </c>
      <c r="F210" t="str">
        <f>IF(NOT(ISBLANK(D210)),D210,IF(NOT(ISBLANK(E210)),"     "&amp;E210,FALSE))</f>
        <v>Afectación Económica o presupuestal</v>
      </c>
      <c r="G210" t="s">
        <v>155</v>
      </c>
      <c r="H210" t="str">
        <f>IF(NOT(ISERROR(MATCH(G210,_xlfn.ANCHORARRAY(B221),0))),F223&amp;"Por favor no seleccionar los criterios de impacto",G210)</f>
        <v>❌Por favor no seleccionar los criterios de impacto</v>
      </c>
    </row>
    <row r="211" spans="1:8" ht="21" x14ac:dyDescent="0.35">
      <c r="A211" s="81"/>
      <c r="B211" s="29" t="s">
        <v>155</v>
      </c>
      <c r="C211" s="29" t="s">
        <v>128</v>
      </c>
      <c r="E211" t="s">
        <v>156</v>
      </c>
      <c r="F211" t="str">
        <f t="shared" ref="F211:F221" si="0">IF(NOT(ISBLANK(D211)),D211,IF(NOT(ISBLANK(E211)),"     "&amp;E211,FALSE))</f>
        <v xml:space="preserve">     Afectación menor a 10 SMLMV .</v>
      </c>
    </row>
    <row r="212" spans="1:8" ht="21" x14ac:dyDescent="0.35">
      <c r="A212" s="81"/>
      <c r="B212" s="29" t="s">
        <v>155</v>
      </c>
      <c r="C212" s="29" t="s">
        <v>131</v>
      </c>
      <c r="E212" t="s">
        <v>128</v>
      </c>
      <c r="F212" t="str">
        <f t="shared" si="0"/>
        <v xml:space="preserve">     Entre 10 y 50 SMLMV </v>
      </c>
    </row>
    <row r="213" spans="1:8" ht="21" x14ac:dyDescent="0.35">
      <c r="A213" s="81"/>
      <c r="B213" s="29" t="s">
        <v>155</v>
      </c>
      <c r="C213" s="29" t="s">
        <v>135</v>
      </c>
      <c r="E213" t="s">
        <v>131</v>
      </c>
      <c r="F213" t="str">
        <f t="shared" si="0"/>
        <v xml:space="preserve">     Entre 50 y 100 SMLMV </v>
      </c>
    </row>
    <row r="214" spans="1:8" ht="21" x14ac:dyDescent="0.35">
      <c r="A214" s="81"/>
      <c r="B214" s="29" t="s">
        <v>155</v>
      </c>
      <c r="C214" s="29" t="s">
        <v>139</v>
      </c>
      <c r="E214" t="s">
        <v>135</v>
      </c>
      <c r="F214" t="str">
        <f t="shared" si="0"/>
        <v xml:space="preserve">     Entre 100 y 500 SMLMV </v>
      </c>
    </row>
    <row r="215" spans="1:8" ht="21" x14ac:dyDescent="0.35">
      <c r="A215" s="81"/>
      <c r="B215" s="29" t="s">
        <v>121</v>
      </c>
      <c r="C215" s="29" t="s">
        <v>125</v>
      </c>
      <c r="E215" t="s">
        <v>139</v>
      </c>
      <c r="F215" t="str">
        <f t="shared" si="0"/>
        <v xml:space="preserve">     Mayor a 500 SMLMV </v>
      </c>
    </row>
    <row r="216" spans="1:8" ht="21" x14ac:dyDescent="0.35">
      <c r="A216" s="81"/>
      <c r="B216" s="29" t="s">
        <v>121</v>
      </c>
      <c r="C216" s="29" t="s">
        <v>129</v>
      </c>
      <c r="D216" t="s">
        <v>121</v>
      </c>
      <c r="F216" t="str">
        <f t="shared" si="0"/>
        <v>Pérdida Reputacional</v>
      </c>
    </row>
    <row r="217" spans="1:8" ht="21" x14ac:dyDescent="0.35">
      <c r="A217" s="81"/>
      <c r="B217" s="29" t="s">
        <v>121</v>
      </c>
      <c r="C217" s="29" t="s">
        <v>132</v>
      </c>
      <c r="E217" t="s">
        <v>125</v>
      </c>
      <c r="F217" t="str">
        <f t="shared" si="0"/>
        <v xml:space="preserve">     El riesgo afecta la imagen de alguna área de la organización</v>
      </c>
    </row>
    <row r="218" spans="1:8" ht="21" x14ac:dyDescent="0.35">
      <c r="A218" s="81"/>
      <c r="B218" s="29" t="s">
        <v>121</v>
      </c>
      <c r="C218" s="29" t="s">
        <v>136</v>
      </c>
      <c r="E218" t="s">
        <v>129</v>
      </c>
      <c r="F218" t="str">
        <f t="shared" si="0"/>
        <v xml:space="preserve">     El riesgo afecta la imagen de la entidad internamente, de conocimiento general, nivel interno, de junta dircetiva y accionistas y/o de provedores</v>
      </c>
    </row>
    <row r="219" spans="1:8" ht="21" x14ac:dyDescent="0.35">
      <c r="A219" s="81"/>
      <c r="B219" s="29" t="s">
        <v>121</v>
      </c>
      <c r="C219" s="29" t="s">
        <v>140</v>
      </c>
      <c r="E219" t="s">
        <v>132</v>
      </c>
      <c r="F219" t="str">
        <f t="shared" si="0"/>
        <v xml:space="preserve">     El riesgo afecta la imagen de la entidad con algunos usuarios de relevancia frente al logro de los objetivos</v>
      </c>
    </row>
    <row r="220" spans="1:8" x14ac:dyDescent="0.25">
      <c r="A220" s="81"/>
      <c r="B220" s="30"/>
      <c r="C220" s="30"/>
      <c r="E220" t="s">
        <v>136</v>
      </c>
      <c r="F220" t="str">
        <f t="shared" si="0"/>
        <v xml:space="preserve">     El riesgo afecta la imagen de de la entidad con efecto publicitario sostenido a nivel de sector administrativo, nivel departamental o municipal</v>
      </c>
    </row>
    <row r="221" spans="1:8" x14ac:dyDescent="0.25">
      <c r="A221" s="81"/>
      <c r="B221" s="30" t="str" cm="1">
        <f t="array" ref="B221:B223">_xlfn.UNIQUE(Tabla1[[#All],[Criterios]])</f>
        <v>Criterios</v>
      </c>
      <c r="C221" s="30"/>
      <c r="E221" t="s">
        <v>140</v>
      </c>
      <c r="F221" t="str">
        <f t="shared" si="0"/>
        <v xml:space="preserve">     El riesgo afecta la imagen de la entidad a nivel nacional, con efecto publicitarios sostenible a nivel país</v>
      </c>
    </row>
    <row r="222" spans="1:8" x14ac:dyDescent="0.25">
      <c r="A222" s="81"/>
      <c r="B222" s="30" t="str">
        <v>Afectación Económica o presupuestal</v>
      </c>
      <c r="C222" s="30"/>
    </row>
    <row r="223" spans="1:8" x14ac:dyDescent="0.25">
      <c r="B223" s="30" t="str">
        <v>Pérdida Reputacional</v>
      </c>
      <c r="C223" s="30"/>
      <c r="F223" s="33" t="s">
        <v>157</v>
      </c>
    </row>
    <row r="224" spans="1:8" x14ac:dyDescent="0.25">
      <c r="B224" s="21"/>
      <c r="C224" s="21"/>
      <c r="F224" s="33" t="s">
        <v>158</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E22" sqref="E22"/>
    </sheetView>
  </sheetViews>
  <sheetFormatPr baseColWidth="10" defaultColWidth="14.28515625" defaultRowHeight="12.75" x14ac:dyDescent="0.2"/>
  <cols>
    <col min="1" max="2" width="14.28515625" style="86"/>
    <col min="3" max="3" width="17" style="86" customWidth="1"/>
    <col min="4" max="4" width="14.28515625" style="86"/>
    <col min="5" max="5" width="46" style="86" customWidth="1"/>
    <col min="6" max="16384" width="14.28515625" style="86"/>
  </cols>
  <sheetData>
    <row r="1" spans="2:6" ht="24" customHeight="1" thickBot="1" x14ac:dyDescent="0.25">
      <c r="B1" s="461" t="s">
        <v>159</v>
      </c>
      <c r="C1" s="462"/>
      <c r="D1" s="462"/>
      <c r="E1" s="462"/>
      <c r="F1" s="463"/>
    </row>
    <row r="2" spans="2:6" ht="16.5" thickBot="1" x14ac:dyDescent="0.3">
      <c r="B2" s="87"/>
      <c r="C2" s="87"/>
      <c r="D2" s="87"/>
      <c r="E2" s="87"/>
      <c r="F2" s="87"/>
    </row>
    <row r="3" spans="2:6" ht="16.5" thickBot="1" x14ac:dyDescent="0.25">
      <c r="B3" s="465" t="s">
        <v>160</v>
      </c>
      <c r="C3" s="466"/>
      <c r="D3" s="466"/>
      <c r="E3" s="99" t="s">
        <v>161</v>
      </c>
      <c r="F3" s="100" t="s">
        <v>162</v>
      </c>
    </row>
    <row r="4" spans="2:6" ht="31.5" x14ac:dyDescent="0.2">
      <c r="B4" s="467" t="s">
        <v>163</v>
      </c>
      <c r="C4" s="469" t="s">
        <v>83</v>
      </c>
      <c r="D4" s="88" t="s">
        <v>164</v>
      </c>
      <c r="E4" s="89" t="s">
        <v>165</v>
      </c>
      <c r="F4" s="90">
        <v>0.25</v>
      </c>
    </row>
    <row r="5" spans="2:6" ht="47.25" x14ac:dyDescent="0.2">
      <c r="B5" s="468"/>
      <c r="C5" s="470"/>
      <c r="D5" s="91" t="s">
        <v>166</v>
      </c>
      <c r="E5" s="92" t="s">
        <v>167</v>
      </c>
      <c r="F5" s="93">
        <v>0.15</v>
      </c>
    </row>
    <row r="6" spans="2:6" ht="47.25" x14ac:dyDescent="0.2">
      <c r="B6" s="468"/>
      <c r="C6" s="470"/>
      <c r="D6" s="91" t="s">
        <v>168</v>
      </c>
      <c r="E6" s="92" t="s">
        <v>169</v>
      </c>
      <c r="F6" s="93">
        <v>0.1</v>
      </c>
    </row>
    <row r="7" spans="2:6" ht="63" x14ac:dyDescent="0.2">
      <c r="B7" s="468"/>
      <c r="C7" s="470" t="s">
        <v>84</v>
      </c>
      <c r="D7" s="91" t="s">
        <v>170</v>
      </c>
      <c r="E7" s="92" t="s">
        <v>171</v>
      </c>
      <c r="F7" s="93">
        <v>0.25</v>
      </c>
    </row>
    <row r="8" spans="2:6" ht="31.5" x14ac:dyDescent="0.2">
      <c r="B8" s="468"/>
      <c r="C8" s="470"/>
      <c r="D8" s="91" t="s">
        <v>172</v>
      </c>
      <c r="E8" s="92" t="s">
        <v>173</v>
      </c>
      <c r="F8" s="93">
        <v>0.15</v>
      </c>
    </row>
    <row r="9" spans="2:6" ht="47.25" x14ac:dyDescent="0.2">
      <c r="B9" s="468" t="s">
        <v>174</v>
      </c>
      <c r="C9" s="470" t="s">
        <v>86</v>
      </c>
      <c r="D9" s="91" t="s">
        <v>175</v>
      </c>
      <c r="E9" s="92" t="s">
        <v>176</v>
      </c>
      <c r="F9" s="94" t="s">
        <v>177</v>
      </c>
    </row>
    <row r="10" spans="2:6" ht="63" x14ac:dyDescent="0.2">
      <c r="B10" s="468"/>
      <c r="C10" s="470"/>
      <c r="D10" s="91" t="s">
        <v>178</v>
      </c>
      <c r="E10" s="92" t="s">
        <v>179</v>
      </c>
      <c r="F10" s="94" t="s">
        <v>177</v>
      </c>
    </row>
    <row r="11" spans="2:6" ht="47.25" x14ac:dyDescent="0.2">
      <c r="B11" s="468"/>
      <c r="C11" s="470" t="s">
        <v>87</v>
      </c>
      <c r="D11" s="91" t="s">
        <v>180</v>
      </c>
      <c r="E11" s="92" t="s">
        <v>181</v>
      </c>
      <c r="F11" s="94" t="s">
        <v>177</v>
      </c>
    </row>
    <row r="12" spans="2:6" ht="47.25" x14ac:dyDescent="0.2">
      <c r="B12" s="468"/>
      <c r="C12" s="470"/>
      <c r="D12" s="91" t="s">
        <v>182</v>
      </c>
      <c r="E12" s="92" t="s">
        <v>183</v>
      </c>
      <c r="F12" s="94" t="s">
        <v>177</v>
      </c>
    </row>
    <row r="13" spans="2:6" ht="31.5" x14ac:dyDescent="0.2">
      <c r="B13" s="468"/>
      <c r="C13" s="470" t="s">
        <v>88</v>
      </c>
      <c r="D13" s="91" t="s">
        <v>184</v>
      </c>
      <c r="E13" s="92" t="s">
        <v>185</v>
      </c>
      <c r="F13" s="94" t="s">
        <v>177</v>
      </c>
    </row>
    <row r="14" spans="2:6" ht="32.25" thickBot="1" x14ac:dyDescent="0.25">
      <c r="B14" s="471"/>
      <c r="C14" s="472"/>
      <c r="D14" s="95" t="s">
        <v>186</v>
      </c>
      <c r="E14" s="96" t="s">
        <v>187</v>
      </c>
      <c r="F14" s="97" t="s">
        <v>177</v>
      </c>
    </row>
    <row r="15" spans="2:6" ht="49.5" customHeight="1" x14ac:dyDescent="0.2">
      <c r="B15" s="464" t="s">
        <v>188</v>
      </c>
      <c r="C15" s="464"/>
      <c r="D15" s="464"/>
      <c r="E15" s="464"/>
      <c r="F15" s="464"/>
    </row>
    <row r="16" spans="2:6" ht="27" customHeight="1" x14ac:dyDescent="0.25">
      <c r="B16" s="98"/>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189</v>
      </c>
      <c r="E2" t="s">
        <v>190</v>
      </c>
    </row>
    <row r="3" spans="2:5" x14ac:dyDescent="0.25">
      <c r="B3" t="s">
        <v>191</v>
      </c>
      <c r="E3" t="s">
        <v>192</v>
      </c>
    </row>
    <row r="4" spans="2:5" x14ac:dyDescent="0.25">
      <c r="B4" t="s">
        <v>193</v>
      </c>
      <c r="E4" t="s">
        <v>194</v>
      </c>
    </row>
    <row r="5" spans="2:5" x14ac:dyDescent="0.25">
      <c r="B5" t="s">
        <v>195</v>
      </c>
    </row>
    <row r="8" spans="2:5" x14ac:dyDescent="0.25">
      <c r="B8" t="s">
        <v>196</v>
      </c>
    </row>
    <row r="9" spans="2:5" x14ac:dyDescent="0.25">
      <c r="B9" t="s">
        <v>197</v>
      </c>
    </row>
    <row r="10" spans="2:5" x14ac:dyDescent="0.25">
      <c r="B10" t="s">
        <v>198</v>
      </c>
    </row>
    <row r="13" spans="2:5" x14ac:dyDescent="0.25">
      <c r="B13" t="s">
        <v>199</v>
      </c>
    </row>
    <row r="14" spans="2:5" x14ac:dyDescent="0.25">
      <c r="B14" t="s">
        <v>200</v>
      </c>
    </row>
    <row r="15" spans="2:5" x14ac:dyDescent="0.25">
      <c r="B15" t="s">
        <v>201</v>
      </c>
    </row>
    <row r="16" spans="2:5" x14ac:dyDescent="0.25">
      <c r="B16" t="s">
        <v>202</v>
      </c>
    </row>
    <row r="17" spans="2:2" x14ac:dyDescent="0.25">
      <c r="B17" t="s">
        <v>203</v>
      </c>
    </row>
    <row r="18" spans="2:2" x14ac:dyDescent="0.25">
      <c r="B18" t="s">
        <v>204</v>
      </c>
    </row>
    <row r="19" spans="2:2" x14ac:dyDescent="0.25">
      <c r="B19" t="s">
        <v>205</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vt:lpstr>
      <vt:lpstr>Contexto proceso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Luisa Fernanda Ibagon Moreno</cp:lastModifiedBy>
  <cp:revision/>
  <dcterms:created xsi:type="dcterms:W3CDTF">2020-03-24T23:12:47Z</dcterms:created>
  <dcterms:modified xsi:type="dcterms:W3CDTF">2023-12-12T15:34:01Z</dcterms:modified>
  <cp:category/>
  <cp:contentStatus/>
</cp:coreProperties>
</file>