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24226"/>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3/9. Septiembre/Caso HOLA 346199/"/>
    </mc:Choice>
  </mc:AlternateContent>
  <xr:revisionPtr revIDLastSave="29" documentId="13_ncr:1_{9DF66481-9098-42FB-A706-0456E2BDB7F6}" xr6:coauthVersionLast="47" xr6:coauthVersionMax="47" xr10:uidLastSave="{85F741C3-BBB3-4D5A-8646-B2AAF06FA124}"/>
  <bookViews>
    <workbookView xWindow="-120" yWindow="-120" windowWidth="20730" windowHeight="11160" tabRatio="907" firstSheet="1" activeTab="2" xr2:uid="{00000000-000D-0000-FFFF-FFFF00000000}"/>
  </bookViews>
  <sheets>
    <sheet name="Instructivo" sheetId="20" r:id="rId1"/>
    <sheet name="Contexto proceso" sheetId="21" r:id="rId2"/>
    <sheet name="Mapa final" sheetId="1" r:id="rId3"/>
    <sheet name="Impacto-clasificacion" sheetId="22" state="hidden" r:id="rId4"/>
    <sheet name="Matriz Calor Inherente" sheetId="18" r:id="rId5"/>
    <sheet name="Matriz Calor Residual" sheetId="19" r:id="rId6"/>
    <sheet name="Tabla probabilidad" sheetId="12" r:id="rId7"/>
    <sheet name="Tabla Impacto" sheetId="13" r:id="rId8"/>
    <sheet name="Criterios riesgos amb." sheetId="23" r:id="rId9"/>
    <sheet name="Tabla Valoración controles" sheetId="15" r:id="rId10"/>
    <sheet name="Opciones Tratamiento" sheetId="16" state="hidden" r:id="rId11"/>
    <sheet name="Hoja1" sheetId="11" state="hidden" r:id="rId12"/>
  </sheets>
  <externalReferences>
    <externalReference r:id="rId13"/>
    <externalReference r:id="rId14"/>
    <externalReference r:id="rId15"/>
    <externalReference r:id="rId16"/>
    <externalReference r:id="rId17"/>
  </externalReferences>
  <definedNames>
    <definedName name="_1_SE">#REF!</definedName>
    <definedName name="A">#REF!</definedName>
    <definedName name="AA">#REF!</definedName>
    <definedName name="aaaa">#REF!</definedName>
    <definedName name="accion">#REF!</definedName>
    <definedName name="AGENTE">#REF!</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ona">#REF!</definedName>
  </definedNames>
  <calcPr calcId="191028"/>
  <pivotCaches>
    <pivotCache cacheId="15" r:id="rId1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23" l="1"/>
  <c r="T25" i="1" l="1"/>
  <c r="Q25" i="1"/>
  <c r="H25" i="1"/>
  <c r="I25" i="1" s="1"/>
  <c r="K48" i="1"/>
  <c r="K45" i="1"/>
  <c r="K43" i="1"/>
  <c r="L43" i="1" s="1"/>
  <c r="N43" i="1" s="1"/>
  <c r="K55" i="1"/>
  <c r="K32" i="1"/>
  <c r="K46" i="1"/>
  <c r="K40" i="1"/>
  <c r="L40" i="1" s="1"/>
  <c r="K49" i="1"/>
  <c r="K42" i="1"/>
  <c r="L42" i="1" s="1"/>
  <c r="N42" i="1" s="1"/>
  <c r="K51" i="1"/>
  <c r="K52" i="1"/>
  <c r="K41" i="1"/>
  <c r="L41" i="1" s="1"/>
  <c r="N41" i="1" s="1"/>
  <c r="K53" i="1"/>
  <c r="K54" i="1"/>
  <c r="K39" i="1"/>
  <c r="L39" i="1" s="1"/>
  <c r="N39" i="1" s="1"/>
  <c r="K47" i="1"/>
  <c r="N40" i="1" l="1"/>
  <c r="M40" i="1"/>
  <c r="M43" i="1"/>
  <c r="M42" i="1"/>
  <c r="M39" i="1"/>
  <c r="M41" i="1"/>
  <c r="F221" i="13"/>
  <c r="F211" i="13"/>
  <c r="F212" i="13"/>
  <c r="F213" i="13"/>
  <c r="F214" i="13"/>
  <c r="F215" i="13"/>
  <c r="F216" i="13"/>
  <c r="F217" i="13"/>
  <c r="F218" i="13"/>
  <c r="F219" i="13"/>
  <c r="F220" i="13"/>
  <c r="F210" i="13"/>
  <c r="K30" i="1"/>
  <c r="K29" i="1"/>
  <c r="K26" i="1"/>
  <c r="K27" i="1"/>
  <c r="B221" i="13" a="1"/>
  <c r="K28" i="1"/>
  <c r="B221" i="13" l="1"/>
  <c r="Q38"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5" i="1" l="1"/>
  <c r="Q55" i="1"/>
  <c r="T54" i="1"/>
  <c r="Q54" i="1"/>
  <c r="T53" i="1"/>
  <c r="Q53" i="1"/>
  <c r="T52" i="1"/>
  <c r="Q52" i="1"/>
  <c r="T51" i="1"/>
  <c r="Q51" i="1"/>
  <c r="T50" i="1"/>
  <c r="Q50" i="1"/>
  <c r="H50" i="1"/>
  <c r="I50" i="1" s="1"/>
  <c r="T49" i="1"/>
  <c r="Q49" i="1"/>
  <c r="T48" i="1"/>
  <c r="Q48" i="1"/>
  <c r="T47" i="1"/>
  <c r="Q47" i="1"/>
  <c r="T46" i="1"/>
  <c r="Q46" i="1"/>
  <c r="T45" i="1"/>
  <c r="Q45" i="1"/>
  <c r="T44" i="1"/>
  <c r="Q44" i="1"/>
  <c r="H44" i="1"/>
  <c r="I44" i="1" s="1"/>
  <c r="T43" i="1"/>
  <c r="Q43" i="1"/>
  <c r="T42" i="1"/>
  <c r="Q42" i="1"/>
  <c r="T41" i="1"/>
  <c r="Q41" i="1"/>
  <c r="T40" i="1"/>
  <c r="Q40" i="1"/>
  <c r="T39" i="1"/>
  <c r="Q39" i="1"/>
  <c r="AB39" i="1" s="1"/>
  <c r="T38" i="1"/>
  <c r="H38" i="1"/>
  <c r="I38" i="1" s="1"/>
  <c r="T37" i="1"/>
  <c r="Q37" i="1"/>
  <c r="H37" i="1"/>
  <c r="I37" i="1" s="1"/>
  <c r="T36" i="1"/>
  <c r="Q36" i="1"/>
  <c r="H36" i="1"/>
  <c r="I36" i="1" s="1"/>
  <c r="T34" i="1"/>
  <c r="Q34" i="1"/>
  <c r="H34" i="1"/>
  <c r="I34" i="1" s="1"/>
  <c r="T33" i="1"/>
  <c r="Q33" i="1"/>
  <c r="H33" i="1"/>
  <c r="I33" i="1" s="1"/>
  <c r="H31" i="1"/>
  <c r="T32" i="1"/>
  <c r="Q32" i="1"/>
  <c r="T31" i="1"/>
  <c r="Q31" i="1"/>
  <c r="AB51" i="1" l="1"/>
  <c r="AB45" i="1"/>
  <c r="I31" i="1"/>
  <c r="X31" i="1" s="1"/>
  <c r="X50" i="1"/>
  <c r="X44" i="1"/>
  <c r="X38" i="1"/>
  <c r="X37" i="1"/>
  <c r="X36" i="1"/>
  <c r="X34" i="1"/>
  <c r="X33" i="1"/>
  <c r="Y50" i="1" l="1"/>
  <c r="Z50" i="1"/>
  <c r="X51" i="1" s="1"/>
  <c r="Y51" i="1" s="1"/>
  <c r="Y44" i="1"/>
  <c r="Z44" i="1"/>
  <c r="X45" i="1" s="1"/>
  <c r="Z45" i="1" s="1"/>
  <c r="X46" i="1" s="1"/>
  <c r="Y38" i="1"/>
  <c r="Z38" i="1"/>
  <c r="X39" i="1" s="1"/>
  <c r="Z39" i="1" s="1"/>
  <c r="X40" i="1" s="1"/>
  <c r="Y37" i="1"/>
  <c r="Z37" i="1"/>
  <c r="Y36" i="1"/>
  <c r="Z36" i="1"/>
  <c r="Y34" i="1"/>
  <c r="Z34" i="1"/>
  <c r="Y33" i="1"/>
  <c r="Z33" i="1"/>
  <c r="Y31" i="1"/>
  <c r="Z31" i="1"/>
  <c r="X32" i="1" s="1"/>
  <c r="Y45" i="1" l="1"/>
  <c r="Y39" i="1"/>
  <c r="Z46" i="1"/>
  <c r="X47" i="1" s="1"/>
  <c r="Y46" i="1"/>
  <c r="Z40" i="1"/>
  <c r="X41" i="1" s="1"/>
  <c r="Y40" i="1"/>
  <c r="Z51" i="1"/>
  <c r="X52" i="1" s="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Y47" i="1" l="1"/>
  <c r="Z47" i="1"/>
  <c r="Y41" i="1"/>
  <c r="Z41" i="1"/>
  <c r="X42" i="1" s="1"/>
  <c r="Y52" i="1"/>
  <c r="Z52" i="1"/>
  <c r="X53" i="1" s="1"/>
  <c r="Y32" i="1"/>
  <c r="Z32" i="1"/>
  <c r="Y42" i="1" l="1"/>
  <c r="Z42" i="1"/>
  <c r="X43" i="1" s="1"/>
  <c r="X48" i="1"/>
  <c r="X49" i="1"/>
  <c r="Z53" i="1"/>
  <c r="Y53" i="1"/>
  <c r="Y49" i="1" l="1"/>
  <c r="Z49" i="1"/>
  <c r="Y48" i="1"/>
  <c r="Z48" i="1"/>
  <c r="Y43" i="1"/>
  <c r="Z43" i="1"/>
  <c r="X54" i="1"/>
  <c r="X55" i="1"/>
  <c r="X25" i="1"/>
  <c r="Y25" i="1" s="1"/>
  <c r="Y55" i="1" l="1"/>
  <c r="Z55" i="1"/>
  <c r="Y54" i="1"/>
  <c r="Z54" i="1"/>
  <c r="Z25" i="1" l="1"/>
  <c r="X26" i="1" s="1"/>
  <c r="X27" i="1" l="1"/>
  <c r="X28" i="1" l="1"/>
  <c r="X29" i="1" l="1"/>
  <c r="X30" i="1" l="1"/>
  <c r="AB52" i="1" l="1"/>
  <c r="AB44" i="1"/>
  <c r="AA44" i="1" l="1"/>
  <c r="AA51" i="1"/>
  <c r="AA52" i="1"/>
  <c r="AB53" i="1"/>
  <c r="AA39" i="1"/>
  <c r="AB40" i="1"/>
  <c r="AA45" i="1"/>
  <c r="AB46" i="1"/>
  <c r="AA53" i="1" l="1"/>
  <c r="AB54" i="1"/>
  <c r="K35" i="19"/>
  <c r="AC25" i="19"/>
  <c r="K45" i="19"/>
  <c r="AI45" i="19"/>
  <c r="W45" i="19"/>
  <c r="Q35" i="19"/>
  <c r="K55" i="19"/>
  <c r="AC15" i="19"/>
  <c r="Q15" i="19"/>
  <c r="AC35" i="19"/>
  <c r="AI35" i="19"/>
  <c r="Q55" i="19"/>
  <c r="AI25" i="19"/>
  <c r="AC51"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45"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AC52"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44"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AA40" i="1"/>
  <c r="AB41"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46" i="1"/>
  <c r="AB47"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39" i="1"/>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41" i="1"/>
  <c r="AB42" i="1"/>
  <c r="AA54" i="1"/>
  <c r="AB55" i="1"/>
  <c r="AA55"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40" i="1"/>
  <c r="X23" i="19"/>
  <c r="R33" i="19"/>
  <c r="R43" i="19"/>
  <c r="AD53" i="19"/>
  <c r="AJ13" i="19"/>
  <c r="R23" i="19"/>
  <c r="R13" i="19"/>
  <c r="AJ53" i="19"/>
  <c r="L33" i="19"/>
  <c r="L23" i="19"/>
  <c r="X43" i="19"/>
  <c r="X53" i="19"/>
  <c r="AD13" i="19"/>
  <c r="L53" i="19"/>
  <c r="L13" i="19"/>
  <c r="AD23" i="19"/>
  <c r="AJ33" i="19"/>
  <c r="AJ23" i="19"/>
  <c r="R53" i="19"/>
  <c r="M55" i="19"/>
  <c r="AK15" i="19"/>
  <c r="AE25" i="19"/>
  <c r="AC53"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A47" i="1"/>
  <c r="AB48"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AC46" i="1"/>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47"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C55" i="1"/>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54"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42" i="1"/>
  <c r="AB43" i="1"/>
  <c r="AA43"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48" i="1"/>
  <c r="AB49" i="1"/>
  <c r="AA49" i="1" s="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41"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49" i="1"/>
  <c r="AA14" i="19"/>
  <c r="O54" i="19"/>
  <c r="U44" i="19"/>
  <c r="U43" i="19"/>
  <c r="U13" i="19"/>
  <c r="AM53" i="19"/>
  <c r="AA53" i="19"/>
  <c r="AA43" i="19"/>
  <c r="O53" i="19"/>
  <c r="O23" i="19"/>
  <c r="O13" i="19"/>
  <c r="AG43" i="19"/>
  <c r="U33" i="19"/>
  <c r="U23" i="19"/>
  <c r="AM13" i="19"/>
  <c r="AM23" i="19"/>
  <c r="AG13" i="19"/>
  <c r="AA23" i="19"/>
  <c r="AG33" i="19"/>
  <c r="AA33" i="19"/>
  <c r="AM33" i="19"/>
  <c r="AA13" i="19"/>
  <c r="AC43"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48" i="1"/>
  <c r="AF53" i="19"/>
  <c r="T43" i="19"/>
  <c r="Z53" i="19"/>
  <c r="N43" i="19"/>
  <c r="T23" i="19"/>
  <c r="AF43" i="19"/>
  <c r="Z13" i="19"/>
  <c r="Z43" i="19"/>
  <c r="AF23" i="19"/>
  <c r="AL13" i="19"/>
  <c r="Z23" i="19"/>
  <c r="AL43" i="19"/>
  <c r="AF13" i="19"/>
  <c r="AL23" i="19"/>
  <c r="N13" i="19"/>
  <c r="T33" i="19"/>
  <c r="AL53" i="19"/>
  <c r="N23" i="19"/>
  <c r="N53" i="19"/>
  <c r="AF33" i="19"/>
  <c r="N33" i="19"/>
  <c r="AC42"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K37" i="1" l="1"/>
  <c r="L37" i="1" s="1"/>
  <c r="K25" i="1"/>
  <c r="L25" i="1" s="1"/>
  <c r="K34" i="1"/>
  <c r="K33" i="1"/>
  <c r="L33" i="1" s="1"/>
  <c r="K38" i="1"/>
  <c r="L38" i="1" s="1"/>
  <c r="K36" i="1"/>
  <c r="K31" i="1"/>
  <c r="L31" i="1" s="1"/>
  <c r="K50" i="1"/>
  <c r="L50" i="1" s="1"/>
  <c r="K44" i="1"/>
  <c r="L44" i="1" s="1"/>
  <c r="M38" i="1" l="1"/>
  <c r="AB38" i="1" s="1"/>
  <c r="AA38" i="1" s="1"/>
  <c r="N38" i="1"/>
  <c r="N25" i="1"/>
  <c r="M25" i="1"/>
  <c r="X6" i="18"/>
  <c r="AJ30" i="18"/>
  <c r="R22" i="18"/>
  <c r="L6" i="18"/>
  <c r="R30" i="18"/>
  <c r="X22" i="18"/>
  <c r="X38" i="18"/>
  <c r="AD38" i="18"/>
  <c r="N31" i="1"/>
  <c r="AD22" i="18"/>
  <c r="M31" i="1"/>
  <c r="AB31"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36" i="1"/>
  <c r="L32" i="18"/>
  <c r="X8" i="18"/>
  <c r="X24" i="18"/>
  <c r="AJ8" i="18"/>
  <c r="M36" i="1"/>
  <c r="AB36" i="1" s="1"/>
  <c r="AA36" i="1" s="1"/>
  <c r="R40" i="18"/>
  <c r="L40" i="18"/>
  <c r="X16" i="18"/>
  <c r="L24" i="18"/>
  <c r="AJ24" i="18"/>
  <c r="X32" i="18"/>
  <c r="AJ40" i="18"/>
  <c r="R16" i="18"/>
  <c r="AD40" i="18"/>
  <c r="AD32" i="18"/>
  <c r="AD16" i="18"/>
  <c r="J42" i="18"/>
  <c r="P34" i="18"/>
  <c r="AB18" i="18"/>
  <c r="AB42" i="18"/>
  <c r="AH34" i="18"/>
  <c r="P10" i="18"/>
  <c r="V34" i="18"/>
  <c r="P42" i="18"/>
  <c r="V42" i="18"/>
  <c r="AH42" i="18"/>
  <c r="AB26" i="18"/>
  <c r="AH26" i="18"/>
  <c r="V26" i="18"/>
  <c r="AB34" i="18"/>
  <c r="V10" i="18"/>
  <c r="AH18" i="18"/>
  <c r="J34" i="18"/>
  <c r="J10" i="18"/>
  <c r="AB10" i="18"/>
  <c r="J18" i="18"/>
  <c r="P26" i="18"/>
  <c r="J26" i="18"/>
  <c r="AH10" i="18"/>
  <c r="P18" i="18"/>
  <c r="V18" i="18"/>
  <c r="X42" i="18"/>
  <c r="AD34" i="18"/>
  <c r="AD10" i="18"/>
  <c r="AD26" i="18"/>
  <c r="L10" i="18"/>
  <c r="L42" i="18"/>
  <c r="L26" i="18"/>
  <c r="X18" i="18"/>
  <c r="X34" i="18"/>
  <c r="X10" i="18"/>
  <c r="R18" i="18"/>
  <c r="AJ10" i="18"/>
  <c r="AD42" i="18"/>
  <c r="AJ34" i="18"/>
  <c r="R26" i="18"/>
  <c r="L18" i="18"/>
  <c r="AJ26" i="18"/>
  <c r="AD18" i="18"/>
  <c r="R34" i="18"/>
  <c r="L34" i="18"/>
  <c r="AJ42" i="18"/>
  <c r="R10" i="18"/>
  <c r="R42" i="18"/>
  <c r="X26" i="18"/>
  <c r="AJ18" i="18"/>
  <c r="T14" i="18"/>
  <c r="AL38" i="18"/>
  <c r="N14" i="18"/>
  <c r="Z6" i="18"/>
  <c r="T38" i="18"/>
  <c r="T22" i="18"/>
  <c r="AL14" i="18"/>
  <c r="N22" i="18"/>
  <c r="N33" i="1"/>
  <c r="AF22" i="18"/>
  <c r="N6" i="18"/>
  <c r="AF6" i="18"/>
  <c r="AF38" i="18"/>
  <c r="M33" i="1"/>
  <c r="AB33" i="1" s="1"/>
  <c r="AA33" i="1" s="1"/>
  <c r="N38" i="18"/>
  <c r="AL30" i="18"/>
  <c r="AL22" i="18"/>
  <c r="T6" i="18"/>
  <c r="AF14" i="18"/>
  <c r="AF30" i="18"/>
  <c r="Z22" i="18"/>
  <c r="T30" i="18"/>
  <c r="Z30" i="18"/>
  <c r="AL6" i="18"/>
  <c r="Z14" i="18"/>
  <c r="Z38" i="18"/>
  <c r="N30" i="18"/>
  <c r="J40" i="18"/>
  <c r="AB40" i="18"/>
  <c r="AH32" i="18"/>
  <c r="AB24" i="18"/>
  <c r="V16" i="18"/>
  <c r="M34" i="1"/>
  <c r="AB34" i="1" s="1"/>
  <c r="AA34" i="1" s="1"/>
  <c r="J16" i="18"/>
  <c r="P32" i="18"/>
  <c r="V24" i="18"/>
  <c r="P24" i="18"/>
  <c r="V40" i="18"/>
  <c r="P16" i="18"/>
  <c r="P40" i="18"/>
  <c r="V32" i="18"/>
  <c r="AH16" i="18"/>
  <c r="AB16" i="18"/>
  <c r="V8" i="18"/>
  <c r="AH24" i="18"/>
  <c r="AH8" i="18"/>
  <c r="AH40" i="18"/>
  <c r="J8" i="18"/>
  <c r="AB32" i="18"/>
  <c r="AB8" i="18"/>
  <c r="J24" i="18"/>
  <c r="J32" i="18"/>
  <c r="P8" i="18"/>
  <c r="N34" i="1"/>
  <c r="Z42" i="18"/>
  <c r="T18" i="18"/>
  <c r="AF34" i="18"/>
  <c r="AF42" i="18"/>
  <c r="N42" i="18"/>
  <c r="Z18" i="18"/>
  <c r="AL10" i="18"/>
  <c r="AL26" i="18"/>
  <c r="AF26" i="18"/>
  <c r="Z10" i="18"/>
  <c r="N18" i="18"/>
  <c r="T26" i="18"/>
  <c r="AF10" i="18"/>
  <c r="T34" i="18"/>
  <c r="N26" i="18"/>
  <c r="AL18" i="18"/>
  <c r="N10" i="18"/>
  <c r="AF18" i="18"/>
  <c r="Z26" i="18"/>
  <c r="AL34" i="18"/>
  <c r="M44" i="1"/>
  <c r="Z34" i="18"/>
  <c r="T10" i="18"/>
  <c r="N44" i="1"/>
  <c r="AL42" i="18"/>
  <c r="N34" i="18"/>
  <c r="T42" i="18"/>
  <c r="P14" i="18"/>
  <c r="V22" i="18"/>
  <c r="V14" i="18"/>
  <c r="P22" i="18"/>
  <c r="V38" i="18"/>
  <c r="AH14" i="18"/>
  <c r="AH38" i="18"/>
  <c r="J14" i="18"/>
  <c r="AB22" i="18"/>
  <c r="V30" i="18"/>
  <c r="AB14" i="18"/>
  <c r="AB38" i="18"/>
  <c r="J30" i="18"/>
  <c r="P38" i="18"/>
  <c r="AB6" i="18"/>
  <c r="AB25" i="1"/>
  <c r="AA25" i="1" s="1"/>
  <c r="AH30" i="18"/>
  <c r="J38" i="18"/>
  <c r="AH6" i="18"/>
  <c r="V6" i="18"/>
  <c r="AB30" i="18"/>
  <c r="J22" i="18"/>
  <c r="J6" i="18"/>
  <c r="P30" i="18"/>
  <c r="AH22" i="18"/>
  <c r="P6" i="18"/>
  <c r="AH12" i="18"/>
  <c r="J20" i="18"/>
  <c r="J44" i="18"/>
  <c r="AB28" i="18"/>
  <c r="P28" i="18"/>
  <c r="N50" i="1"/>
  <c r="P12" i="18"/>
  <c r="AH20" i="18"/>
  <c r="P44" i="18"/>
  <c r="AB12" i="18"/>
  <c r="P20" i="18"/>
  <c r="J36" i="18"/>
  <c r="P36" i="18"/>
  <c r="AB44" i="18"/>
  <c r="V44" i="18"/>
  <c r="J28" i="18"/>
  <c r="AH36" i="18"/>
  <c r="V12" i="18"/>
  <c r="V28" i="18"/>
  <c r="AH44" i="18"/>
  <c r="AB20" i="18"/>
  <c r="AB36" i="18"/>
  <c r="AH28" i="18"/>
  <c r="V36" i="18"/>
  <c r="V20" i="18"/>
  <c r="M50" i="1"/>
  <c r="AB50" i="1" s="1"/>
  <c r="AA50" i="1" s="1"/>
  <c r="J12" i="18"/>
  <c r="AF24" i="18"/>
  <c r="AF32" i="18"/>
  <c r="T40" i="18"/>
  <c r="M37" i="1"/>
  <c r="AB37" i="1" s="1"/>
  <c r="AA37" i="1" s="1"/>
  <c r="Z40" i="18"/>
  <c r="AL8" i="18"/>
  <c r="AF8" i="18"/>
  <c r="T8" i="18"/>
  <c r="Z16" i="18"/>
  <c r="T24" i="18"/>
  <c r="AL24" i="18"/>
  <c r="Z32" i="18"/>
  <c r="N32" i="18"/>
  <c r="N16" i="18"/>
  <c r="Z8" i="18"/>
  <c r="AL40" i="18"/>
  <c r="N8" i="18"/>
  <c r="N24" i="18"/>
  <c r="T32" i="18"/>
  <c r="T16" i="18"/>
  <c r="AF40" i="18"/>
  <c r="AF16" i="18"/>
  <c r="AL32" i="18"/>
  <c r="N40" i="18"/>
  <c r="Z24" i="18"/>
  <c r="AL16" i="18"/>
  <c r="N37" i="1"/>
  <c r="AC38" i="1" l="1"/>
  <c r="V33" i="19"/>
  <c r="V43" i="19"/>
  <c r="P23" i="19"/>
  <c r="AB33" i="19"/>
  <c r="P13" i="19"/>
  <c r="J13" i="19"/>
  <c r="AB13" i="19"/>
  <c r="AB43" i="19"/>
  <c r="AH33" i="19"/>
  <c r="AH13" i="19"/>
  <c r="AB23" i="19"/>
  <c r="V13" i="19"/>
  <c r="J43" i="19"/>
  <c r="P33" i="19"/>
  <c r="AH23" i="19"/>
  <c r="V23" i="19"/>
  <c r="J33" i="19"/>
  <c r="J23" i="19"/>
  <c r="J53" i="19"/>
  <c r="V53" i="19"/>
  <c r="AH43" i="19"/>
  <c r="P43" i="19"/>
  <c r="AB53" i="19"/>
  <c r="P53" i="19"/>
  <c r="AH53" i="19"/>
  <c r="J40" i="19"/>
  <c r="V20" i="19"/>
  <c r="J50" i="19"/>
  <c r="P50" i="19"/>
  <c r="J10" i="19"/>
  <c r="V10" i="19"/>
  <c r="V40" i="19"/>
  <c r="V30" i="19"/>
  <c r="AH10" i="19"/>
  <c r="AB40" i="19"/>
  <c r="AB10" i="19"/>
  <c r="AB20" i="19"/>
  <c r="P20" i="19"/>
  <c r="AB30" i="19"/>
  <c r="AH20" i="19"/>
  <c r="P10" i="19"/>
  <c r="P30" i="19"/>
  <c r="AH30" i="19"/>
  <c r="AH50" i="19"/>
  <c r="J20" i="19"/>
  <c r="J30" i="19"/>
  <c r="AB50" i="19"/>
  <c r="V50" i="19"/>
  <c r="AH40" i="19"/>
  <c r="AC36" i="1"/>
  <c r="P40" i="19"/>
  <c r="AB39" i="19"/>
  <c r="J29" i="19"/>
  <c r="P19" i="19"/>
  <c r="J19" i="19"/>
  <c r="V49" i="19"/>
  <c r="V29" i="19"/>
  <c r="AH39" i="19"/>
  <c r="AH49" i="19"/>
  <c r="P39" i="19"/>
  <c r="P9" i="19"/>
  <c r="P29" i="19"/>
  <c r="V19" i="19"/>
  <c r="AC34" i="1"/>
  <c r="AB19" i="19"/>
  <c r="J49" i="19"/>
  <c r="AB9" i="19"/>
  <c r="AB49" i="19"/>
  <c r="AH19" i="19"/>
  <c r="V9" i="19"/>
  <c r="AH9" i="19"/>
  <c r="V39" i="19"/>
  <c r="AB29" i="19"/>
  <c r="AH29" i="19"/>
  <c r="P49" i="19"/>
  <c r="J39" i="19"/>
  <c r="J9" i="19"/>
  <c r="AC37" i="1"/>
  <c r="V31" i="19"/>
  <c r="AH51" i="19"/>
  <c r="AH41" i="19"/>
  <c r="AH21" i="19"/>
  <c r="AH11" i="19"/>
  <c r="AB41" i="19"/>
  <c r="V41" i="19"/>
  <c r="J11" i="19"/>
  <c r="P41" i="19"/>
  <c r="AB11" i="19"/>
  <c r="J41" i="19"/>
  <c r="V11" i="19"/>
  <c r="J21" i="19"/>
  <c r="P51" i="19"/>
  <c r="P11" i="19"/>
  <c r="J51" i="19"/>
  <c r="AB21" i="19"/>
  <c r="AB31" i="19"/>
  <c r="V21" i="19"/>
  <c r="P21" i="19"/>
  <c r="P31" i="19"/>
  <c r="AB51" i="19"/>
  <c r="AH31" i="19"/>
  <c r="J31" i="19"/>
  <c r="V51" i="19"/>
  <c r="P18" i="19"/>
  <c r="J28" i="19"/>
  <c r="J48" i="19"/>
  <c r="V28" i="19"/>
  <c r="AB8" i="19"/>
  <c r="P28" i="19"/>
  <c r="AB48" i="19"/>
  <c r="AH48" i="19"/>
  <c r="V18" i="19"/>
  <c r="AB28" i="19"/>
  <c r="V38" i="19"/>
  <c r="AH28" i="19"/>
  <c r="AB38" i="19"/>
  <c r="V48" i="19"/>
  <c r="P8" i="19"/>
  <c r="P38" i="19"/>
  <c r="P48" i="19"/>
  <c r="AB18" i="19"/>
  <c r="J8" i="19"/>
  <c r="AC33" i="1"/>
  <c r="AH38" i="19"/>
  <c r="J18" i="19"/>
  <c r="AH8" i="19"/>
  <c r="V8" i="19"/>
  <c r="AH18" i="19"/>
  <c r="J38" i="19"/>
  <c r="AA31" i="1"/>
  <c r="AB32" i="1"/>
  <c r="AA32" i="1" s="1"/>
  <c r="AB32" i="19"/>
  <c r="V32" i="19"/>
  <c r="J52" i="19"/>
  <c r="AB42" i="19"/>
  <c r="P12" i="19"/>
  <c r="J12" i="19"/>
  <c r="V12" i="19"/>
  <c r="P42" i="19"/>
  <c r="AH12" i="19"/>
  <c r="V42" i="19"/>
  <c r="P52" i="19"/>
  <c r="J42" i="19"/>
  <c r="AB12" i="19"/>
  <c r="J32" i="19"/>
  <c r="AH42" i="19"/>
  <c r="V52" i="19"/>
  <c r="AH52" i="19"/>
  <c r="AB52" i="19"/>
  <c r="P32" i="19"/>
  <c r="AB22" i="19"/>
  <c r="J22" i="19"/>
  <c r="AH32" i="19"/>
  <c r="AH22" i="19"/>
  <c r="V22" i="19"/>
  <c r="P22" i="19"/>
  <c r="P16" i="19"/>
  <c r="P6" i="19"/>
  <c r="AH6" i="19"/>
  <c r="V46" i="19"/>
  <c r="AH46" i="19"/>
  <c r="AB46" i="19"/>
  <c r="J6" i="19"/>
  <c r="P46" i="19"/>
  <c r="AB26" i="19"/>
  <c r="AB16" i="19"/>
  <c r="AH26" i="19"/>
  <c r="J16" i="19"/>
  <c r="V26" i="19"/>
  <c r="AH36" i="19"/>
  <c r="P26" i="19"/>
  <c r="V16" i="19"/>
  <c r="V36" i="19"/>
  <c r="AC25"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50" i="1"/>
  <c r="AB25" i="19"/>
  <c r="AH35" i="19"/>
  <c r="P55" i="19"/>
  <c r="J45" i="19"/>
  <c r="P25" i="19"/>
  <c r="P35" i="19"/>
  <c r="V55" i="19"/>
  <c r="W37" i="19" l="1"/>
  <c r="Q47" i="19"/>
  <c r="AI47" i="19"/>
  <c r="AC37" i="19"/>
  <c r="K37" i="19"/>
  <c r="AI27" i="19"/>
  <c r="K7" i="19"/>
  <c r="AI7" i="19"/>
  <c r="W7" i="19"/>
  <c r="Q27" i="19"/>
  <c r="AI37" i="19"/>
  <c r="AC7" i="19"/>
  <c r="Q7" i="19"/>
  <c r="Q17" i="19"/>
  <c r="W17" i="19"/>
  <c r="AI17" i="19"/>
  <c r="AC27" i="19"/>
  <c r="AC32" i="1"/>
  <c r="W47" i="19"/>
  <c r="K27" i="19"/>
  <c r="W27" i="19"/>
  <c r="K47" i="19"/>
  <c r="AC47" i="19"/>
  <c r="AC17" i="19"/>
  <c r="Q37" i="19"/>
  <c r="K17" i="19"/>
  <c r="J47" i="19"/>
  <c r="AB27" i="19"/>
  <c r="AC31" i="1"/>
  <c r="AH37" i="19"/>
  <c r="V17" i="19"/>
  <c r="J7" i="19"/>
  <c r="AH27" i="19"/>
  <c r="V27" i="19"/>
  <c r="J17" i="19"/>
  <c r="AB37" i="19"/>
  <c r="P27" i="19"/>
  <c r="AH47" i="19"/>
  <c r="V37" i="19"/>
  <c r="AB47" i="19"/>
  <c r="AH7" i="19"/>
  <c r="V47" i="19"/>
  <c r="J27" i="19"/>
  <c r="AB7" i="19"/>
  <c r="P37" i="19"/>
  <c r="AH17" i="19"/>
  <c r="P47" i="19"/>
  <c r="J37" i="19"/>
  <c r="V7" i="19"/>
  <c r="P17" i="19"/>
  <c r="AB17" i="19"/>
  <c r="P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<sst xmlns="http://schemas.openxmlformats.org/spreadsheetml/2006/main" count="530" uniqueCount="355">
  <si>
    <t>Matriz Mapa de Riesgos</t>
  </si>
  <si>
    <t>|</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</si>
  <si>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</si>
  <si>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</si>
  <si>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Instructivo
-   </t>
    </r>
    <r>
      <rPr>
        <b/>
        <sz val="11"/>
        <rFont val="Arial Narrow"/>
        <family val="2"/>
      </rPr>
      <t xml:space="preserve">Hoja 1 Contexto del proceso:  </t>
    </r>
    <r>
      <rPr>
        <sz val="11"/>
        <rFont val="Arial Narrow"/>
        <family val="2"/>
      </rPr>
      <t xml:space="preserve">Diligenciar analisis DOFA para cada proceso </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</si>
  <si>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</si>
  <si>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</si>
  <si>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</si>
  <si>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</si>
  <si>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</si>
  <si>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</si>
  <si>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</si>
  <si>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</si>
  <si>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</si>
  <si>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</si>
  <si>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</si>
  <si>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</si>
  <si>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</si>
  <si>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</si>
  <si>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</si>
  <si>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</si>
  <si>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</si>
  <si>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</si>
  <si>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</si>
  <si>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</si>
  <si>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</si>
  <si>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</si>
  <si>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</si>
  <si>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</si>
  <si>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</si>
  <si>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</si>
  <si>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</si>
  <si>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</si>
  <si>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</si>
  <si>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</si>
  <si>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</si>
  <si>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</si>
  <si>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</si>
  <si>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</si>
  <si>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</si>
  <si>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</si>
  <si>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</si>
  <si>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</si>
  <si>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</si>
  <si>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</si>
  <si>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</si>
  <si>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</si>
  <si>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</si>
  <si>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</si>
  <si>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</si>
  <si>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</si>
  <si>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</si>
  <si>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</si>
  <si>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</si>
  <si>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</si>
  <si>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</si>
  <si>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</si>
  <si>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</si>
  <si>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</si>
  <si>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</si>
  <si>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 xml:space="preserve">ANÁLISIS DOFA        </t>
  </si>
  <si>
    <t>Origen Interno</t>
  </si>
  <si>
    <t>Fortalezas</t>
  </si>
  <si>
    <t>Debilidades</t>
  </si>
  <si>
    <t>F1 Existencia de un  Plan Estratégico de Tecnologías e Información.</t>
  </si>
  <si>
    <t>D1 Desarticulación del PETI con los objetivos estratégicos de la entidad.</t>
  </si>
  <si>
    <t>F2 Herramienta de Gestion de servicios de TI</t>
  </si>
  <si>
    <t>D2 Los usuarios no saben manejar completamente la herramienta de gestión de servicios  "HOLA"</t>
  </si>
  <si>
    <t>D3 Los usuarios no conocen el catálogo de servicios y sus tiempos de atención.</t>
  </si>
  <si>
    <t>D4 Diferentes topologías de red en las localidades.</t>
  </si>
  <si>
    <t>D5 No se tiene el 100% de la administración de equipos activos de la entidad.</t>
  </si>
  <si>
    <t>Origen Externo</t>
  </si>
  <si>
    <t>Oportunidades</t>
  </si>
  <si>
    <t>Amenazas</t>
  </si>
  <si>
    <t>O1 Desarrollar estrategias internas de comunicación para incidir en una eficiente gestión.</t>
  </si>
  <si>
    <t>A1 Vulneración a las bases de datos institucionales con información sensible.</t>
  </si>
  <si>
    <t>O2 Desarrollar un plan de trabajo con el Ministerio de Tecnologías de la Información para implementar adecuadamente  sus directrices.</t>
  </si>
  <si>
    <t>MATRIZ MAPA DE RIESGO</t>
  </si>
  <si>
    <t>Código</t>
  </si>
  <si>
    <t>PLE-PIN-F001</t>
  </si>
  <si>
    <t>Versión</t>
  </si>
  <si>
    <t>Vigencia</t>
  </si>
  <si>
    <t>XX de marzo de 2022</t>
  </si>
  <si>
    <t>Caso HOLA:</t>
  </si>
  <si>
    <t>CONTROL DE CAMBIOS MATRIZ DE RIESGOS</t>
  </si>
  <si>
    <t>VERSIÓN</t>
  </si>
  <si>
    <t>FECHA</t>
  </si>
  <si>
    <t>DESCRIPCIÓN DE LA MODIFICACIÓN</t>
  </si>
  <si>
    <t>Se crea la matriz de riesgos del proceso. Deja como obsoletos los riesgos identificados y relacionados a TIC en la matriz de riesgos con código 1D-GAR-MR del antiguo proceso Gestión y Adquisición de Recursos Local</t>
  </si>
  <si>
    <t>Se reformula la matriz de riesgos del proceso "Gerencia de TIC" en atención a la solictud realizada por la Dirección de Tecnologías e Información mediante memorando No. 20184400466673. Se incluyen cuatro (4) riesgos que incorporan los riesgos de la versión 1 de la matriz de riesgos de este proceso. ,Se ajusta y actualiza la matriz de acuerdo con la guía del DAFP V4 -2018 yel manual de gestión del riesgo versión 11- 2019, se ingresa las columnas para las características y la evaluación de los controles.   En atención a la solicitud realizada por el líder de la Dirección de Tecnologías e Información, se elimnan los riesgos R1 a R11 y se identifican cuatro (4 ) riesgos de gestión del proceso y dos ambientales.</t>
  </si>
  <si>
    <t>Se reformula la matriz de riesgos del proceso atendiendo la recomendación de revisar posibles riesgos o causas ocasionados por la emergencia sanitaria del Covid 19, se realizan los siguientes ajustes: 1)  el R1 cambia el nivel organizacional de táctico pasa a estratégico,  2) Se  ingresa una nueva causa en el R3 y  R4 y se modifica la evaluación de la probabilidad de ocurrencia de posible a probable, 3)  en los riesgos  R4  y R5 el impacto se modifica de mayor a menor  como resultado del riesgo inherente,  4)  el R4 cambia de alto a moderado, 5) continúan los riesgos   R1-R2-R3-R4-R5   y se ajustan los controles,  como resultado de este se reajustan  los valores de calificación de los controles,  en su evaluación del diseño y el resultado de la solidez del control,   6) Se ajusta el control del R6,  7)Se ingresa un nuevo riesgo identificado con el número R7, se establecen sus  causas, consecuencias  de tipología de calidad  y  la descripción del control junto con la valoración de las  características, y por último 8) se actualiza la formulación del mapa de riesgos, el perfil del riesgo del proceso y su criticidad.</t>
  </si>
  <si>
    <t>Se traslada la información de la matriz de riesgos del proceso V2  al formato de matriz de riesgo por proceso versión 4 , se realiza mesa técnica con los líderes del proceso y promotores de mejora para su aprobación, modificación y valoración de la nueva formulación y ajuste realizado al resultado del riesgo residual. Se modifica R4 y R7, y en general a todos los riesgos asociados al  proceso se revisan  causas,  consecuencias y controles.</t>
  </si>
  <si>
    <t>NOTA: Para el diligenciamiento de esta matriz tenga en cuenta el manual "Gestión del Riesgo" PLE-PIN-M001</t>
  </si>
  <si>
    <t>Proceso:</t>
  </si>
  <si>
    <t>Gerencia de TIC</t>
  </si>
  <si>
    <t>Objetivo:</t>
  </si>
  <si>
    <t>Formular e implementar las estrategias de Tecnologías e Información (TI) en materia de seguridad digital, uso y apropiación de los Sistemas de Información y disponibilidad de los servicios de TIC, en el marco de la arquitectura empresarial con procedimientos sistemáticos y eficientes; con el fin de contribuir al logro de los resultados esperados por la Secretaría Distrital de Gobierno, la satisfacción de los diferentes grupos de interés y la toma de decisiones en la Entidad.</t>
  </si>
  <si>
    <t>Alcance:</t>
  </si>
  <si>
    <t>Comprende desde la definición del direccionamiento estratégico de tecnologías de la información y telecomunicaciones, la ejecución de las operaciones de tecnología, hasta la evaluación del proceso y materialización de las actividades de mejora, con base a los lineamientos y políticas nacionales y distritales</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</si>
  <si>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</si>
  <si>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</si>
  <si>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</si>
  <si>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</si>
  <si>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</si>
  <si>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</si>
  <si>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</si>
  <si>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</si>
  <si>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</si>
  <si>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</si>
  <si>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</si>
  <si>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</si>
  <si>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</si>
  <si>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</si>
  <si>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</si>
  <si>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</si>
  <si>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</si>
  <si>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</si>
  <si>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</si>
  <si>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</si>
  <si>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</si>
  <si>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</si>
  <si>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</si>
  <si>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</si>
  <si>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</si>
  <si>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</si>
  <si>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</si>
  <si>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</si>
  <si>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t>Reputacional</t>
  </si>
  <si>
    <t>Falta de aplicación de políticas y lineamientos establecidos a nivel nacional y territorial en materia de gestión de TI</t>
  </si>
  <si>
    <t>Desconocimiento por parte de la alta dirección del modelo de Gobierno y Gestión de TI en la Entidad</t>
  </si>
  <si>
    <t>Posibilidad de afectación reputacional por  la falta de aplicación de políticas y lineamientos establecidos a nivel nacional y territorial en materia de gestión de TI por desconocimiento por parte de la alta dirección.</t>
  </si>
  <si>
    <t>Ejecución y Administración de Procesos</t>
  </si>
  <si>
    <t xml:space="preserve">     El riesgo afecta la imagen de la entidad internamente, de conocimiento general, nivel interno, de junta dircetiva y accionistas y/o de provedores</t>
  </si>
  <si>
    <t>El Director de tecnologías e Información o su delegado socializa y hace visitble ante la alta dirección (Comité Institucional de Gestión y Desempeño)de  las posibles consecuencias del no cumplimiento del modelo de Gestión y Gobierno de TI  alineado a los objetivos estratégicos de la entidad 
Como evidencia del control se presentará el Plan Estratégico de TI aprobado por el Comité Institucional de Gestión y Desempeño</t>
  </si>
  <si>
    <t>Preventivo</t>
  </si>
  <si>
    <t>Manual</t>
  </si>
  <si>
    <t>Documentado</t>
  </si>
  <si>
    <t>Continua</t>
  </si>
  <si>
    <t>Con Registro</t>
  </si>
  <si>
    <t>Aceptar</t>
  </si>
  <si>
    <t xml:space="preserve">Baja disponibilidad y capacidad de los servicios de TI </t>
  </si>
  <si>
    <t>Obsolencia o falta de mantenimiento en componentes tecnológicos</t>
  </si>
  <si>
    <t>Posibilidad de afectación reputacional por la baja disponibilidad y capacidad de los servicios de TI  debido a la obsolencia o falta de mantenimiento en componentes tecnológicos</t>
  </si>
  <si>
    <t xml:space="preserve">     El riesgo afecta la imagen de la entidad con algunos usuarios de relevancia frente al logro de los objetivos</t>
  </si>
  <si>
    <t>El Director de tecnologías e Información o su delegado realiza monitoreo continuo a la infraestructura tecnológica de la entidad a través de herramientas de software que notifican de forma automática acerca de indisponibiidad de servicios de TI
Como evidencia del control se generarán reportes de forma trimestral del monitoreo de la infraestructura tecnológica.  En caso de presentarse indisponibilidad de los servicios se generan las notiticaciones correspondientes y gestión del incidente</t>
  </si>
  <si>
    <t>Correctivo</t>
  </si>
  <si>
    <t>Automático</t>
  </si>
  <si>
    <t>El Director de Tecnologías e Información o su delegado realiza  actividades de mantenimiento preventivo y correctivo a los componentes tecnológicos a través de contratos de prestación de servicios  
Como evidencia del control se presentarán los informes de ejecución de los contratos de mantenimiento a la infraestructura tecnológica de la entidad</t>
  </si>
  <si>
    <t>Fuga de información y/o afectación de la infraestructura tecnológica</t>
  </si>
  <si>
    <t>Vulnerabilidades en la seguridad de la plataforma tecnológica de la Entidad</t>
  </si>
  <si>
    <t xml:space="preserve">Posibilidad de afectación reputacional por  fuga de información y/o afectación de la infraestructura tecnológica debido a vulnerabilidades en la seguridad de la plataforma tecnológica de la Entidad </t>
  </si>
  <si>
    <t>El Director de tecnologías e Información o su delegado realiza monitoreo pemanente a la infraestructura tecnológica de la entidad a través de la plataforma de seguridad perimetral
Como evidencia del control se generarán reportes de forma trimestral del monitoreo de la infraestructura tecnológica.  En caso de presentarse indisponibilidad de los servicios se generan las notiticaciones correspondientes y gestión del incidente</t>
  </si>
  <si>
    <t>Sin Documentar</t>
  </si>
  <si>
    <t>Ambiental</t>
  </si>
  <si>
    <t xml:space="preserve">Desconocimiento en los procedimientos para la gestión adecuada de los residuos, por parte del proveedor. </t>
  </si>
  <si>
    <t>Debilidad en la ejecución de seguimiento al  tratamiento y/o disposición final de los residuos generados en el desarrollo de las actividades del proceso contractual y mantenimiento preventivo.</t>
  </si>
  <si>
    <t>Posibilidad de afectación ambiental negativa por la gestión inadecuada de residuos sólidos convencionales (aprovechables y no aprovechables), peligrosos (Residuos de aparatos eléctricos y electrónicos, baterias de litio de las UPS) por parte de los proveedores de los servicios de  mantenimiento preventivo y correctivo de equipos de cómputo y Sistema de alimentación ininterrumpida -UPS.</t>
  </si>
  <si>
    <t>Ambientales</t>
  </si>
  <si>
    <t>Entre 1-12.500</t>
  </si>
  <si>
    <t>Leve</t>
  </si>
  <si>
    <t>El profesional designado  realiza inspecciones ambientales anuales a los proveedores de bienes y servicios priorizados y evaluará en PLE-PIN-F010 Formato inspecciones ambientales a proveedores de productos y servicios tercerizados, la gestión de los residuos generados durante la ejecución del contrato que estén relacionados con el objeto contractual, en caso de encontrar desviaciones se enviará comunicado interno al supervisor del contrato, como evidencia de la ejecución del control quedarán los formatos y comunicados de la supervisión.</t>
  </si>
  <si>
    <t>Detectivo</t>
  </si>
  <si>
    <t xml:space="preserve">Ausencia de inclusión de criterios de sostenibilidad o cumplimiento normativo en el proceso contractual. </t>
  </si>
  <si>
    <t>Falta de tratamiento inmediato al evidenciar fugas de gas refrigerante en los sistemas de  aire acondicionado de las instalaciones.</t>
  </si>
  <si>
    <t>Falta y/o inadecuado mantenimiento preventivo de los aires acondicionados para garantizar su disponibilidad y correcto funcionamiento</t>
  </si>
  <si>
    <t>Posibilidad de afectación ambiental negativa por la fuga de gas refrigerante.</t>
  </si>
  <si>
    <t>El profesional designado de la dependencia como responsable del manejo o supervisión  del equipo que emplea gas refrigerante, de acuerdo con la periodicidad definida en los contratos de mantenimiento, realiza la programación del mantenimiento preventivo de los elementos, en común acuerdo con el contratista con el fin de garantizar la disponibilidad y su correcto funcionamiento. En caso de evidenciarse un incumplimiento de la programación se le comunica al supervisor del contrato,  con el propósito de reprogramar las actividades de mantenimiento requeridas, de no recibir respuesta se implementarán las medidas contractuales establecidas. 
En caso de encontrar fugas se deben tratar inmediatamente. Como  evidencia de la ejecución del control quedan los Informes de actividades de mantenimiento por parte del proveedor incluyendo los formatos de mantenimiento contratados.</t>
  </si>
  <si>
    <t>Baja ejecución de  proyectos establecidos en los planes de gestión de la Dirección de TI</t>
  </si>
  <si>
    <t>Falta de recursos presupuestales, físicos y de personal  para su ejecució</t>
  </si>
  <si>
    <t>Posibilidad de afectación reputacional por la baja ejecución de los proyectos establecidos en los planes de gestión de TI debido a la falta de recursos presupuestales, físicos y de personal  para su ejecución</t>
  </si>
  <si>
    <t>El Director de Tecnologías e Información o su delegado realiza el seguimiento a los proyectos del PETI  y seguimiento a la ejecucución presupuestal de los recursos asignados
Como evidencia de control del riesgo se presentará el proyecto de presupuesto para la DTI  anual y el reporte de ejecución de las metas del proyecto de inversión y el Plan Estratégico de TI</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</si>
  <si>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</si>
  <si>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Económico</t>
  </si>
  <si>
    <t>Daños Activos Físicos</t>
  </si>
  <si>
    <t>Económico y Reputacional</t>
  </si>
  <si>
    <t>Fallas Tecnológicas</t>
  </si>
  <si>
    <t>Fraude Externo</t>
  </si>
  <si>
    <t>Fraude Interno</t>
  </si>
  <si>
    <t>Relaciones Laborales</t>
  </si>
  <si>
    <t>Usuarios, productos y prácticas organizacionales</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</si>
  <si>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</si>
  <si>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</si>
  <si>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</si>
  <si>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</si>
  <si>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</si>
  <si>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</si>
  <si>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</si>
  <si>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</si>
  <si>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</si>
  <si>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</si>
  <si>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</si>
  <si>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</si>
  <si>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</si>
  <si>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</si>
  <si>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</si>
  <si>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</si>
  <si>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</si>
  <si>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</si>
  <si>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</si>
  <si>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</si>
  <si>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</si>
  <si>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</si>
  <si>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</si>
  <si>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</si>
  <si>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</si>
  <si>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</si>
  <si>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</si>
  <si>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</si>
  <si>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</si>
  <si>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</si>
  <si>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</si>
  <si>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</si>
  <si>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Afectación Ambiental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</si>
  <si>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</si>
  <si>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</si>
  <si>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</si>
  <si>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</si>
  <si>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</si>
  <si>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</si>
  <si>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</si>
  <si>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directiva y accionistas y/o de provedores</t>
  </si>
  <si>
    <t>&gt; 12.500 - 25.000</t>
  </si>
  <si>
    <t>Moderado 60%</t>
  </si>
  <si>
    <t xml:space="preserve">Entre 50 y 100 SMLMV </t>
  </si>
  <si>
    <t>El riesgo afecta la imagen de la entidad con algunos usuarios de relevancia frente al logro de los objetivos</t>
  </si>
  <si>
    <t>&gt; 25.000 – 125.000</t>
  </si>
  <si>
    <t>Mayor</t>
  </si>
  <si>
    <t>Mayor 80%</t>
  </si>
  <si>
    <t xml:space="preserve">Entre 100 y 500 SMLMV </t>
  </si>
  <si>
    <t>El riesgo afecta la imagen de de la entidad con efecto publicitario sostenido a nivel de sector administrativo, nivel departamental o municipal</t>
  </si>
  <si>
    <t>&gt; 125.000 – 500.000</t>
  </si>
  <si>
    <t>Catastrófico</t>
  </si>
  <si>
    <t>Catastrófico 100%</t>
  </si>
  <si>
    <t xml:space="preserve">Mayor a 500 SMLMV </t>
  </si>
  <si>
    <t>El riesgo afecta la imagen de la entidad a nivel nacional, con efecto publicitarios sostenible a nivel país</t>
  </si>
  <si>
    <t>&gt; 500.000 – 1.000.000</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</si>
  <si>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</si>
  <si>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</si>
  <si>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</si>
  <si>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</si>
  <si>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</si>
  <si>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</si>
  <si>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</si>
  <si>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</si>
  <si>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</si>
  <si>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</si>
  <si>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</si>
  <si>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</si>
  <si>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</si>
  <si>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</si>
  <si>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</si>
  <si>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t>
  </si>
  <si>
    <t>✔</t>
  </si>
  <si>
    <t>No.</t>
  </si>
  <si>
    <t>CRITERIOS DE VALORACIÓN</t>
  </si>
  <si>
    <t>ESCALA DE VALOR</t>
  </si>
  <si>
    <t>Puntual 1</t>
  </si>
  <si>
    <t>Local 5</t>
  </si>
  <si>
    <t>Regional o nacional 10</t>
  </si>
  <si>
    <t>Se refiere al área de influencia del impacto en relación con el entorno donde se genera.</t>
  </si>
  <si>
    <t>El impacto queda confinado dentro del área donde se genera.</t>
  </si>
  <si>
    <t>Trasciende los límites del área de influencia.</t>
  </si>
  <si>
    <t>Tiene consecuencias a nivel regional o trasciende los límites del Distrito.</t>
  </si>
  <si>
    <t>Baja 1</t>
  </si>
  <si>
    <t>Media 5</t>
  </si>
  <si>
    <t>Alta 10</t>
  </si>
  <si>
    <t>Se refiere a la posibilidad que se dé el impacto y está relacionada con la "REGULARIDAD" (Normal, anormal o</t>
  </si>
  <si>
    <t>Existe una posibilidad muy remota de que suceda</t>
  </si>
  <si>
    <t>Existe una posibilidad media de que suceda.</t>
  </si>
  <si>
    <t>Es muy posible que suceda en cualquier momento.</t>
  </si>
  <si>
    <t>de emergencia).</t>
  </si>
  <si>
    <t>Duración</t>
  </si>
  <si>
    <t>Breve 1</t>
  </si>
  <si>
    <t>Temporal 5</t>
  </si>
  <si>
    <t>Permanente 10</t>
  </si>
  <si>
    <t>Se refiere al tiempo que permanecerá el efecto positivo o negativo del impacto en el ambiente.</t>
  </si>
  <si>
    <t>Alteración del recurso durante un lapso muy pequeño.</t>
  </si>
  <si>
    <t>Alteración del recurso durante un lapso moderado.</t>
  </si>
  <si>
    <t>Alteración del recurso permanente en el tiempo</t>
  </si>
  <si>
    <t>Recuperabilidad</t>
  </si>
  <si>
    <t>Reversible 1</t>
  </si>
  <si>
    <t>Recuperable 5</t>
  </si>
  <si>
    <t>Irrecuperable /irreversible 10</t>
  </si>
  <si>
    <t>Se refiere a la posibilidad de reconstrucción, total o parcial del recurso afectado por el impacto.</t>
  </si>
  <si>
    <t>Puede eliminarse el efecto por medio de actividades humanas tendientes a restablecer las condiciones originales del recurso.</t>
  </si>
  <si>
    <t>Se puede disminuir el efecto a través de medidas de control hasta un estándar determinado.</t>
  </si>
  <si>
    <t>El/los recursos afectados no retornan a las condiciones originales a través de ningún medio.</t>
  </si>
  <si>
    <t>Cantidad</t>
  </si>
  <si>
    <t>Moderada 5</t>
  </si>
  <si>
    <t>Se refiere a la magnitud del impacto, es decir, la severidad con la que ocurrirá la afectación y/o riesgo sobre el recurso.</t>
  </si>
  <si>
    <t>Alteración mínima del recurso. Existe bajo potencial de riesgo sobre el recurso o el ambiente.</t>
  </si>
  <si>
    <t>Alteración moderada del recurso. Tiene un potencial de riesgo medio sobre el recurso o el ambiente.</t>
  </si>
  <si>
    <t>Alteración Significativa del recurso. Tiene efectos importantes sobre el recurso o el ambiente.</t>
  </si>
  <si>
    <t>Normatividad</t>
  </si>
  <si>
    <t>N/A</t>
  </si>
  <si>
    <t>Hace referencia a la normatividad ambiental aplicable    al    aspecto    y/o    el    impacto ambiental.</t>
  </si>
  <si>
    <t>No tiene normatividad relacionada.</t>
  </si>
  <si>
    <t>Tiene normatividad relacionada.</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</si>
  <si>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</si>
  <si>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</si>
  <si>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</si>
  <si>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</si>
  <si>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</si>
  <si>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</si>
  <si>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</si>
  <si>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</si>
  <si>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</si>
  <si>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</si>
  <si>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</si>
  <si>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</si>
  <si>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</si>
  <si>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</si>
  <si>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</si>
  <si>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</si>
  <si>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</si>
  <si>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</si>
  <si>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</si>
  <si>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</si>
  <si>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</si>
  <si>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Evitar</t>
  </si>
  <si>
    <t>Reducir (compartir)</t>
  </si>
  <si>
    <t>Reducir (mitigar)</t>
  </si>
  <si>
    <t>Plan de accion (solo para la opción reducir)</t>
  </si>
  <si>
    <t>Finalizado</t>
  </si>
  <si>
    <t>En curso</t>
  </si>
  <si>
    <t>Daños Activos Fisicos</t>
  </si>
  <si>
    <t>Ejecucion y Administracion de procesos</t>
  </si>
  <si>
    <t>Fallas Tecnologicas</t>
  </si>
  <si>
    <t>Usuarios, productos y practicas , organizacionales</t>
  </si>
  <si>
    <t>Registro Sustancial</t>
  </si>
  <si>
    <t>Registro Material</t>
  </si>
  <si>
    <t>Sin registro</t>
  </si>
  <si>
    <t>Reducir</t>
  </si>
  <si>
    <t>D8 La Dirección de Tecnologías e Información no cuenta con total gobernabilidad sobre los sistemas de información institucionales</t>
  </si>
  <si>
    <t>O3 Interoperabilidad de sistemas de información de entidades de orden Distrital y Nacional</t>
  </si>
  <si>
    <t>A12 Desconocimiento de los procesos y procedimientos por parte de los usuarios afectando el normal desarrollo de las actividades</t>
  </si>
  <si>
    <t>F4 Definición de acuerdos de niveles de servicios.</t>
  </si>
  <si>
    <t>F5 Monitoreo a la estructura de red de datos.</t>
  </si>
  <si>
    <t>F6 Gestión de los recursos e infraestructura tecnológica para la atención de servicios.</t>
  </si>
  <si>
    <t>F7 Aplicación del modelo de arquitectura empresarial.</t>
  </si>
  <si>
    <t>F8 Soporte al ciclo de vida de los sistemas de información.</t>
  </si>
  <si>
    <t>F9 Plan de contingencia informático.</t>
  </si>
  <si>
    <t>F10 Política de Seguridad y Privacidad de la información.</t>
  </si>
  <si>
    <t>F11 Procedimientos, instructivos y formatos publicados en el Sistema Integrado de Gestión, que permiten identificar las actividades para la implementación del ciclo de vida de los sistemas de información</t>
  </si>
  <si>
    <t>D6 La entidad no cuenta con un oficial de seguridad.</t>
  </si>
  <si>
    <t>Se realiza actualización de matriz de riesgos de gestión de acuerdo con los lineamientos establecidos en el manual de gestión del riesgo PLE-PIN-M001 versión 6. Se realizó a través de mesa de trabajo a la que asistió el promotor de mejora con el acompañamiento técnico del grupo de riesgos de la Oficina Asesora de Planeación. Se aprobó bajo caso HOLA N. 241816. Se elimina el riesgo 4</t>
  </si>
  <si>
    <t>F3 publicación del catálogo de servicios de TI en la Intranet para información de los usuarios</t>
  </si>
  <si>
    <t>D9 La Dirección de Tecnologías e Información no cuenta con recurso humano y recursos presupuestales necesarios para la realización de actividades estratégicas y de operación necesarias para dar cumplimiento a los lineamientos establecidos en la politica de Gobierno digital</t>
  </si>
  <si>
    <t>A13 Fallo o caída de servicios contratados con terceros</t>
  </si>
  <si>
    <t>D10 Deficiencias u omisión en la inclusión de requisitos o ANS (Acuerdos de niveles de servicios) en contratos de servicios con terceros</t>
  </si>
  <si>
    <t>Falla de los servicios tercerizados</t>
  </si>
  <si>
    <t>Posibilidad de afectación reputacional por la interrupción de los servicios de Tecnologías  tercerizados</t>
  </si>
  <si>
    <t>Afectación en las sedes de la Entidad por la ausencia de servicios de TI tercerizados</t>
  </si>
  <si>
    <t>El Director de tecnologías e Información o su delegado realiza monitoreo y seguimiento continuo al cumplimiento de los acuerdos de niveles de servicios (ANS) de los contratos de servicios tercerizados. Como evidencia del control se generarán reportes mensuales del monitoreo a los contratos de servicios de TI tercerizados.  En caso de presentarse indisponibilidad de los servicios se generan las notiticaciones correspondientes, gestión del incidente y descuento de ANS en los respectivos pagos al contratista.</t>
  </si>
  <si>
    <t>Se actualiza el contexto del proceso y se crea el riesgo No. 7. Se aprobó con caso HOLA No. 346199.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</si>
</sst>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8"/>
      <color indexed="60"/>
      <name val="Arial"/>
      <family val="2"/>
    </font>
    <font>
      <b/>
      <sz val="48"/>
      <color indexed="60"/>
      <name val="Arial"/>
      <family val="2"/>
    </font>
    <font>
      <b/>
      <sz val="10"/>
      <name val="Arial"/>
      <family val="2"/>
    </font>
    <font>
      <b/>
      <sz val="12"/>
      <color indexed="16"/>
      <name val="Arial"/>
      <family val="2"/>
    </font>
    <font>
      <b/>
      <sz val="20"/>
      <color rgb="FFC00000"/>
      <name val="Arial Narrow"/>
      <family val="2"/>
    </font>
    <font>
      <sz val="11"/>
      <color rgb="FF000000"/>
      <name val="Calibri"/>
      <family val="2"/>
      <scheme val="minor"/>
    </font>
    <font>
      <b/>
      <sz val="48"/>
      <color rgb="FF993300"/>
      <name val="Arial"/>
      <family val="2"/>
    </font>
    <font>
      <b/>
      <sz val="18"/>
      <name val="Arial"/>
      <family val="2"/>
    </font>
    <font>
      <b/>
      <sz val="12"/>
      <name val="Arial"/>
      <family val="2"/>
    </font>
    <font>
      <sz val="10"/>
      <color rgb="FF000000"/>
      <name val="Arial"/>
      <family val="2"/>
    </font>
    <font>
      <sz val="12"/>
      <name val="Arial"/>
      <family val="2"/>
    </font>
    <font>
      <b/>
      <sz val="11"/>
      <color rgb="FF800000"/>
      <name val="Arial"/>
      <family val="2"/>
    </font>
    <font>
      <sz val="11"/>
      <color rgb="FF000000"/>
      <name val="Arial"/>
      <family val="2"/>
    </font>
    <font>
      <b/>
      <sz val="11"/>
      <color rgb="FF000000"/>
      <name val="Arial"/>
      <family val="2"/>
    </font>
    <font>
      <sz val="10"/>
      <color rgb="FFFFFFFF"/>
      <name val="Arial"/>
      <family val="2"/>
    </font>
    <font>
      <b/>
      <sz val="12"/>
      <color rgb="FFFF0000"/>
      <name val="Arial"/>
      <family val="2"/>
    </font>
    <font>
      <b/>
      <sz val="9"/>
      <color rgb="FFFFFFFF"/>
      <name val="Arial"/>
      <family val="2"/>
    </font>
    <font>
      <b/>
      <sz val="11"/>
      <name val="Arial"/>
      <family val="2"/>
    </font>
    <font>
      <b/>
      <i/>
      <sz val="14"/>
      <color rgb="FFA6A6A6"/>
      <name val="Arial"/>
      <family val="2"/>
    </font>
    <font>
      <b/>
      <sz val="28"/>
      <color rgb="FF993300"/>
      <name val="Arial"/>
      <family val="2"/>
    </font>
    <font>
      <sz val="12"/>
      <color theme="1"/>
      <name val="Garamond"/>
      <family val="1"/>
    </font>
    <font>
      <sz val="12"/>
      <color rgb="FF000000"/>
      <name val="Garamond"/>
      <family val="1"/>
    </font>
    <font>
      <sz val="12"/>
      <color rgb="FFA6A6A6"/>
      <name val="Titillium Web"/>
    </font>
    <font>
      <sz val="12"/>
      <color theme="0" tint="-0.499984740745262"/>
      <name val="Titillium Web"/>
    </font>
  </fonts>
  <fills count="2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theme="0"/>
        <bgColor rgb="FF000000"/>
      </patternFill>
    </fill>
    <fill>
      <patternFill patternType="solid">
        <fgColor rgb="FFFFFF00"/>
        <bgColor rgb="FF000000"/>
      </patternFill>
    </fill>
    <fill>
      <patternFill patternType="solid">
        <fgColor rgb="FFB8CCE4"/>
        <bgColor indexed="64"/>
      </patternFill>
    </fill>
    <fill>
      <patternFill patternType="solid">
        <fgColor rgb="FFDBE5F1"/>
        <bgColor indexed="64"/>
      </patternFill>
    </fill>
    <fill>
      <patternFill patternType="solid">
        <fgColor rgb="FFFF9900"/>
        <bgColor indexed="64"/>
      </patternFill>
    </fill>
  </fills>
  <borders count="92">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rgb="FFFFFFFF"/>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F81BD"/>
      </left>
      <right style="medium">
        <color rgb="FF4F81BD"/>
      </right>
      <top style="medium">
        <color rgb="FF4F81BD"/>
      </top>
      <bottom style="medium">
        <color rgb="FF4F81BD"/>
      </bottom>
      <diagonal/>
    </border>
    <border>
      <left/>
      <right style="medium">
        <color rgb="FF4F81BD"/>
      </right>
      <top style="medium">
        <color rgb="FF4F81BD"/>
      </top>
      <bottom style="medium">
        <color rgb="FF4F81BD"/>
      </bottom>
      <diagonal/>
    </border>
    <border>
      <left/>
      <right/>
      <top style="medium">
        <color rgb="FF4F81BD"/>
      </top>
      <bottom style="medium">
        <color rgb="FF4F81BD"/>
      </bottom>
      <diagonal/>
    </border>
    <border>
      <left style="medium">
        <color rgb="FF4F81BD"/>
      </left>
      <right style="medium">
        <color rgb="FF4F81BD"/>
      </right>
      <top/>
      <bottom style="medium">
        <color rgb="FF4F81BD"/>
      </bottom>
      <diagonal/>
    </border>
    <border>
      <left style="medium">
        <color rgb="FF4F81BD"/>
      </left>
      <right style="medium">
        <color rgb="FF4F81BD"/>
      </right>
      <top/>
      <bottom/>
      <diagonal/>
    </border>
    <border>
      <left/>
      <right style="medium">
        <color rgb="FF4F81BD"/>
      </right>
      <top/>
      <bottom style="medium">
        <color rgb="FF4F81BD"/>
      </bottom>
      <diagonal/>
    </border>
    <border>
      <left/>
      <right style="medium">
        <color rgb="FF4F81BD"/>
      </right>
      <top/>
      <bottom/>
      <diagonal/>
    </border>
    <border>
      <left style="medium">
        <color rgb="FF4F81BD"/>
      </left>
      <right/>
      <top style="medium">
        <color rgb="FF4F81BD"/>
      </top>
      <bottom style="medium">
        <color rgb="FF4F81BD"/>
      </bottom>
      <diagonal/>
    </border>
    <border>
      <left style="medium">
        <color rgb="FF4F81BD"/>
      </left>
      <right style="medium">
        <color rgb="FF4F81BD"/>
      </right>
      <top style="medium">
        <color rgb="FF4F81BD"/>
      </top>
      <bottom/>
      <diagonal/>
    </border>
    <border>
      <left/>
      <right style="medium">
        <color rgb="FF4F81BD"/>
      </right>
      <top style="medium">
        <color rgb="FF4F81BD"/>
      </top>
      <bottom/>
      <diagonal/>
    </border>
    <border>
      <left/>
      <right/>
      <top style="medium">
        <color rgb="FF4F81BD"/>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39">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3"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49" fontId="58" fillId="16" borderId="0" xfId="0" applyNumberFormat="1" applyFont="1" applyFill="1" applyAlignment="1" applyProtection="1">
      <alignment horizontal="center" vertical="center" wrapText="1"/>
      <protection locked="0"/>
    </xf>
    <xf numFmtId="0" fontId="60" fillId="18" borderId="33" xfId="0" applyFont="1" applyFill="1" applyBorder="1" applyAlignment="1" applyProtection="1">
      <alignment horizontal="center" vertical="center" wrapText="1"/>
      <protection locked="0"/>
    </xf>
    <xf numFmtId="49" fontId="64" fillId="19" borderId="0" xfId="0" applyNumberFormat="1" applyFont="1" applyFill="1" applyAlignment="1" applyProtection="1">
      <alignment vertical="center" wrapText="1"/>
      <protection locked="0"/>
    </xf>
    <xf numFmtId="0" fontId="62" fillId="19" borderId="0" xfId="0" applyFont="1" applyFill="1" applyProtection="1">
      <protection locked="0"/>
    </xf>
    <xf numFmtId="0" fontId="65" fillId="19" borderId="0" xfId="0" applyFont="1" applyFill="1" applyAlignment="1" applyProtection="1">
      <alignment horizontal="left" vertical="center" wrapText="1"/>
      <protection locked="0"/>
    </xf>
    <xf numFmtId="0" fontId="66" fillId="19" borderId="0" xfId="0" applyFont="1" applyFill="1" applyAlignment="1" applyProtection="1">
      <alignment vertical="center" wrapText="1"/>
      <protection locked="0"/>
    </xf>
    <xf numFmtId="0" fontId="66" fillId="19" borderId="0" xfId="0" applyFont="1" applyFill="1" applyProtection="1">
      <protection locked="0"/>
    </xf>
    <xf numFmtId="0" fontId="66" fillId="19" borderId="0" xfId="0" applyFont="1" applyFill="1" applyAlignment="1" applyProtection="1">
      <alignment horizontal="center"/>
      <protection locked="0"/>
    </xf>
    <xf numFmtId="0" fontId="62" fillId="19" borderId="0" xfId="0" applyFont="1" applyFill="1" applyAlignment="1" applyProtection="1">
      <alignment horizontal="center"/>
      <protection locked="0"/>
    </xf>
    <xf numFmtId="0" fontId="67" fillId="0" borderId="69" xfId="0" applyFont="1" applyBorder="1" applyAlignment="1" applyProtection="1">
      <alignment horizontal="right"/>
      <protection locked="0"/>
    </xf>
    <xf numFmtId="0" fontId="69" fillId="19" borderId="0" xfId="0" applyFont="1" applyFill="1" applyAlignment="1" applyProtection="1">
      <alignment horizontal="center" vertical="center" wrapText="1"/>
      <protection locked="0"/>
    </xf>
    <xf numFmtId="14" fontId="67" fillId="0" borderId="69" xfId="0" applyNumberFormat="1" applyFont="1" applyBorder="1" applyAlignment="1" applyProtection="1">
      <alignment horizontal="right"/>
      <protection locked="0"/>
    </xf>
    <xf numFmtId="0" fontId="69" fillId="19" borderId="0" xfId="0" applyFont="1" applyFill="1" applyAlignment="1" applyProtection="1">
      <alignment vertical="center" wrapText="1"/>
      <protection locked="0"/>
    </xf>
    <xf numFmtId="0" fontId="70" fillId="19" borderId="0" xfId="0" applyFont="1" applyFill="1" applyAlignment="1" applyProtection="1">
      <alignment vertical="center" wrapText="1"/>
      <protection locked="0"/>
    </xf>
    <xf numFmtId="0" fontId="65" fillId="19" borderId="0" xfId="0" applyFont="1" applyFill="1" applyAlignment="1" applyProtection="1">
      <alignment horizontal="center" vertical="center" wrapText="1"/>
      <protection locked="0"/>
    </xf>
    <xf numFmtId="0" fontId="62" fillId="19" borderId="0" xfId="0" applyFont="1" applyFill="1" applyAlignment="1" applyProtection="1">
      <alignment horizontal="center" vertical="center"/>
      <protection locked="0"/>
    </xf>
    <xf numFmtId="0" fontId="66" fillId="19" borderId="0" xfId="0" applyFont="1" applyFill="1" applyAlignment="1" applyProtection="1">
      <alignment horizontal="center" vertical="center" wrapText="1"/>
      <protection locked="0"/>
    </xf>
    <xf numFmtId="0" fontId="66" fillId="19" borderId="0" xfId="0" applyFont="1" applyFill="1" applyAlignment="1" applyProtection="1">
      <alignment horizontal="center" vertical="center"/>
      <protection locked="0"/>
    </xf>
    <xf numFmtId="0" fontId="71" fillId="19" borderId="0" xfId="0" applyFont="1" applyFill="1" applyAlignment="1" applyProtection="1">
      <alignment horizontal="center" vertical="center"/>
      <protection locked="0"/>
    </xf>
    <xf numFmtId="2" fontId="67" fillId="19" borderId="0" xfId="0" applyNumberFormat="1" applyFont="1" applyFill="1" applyAlignment="1" applyProtection="1">
      <alignment horizontal="center" vertical="center" wrapText="1"/>
      <protection locked="0"/>
    </xf>
    <xf numFmtId="0" fontId="71" fillId="19" borderId="0" xfId="0" applyFont="1" applyFill="1" applyProtection="1">
      <protection locked="0"/>
    </xf>
    <xf numFmtId="0" fontId="71" fillId="19" borderId="0" xfId="0" applyFont="1" applyFill="1" applyAlignment="1" applyProtection="1">
      <alignment horizontal="center"/>
      <protection locked="0"/>
    </xf>
    <xf numFmtId="0" fontId="72" fillId="19" borderId="0" xfId="0" applyFont="1" applyFill="1" applyAlignment="1" applyProtection="1">
      <alignment horizontal="left" vertical="center"/>
      <protection locked="0"/>
    </xf>
    <xf numFmtId="165" fontId="65" fillId="19" borderId="0" xfId="0" applyNumberFormat="1" applyFont="1" applyFill="1" applyAlignment="1" applyProtection="1">
      <alignment horizontal="center" vertical="center"/>
      <protection locked="0"/>
    </xf>
    <xf numFmtId="0" fontId="62" fillId="0" borderId="0" xfId="0" applyFont="1" applyProtection="1">
      <protection locked="0"/>
    </xf>
    <xf numFmtId="0" fontId="48" fillId="19" borderId="0" xfId="0" applyFont="1" applyFill="1" applyAlignment="1" applyProtection="1">
      <alignment vertical="center" wrapText="1"/>
      <protection locked="0"/>
    </xf>
    <xf numFmtId="0" fontId="73" fillId="20" borderId="0" xfId="0" applyFont="1" applyFill="1" applyAlignment="1" applyProtection="1">
      <alignment horizontal="center" vertical="center" wrapText="1"/>
      <protection locked="0"/>
    </xf>
    <xf numFmtId="2" fontId="67" fillId="20" borderId="0" xfId="0" applyNumberFormat="1" applyFont="1" applyFill="1" applyAlignment="1" applyProtection="1">
      <alignment horizontal="center" vertical="center" wrapText="1"/>
      <protection hidden="1"/>
    </xf>
    <xf numFmtId="0" fontId="74" fillId="20" borderId="0" xfId="0" applyFont="1" applyFill="1" applyAlignment="1" applyProtection="1">
      <alignment horizontal="center" vertical="center" wrapText="1"/>
      <protection hidden="1"/>
    </xf>
    <xf numFmtId="0" fontId="69" fillId="19" borderId="69" xfId="0" applyFont="1" applyFill="1" applyBorder="1" applyAlignment="1" applyProtection="1">
      <alignment vertical="center" wrapText="1"/>
      <protection locked="0"/>
    </xf>
    <xf numFmtId="0" fontId="68" fillId="0" borderId="33" xfId="0" applyFont="1" applyBorder="1" applyAlignment="1" applyProtection="1">
      <alignment horizontal="center" vertical="center" wrapText="1"/>
      <protection locked="0"/>
    </xf>
    <xf numFmtId="0" fontId="68" fillId="19" borderId="0" xfId="0" applyFont="1" applyFill="1" applyAlignment="1" applyProtection="1">
      <alignment horizontal="right" wrapText="1"/>
      <protection locked="0"/>
    </xf>
    <xf numFmtId="49" fontId="63" fillId="19" borderId="0" xfId="0" applyNumberFormat="1" applyFont="1" applyFill="1" applyAlignment="1" applyProtection="1">
      <alignment vertical="center" wrapText="1"/>
      <protection locked="0"/>
    </xf>
    <xf numFmtId="0" fontId="69" fillId="21" borderId="0" xfId="0" applyFont="1" applyFill="1" applyAlignment="1" applyProtection="1">
      <alignment vertical="center" wrapText="1"/>
      <protection locked="0"/>
    </xf>
    <xf numFmtId="0" fontId="37" fillId="0" borderId="0" xfId="0" applyFont="1" applyAlignment="1">
      <alignment vertical="center"/>
    </xf>
    <xf numFmtId="0" fontId="77" fillId="22" borderId="81" xfId="0" applyFont="1" applyFill="1" applyBorder="1" applyAlignment="1">
      <alignment horizontal="center" vertical="center" wrapText="1"/>
    </xf>
    <xf numFmtId="0" fontId="78" fillId="22" borderId="82" xfId="0" applyFont="1" applyFill="1" applyBorder="1" applyAlignment="1">
      <alignment horizontal="center" vertical="center" wrapText="1"/>
    </xf>
    <xf numFmtId="0" fontId="78" fillId="23" borderId="87" xfId="0" applyFont="1" applyFill="1" applyBorder="1" applyAlignment="1">
      <alignment horizontal="center" vertical="center" wrapText="1"/>
    </xf>
    <xf numFmtId="0" fontId="77" fillId="0" borderId="87" xfId="0" applyFont="1" applyBorder="1" applyAlignment="1">
      <alignment horizontal="center" vertical="center" wrapText="1"/>
    </xf>
    <xf numFmtId="0" fontId="77" fillId="23" borderId="87" xfId="0" applyFont="1" applyFill="1" applyBorder="1" applyAlignment="1">
      <alignment horizontal="center" vertical="center" wrapText="1"/>
    </xf>
    <xf numFmtId="0" fontId="78" fillId="23" borderId="86" xfId="0" applyFont="1" applyFill="1" applyBorder="1" applyAlignment="1">
      <alignment horizontal="center" vertical="center" wrapText="1"/>
    </xf>
    <xf numFmtId="0" fontId="77" fillId="0" borderId="86" xfId="0" applyFont="1" applyBorder="1" applyAlignment="1">
      <alignment horizontal="center" vertical="center" wrapText="1"/>
    </xf>
    <xf numFmtId="0" fontId="37" fillId="0" borderId="86" xfId="0" applyFont="1" applyBorder="1" applyAlignment="1">
      <alignment vertical="center" wrapText="1"/>
    </xf>
    <xf numFmtId="0" fontId="78" fillId="23" borderId="90" xfId="0" applyFont="1" applyFill="1" applyBorder="1" applyAlignment="1">
      <alignment horizontal="center" vertical="center" wrapText="1"/>
    </xf>
    <xf numFmtId="0" fontId="77" fillId="0" borderId="90" xfId="0" applyFont="1" applyBorder="1" applyAlignment="1">
      <alignment horizontal="center" vertical="center" wrapText="1"/>
    </xf>
    <xf numFmtId="164" fontId="1" fillId="0" borderId="2" xfId="1" applyNumberFormat="1" applyFont="1" applyBorder="1" applyAlignment="1">
      <alignment horizontal="center" vertical="center"/>
    </xf>
    <xf numFmtId="0" fontId="1" fillId="0" borderId="4" xfId="0" applyFont="1" applyBorder="1" applyAlignment="1">
      <alignment horizontal="center" vertical="center"/>
    </xf>
    <xf numFmtId="9" fontId="1" fillId="0" borderId="4" xfId="0" applyNumberFormat="1"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locked="0"/>
    </xf>
    <xf numFmtId="0" fontId="1" fillId="0" borderId="4" xfId="0" applyFont="1" applyBorder="1" applyAlignment="1" applyProtection="1">
      <alignment horizontal="center" vertical="center" textRotation="90"/>
      <protection locked="0"/>
    </xf>
    <xf numFmtId="9" fontId="1" fillId="0" borderId="4" xfId="0" applyNumberFormat="1" applyFont="1" applyBorder="1" applyAlignment="1" applyProtection="1">
      <alignment horizontal="center" vertical="center"/>
      <protection hidden="1"/>
    </xf>
    <xf numFmtId="0" fontId="37" fillId="0" borderId="33" xfId="0" applyFont="1" applyBorder="1" applyAlignment="1">
      <alignment horizontal="center" vertical="center"/>
    </xf>
    <xf numFmtId="0" fontId="37" fillId="5" borderId="33" xfId="0" applyFont="1" applyFill="1" applyBorder="1" applyAlignment="1">
      <alignment horizontal="center" vertical="center"/>
    </xf>
    <xf numFmtId="0" fontId="77" fillId="0" borderId="0" xfId="0" applyFont="1" applyAlignment="1">
      <alignment horizontal="center" vertical="center" wrapText="1"/>
    </xf>
    <xf numFmtId="0" fontId="37" fillId="24" borderId="33" xfId="0" applyFont="1" applyFill="1" applyBorder="1" applyAlignment="1">
      <alignment vertical="center"/>
    </xf>
    <xf numFmtId="0" fontId="77" fillId="0" borderId="91" xfId="0" applyFont="1" applyBorder="1" applyAlignment="1">
      <alignment horizontal="center" vertical="center" wrapText="1"/>
    </xf>
    <xf numFmtId="0" fontId="67" fillId="19" borderId="33" xfId="0" applyFont="1" applyFill="1" applyBorder="1" applyAlignment="1" applyProtection="1">
      <alignment horizontal="center" vertical="center" wrapText="1"/>
      <protection locked="0"/>
    </xf>
    <xf numFmtId="14" fontId="67" fillId="19" borderId="33" xfId="0" applyNumberFormat="1" applyFont="1" applyFill="1" applyBorder="1" applyAlignment="1" applyProtection="1">
      <alignment horizontal="center" vertical="center" wrapText="1"/>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0" fontId="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79" fillId="0" borderId="33" xfId="0" applyFont="1" applyBorder="1" applyAlignment="1">
      <alignment horizontal="left" vertical="top" wrapText="1"/>
    </xf>
    <xf numFmtId="0" fontId="79" fillId="0" borderId="38" xfId="0" applyFont="1" applyBorder="1" applyAlignment="1">
      <alignment horizontal="left" vertical="top" wrapText="1"/>
    </xf>
    <xf numFmtId="0" fontId="79" fillId="0" borderId="33" xfId="0" applyFont="1" applyBorder="1" applyAlignment="1">
      <alignment vertical="center" wrapText="1"/>
    </xf>
    <xf numFmtId="14" fontId="67" fillId="0" borderId="33" xfId="0" applyNumberFormat="1" applyFont="1" applyBorder="1" applyAlignment="1" applyProtection="1">
      <alignment horizontal="center" vertical="center" wrapText="1"/>
      <protection locked="0"/>
    </xf>
    <xf numFmtId="0" fontId="50" fillId="0" borderId="2" xfId="0" applyFont="1" applyBorder="1" applyAlignment="1" applyProtection="1">
      <alignment horizontal="justify" vertical="center" wrapText="1"/>
      <protection locked="0"/>
    </xf>
    <xf numFmtId="0" fontId="61" fillId="3" borderId="48" xfId="2" applyFont="1" applyFill="1" applyBorder="1" applyAlignment="1">
      <alignment horizontal="center" vertical="center" wrapText="1"/>
    </xf>
    <xf numFmtId="0" fontId="61" fillId="3" borderId="49" xfId="2" applyFont="1" applyFill="1" applyBorder="1" applyAlignment="1">
      <alignment horizontal="center" vertical="center" wrapText="1"/>
    </xf>
    <xf numFmtId="0" fontId="61" fillId="3"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1" fillId="3" borderId="51" xfId="2" quotePrefix="1" applyFont="1" applyFill="1" applyBorder="1" applyAlignment="1">
      <alignment horizontal="left" vertical="top" wrapText="1"/>
    </xf>
    <xf numFmtId="0" fontId="52" fillId="3" borderId="52" xfId="2" quotePrefix="1" applyFont="1" applyFill="1" applyBorder="1" applyAlignment="1">
      <alignment horizontal="left" vertical="top" wrapText="1"/>
    </xf>
    <xf numFmtId="0" fontId="52"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4" fillId="14" borderId="54" xfId="3" applyFont="1" applyFill="1" applyBorder="1" applyAlignment="1">
      <alignment horizontal="center" vertical="center" wrapText="1"/>
    </xf>
    <xf numFmtId="0" fontId="54" fillId="14" borderId="55" xfId="3" applyFont="1" applyFill="1" applyBorder="1" applyAlignment="1">
      <alignment horizontal="center" vertical="center" wrapText="1"/>
    </xf>
    <xf numFmtId="0" fontId="54" fillId="14" borderId="56" xfId="2" applyFont="1" applyFill="1" applyBorder="1" applyAlignment="1">
      <alignment horizontal="center" vertical="center"/>
    </xf>
    <xf numFmtId="0" fontId="54"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4" fillId="3" borderId="58" xfId="3" applyFont="1" applyFill="1" applyBorder="1" applyAlignment="1">
      <alignment horizontal="left" vertical="top" wrapText="1" readingOrder="1"/>
    </xf>
    <xf numFmtId="0" fontId="54" fillId="3" borderId="59" xfId="3" applyFont="1" applyFill="1" applyBorder="1" applyAlignment="1">
      <alignment horizontal="left" vertical="top" wrapText="1" readingOrder="1"/>
    </xf>
    <xf numFmtId="0" fontId="55" fillId="3" borderId="60" xfId="2" applyFont="1" applyFill="1" applyBorder="1" applyAlignment="1">
      <alignment horizontal="justify" vertical="center" wrapText="1"/>
    </xf>
    <xf numFmtId="0" fontId="55" fillId="3" borderId="61" xfId="2" applyFont="1" applyFill="1" applyBorder="1" applyAlignment="1">
      <alignment horizontal="justify" vertical="center" wrapText="1"/>
    </xf>
    <xf numFmtId="0" fontId="54" fillId="3" borderId="62"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55" fillId="3" borderId="64" xfId="2" applyFont="1" applyFill="1" applyBorder="1" applyAlignment="1">
      <alignment horizontal="justify" vertical="center" wrapText="1"/>
    </xf>
    <xf numFmtId="0" fontId="55" fillId="3" borderId="65" xfId="2" applyFont="1" applyFill="1" applyBorder="1" applyAlignment="1">
      <alignment horizontal="justify"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4" fillId="3" borderId="73" xfId="0" applyFont="1" applyFill="1" applyBorder="1" applyAlignment="1">
      <alignment horizontal="left" vertical="center" wrapText="1"/>
    </xf>
    <xf numFmtId="0" fontId="54" fillId="3" borderId="74" xfId="0" applyFont="1" applyFill="1" applyBorder="1" applyAlignment="1">
      <alignment horizontal="left" vertical="center" wrapText="1"/>
    </xf>
    <xf numFmtId="0" fontId="55" fillId="3" borderId="66" xfId="0" applyFont="1" applyFill="1" applyBorder="1" applyAlignment="1">
      <alignment horizontal="justify" vertical="center" wrapText="1"/>
    </xf>
    <xf numFmtId="0" fontId="55" fillId="3" borderId="67" xfId="0" applyFont="1" applyFill="1" applyBorder="1" applyAlignment="1">
      <alignment horizontal="justify" vertical="center" wrapText="1"/>
    </xf>
    <xf numFmtId="49" fontId="57" fillId="16" borderId="0" xfId="0" applyNumberFormat="1" applyFont="1" applyFill="1" applyAlignment="1" applyProtection="1">
      <alignment horizontal="right" vertical="center" wrapText="1"/>
      <protection locked="0"/>
    </xf>
    <xf numFmtId="0" fontId="59" fillId="17" borderId="75" xfId="0" applyFont="1" applyFill="1" applyBorder="1" applyAlignment="1">
      <alignment horizontal="center" vertical="center" wrapText="1"/>
    </xf>
    <xf numFmtId="0" fontId="59" fillId="17" borderId="76" xfId="0" applyFont="1" applyFill="1" applyBorder="1" applyAlignment="1">
      <alignment horizontal="center" vertical="center" wrapText="1"/>
    </xf>
    <xf numFmtId="0" fontId="59" fillId="17" borderId="34" xfId="0" applyFont="1" applyFill="1" applyBorder="1" applyAlignment="1">
      <alignment horizontal="center" vertical="center" wrapText="1"/>
    </xf>
    <xf numFmtId="0" fontId="1" fillId="0" borderId="4"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4" fillId="0" borderId="4" xfId="0" applyFont="1" applyBorder="1" applyAlignment="1" applyProtection="1">
      <alignment horizontal="center" vertical="center" textRotation="90" wrapText="1"/>
      <protection hidden="1"/>
    </xf>
    <xf numFmtId="0" fontId="4" fillId="0" borderId="8"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9" fontId="1" fillId="0" borderId="8" xfId="0" applyNumberFormat="1" applyFont="1" applyBorder="1" applyAlignment="1" applyProtection="1">
      <alignment horizontal="center" vertical="center"/>
      <protection hidden="1"/>
    </xf>
    <xf numFmtId="9" fontId="1" fillId="0" borderId="5"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protection hidden="1"/>
    </xf>
    <xf numFmtId="0" fontId="4" fillId="0" borderId="8" xfId="0" applyFont="1" applyBorder="1" applyAlignment="1" applyProtection="1">
      <alignment horizontal="center" vertical="center" textRotation="90"/>
      <protection hidden="1"/>
    </xf>
    <xf numFmtId="0" fontId="4" fillId="0" borderId="5" xfId="0" applyFont="1" applyBorder="1" applyAlignment="1" applyProtection="1">
      <alignment horizontal="center" vertical="center" textRotation="90"/>
      <protection hidden="1"/>
    </xf>
    <xf numFmtId="0" fontId="1" fillId="0" borderId="8" xfId="0" applyFont="1" applyBorder="1" applyAlignment="1" applyProtection="1">
      <alignment horizontal="center" vertical="center" textRotation="90"/>
      <protection locked="0"/>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6" fillId="0" borderId="4"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1" fillId="0" borderId="4"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49" fontId="76" fillId="19" borderId="0" xfId="0" applyNumberFormat="1" applyFont="1" applyFill="1" applyAlignment="1" applyProtection="1">
      <alignment horizontal="center" vertical="center" wrapText="1"/>
      <protection locked="0"/>
    </xf>
    <xf numFmtId="2" fontId="67" fillId="20" borderId="0" xfId="0" applyNumberFormat="1" applyFont="1" applyFill="1" applyAlignment="1" applyProtection="1">
      <alignment horizontal="center" vertical="center" wrapText="1"/>
      <protection hidden="1"/>
    </xf>
    <xf numFmtId="0" fontId="75" fillId="19" borderId="0" xfId="0" applyFont="1" applyFill="1" applyAlignment="1" applyProtection="1">
      <alignment horizontal="left" vertical="top"/>
      <protection locked="0"/>
    </xf>
    <xf numFmtId="0" fontId="68" fillId="0" borderId="77" xfId="0" applyFont="1" applyBorder="1" applyAlignment="1" applyProtection="1">
      <alignment horizontal="center" vertical="center" wrapText="1"/>
      <protection locked="0"/>
    </xf>
    <xf numFmtId="0" fontId="73" fillId="20" borderId="0" xfId="0" applyFont="1" applyFill="1" applyAlignment="1" applyProtection="1">
      <alignment horizontal="center" vertical="center" wrapText="1"/>
      <protection locked="0"/>
    </xf>
    <xf numFmtId="0" fontId="68" fillId="0" borderId="78" xfId="0" applyFont="1" applyBorder="1" applyAlignment="1" applyProtection="1">
      <alignment horizontal="center" vertical="center" wrapText="1"/>
      <protection locked="0"/>
    </xf>
    <xf numFmtId="0" fontId="68" fillId="0" borderId="79" xfId="0" applyFont="1" applyBorder="1" applyAlignment="1" applyProtection="1">
      <alignment horizontal="center" vertical="center" wrapText="1"/>
      <protection locked="0"/>
    </xf>
    <xf numFmtId="0" fontId="68" fillId="0" borderId="80" xfId="0" applyFont="1" applyBorder="1" applyAlignment="1" applyProtection="1">
      <alignment horizontal="center" vertical="center" wrapText="1"/>
      <protection locked="0"/>
    </xf>
    <xf numFmtId="0" fontId="67" fillId="19" borderId="78" xfId="0" applyFont="1" applyFill="1" applyBorder="1" applyAlignment="1" applyProtection="1">
      <alignment horizontal="left" vertical="center" wrapText="1"/>
      <protection locked="0"/>
    </xf>
    <xf numFmtId="0" fontId="67" fillId="19" borderId="79" xfId="0" applyFont="1" applyFill="1" applyBorder="1" applyAlignment="1" applyProtection="1">
      <alignment horizontal="left" vertical="center" wrapText="1"/>
      <protection locked="0"/>
    </xf>
    <xf numFmtId="0" fontId="67" fillId="19" borderId="80" xfId="0" applyFont="1" applyFill="1" applyBorder="1" applyAlignment="1" applyProtection="1">
      <alignment horizontal="left"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78" fillId="23" borderId="89" xfId="0" applyFont="1" applyFill="1" applyBorder="1" applyAlignment="1">
      <alignment horizontal="center" vertical="center" wrapText="1"/>
    </xf>
    <xf numFmtId="0" fontId="78" fillId="23" borderId="84" xfId="0" applyFont="1" applyFill="1" applyBorder="1" applyAlignment="1">
      <alignment horizontal="center" vertical="center" wrapText="1"/>
    </xf>
    <xf numFmtId="0" fontId="77" fillId="0" borderId="89" xfId="0" applyFont="1" applyBorder="1" applyAlignment="1">
      <alignment horizontal="center" vertical="center" wrapText="1"/>
    </xf>
    <xf numFmtId="0" fontId="77" fillId="0" borderId="84" xfId="0" applyFont="1" applyBorder="1" applyAlignment="1">
      <alignment horizontal="center" vertical="center" wrapText="1"/>
    </xf>
    <xf numFmtId="0" fontId="78" fillId="22" borderId="88" xfId="0" applyFont="1" applyFill="1" applyBorder="1" applyAlignment="1">
      <alignment horizontal="center" vertical="center" wrapText="1"/>
    </xf>
    <xf numFmtId="0" fontId="78" fillId="22" borderId="83" xfId="0" applyFont="1" applyFill="1" applyBorder="1" applyAlignment="1">
      <alignment horizontal="center" vertical="center" wrapText="1"/>
    </xf>
    <xf numFmtId="0" fontId="78" fillId="22" borderId="82" xfId="0" applyFont="1" applyFill="1" applyBorder="1" applyAlignment="1">
      <alignment horizontal="center" vertical="center" wrapText="1"/>
    </xf>
    <xf numFmtId="0" fontId="78" fillId="23" borderId="85" xfId="0" applyFont="1" applyFill="1" applyBorder="1" applyAlignment="1">
      <alignment horizontal="center" vertical="center" wrapText="1"/>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67" fillId="0" borderId="33" xfId="0" applyFont="1" applyFill="1" applyBorder="1" applyAlignment="1" applyProtection="1">
      <alignment horizontal="center" vertical="center" wrapText="1"/>
      <protection locked="0"/>
    </xf>
    <xf numFmtId="14" fontId="67" fillId="0" borderId="33" xfId="0" applyNumberFormat="1" applyFont="1" applyFill="1" applyBorder="1" applyAlignment="1" applyProtection="1">
      <alignment horizontal="center" vertical="center" wrapText="1"/>
      <protection locked="0"/>
    </xf>
    <xf numFmtId="0" fontId="67" fillId="0" borderId="78" xfId="0" applyFont="1" applyFill="1" applyBorder="1" applyAlignment="1" applyProtection="1">
      <alignment horizontal="left" vertical="center" wrapText="1"/>
      <protection locked="0"/>
    </xf>
    <xf numFmtId="0" fontId="67" fillId="0" borderId="79" xfId="0" applyFont="1" applyFill="1" applyBorder="1" applyAlignment="1" applyProtection="1">
      <alignment horizontal="left" vertical="center" wrapText="1"/>
      <protection locked="0"/>
    </xf>
    <xf numFmtId="0" fontId="67" fillId="0" borderId="80" xfId="0" applyFont="1" applyFill="1" applyBorder="1" applyAlignment="1" applyProtection="1">
      <alignment horizontal="left" vertical="center" wrapText="1"/>
      <protection locked="0"/>
    </xf>
    <xf numFmtId="0" fontId="80" fillId="0" borderId="75" xfId="0" applyFont="1" applyBorder="1" applyAlignment="1">
      <alignment horizontal="left" vertical="center" wrapText="1"/>
    </xf>
    <xf numFmtId="0" fontId="80" fillId="0" borderId="76" xfId="0" applyFont="1" applyBorder="1" applyAlignment="1">
      <alignment horizontal="left" vertical="center" wrapText="1"/>
    </xf>
    <xf numFmtId="0" fontId="80" fillId="0" borderId="34" xfId="0" applyFont="1" applyBorder="1" applyAlignment="1">
      <alignment horizontal="left" vertical="center" wrapText="1"/>
    </xf>
    <xf numFmtId="0" fontId="2" fillId="0" borderId="4"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2" xfId="0" applyFont="1" applyBorder="1" applyAlignment="1" applyProtection="1">
      <alignment horizontal="center" vertical="center" textRotation="90"/>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7">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ill>
        <patternFill>
          <bgColor rgb="FFFFC00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CC"/>
      <color rgb="FFFFFF66"/>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pivotCacheDefinition" Target="pivotCache/pivotCacheDefinition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115454</xdr:colOff>
      <xdr:row>11</xdr:row>
      <xdr:rowOff>242454</xdr:rowOff>
    </xdr:from>
    <xdr:to>
      <xdr:col>2</xdr:col>
      <xdr:colOff>735445</xdr:colOff>
      <xdr:row>11</xdr:row>
      <xdr:rowOff>1013978</xdr:rowOff>
    </xdr:to>
    <xdr:pic>
      <xdr:nvPicPr>
        <xdr:cNvPr id="2" name="Imagen 135">
          <a:extLst>
            <a:ext uri="{FF2B5EF4-FFF2-40B4-BE49-F238E27FC236}">
              <a16:creationId xmlns:a16="http://schemas.microsoft.com/office/drawing/2014/main" id="{8A041215-B7E0-234C-BC46-44CB965B0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818" y="92363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495300</xdr:colOff>
      <xdr:row>2</xdr:row>
      <xdr:rowOff>9526</xdr:rowOff>
    </xdr:from>
    <xdr:to>
      <xdr:col>2</xdr:col>
      <xdr:colOff>2171700</xdr:colOff>
      <xdr:row>3</xdr:row>
      <xdr:rowOff>590550</xdr:rowOff>
    </xdr:to>
    <xdr:pic>
      <xdr:nvPicPr>
        <xdr:cNvPr id="2" name="Imagen 135">
          <a:extLst>
            <a:ext uri="{FF2B5EF4-FFF2-40B4-BE49-F238E27FC236}">
              <a16:creationId xmlns:a16="http://schemas.microsoft.com/office/drawing/2014/main" id="{0446CEC4-8D36-6247-8AE3-2F67F317B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0" y="39052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25400</xdr:colOff>
      <xdr:row>14</xdr:row>
      <xdr:rowOff>0</xdr:rowOff>
    </xdr:from>
    <xdr:to>
      <xdr:col>16</xdr:col>
      <xdr:colOff>320675</xdr:colOff>
      <xdr:row>15</xdr:row>
      <xdr:rowOff>63953</xdr:rowOff>
    </xdr:to>
    <xdr:sp macro="" textlink="">
      <xdr:nvSpPr>
        <xdr:cNvPr id="2"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14</xdr:row>
      <xdr:rowOff>0</xdr:rowOff>
    </xdr:from>
    <xdr:to>
      <xdr:col>16</xdr:col>
      <xdr:colOff>320675</xdr:colOff>
      <xdr:row>15</xdr:row>
      <xdr:rowOff>63953</xdr:rowOff>
    </xdr:to>
    <xdr:sp macro="" textlink="">
      <xdr:nvSpPr>
        <xdr:cNvPr id="3"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14</xdr:row>
      <xdr:rowOff>0</xdr:rowOff>
    </xdr:from>
    <xdr:to>
      <xdr:col>16</xdr:col>
      <xdr:colOff>320675</xdr:colOff>
      <xdr:row>15</xdr:row>
      <xdr:rowOff>63953</xdr:rowOff>
    </xdr:to>
    <xdr:sp macro="" textlink="">
      <xdr:nvSpPr>
        <xdr:cNvPr id="4"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14</xdr:row>
      <xdr:rowOff>0</xdr:rowOff>
    </xdr:from>
    <xdr:to>
      <xdr:col>16</xdr:col>
      <xdr:colOff>320675</xdr:colOff>
      <xdr:row>15</xdr:row>
      <xdr:rowOff>63953</xdr:rowOff>
    </xdr:to>
    <xdr:sp macro="" textlink="">
      <xdr:nvSpPr>
        <xdr:cNvPr id="5"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8</xdr:row>
      <xdr:rowOff>399515</xdr:rowOff>
    </xdr:to>
    <xdr:sp macro="" textlink="">
      <xdr:nvSpPr>
        <xdr:cNvPr id="6" name="Rectangle 53">
          <a:extLst>
            <a:ext uri="{FF2B5EF4-FFF2-40B4-BE49-F238E27FC236}">
              <a16:creationId xmlns:a16="http://schemas.microsoft.com/office/drawing/2014/main" id="{30F52F8A-3743-471F-A917-088E199F2384}"/>
            </a:ext>
          </a:extLst>
        </xdr:cNvPr>
        <xdr:cNvSpPr>
          <a:spLocks noChangeArrowheads="1"/>
        </xdr:cNvSpPr>
      </xdr:nvSpPr>
      <xdr:spPr bwMode="auto">
        <a:xfrm>
          <a:off x="16042105" y="5760843"/>
          <a:ext cx="0" cy="27622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0</xdr:col>
      <xdr:colOff>162791</xdr:colOff>
      <xdr:row>5</xdr:row>
      <xdr:rowOff>30018</xdr:rowOff>
    </xdr:from>
    <xdr:to>
      <xdr:col>30</xdr:col>
      <xdr:colOff>43093</xdr:colOff>
      <xdr:row>5</xdr:row>
      <xdr:rowOff>95373</xdr:rowOff>
    </xdr:to>
    <xdr:cxnSp macro="">
      <xdr:nvCxnSpPr>
        <xdr:cNvPr id="7" name="Conector recto 6">
          <a:extLst>
            <a:ext uri="{FF2B5EF4-FFF2-40B4-BE49-F238E27FC236}">
              <a16:creationId xmlns:a16="http://schemas.microsoft.com/office/drawing/2014/main" id="{FF79EB7A-1C4D-4552-9713-538E56CE04FB}"/>
            </a:ext>
          </a:extLst>
        </xdr:cNvPr>
        <xdr:cNvCxnSpPr/>
      </xdr:nvCxnSpPr>
      <xdr:spPr>
        <a:xfrm flipV="1">
          <a:off x="162791" y="2608118"/>
          <a:ext cx="35990645" cy="6535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40409</xdr:colOff>
      <xdr:row>0</xdr:row>
      <xdr:rowOff>165101</xdr:rowOff>
    </xdr:from>
    <xdr:to>
      <xdr:col>4</xdr:col>
      <xdr:colOff>1363435</xdr:colOff>
      <xdr:row>5</xdr:row>
      <xdr:rowOff>15261</xdr:rowOff>
    </xdr:to>
    <xdr:pic>
      <xdr:nvPicPr>
        <xdr:cNvPr id="8" name="Imagen 7">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009" y="165101"/>
          <a:ext cx="3744191" cy="1259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25400</xdr:colOff>
      <xdr:row>13</xdr:row>
      <xdr:rowOff>0</xdr:rowOff>
    </xdr:from>
    <xdr:to>
      <xdr:col>16</xdr:col>
      <xdr:colOff>320675</xdr:colOff>
      <xdr:row>13</xdr:row>
      <xdr:rowOff>310244</xdr:rowOff>
    </xdr:to>
    <xdr:sp macro="" textlink="">
      <xdr:nvSpPr>
        <xdr:cNvPr id="9" name="AutoShape 38" descr="Resultado de imagen para boton agregar icono">
          <a:extLst>
            <a:ext uri="{FF2B5EF4-FFF2-40B4-BE49-F238E27FC236}">
              <a16:creationId xmlns:a16="http://schemas.microsoft.com/office/drawing/2014/main" id="{EACD49FF-22A3-4C72-AFB4-FA0E18F8F464}"/>
            </a:ext>
          </a:extLst>
        </xdr:cNvPr>
        <xdr:cNvSpPr>
          <a:spLocks noChangeAspect="1" noChangeArrowheads="1"/>
        </xdr:cNvSpPr>
      </xdr:nvSpPr>
      <xdr:spPr bwMode="auto">
        <a:xfrm>
          <a:off x="18227675" y="10706100"/>
          <a:ext cx="295275" cy="3102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310244</xdr:rowOff>
    </xdr:to>
    <xdr:sp macro="" textlink="">
      <xdr:nvSpPr>
        <xdr:cNvPr id="10" name="AutoShape 39" descr="Resultado de imagen para boton agregar icono">
          <a:extLst>
            <a:ext uri="{FF2B5EF4-FFF2-40B4-BE49-F238E27FC236}">
              <a16:creationId xmlns:a16="http://schemas.microsoft.com/office/drawing/2014/main" id="{13E779D7-41FA-4D2C-AE30-9DA8D9AA0295}"/>
            </a:ext>
          </a:extLst>
        </xdr:cNvPr>
        <xdr:cNvSpPr>
          <a:spLocks noChangeAspect="1" noChangeArrowheads="1"/>
        </xdr:cNvSpPr>
      </xdr:nvSpPr>
      <xdr:spPr bwMode="auto">
        <a:xfrm>
          <a:off x="18227675" y="10706100"/>
          <a:ext cx="295275" cy="3102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310244</xdr:rowOff>
    </xdr:to>
    <xdr:sp macro="" textlink="">
      <xdr:nvSpPr>
        <xdr:cNvPr id="11" name="AutoShape 40" descr="Resultado de imagen para boton agregar icono">
          <a:extLst>
            <a:ext uri="{FF2B5EF4-FFF2-40B4-BE49-F238E27FC236}">
              <a16:creationId xmlns:a16="http://schemas.microsoft.com/office/drawing/2014/main" id="{071EA957-11FE-4669-A045-9EEE057214A2}"/>
            </a:ext>
          </a:extLst>
        </xdr:cNvPr>
        <xdr:cNvSpPr>
          <a:spLocks noChangeAspect="1" noChangeArrowheads="1"/>
        </xdr:cNvSpPr>
      </xdr:nvSpPr>
      <xdr:spPr bwMode="auto">
        <a:xfrm>
          <a:off x="18227675" y="10706100"/>
          <a:ext cx="295275" cy="3102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310244</xdr:rowOff>
    </xdr:to>
    <xdr:sp macro="" textlink="">
      <xdr:nvSpPr>
        <xdr:cNvPr id="12" name="AutoShape 42" descr="Z">
          <a:extLst>
            <a:ext uri="{FF2B5EF4-FFF2-40B4-BE49-F238E27FC236}">
              <a16:creationId xmlns:a16="http://schemas.microsoft.com/office/drawing/2014/main" id="{81DEFA94-73F9-436B-AEA0-9F5C49F8A6C8}"/>
            </a:ext>
          </a:extLst>
        </xdr:cNvPr>
        <xdr:cNvSpPr>
          <a:spLocks noChangeAspect="1" noChangeArrowheads="1"/>
        </xdr:cNvSpPr>
      </xdr:nvSpPr>
      <xdr:spPr bwMode="auto">
        <a:xfrm>
          <a:off x="18227675" y="10706100"/>
          <a:ext cx="295275" cy="3102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8</xdr:row>
      <xdr:rowOff>394073</xdr:rowOff>
    </xdr:to>
    <xdr:sp macro="" textlink="">
      <xdr:nvSpPr>
        <xdr:cNvPr id="13" name="Rectangle 53">
          <a:extLst>
            <a:ext uri="{FF2B5EF4-FFF2-40B4-BE49-F238E27FC236}">
              <a16:creationId xmlns:a16="http://schemas.microsoft.com/office/drawing/2014/main" id="{BDFB02CD-E803-44A9-B3A1-1B232F233D28}"/>
            </a:ext>
          </a:extLst>
        </xdr:cNvPr>
        <xdr:cNvSpPr>
          <a:spLocks noChangeArrowheads="1"/>
        </xdr:cNvSpPr>
      </xdr:nvSpPr>
      <xdr:spPr bwMode="auto">
        <a:xfrm>
          <a:off x="18227675" y="228917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gobiernobogota.sharepoint.com/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OSECAR/Downloads/2.%20Mapa%20de%20riesgos%20DIRyPLA__%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15"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06" dataDxfId="105">
  <autoFilter ref="B209:C219" xr:uid="{00000000-0009-0000-0100-000001000000}"/>
  <tableColumns count="2">
    <tableColumn id="1" xr3:uid="{00000000-0010-0000-0000-000001000000}" name="Criterios" dataDxfId="104"/>
    <tableColumn id="2" xr3:uid="{00000000-0010-0000-0000-000002000000}" name="Subcriterios" dataDxfId="103"/>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55"/>
  <sheetViews>
    <sheetView topLeftCell="A35" zoomScale="110" zoomScaleNormal="110" workbookViewId="0">
      <selection activeCell="C42" sqref="C42:D42"/>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4" spans="2:8" ht="6.95" customHeight="1" thickBot="1" x14ac:dyDescent="0.3"/>
    <row r="5" spans="2:8" hidden="1" x14ac:dyDescent="0.25"/>
    <row r="6" spans="2:8" ht="15.75" hidden="1" thickBot="1" x14ac:dyDescent="0.3"/>
    <row r="7" spans="2:8" ht="15.75" hidden="1" thickBot="1" x14ac:dyDescent="0.3"/>
    <row r="8" spans="2:8" ht="0.95" hidden="1" customHeight="1" thickBot="1" x14ac:dyDescent="0.3"/>
    <row r="9" spans="2:8" ht="15.75" hidden="1" thickBot="1" x14ac:dyDescent="0.3"/>
    <row r="10" spans="2:8" ht="15.75" hidden="1" thickBot="1" x14ac:dyDescent="0.3"/>
    <row r="11" spans="2:8" ht="15.75" hidden="1" thickBot="1" x14ac:dyDescent="0.3"/>
    <row r="12" spans="2:8" ht="95.1" customHeight="1" x14ac:dyDescent="0.25">
      <c r="B12" s="215" t="s">
        <v>0</v>
      </c>
      <c r="C12" s="216"/>
      <c r="D12" s="216"/>
      <c r="E12" s="216"/>
      <c r="F12" s="216"/>
      <c r="G12" s="216"/>
      <c r="H12" s="217"/>
    </row>
    <row r="13" spans="2:8" ht="11.1" customHeight="1" x14ac:dyDescent="0.25">
      <c r="B13" s="84"/>
      <c r="C13" s="85"/>
      <c r="D13" s="85"/>
      <c r="E13" s="85"/>
      <c r="F13" s="85"/>
      <c r="G13" s="85"/>
      <c r="H13" s="86"/>
    </row>
    <row r="14" spans="2:8" ht="29.1" hidden="1" customHeight="1" x14ac:dyDescent="0.25">
      <c r="B14" s="218" t="s">
        <v>1</v>
      </c>
      <c r="C14" s="219"/>
      <c r="D14" s="219"/>
      <c r="E14" s="219"/>
      <c r="F14" s="219"/>
      <c r="G14" s="219"/>
      <c r="H14" s="220"/>
    </row>
    <row r="15" spans="2:8" ht="63" hidden="1" customHeight="1" x14ac:dyDescent="0.25">
      <c r="B15" s="221"/>
      <c r="C15" s="222"/>
      <c r="D15" s="222"/>
      <c r="E15" s="222"/>
      <c r="F15" s="222"/>
      <c r="G15" s="222"/>
      <c r="H15" s="223"/>
    </row>
    <row r="16" spans="2:8" ht="16.5" x14ac:dyDescent="0.25">
      <c r="B16" s="224" t="s">
        <v>2</v>
      </c>
      <c r="C16" s="225"/>
      <c r="D16" s="225"/>
      <c r="E16" s="225"/>
      <c r="F16" s="225"/>
      <c r="G16" s="225"/>
      <c r="H16" s="226"/>
    </row>
    <row r="17" spans="2:8" ht="95.25" customHeight="1" x14ac:dyDescent="0.25">
      <c r="B17" s="234" t="s">
        <v>3</v>
      </c>
      <c r="C17" s="235"/>
      <c r="D17" s="235"/>
      <c r="E17" s="235"/>
      <c r="F17" s="235"/>
      <c r="G17" s="235"/>
      <c r="H17" s="236"/>
    </row>
    <row r="18" spans="2:8" ht="16.5" x14ac:dyDescent="0.25">
      <c r="B18" s="120"/>
      <c r="C18" s="121"/>
      <c r="D18" s="121"/>
      <c r="E18" s="121"/>
      <c r="F18" s="121"/>
      <c r="G18" s="121"/>
      <c r="H18" s="122"/>
    </row>
    <row r="19" spans="2:8" ht="16.5" customHeight="1" x14ac:dyDescent="0.25">
      <c r="B19" s="227" t="s">
        <v>4</v>
      </c>
      <c r="C19" s="228"/>
      <c r="D19" s="228"/>
      <c r="E19" s="228"/>
      <c r="F19" s="228"/>
      <c r="G19" s="228"/>
      <c r="H19" s="229"/>
    </row>
    <row r="20" spans="2:8" ht="44.25" customHeight="1" x14ac:dyDescent="0.25">
      <c r="B20" s="227"/>
      <c r="C20" s="228"/>
      <c r="D20" s="228"/>
      <c r="E20" s="228"/>
      <c r="F20" s="228"/>
      <c r="G20" s="228"/>
      <c r="H20" s="229"/>
    </row>
    <row r="21" spans="2:8" ht="15.75" thickBot="1" x14ac:dyDescent="0.3">
      <c r="B21" s="109"/>
      <c r="C21" s="112"/>
      <c r="D21" s="117"/>
      <c r="E21" s="118"/>
      <c r="F21" s="118"/>
      <c r="G21" s="119"/>
      <c r="H21" s="113"/>
    </row>
    <row r="22" spans="2:8" ht="15.75" thickTop="1" x14ac:dyDescent="0.25">
      <c r="B22" s="109"/>
      <c r="C22" s="230" t="s">
        <v>5</v>
      </c>
      <c r="D22" s="231"/>
      <c r="E22" s="232" t="s">
        <v>6</v>
      </c>
      <c r="F22" s="233"/>
      <c r="G22" s="112"/>
      <c r="H22" s="113"/>
    </row>
    <row r="23" spans="2:8" ht="35.25" customHeight="1" x14ac:dyDescent="0.25">
      <c r="B23" s="109"/>
      <c r="C23" s="237" t="s">
        <v>7</v>
      </c>
      <c r="D23" s="238"/>
      <c r="E23" s="239" t="s">
        <v>8</v>
      </c>
      <c r="F23" s="240"/>
      <c r="G23" s="112"/>
      <c r="H23" s="113"/>
    </row>
    <row r="24" spans="2:8" ht="17.25" customHeight="1" x14ac:dyDescent="0.25">
      <c r="B24" s="109"/>
      <c r="C24" s="237" t="s">
        <v>9</v>
      </c>
      <c r="D24" s="238"/>
      <c r="E24" s="239" t="s">
        <v>10</v>
      </c>
      <c r="F24" s="240"/>
      <c r="G24" s="112"/>
      <c r="H24" s="113"/>
    </row>
    <row r="25" spans="2:8" ht="19.5" customHeight="1" x14ac:dyDescent="0.25">
      <c r="B25" s="109"/>
      <c r="C25" s="237" t="s">
        <v>11</v>
      </c>
      <c r="D25" s="238"/>
      <c r="E25" s="239" t="s">
        <v>12</v>
      </c>
      <c r="F25" s="240"/>
      <c r="G25" s="112"/>
      <c r="H25" s="113"/>
    </row>
    <row r="26" spans="2:8" ht="69.75" customHeight="1" x14ac:dyDescent="0.25">
      <c r="B26" s="109"/>
      <c r="C26" s="237" t="s">
        <v>13</v>
      </c>
      <c r="D26" s="238"/>
      <c r="E26" s="239" t="s">
        <v>14</v>
      </c>
      <c r="F26" s="240"/>
      <c r="G26" s="112"/>
      <c r="H26" s="113"/>
    </row>
    <row r="27" spans="2:8" ht="34.5" customHeight="1" x14ac:dyDescent="0.25">
      <c r="B27" s="109"/>
      <c r="C27" s="241" t="s">
        <v>15</v>
      </c>
      <c r="D27" s="242"/>
      <c r="E27" s="243" t="s">
        <v>16</v>
      </c>
      <c r="F27" s="244"/>
      <c r="G27" s="112"/>
      <c r="H27" s="113"/>
    </row>
    <row r="28" spans="2:8" ht="27.75" customHeight="1" x14ac:dyDescent="0.25">
      <c r="B28" s="109"/>
      <c r="C28" s="241" t="s">
        <v>17</v>
      </c>
      <c r="D28" s="242"/>
      <c r="E28" s="243" t="s">
        <v>18</v>
      </c>
      <c r="F28" s="244"/>
      <c r="G28" s="112"/>
      <c r="H28" s="113"/>
    </row>
    <row r="29" spans="2:8" ht="28.5" customHeight="1" x14ac:dyDescent="0.25">
      <c r="B29" s="109"/>
      <c r="C29" s="241" t="s">
        <v>19</v>
      </c>
      <c r="D29" s="242"/>
      <c r="E29" s="243" t="s">
        <v>20</v>
      </c>
      <c r="F29" s="244"/>
      <c r="G29" s="112"/>
      <c r="H29" s="113"/>
    </row>
    <row r="30" spans="2:8" ht="72.75" customHeight="1" x14ac:dyDescent="0.25">
      <c r="B30" s="109"/>
      <c r="C30" s="241" t="s">
        <v>21</v>
      </c>
      <c r="D30" s="242"/>
      <c r="E30" s="243" t="s">
        <v>22</v>
      </c>
      <c r="F30" s="244"/>
      <c r="G30" s="112"/>
      <c r="H30" s="113"/>
    </row>
    <row r="31" spans="2:8" ht="64.5" customHeight="1" x14ac:dyDescent="0.25">
      <c r="B31" s="109"/>
      <c r="C31" s="241" t="s">
        <v>23</v>
      </c>
      <c r="D31" s="242"/>
      <c r="E31" s="243" t="s">
        <v>24</v>
      </c>
      <c r="F31" s="244"/>
      <c r="G31" s="112"/>
      <c r="H31" s="113"/>
    </row>
    <row r="32" spans="2:8" ht="71.25" customHeight="1" x14ac:dyDescent="0.25">
      <c r="B32" s="109"/>
      <c r="C32" s="241" t="s">
        <v>25</v>
      </c>
      <c r="D32" s="242"/>
      <c r="E32" s="243" t="s">
        <v>26</v>
      </c>
      <c r="F32" s="244"/>
      <c r="G32" s="112"/>
      <c r="H32" s="113"/>
    </row>
    <row r="33" spans="2:8" ht="55.5" customHeight="1" x14ac:dyDescent="0.25">
      <c r="B33" s="109"/>
      <c r="C33" s="248" t="s">
        <v>27</v>
      </c>
      <c r="D33" s="249"/>
      <c r="E33" s="243" t="s">
        <v>28</v>
      </c>
      <c r="F33" s="244"/>
      <c r="G33" s="112"/>
      <c r="H33" s="113"/>
    </row>
    <row r="34" spans="2:8" ht="42" customHeight="1" x14ac:dyDescent="0.25">
      <c r="B34" s="109"/>
      <c r="C34" s="248" t="s">
        <v>29</v>
      </c>
      <c r="D34" s="249"/>
      <c r="E34" s="243" t="s">
        <v>30</v>
      </c>
      <c r="F34" s="244"/>
      <c r="G34" s="112"/>
      <c r="H34" s="113"/>
    </row>
    <row r="35" spans="2:8" ht="59.25" customHeight="1" x14ac:dyDescent="0.25">
      <c r="B35" s="109"/>
      <c r="C35" s="248" t="s">
        <v>31</v>
      </c>
      <c r="D35" s="249"/>
      <c r="E35" s="243" t="s">
        <v>32</v>
      </c>
      <c r="F35" s="244"/>
      <c r="G35" s="112"/>
      <c r="H35" s="113"/>
    </row>
    <row r="36" spans="2:8" ht="23.25" customHeight="1" x14ac:dyDescent="0.25">
      <c r="B36" s="109"/>
      <c r="C36" s="248" t="s">
        <v>33</v>
      </c>
      <c r="D36" s="249"/>
      <c r="E36" s="243" t="s">
        <v>34</v>
      </c>
      <c r="F36" s="244"/>
      <c r="G36" s="112"/>
      <c r="H36" s="113"/>
    </row>
    <row r="37" spans="2:8" ht="30.75" customHeight="1" x14ac:dyDescent="0.25">
      <c r="B37" s="109"/>
      <c r="C37" s="248" t="s">
        <v>35</v>
      </c>
      <c r="D37" s="249"/>
      <c r="E37" s="243" t="s">
        <v>36</v>
      </c>
      <c r="F37" s="244"/>
      <c r="G37" s="112"/>
      <c r="H37" s="113"/>
    </row>
    <row r="38" spans="2:8" ht="35.25" customHeight="1" x14ac:dyDescent="0.25">
      <c r="B38" s="109"/>
      <c r="C38" s="248" t="s">
        <v>37</v>
      </c>
      <c r="D38" s="249"/>
      <c r="E38" s="243" t="s">
        <v>38</v>
      </c>
      <c r="F38" s="244"/>
      <c r="G38" s="112"/>
      <c r="H38" s="113"/>
    </row>
    <row r="39" spans="2:8" ht="33" customHeight="1" x14ac:dyDescent="0.25">
      <c r="B39" s="109"/>
      <c r="C39" s="248" t="s">
        <v>37</v>
      </c>
      <c r="D39" s="249"/>
      <c r="E39" s="243" t="s">
        <v>38</v>
      </c>
      <c r="F39" s="244"/>
      <c r="G39" s="112"/>
      <c r="H39" s="113"/>
    </row>
    <row r="40" spans="2:8" ht="30" customHeight="1" x14ac:dyDescent="0.25">
      <c r="B40" s="109"/>
      <c r="C40" s="248" t="s">
        <v>39</v>
      </c>
      <c r="D40" s="249"/>
      <c r="E40" s="243" t="s">
        <v>40</v>
      </c>
      <c r="F40" s="244"/>
      <c r="G40" s="112"/>
      <c r="H40" s="113"/>
    </row>
    <row r="41" spans="2:8" ht="35.25" customHeight="1" x14ac:dyDescent="0.25">
      <c r="B41" s="109"/>
      <c r="C41" s="248" t="s">
        <v>41</v>
      </c>
      <c r="D41" s="249"/>
      <c r="E41" s="243" t="s">
        <v>42</v>
      </c>
      <c r="F41" s="244"/>
      <c r="G41" s="112"/>
      <c r="H41" s="113"/>
    </row>
    <row r="42" spans="2:8" ht="31.5" customHeight="1" x14ac:dyDescent="0.25">
      <c r="B42" s="109"/>
      <c r="C42" s="248" t="s">
        <v>43</v>
      </c>
      <c r="D42" s="249"/>
      <c r="E42" s="243" t="s">
        <v>44</v>
      </c>
      <c r="F42" s="244"/>
      <c r="G42" s="112"/>
      <c r="H42" s="113"/>
    </row>
    <row r="43" spans="2:8" ht="35.25" customHeight="1" x14ac:dyDescent="0.25">
      <c r="B43" s="109"/>
      <c r="C43" s="248" t="s">
        <v>45</v>
      </c>
      <c r="D43" s="249"/>
      <c r="E43" s="243" t="s">
        <v>46</v>
      </c>
      <c r="F43" s="244"/>
      <c r="G43" s="112"/>
      <c r="H43" s="113"/>
    </row>
    <row r="44" spans="2:8" ht="59.25" customHeight="1" x14ac:dyDescent="0.25">
      <c r="B44" s="109"/>
      <c r="C44" s="248" t="s">
        <v>47</v>
      </c>
      <c r="D44" s="249"/>
      <c r="E44" s="243" t="s">
        <v>48</v>
      </c>
      <c r="F44" s="244"/>
      <c r="G44" s="112"/>
      <c r="H44" s="113"/>
    </row>
    <row r="45" spans="2:8" ht="29.25" customHeight="1" x14ac:dyDescent="0.25">
      <c r="B45" s="109"/>
      <c r="C45" s="248" t="s">
        <v>49</v>
      </c>
      <c r="D45" s="249"/>
      <c r="E45" s="243" t="s">
        <v>50</v>
      </c>
      <c r="F45" s="244"/>
      <c r="G45" s="112"/>
      <c r="H45" s="113"/>
    </row>
    <row r="46" spans="2:8" ht="82.5" customHeight="1" x14ac:dyDescent="0.25">
      <c r="B46" s="109"/>
      <c r="C46" s="248" t="s">
        <v>51</v>
      </c>
      <c r="D46" s="249"/>
      <c r="E46" s="243" t="s">
        <v>52</v>
      </c>
      <c r="F46" s="244"/>
      <c r="G46" s="112"/>
      <c r="H46" s="113"/>
    </row>
    <row r="47" spans="2:8" ht="46.5" customHeight="1" x14ac:dyDescent="0.25">
      <c r="B47" s="109"/>
      <c r="C47" s="248" t="s">
        <v>53</v>
      </c>
      <c r="D47" s="249"/>
      <c r="E47" s="243" t="s">
        <v>54</v>
      </c>
      <c r="F47" s="244"/>
      <c r="G47" s="112"/>
      <c r="H47" s="113"/>
    </row>
    <row r="48" spans="2:8" ht="6.75" customHeight="1" thickBot="1" x14ac:dyDescent="0.3">
      <c r="B48" s="109"/>
      <c r="C48" s="250"/>
      <c r="D48" s="251"/>
      <c r="E48" s="252"/>
      <c r="F48" s="253"/>
      <c r="G48" s="112"/>
      <c r="H48" s="113"/>
    </row>
    <row r="49" spans="2:8" ht="15.75" thickTop="1" x14ac:dyDescent="0.25">
      <c r="B49" s="109"/>
      <c r="C49" s="110"/>
      <c r="D49" s="110"/>
      <c r="E49" s="111"/>
      <c r="F49" s="111"/>
      <c r="G49" s="112"/>
      <c r="H49" s="113"/>
    </row>
    <row r="50" spans="2:8" ht="21" customHeight="1" x14ac:dyDescent="0.25">
      <c r="B50" s="245" t="s">
        <v>55</v>
      </c>
      <c r="C50" s="246"/>
      <c r="D50" s="246"/>
      <c r="E50" s="246"/>
      <c r="F50" s="246"/>
      <c r="G50" s="246"/>
      <c r="H50" s="247"/>
    </row>
    <row r="51" spans="2:8" ht="20.25" customHeight="1" x14ac:dyDescent="0.25">
      <c r="B51" s="245" t="s">
        <v>56</v>
      </c>
      <c r="C51" s="246"/>
      <c r="D51" s="246"/>
      <c r="E51" s="246"/>
      <c r="F51" s="246"/>
      <c r="G51" s="246"/>
      <c r="H51" s="247"/>
    </row>
    <row r="52" spans="2:8" ht="20.25" customHeight="1" x14ac:dyDescent="0.25">
      <c r="B52" s="245" t="s">
        <v>57</v>
      </c>
      <c r="C52" s="246"/>
      <c r="D52" s="246"/>
      <c r="E52" s="246"/>
      <c r="F52" s="246"/>
      <c r="G52" s="246"/>
      <c r="H52" s="247"/>
    </row>
    <row r="53" spans="2:8" ht="20.25" customHeight="1" x14ac:dyDescent="0.25">
      <c r="B53" s="245" t="s">
        <v>58</v>
      </c>
      <c r="C53" s="246"/>
      <c r="D53" s="246"/>
      <c r="E53" s="246"/>
      <c r="F53" s="246"/>
      <c r="G53" s="246"/>
      <c r="H53" s="247"/>
    </row>
    <row r="54" spans="2:8" x14ac:dyDescent="0.25">
      <c r="B54" s="245" t="s">
        <v>59</v>
      </c>
      <c r="C54" s="246"/>
      <c r="D54" s="246"/>
      <c r="E54" s="246"/>
      <c r="F54" s="246"/>
      <c r="G54" s="246"/>
      <c r="H54" s="247"/>
    </row>
    <row r="55" spans="2:8" ht="15.75" thickBot="1" x14ac:dyDescent="0.3">
      <c r="B55" s="114"/>
      <c r="C55" s="115"/>
      <c r="D55" s="115"/>
      <c r="E55" s="115"/>
      <c r="F55" s="115"/>
      <c r="G55" s="115"/>
      <c r="H55" s="116"/>
    </row>
  </sheetData>
  <mergeCells count="64">
    <mergeCell ref="E38:F38"/>
    <mergeCell ref="C38:D38"/>
    <mergeCell ref="C26:D26"/>
    <mergeCell ref="E26:F26"/>
    <mergeCell ref="C24:D24"/>
    <mergeCell ref="E24:F24"/>
    <mergeCell ref="C25:D25"/>
    <mergeCell ref="E25:F25"/>
    <mergeCell ref="E32:F32"/>
    <mergeCell ref="C32:D32"/>
    <mergeCell ref="C35:D35"/>
    <mergeCell ref="E35:F35"/>
    <mergeCell ref="B51:H51"/>
    <mergeCell ref="C48:D48"/>
    <mergeCell ref="E48:F48"/>
    <mergeCell ref="C47:D47"/>
    <mergeCell ref="E47:F47"/>
    <mergeCell ref="C43:D43"/>
    <mergeCell ref="B50:H50"/>
    <mergeCell ref="C39:D39"/>
    <mergeCell ref="E39:F39"/>
    <mergeCell ref="C40:D40"/>
    <mergeCell ref="E40:F40"/>
    <mergeCell ref="E43:F43"/>
    <mergeCell ref="C44:D44"/>
    <mergeCell ref="C45:D45"/>
    <mergeCell ref="E45:F45"/>
    <mergeCell ref="C46:D46"/>
    <mergeCell ref="E46:F46"/>
    <mergeCell ref="B52:H52"/>
    <mergeCell ref="B53:H53"/>
    <mergeCell ref="B54:H54"/>
    <mergeCell ref="E33:F33"/>
    <mergeCell ref="C33:D33"/>
    <mergeCell ref="C34:D34"/>
    <mergeCell ref="E34:F34"/>
    <mergeCell ref="C36:D36"/>
    <mergeCell ref="E36:F36"/>
    <mergeCell ref="E44:F44"/>
    <mergeCell ref="C42:D42"/>
    <mergeCell ref="C41:D41"/>
    <mergeCell ref="E41:F41"/>
    <mergeCell ref="E42:F42"/>
    <mergeCell ref="C37:D37"/>
    <mergeCell ref="E37:F37"/>
    <mergeCell ref="C23:D23"/>
    <mergeCell ref="E23:F23"/>
    <mergeCell ref="C27:D27"/>
    <mergeCell ref="E27:F27"/>
    <mergeCell ref="C31:D31"/>
    <mergeCell ref="C28:D28"/>
    <mergeCell ref="C29:D29"/>
    <mergeCell ref="C30:D30"/>
    <mergeCell ref="E28:F28"/>
    <mergeCell ref="E29:F29"/>
    <mergeCell ref="E30:F30"/>
    <mergeCell ref="E31:F31"/>
    <mergeCell ref="B12:H12"/>
    <mergeCell ref="B14:H15"/>
    <mergeCell ref="B16:H16"/>
    <mergeCell ref="B19:H20"/>
    <mergeCell ref="C22:D22"/>
    <mergeCell ref="E22:F22"/>
    <mergeCell ref="B17:H1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B1:F16"/>
  <sheetViews>
    <sheetView topLeftCell="A11" workbookViewId="0">
      <selection activeCell="E22" sqref="E22"/>
    </sheetView>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515" t="s">
        <v>298</v>
      </c>
      <c r="C1" s="516"/>
      <c r="D1" s="516"/>
      <c r="E1" s="516"/>
      <c r="F1" s="517"/>
    </row>
    <row r="2" spans="2:6" ht="16.5" thickBot="1" x14ac:dyDescent="0.3">
      <c r="B2" s="89"/>
      <c r="C2" s="89"/>
      <c r="D2" s="89"/>
      <c r="E2" s="89"/>
      <c r="F2" s="89"/>
    </row>
    <row r="3" spans="2:6" ht="16.5" thickBot="1" x14ac:dyDescent="0.25">
      <c r="B3" s="519" t="s">
        <v>299</v>
      </c>
      <c r="C3" s="520"/>
      <c r="D3" s="520"/>
      <c r="E3" s="101" t="s">
        <v>300</v>
      </c>
      <c r="F3" s="102" t="s">
        <v>301</v>
      </c>
    </row>
    <row r="4" spans="2:6" ht="31.5" x14ac:dyDescent="0.2">
      <c r="B4" s="521" t="s">
        <v>302</v>
      </c>
      <c r="C4" s="523" t="s">
        <v>121</v>
      </c>
      <c r="D4" s="90" t="s">
        <v>134</v>
      </c>
      <c r="E4" s="91" t="s">
        <v>303</v>
      </c>
      <c r="F4" s="92">
        <v>0.25</v>
      </c>
    </row>
    <row r="5" spans="2:6" ht="47.25" x14ac:dyDescent="0.2">
      <c r="B5" s="522"/>
      <c r="C5" s="524"/>
      <c r="D5" s="93" t="s">
        <v>161</v>
      </c>
      <c r="E5" s="94" t="s">
        <v>304</v>
      </c>
      <c r="F5" s="95">
        <v>0.15</v>
      </c>
    </row>
    <row r="6" spans="2:6" ht="47.25" x14ac:dyDescent="0.2">
      <c r="B6" s="522"/>
      <c r="C6" s="524"/>
      <c r="D6" s="93" t="s">
        <v>145</v>
      </c>
      <c r="E6" s="94" t="s">
        <v>305</v>
      </c>
      <c r="F6" s="95">
        <v>0.1</v>
      </c>
    </row>
    <row r="7" spans="2:6" ht="63" x14ac:dyDescent="0.2">
      <c r="B7" s="522"/>
      <c r="C7" s="524" t="s">
        <v>122</v>
      </c>
      <c r="D7" s="93" t="s">
        <v>146</v>
      </c>
      <c r="E7" s="94" t="s">
        <v>306</v>
      </c>
      <c r="F7" s="95">
        <v>0.25</v>
      </c>
    </row>
    <row r="8" spans="2:6" ht="31.5" x14ac:dyDescent="0.2">
      <c r="B8" s="522"/>
      <c r="C8" s="524"/>
      <c r="D8" s="93" t="s">
        <v>135</v>
      </c>
      <c r="E8" s="94" t="s">
        <v>307</v>
      </c>
      <c r="F8" s="95">
        <v>0.15</v>
      </c>
    </row>
    <row r="9" spans="2:6" ht="47.25" x14ac:dyDescent="0.2">
      <c r="B9" s="522" t="s">
        <v>308</v>
      </c>
      <c r="C9" s="524" t="s">
        <v>124</v>
      </c>
      <c r="D9" s="93" t="s">
        <v>136</v>
      </c>
      <c r="E9" s="94" t="s">
        <v>309</v>
      </c>
      <c r="F9" s="96" t="s">
        <v>310</v>
      </c>
    </row>
    <row r="10" spans="2:6" ht="63" x14ac:dyDescent="0.2">
      <c r="B10" s="522"/>
      <c r="C10" s="524"/>
      <c r="D10" s="93" t="s">
        <v>152</v>
      </c>
      <c r="E10" s="94" t="s">
        <v>311</v>
      </c>
      <c r="F10" s="96" t="s">
        <v>310</v>
      </c>
    </row>
    <row r="11" spans="2:6" ht="47.25" x14ac:dyDescent="0.2">
      <c r="B11" s="522"/>
      <c r="C11" s="524" t="s">
        <v>125</v>
      </c>
      <c r="D11" s="93" t="s">
        <v>137</v>
      </c>
      <c r="E11" s="94" t="s">
        <v>312</v>
      </c>
      <c r="F11" s="96" t="s">
        <v>310</v>
      </c>
    </row>
    <row r="12" spans="2:6" ht="47.25" x14ac:dyDescent="0.2">
      <c r="B12" s="522"/>
      <c r="C12" s="524"/>
      <c r="D12" s="93" t="s">
        <v>313</v>
      </c>
      <c r="E12" s="94" t="s">
        <v>314</v>
      </c>
      <c r="F12" s="96" t="s">
        <v>310</v>
      </c>
    </row>
    <row r="13" spans="2:6" ht="31.5" x14ac:dyDescent="0.2">
      <c r="B13" s="522"/>
      <c r="C13" s="524" t="s">
        <v>126</v>
      </c>
      <c r="D13" s="93" t="s">
        <v>138</v>
      </c>
      <c r="E13" s="94" t="s">
        <v>315</v>
      </c>
      <c r="F13" s="96" t="s">
        <v>310</v>
      </c>
    </row>
    <row r="14" spans="2:6" ht="32.25" thickBot="1" x14ac:dyDescent="0.25">
      <c r="B14" s="525"/>
      <c r="C14" s="526"/>
      <c r="D14" s="97" t="s">
        <v>316</v>
      </c>
      <c r="E14" s="98" t="s">
        <v>317</v>
      </c>
      <c r="F14" s="99" t="s">
        <v>310</v>
      </c>
    </row>
    <row r="15" spans="2:6" ht="49.5" customHeight="1" x14ac:dyDescent="0.2">
      <c r="B15" s="518" t="s">
        <v>318</v>
      </c>
      <c r="C15" s="518"/>
      <c r="D15" s="518"/>
      <c r="E15" s="518"/>
      <c r="F15" s="518"/>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139</v>
      </c>
      <c r="E2" t="s">
        <v>172</v>
      </c>
    </row>
    <row r="3" spans="2:5" x14ac:dyDescent="0.25">
      <c r="B3" t="s">
        <v>319</v>
      </c>
      <c r="E3" t="s">
        <v>127</v>
      </c>
    </row>
    <row r="4" spans="2:5" x14ac:dyDescent="0.25">
      <c r="B4" t="s">
        <v>320</v>
      </c>
      <c r="E4" t="s">
        <v>174</v>
      </c>
    </row>
    <row r="5" spans="2:5" x14ac:dyDescent="0.25">
      <c r="B5" t="s">
        <v>321</v>
      </c>
    </row>
    <row r="8" spans="2:5" x14ac:dyDescent="0.25">
      <c r="B8" t="s">
        <v>322</v>
      </c>
    </row>
    <row r="9" spans="2:5" x14ac:dyDescent="0.25">
      <c r="B9" t="s">
        <v>323</v>
      </c>
    </row>
    <row r="10" spans="2:5" x14ac:dyDescent="0.25">
      <c r="B10" t="s">
        <v>324</v>
      </c>
    </row>
    <row r="13" spans="2:5" x14ac:dyDescent="0.25">
      <c r="B13" t="s">
        <v>325</v>
      </c>
    </row>
    <row r="14" spans="2:5" x14ac:dyDescent="0.25">
      <c r="B14" t="s">
        <v>326</v>
      </c>
    </row>
    <row r="15" spans="2:5" x14ac:dyDescent="0.25">
      <c r="B15" t="s">
        <v>327</v>
      </c>
    </row>
    <row r="16" spans="2:5" x14ac:dyDescent="0.25">
      <c r="B16" t="s">
        <v>176</v>
      </c>
    </row>
    <row r="17" spans="2:2" x14ac:dyDescent="0.25">
      <c r="B17" t="s">
        <v>177</v>
      </c>
    </row>
    <row r="18" spans="2:2" x14ac:dyDescent="0.25">
      <c r="B18" t="s">
        <v>178</v>
      </c>
    </row>
    <row r="19" spans="2:2" x14ac:dyDescent="0.25">
      <c r="B19" t="s">
        <v>328</v>
      </c>
    </row>
  </sheetData>
  <sortState xmlns:xlrd2="http://schemas.microsoft.com/office/spreadsheetml/2017/richdata2" ref="B2:B5">
    <sortCondition ref="B2:B5"/>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134</v>
      </c>
    </row>
    <row r="4" spans="1:1" x14ac:dyDescent="0.2">
      <c r="A4" s="10" t="s">
        <v>161</v>
      </c>
    </row>
    <row r="5" spans="1:1" x14ac:dyDescent="0.2">
      <c r="A5" s="10" t="s">
        <v>145</v>
      </c>
    </row>
    <row r="6" spans="1:1" x14ac:dyDescent="0.2">
      <c r="A6" s="10" t="s">
        <v>146</v>
      </c>
    </row>
    <row r="7" spans="1:1" x14ac:dyDescent="0.2">
      <c r="A7" s="10" t="s">
        <v>135</v>
      </c>
    </row>
    <row r="8" spans="1:1" x14ac:dyDescent="0.2">
      <c r="A8" s="10" t="s">
        <v>136</v>
      </c>
    </row>
    <row r="9" spans="1:1" x14ac:dyDescent="0.2">
      <c r="A9" s="10" t="s">
        <v>152</v>
      </c>
    </row>
    <row r="10" spans="1:1" x14ac:dyDescent="0.2">
      <c r="A10" s="10" t="s">
        <v>137</v>
      </c>
    </row>
    <row r="11" spans="1:1" x14ac:dyDescent="0.2">
      <c r="A11" s="10" t="s">
        <v>313</v>
      </c>
    </row>
    <row r="12" spans="1:1" x14ac:dyDescent="0.2">
      <c r="A12" s="10" t="s">
        <v>329</v>
      </c>
    </row>
    <row r="13" spans="1:1" x14ac:dyDescent="0.2">
      <c r="A13" s="10" t="s">
        <v>330</v>
      </c>
    </row>
    <row r="14" spans="1:1" x14ac:dyDescent="0.2">
      <c r="A14" s="10" t="s">
        <v>331</v>
      </c>
    </row>
    <row r="16" spans="1:1" x14ac:dyDescent="0.2">
      <c r="A16" s="10" t="s">
        <v>332</v>
      </c>
    </row>
    <row r="17" spans="1:1" x14ac:dyDescent="0.2">
      <c r="A17" s="10" t="s">
        <v>139</v>
      </c>
    </row>
    <row r="18" spans="1:1" x14ac:dyDescent="0.2">
      <c r="A18" s="10" t="s">
        <v>319</v>
      </c>
    </row>
    <row r="20" spans="1:1" x14ac:dyDescent="0.2">
      <c r="A20" s="10" t="s">
        <v>323</v>
      </c>
    </row>
    <row r="21" spans="1:1" x14ac:dyDescent="0.2">
      <c r="A21" s="10" t="s">
        <v>324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D21"/>
  <sheetViews>
    <sheetView showGridLines="0" topLeftCell="A18" zoomScale="85" zoomScaleNormal="85" workbookViewId="0">
      <selection activeCell="D10" sqref="D10"/>
    </sheetView>
  </sheetViews>
  <sheetFormatPr baseColWidth="10" defaultColWidth="11.42578125" defaultRowHeight="15" x14ac:dyDescent="0.25"/>
  <cols>
    <col min="3" max="3" width="54.5703125" customWidth="1"/>
    <col min="4" max="4" width="69.85546875" customWidth="1"/>
  </cols>
  <sheetData>
    <row r="4" spans="2:4" ht="52.5" customHeight="1" x14ac:dyDescent="0.25">
      <c r="B4" s="254" t="s">
        <v>60</v>
      </c>
      <c r="C4" s="254"/>
      <c r="D4" s="254"/>
    </row>
    <row r="5" spans="2:4" ht="6.75" customHeight="1" x14ac:dyDescent="0.25">
      <c r="D5" s="137"/>
    </row>
    <row r="6" spans="2:4" ht="15" customHeight="1" x14ac:dyDescent="0.25">
      <c r="B6" s="255" t="s">
        <v>61</v>
      </c>
      <c r="C6" s="138" t="s">
        <v>62</v>
      </c>
      <c r="D6" s="138" t="s">
        <v>63</v>
      </c>
    </row>
    <row r="7" spans="2:4" ht="48" customHeight="1" x14ac:dyDescent="0.25">
      <c r="B7" s="256"/>
      <c r="C7" s="210" t="s">
        <v>64</v>
      </c>
      <c r="D7" s="210" t="s">
        <v>65</v>
      </c>
    </row>
    <row r="8" spans="2:4" ht="40.5" customHeight="1" x14ac:dyDescent="0.25">
      <c r="B8" s="256"/>
      <c r="C8" s="210" t="s">
        <v>66</v>
      </c>
      <c r="D8" s="211" t="s">
        <v>67</v>
      </c>
    </row>
    <row r="9" spans="2:4" ht="40.5" customHeight="1" x14ac:dyDescent="0.25">
      <c r="B9" s="256"/>
      <c r="C9" s="210" t="s">
        <v>346</v>
      </c>
      <c r="D9" s="211" t="s">
        <v>68</v>
      </c>
    </row>
    <row r="10" spans="2:4" ht="40.5" customHeight="1" x14ac:dyDescent="0.25">
      <c r="B10" s="256"/>
      <c r="C10" s="210" t="s">
        <v>336</v>
      </c>
      <c r="D10" s="210" t="s">
        <v>69</v>
      </c>
    </row>
    <row r="11" spans="2:4" ht="39" customHeight="1" x14ac:dyDescent="0.25">
      <c r="B11" s="256"/>
      <c r="C11" s="210" t="s">
        <v>337</v>
      </c>
      <c r="D11" s="210" t="s">
        <v>70</v>
      </c>
    </row>
    <row r="12" spans="2:4" ht="45" customHeight="1" x14ac:dyDescent="0.25">
      <c r="B12" s="256"/>
      <c r="C12" s="210" t="s">
        <v>338</v>
      </c>
      <c r="D12" s="212" t="s">
        <v>344</v>
      </c>
    </row>
    <row r="13" spans="2:4" ht="51.75" customHeight="1" x14ac:dyDescent="0.25">
      <c r="B13" s="256"/>
      <c r="C13" s="210" t="s">
        <v>339</v>
      </c>
      <c r="D13" s="210" t="s">
        <v>333</v>
      </c>
    </row>
    <row r="14" spans="2:4" ht="116.25" customHeight="1" x14ac:dyDescent="0.25">
      <c r="B14" s="256"/>
      <c r="C14" s="210" t="s">
        <v>340</v>
      </c>
      <c r="D14" s="210" t="s">
        <v>347</v>
      </c>
    </row>
    <row r="15" spans="2:4" ht="48.75" customHeight="1" x14ac:dyDescent="0.25">
      <c r="B15" s="256"/>
      <c r="C15" s="210" t="s">
        <v>341</v>
      </c>
      <c r="D15" s="532" t="s">
        <v>349</v>
      </c>
    </row>
    <row r="16" spans="2:4" ht="39.75" customHeight="1" x14ac:dyDescent="0.25">
      <c r="B16" s="256"/>
      <c r="C16" s="210" t="s">
        <v>342</v>
      </c>
      <c r="D16" s="533"/>
    </row>
    <row r="17" spans="2:4" ht="105.75" customHeight="1" x14ac:dyDescent="0.25">
      <c r="B17" s="256"/>
      <c r="C17" s="210" t="s">
        <v>343</v>
      </c>
      <c r="D17" s="534"/>
    </row>
    <row r="18" spans="2:4" ht="15.75" x14ac:dyDescent="0.25">
      <c r="B18" s="255" t="s">
        <v>71</v>
      </c>
      <c r="C18" s="138" t="s">
        <v>72</v>
      </c>
      <c r="D18" s="138" t="s">
        <v>73</v>
      </c>
    </row>
    <row r="19" spans="2:4" ht="38.25" customHeight="1" x14ac:dyDescent="0.25">
      <c r="B19" s="256"/>
      <c r="C19" s="210" t="s">
        <v>74</v>
      </c>
      <c r="D19" s="212" t="s">
        <v>75</v>
      </c>
    </row>
    <row r="20" spans="2:4" ht="60.6" customHeight="1" x14ac:dyDescent="0.25">
      <c r="B20" s="256"/>
      <c r="C20" s="210" t="s">
        <v>76</v>
      </c>
      <c r="D20" s="210" t="s">
        <v>335</v>
      </c>
    </row>
    <row r="21" spans="2:4" ht="45" customHeight="1" x14ac:dyDescent="0.25">
      <c r="B21" s="257"/>
      <c r="C21" s="210" t="s">
        <v>334</v>
      </c>
      <c r="D21" s="210" t="s">
        <v>348</v>
      </c>
    </row>
  </sheetData>
  <mergeCells count="4">
    <mergeCell ref="B4:D4"/>
    <mergeCell ref="B6:B17"/>
    <mergeCell ref="B18:B21"/>
    <mergeCell ref="D15:D1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P58"/>
  <sheetViews>
    <sheetView tabSelected="1" topLeftCell="A13" zoomScale="85" zoomScaleNormal="85" workbookViewId="0">
      <selection activeCell="C19" sqref="C19:N19"/>
    </sheetView>
  </sheetViews>
  <sheetFormatPr baseColWidth="10" defaultColWidth="11.42578125" defaultRowHeight="16.5" x14ac:dyDescent="0.3"/>
  <cols>
    <col min="1" max="1" width="4" style="2" bestFit="1" customWidth="1"/>
    <col min="2" max="2" width="14.140625" style="2" customWidth="1"/>
    <col min="3" max="3" width="27.85546875" style="2" customWidth="1"/>
    <col min="4" max="4" width="29.140625" style="2" customWidth="1"/>
    <col min="5" max="5" width="42.7109375" style="1" customWidth="1"/>
    <col min="6" max="6" width="19" style="5" customWidth="1"/>
    <col min="7" max="7" width="17.85546875" style="1" customWidth="1"/>
    <col min="8" max="8" width="16.42578125" style="1" customWidth="1"/>
    <col min="9" max="9" width="6.28515625" style="1" bestFit="1" customWidth="1"/>
    <col min="10" max="10" width="27.28515625" style="1" customWidth="1"/>
    <col min="11" max="11" width="30.42578125" style="1" customWidth="1"/>
    <col min="12" max="12" width="17.42578125" style="1" customWidth="1"/>
    <col min="13" max="13" width="6.28515625" style="1" bestFit="1" customWidth="1"/>
    <col min="14" max="14" width="12.7109375" style="1" customWidth="1"/>
    <col min="15" max="15" width="21.7109375" style="1" customWidth="1"/>
    <col min="16" max="16" width="66.140625" style="1" customWidth="1"/>
    <col min="17" max="17" width="15.140625" style="1" bestFit="1" customWidth="1"/>
    <col min="18" max="18" width="6.85546875" style="1" customWidth="1"/>
    <col min="19" max="19" width="12"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27.7109375" style="1" customWidth="1"/>
    <col min="34" max="34" width="14.85546875" style="1" customWidth="1"/>
    <col min="35" max="35" width="18.42578125" style="1" customWidth="1"/>
    <col min="36" max="36" width="21" style="1" customWidth="1"/>
    <col min="37" max="16384" width="11.42578125" style="1"/>
  </cols>
  <sheetData>
    <row r="1" spans="1:68" ht="36.950000000000003" customHeight="1" x14ac:dyDescent="0.3">
      <c r="A1" s="282" t="s">
        <v>77</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141" t="s">
        <v>78</v>
      </c>
      <c r="AG1" s="146" t="s">
        <v>79</v>
      </c>
      <c r="AH1" s="169"/>
      <c r="AI1" s="169"/>
      <c r="AJ1" s="169"/>
      <c r="AK1" s="169"/>
      <c r="AL1" s="139"/>
      <c r="AM1" s="139"/>
      <c r="AN1" s="139"/>
      <c r="AO1" s="139"/>
      <c r="AP1" s="140"/>
      <c r="AQ1" s="140"/>
      <c r="AR1" s="140"/>
      <c r="AS1" s="140"/>
      <c r="AT1" s="140"/>
      <c r="AU1" s="140"/>
      <c r="AV1" s="140"/>
      <c r="AW1" s="140"/>
      <c r="AX1" s="140"/>
      <c r="AY1" s="140"/>
      <c r="AZ1" s="140"/>
    </row>
    <row r="2" spans="1:68" x14ac:dyDescent="0.3">
      <c r="A2" s="282"/>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141" t="s">
        <v>80</v>
      </c>
      <c r="AG2" s="146">
        <v>6</v>
      </c>
      <c r="AH2" s="142"/>
      <c r="AI2" s="143"/>
      <c r="AJ2" s="143"/>
      <c r="AK2" s="144"/>
      <c r="AL2" s="143"/>
      <c r="AM2" s="143"/>
      <c r="AN2" s="140"/>
      <c r="AO2" s="145"/>
      <c r="AP2" s="140"/>
      <c r="AQ2" s="140"/>
      <c r="AR2" s="140"/>
      <c r="AS2" s="140"/>
      <c r="AT2" s="140"/>
      <c r="AU2" s="140"/>
      <c r="AV2" s="140"/>
      <c r="AW2" s="140"/>
      <c r="AX2" s="140"/>
      <c r="AY2" s="140"/>
      <c r="AZ2" s="140"/>
    </row>
    <row r="3" spans="1:68" x14ac:dyDescent="0.3">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141" t="s">
        <v>81</v>
      </c>
      <c r="AG3" s="148" t="s">
        <v>82</v>
      </c>
      <c r="AH3" s="142"/>
      <c r="AI3" s="143"/>
      <c r="AJ3" s="143"/>
      <c r="AK3" s="144"/>
      <c r="AL3" s="143"/>
      <c r="AM3" s="143"/>
      <c r="AN3" s="140"/>
      <c r="AO3" s="145"/>
      <c r="AP3" s="140"/>
      <c r="AQ3" s="140"/>
      <c r="AR3" s="140"/>
      <c r="AS3" s="140"/>
      <c r="AT3" s="140"/>
      <c r="AU3" s="140"/>
      <c r="AV3" s="140"/>
      <c r="AW3" s="140"/>
      <c r="AX3" s="140"/>
      <c r="AY3" s="140"/>
      <c r="AZ3" s="140"/>
    </row>
    <row r="4" spans="1:68" ht="15.95" customHeight="1" x14ac:dyDescent="0.3">
      <c r="A4" s="282"/>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150" t="s">
        <v>83</v>
      </c>
      <c r="AG4" s="170"/>
      <c r="AH4" s="142"/>
      <c r="AI4" s="143"/>
      <c r="AJ4" s="143"/>
      <c r="AK4" s="144"/>
      <c r="AL4" s="143"/>
      <c r="AM4" s="143"/>
      <c r="AN4" s="140"/>
      <c r="AO4" s="145"/>
      <c r="AP4" s="140"/>
      <c r="AQ4" s="140"/>
      <c r="AR4" s="140"/>
      <c r="AS4" s="140"/>
      <c r="AT4" s="140"/>
      <c r="AU4" s="140"/>
      <c r="AV4" s="140"/>
      <c r="AW4" s="140"/>
      <c r="AX4" s="140"/>
      <c r="AY4" s="140"/>
      <c r="AZ4" s="140"/>
    </row>
    <row r="5" spans="1:68" ht="24" customHeight="1" x14ac:dyDescent="0.3">
      <c r="A5" s="282"/>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H5" s="142"/>
      <c r="AI5" s="143"/>
      <c r="AJ5" s="143"/>
      <c r="AK5" s="144"/>
      <c r="AL5" s="143"/>
      <c r="AM5" s="143"/>
      <c r="AN5" s="140"/>
      <c r="AO5" s="145"/>
      <c r="AP5" s="140"/>
      <c r="AQ5" s="140"/>
      <c r="AR5" s="140"/>
      <c r="AS5" s="140"/>
      <c r="AT5" s="140"/>
      <c r="AU5" s="140"/>
      <c r="AV5" s="140"/>
      <c r="AW5" s="140"/>
      <c r="AX5" s="140"/>
      <c r="AY5" s="140"/>
      <c r="AZ5" s="140"/>
    </row>
    <row r="6" spans="1:68" x14ac:dyDescent="0.3">
      <c r="A6" s="147"/>
      <c r="B6" s="147"/>
      <c r="C6" s="168"/>
      <c r="D6" s="149"/>
      <c r="E6" s="149"/>
      <c r="F6" s="149"/>
      <c r="G6" s="149"/>
      <c r="H6" s="149"/>
      <c r="I6" s="149"/>
      <c r="J6" s="149"/>
      <c r="K6" s="166"/>
      <c r="L6" s="149"/>
      <c r="M6" s="140"/>
      <c r="N6" s="140"/>
      <c r="O6" s="140"/>
      <c r="P6" s="149"/>
      <c r="Q6" s="147"/>
      <c r="R6" s="147"/>
      <c r="S6" s="147"/>
      <c r="T6" s="151"/>
      <c r="U6" s="151"/>
      <c r="V6" s="151"/>
      <c r="W6" s="151"/>
      <c r="X6" s="151"/>
      <c r="Y6" s="151"/>
      <c r="Z6" s="151"/>
      <c r="AA6" s="152"/>
      <c r="AB6" s="152"/>
      <c r="AC6" s="152"/>
      <c r="AD6" s="152"/>
      <c r="AE6" s="152"/>
      <c r="AH6" s="153"/>
      <c r="AI6" s="154"/>
      <c r="AJ6" s="154"/>
      <c r="AK6" s="154"/>
      <c r="AL6" s="154"/>
      <c r="AM6" s="154"/>
      <c r="AN6" s="155"/>
      <c r="AO6" s="155"/>
      <c r="AP6" s="155"/>
      <c r="AQ6" s="155"/>
      <c r="AR6" s="152"/>
      <c r="AS6" s="152"/>
      <c r="AT6" s="152"/>
      <c r="AU6" s="152"/>
      <c r="AV6" s="152"/>
      <c r="AW6" s="152"/>
      <c r="AX6" s="152"/>
      <c r="AY6" s="152"/>
      <c r="AZ6" s="152"/>
    </row>
    <row r="7" spans="1:68" ht="27.95" customHeight="1" x14ac:dyDescent="0.3">
      <c r="A7" s="159"/>
      <c r="B7" s="159"/>
      <c r="C7" s="140"/>
      <c r="D7" s="140"/>
      <c r="E7" s="140"/>
      <c r="F7" s="140"/>
      <c r="G7" s="140"/>
      <c r="H7" s="140"/>
      <c r="I7" s="140"/>
      <c r="J7" s="140"/>
      <c r="L7" s="140"/>
      <c r="M7" s="140"/>
      <c r="N7" s="285" t="s">
        <v>84</v>
      </c>
      <c r="O7" s="285"/>
      <c r="P7" s="285"/>
      <c r="Q7" s="285"/>
      <c r="R7" s="285"/>
      <c r="S7" s="285"/>
      <c r="T7" s="141"/>
      <c r="U7" s="141"/>
      <c r="V7" s="141"/>
      <c r="W7" s="141"/>
      <c r="X7" s="141"/>
      <c r="Y7" s="141"/>
      <c r="Z7" s="141"/>
      <c r="AA7" s="156"/>
      <c r="AB7" s="156"/>
      <c r="AC7" s="156"/>
      <c r="AD7" s="156"/>
      <c r="AE7" s="156"/>
      <c r="AF7" s="156"/>
      <c r="AG7" s="156"/>
      <c r="AH7" s="142"/>
      <c r="AI7" s="143"/>
      <c r="AJ7" s="143"/>
      <c r="AK7" s="143"/>
      <c r="AL7" s="143"/>
      <c r="AM7" s="143"/>
      <c r="AN7" s="157">
        <v>0</v>
      </c>
      <c r="AO7" s="158"/>
      <c r="AP7" s="157"/>
      <c r="AQ7" s="157"/>
      <c r="AR7" s="140"/>
      <c r="AS7" s="140"/>
      <c r="AT7" s="140"/>
      <c r="AU7" s="140"/>
      <c r="AV7" s="140"/>
      <c r="AW7" s="140"/>
      <c r="AX7" s="140"/>
      <c r="AY7" s="140"/>
      <c r="AZ7" s="140"/>
    </row>
    <row r="8" spans="1:68" ht="16.5" customHeight="1" x14ac:dyDescent="0.3">
      <c r="A8" s="159"/>
      <c r="B8" s="159"/>
      <c r="C8" s="140"/>
      <c r="D8" s="140"/>
      <c r="E8" s="140"/>
      <c r="F8" s="140"/>
      <c r="G8" s="140"/>
      <c r="H8" s="140"/>
      <c r="I8" s="140"/>
      <c r="J8" s="140"/>
      <c r="L8" s="140"/>
      <c r="M8" s="140"/>
      <c r="N8" s="167" t="s">
        <v>85</v>
      </c>
      <c r="O8" s="167" t="s">
        <v>86</v>
      </c>
      <c r="P8" s="287" t="s">
        <v>87</v>
      </c>
      <c r="Q8" s="288"/>
      <c r="R8" s="288"/>
      <c r="S8" s="289"/>
      <c r="T8" s="141"/>
      <c r="U8" s="141"/>
      <c r="V8" s="141"/>
      <c r="W8" s="141"/>
      <c r="X8" s="141"/>
      <c r="Y8" s="141"/>
      <c r="Z8" s="141"/>
      <c r="AA8" s="156"/>
      <c r="AB8" s="156"/>
      <c r="AC8" s="156"/>
      <c r="AD8" s="156"/>
      <c r="AE8" s="156"/>
      <c r="AF8" s="156"/>
      <c r="AG8" s="156"/>
      <c r="AH8" s="142"/>
      <c r="AI8" s="143"/>
      <c r="AJ8" s="143"/>
      <c r="AK8" s="143"/>
      <c r="AL8" s="143"/>
      <c r="AM8" s="143"/>
      <c r="AN8" s="157">
        <v>0</v>
      </c>
      <c r="AO8" s="158"/>
      <c r="AP8" s="157"/>
      <c r="AQ8" s="157"/>
      <c r="AR8" s="140"/>
      <c r="AS8" s="140"/>
      <c r="AT8" s="140"/>
      <c r="AU8" s="140"/>
      <c r="AV8" s="140"/>
      <c r="AW8" s="140"/>
      <c r="AX8" s="140"/>
      <c r="AY8" s="140"/>
      <c r="AZ8" s="140"/>
    </row>
    <row r="9" spans="1:68" ht="59.25" customHeight="1" x14ac:dyDescent="0.3">
      <c r="A9" s="159"/>
      <c r="B9" s="159"/>
      <c r="C9" s="140"/>
      <c r="D9" s="140"/>
      <c r="E9" s="140"/>
      <c r="F9" s="140"/>
      <c r="G9" s="140"/>
      <c r="H9" s="140"/>
      <c r="I9" s="140"/>
      <c r="J9" s="140"/>
      <c r="L9" s="140"/>
      <c r="M9" s="140"/>
      <c r="N9" s="199">
        <v>1</v>
      </c>
      <c r="O9" s="200">
        <v>43070</v>
      </c>
      <c r="P9" s="290" t="s">
        <v>88</v>
      </c>
      <c r="Q9" s="291"/>
      <c r="R9" s="291"/>
      <c r="S9" s="292"/>
      <c r="T9" s="141"/>
      <c r="U9" s="141"/>
      <c r="V9" s="141"/>
      <c r="W9" s="286"/>
      <c r="X9" s="286"/>
      <c r="Y9" s="286"/>
      <c r="Z9" s="286"/>
      <c r="AA9" s="286"/>
      <c r="AB9" s="286"/>
      <c r="AC9" s="163"/>
      <c r="AD9" s="163"/>
      <c r="AE9" s="163"/>
      <c r="AF9" s="140"/>
      <c r="AG9" s="140"/>
      <c r="AH9" s="142"/>
      <c r="AI9" s="143"/>
      <c r="AJ9" s="143"/>
      <c r="AK9" s="143"/>
      <c r="AL9" s="143"/>
      <c r="AM9" s="143"/>
      <c r="AN9" s="157">
        <v>0</v>
      </c>
      <c r="AO9" s="158"/>
      <c r="AP9" s="157"/>
      <c r="AQ9" s="157"/>
      <c r="AR9" s="140"/>
      <c r="AS9" s="140"/>
      <c r="AT9" s="140"/>
      <c r="AU9" s="140"/>
      <c r="AV9" s="140"/>
      <c r="AW9" s="140"/>
      <c r="AX9" s="140"/>
      <c r="AY9" s="140"/>
      <c r="AZ9" s="140"/>
    </row>
    <row r="10" spans="1:68" ht="150.75" customHeight="1" x14ac:dyDescent="0.3">
      <c r="A10" s="159"/>
      <c r="B10" s="159"/>
      <c r="C10" s="140"/>
      <c r="D10" s="140"/>
      <c r="E10" s="140"/>
      <c r="F10" s="140"/>
      <c r="G10" s="140"/>
      <c r="H10" s="140"/>
      <c r="I10" s="140"/>
      <c r="J10" s="140"/>
      <c r="L10" s="140"/>
      <c r="M10" s="140"/>
      <c r="N10" s="199">
        <v>2</v>
      </c>
      <c r="O10" s="200">
        <v>43760</v>
      </c>
      <c r="P10" s="290" t="s">
        <v>89</v>
      </c>
      <c r="Q10" s="291"/>
      <c r="R10" s="291"/>
      <c r="S10" s="292"/>
      <c r="T10" s="141"/>
      <c r="U10" s="141"/>
      <c r="V10" s="141"/>
      <c r="W10" s="163"/>
      <c r="X10" s="163"/>
      <c r="Y10" s="163"/>
      <c r="Z10" s="163"/>
      <c r="AA10" s="163"/>
      <c r="AB10" s="163"/>
      <c r="AC10" s="163"/>
      <c r="AD10" s="163"/>
      <c r="AE10" s="163"/>
      <c r="AF10" s="140"/>
      <c r="AG10" s="140"/>
      <c r="AH10" s="142"/>
      <c r="AI10" s="143"/>
      <c r="AJ10" s="143"/>
      <c r="AK10" s="143"/>
      <c r="AL10" s="143"/>
      <c r="AM10" s="143"/>
      <c r="AN10" s="157"/>
      <c r="AO10" s="158"/>
      <c r="AP10" s="157"/>
      <c r="AQ10" s="157"/>
      <c r="AR10" s="140"/>
      <c r="AS10" s="140"/>
      <c r="AT10" s="140"/>
      <c r="AU10" s="140"/>
      <c r="AV10" s="140"/>
      <c r="AW10" s="140"/>
      <c r="AX10" s="140"/>
      <c r="AY10" s="140"/>
      <c r="AZ10" s="140"/>
    </row>
    <row r="11" spans="1:68" ht="191.25" customHeight="1" x14ac:dyDescent="0.3">
      <c r="A11" s="159"/>
      <c r="B11" s="159"/>
      <c r="C11" s="140"/>
      <c r="D11" s="140"/>
      <c r="E11" s="140"/>
      <c r="F11" s="140"/>
      <c r="G11" s="140"/>
      <c r="H11" s="140"/>
      <c r="I11" s="140"/>
      <c r="J11" s="140"/>
      <c r="L11" s="140"/>
      <c r="M11" s="140"/>
      <c r="N11" s="199">
        <v>2</v>
      </c>
      <c r="O11" s="200">
        <v>44006</v>
      </c>
      <c r="P11" s="290" t="s">
        <v>90</v>
      </c>
      <c r="Q11" s="291"/>
      <c r="R11" s="291"/>
      <c r="S11" s="292"/>
      <c r="T11" s="141"/>
      <c r="U11" s="141"/>
      <c r="V11" s="141"/>
      <c r="W11" s="163"/>
      <c r="X11" s="163"/>
      <c r="Y11" s="163"/>
      <c r="Z11" s="163"/>
      <c r="AA11" s="163"/>
      <c r="AB11" s="163"/>
      <c r="AC11" s="163"/>
      <c r="AD11" s="163"/>
      <c r="AE11" s="163"/>
      <c r="AF11" s="140"/>
      <c r="AG11" s="140"/>
      <c r="AH11" s="142"/>
      <c r="AI11" s="143"/>
      <c r="AJ11" s="143"/>
      <c r="AK11" s="143"/>
      <c r="AL11" s="143"/>
      <c r="AM11" s="143"/>
      <c r="AN11" s="157"/>
      <c r="AO11" s="158"/>
      <c r="AP11" s="157"/>
      <c r="AQ11" s="157"/>
      <c r="AR11" s="140"/>
      <c r="AS11" s="140"/>
      <c r="AT11" s="140"/>
      <c r="AU11" s="140"/>
      <c r="AV11" s="140"/>
      <c r="AW11" s="140"/>
      <c r="AX11" s="140"/>
      <c r="AY11" s="140"/>
      <c r="AZ11" s="140"/>
    </row>
    <row r="12" spans="1:68" ht="78.75" customHeight="1" x14ac:dyDescent="0.3">
      <c r="A12" s="159"/>
      <c r="B12" s="159"/>
      <c r="C12" s="140"/>
      <c r="D12" s="140"/>
      <c r="E12" s="140"/>
      <c r="F12" s="140"/>
      <c r="G12" s="140"/>
      <c r="H12" s="140"/>
      <c r="I12" s="140"/>
      <c r="J12" s="140"/>
      <c r="L12" s="140"/>
      <c r="M12" s="140"/>
      <c r="N12" s="199">
        <v>3</v>
      </c>
      <c r="O12" s="200">
        <v>44201</v>
      </c>
      <c r="P12" s="290" t="s">
        <v>91</v>
      </c>
      <c r="Q12" s="291"/>
      <c r="R12" s="291"/>
      <c r="S12" s="292"/>
      <c r="T12" s="141"/>
      <c r="U12" s="141"/>
      <c r="V12" s="141"/>
      <c r="W12" s="163"/>
      <c r="X12" s="163"/>
      <c r="Y12" s="163"/>
      <c r="Z12" s="163"/>
      <c r="AA12" s="163"/>
      <c r="AB12" s="163"/>
      <c r="AC12" s="163"/>
      <c r="AD12" s="163"/>
      <c r="AE12" s="163"/>
      <c r="AF12" s="140"/>
      <c r="AG12" s="140"/>
      <c r="AH12" s="142"/>
      <c r="AI12" s="143"/>
      <c r="AJ12" s="143"/>
      <c r="AK12" s="143"/>
      <c r="AL12" s="143"/>
      <c r="AM12" s="143"/>
      <c r="AN12" s="157"/>
      <c r="AO12" s="158"/>
      <c r="AP12" s="157"/>
      <c r="AQ12" s="157"/>
      <c r="AR12" s="140"/>
      <c r="AS12" s="140"/>
      <c r="AT12" s="140"/>
      <c r="AU12" s="140"/>
      <c r="AV12" s="140"/>
      <c r="AW12" s="140"/>
      <c r="AX12" s="140"/>
      <c r="AY12" s="140"/>
      <c r="AZ12" s="140"/>
    </row>
    <row r="13" spans="1:68" ht="93.75" customHeight="1" x14ac:dyDescent="0.3">
      <c r="A13" s="159"/>
      <c r="B13" s="159"/>
      <c r="C13" s="140"/>
      <c r="D13" s="140"/>
      <c r="E13" s="140"/>
      <c r="F13" s="140"/>
      <c r="G13" s="140"/>
      <c r="H13" s="140"/>
      <c r="I13" s="140"/>
      <c r="J13" s="140"/>
      <c r="L13" s="140"/>
      <c r="M13" s="140"/>
      <c r="N13" s="199">
        <v>4</v>
      </c>
      <c r="O13" s="213">
        <v>44678</v>
      </c>
      <c r="P13" s="290" t="s">
        <v>345</v>
      </c>
      <c r="Q13" s="291"/>
      <c r="R13" s="291"/>
      <c r="S13" s="292"/>
      <c r="T13" s="141"/>
      <c r="U13" s="141"/>
      <c r="V13" s="141"/>
      <c r="W13" s="163"/>
      <c r="X13" s="163"/>
      <c r="Y13" s="163"/>
      <c r="Z13" s="163"/>
      <c r="AA13" s="163"/>
      <c r="AB13" s="163"/>
      <c r="AC13" s="163"/>
      <c r="AD13" s="163"/>
      <c r="AE13" s="163"/>
      <c r="AF13" s="140"/>
      <c r="AG13" s="140"/>
      <c r="AH13" s="142"/>
      <c r="AI13" s="143"/>
      <c r="AJ13" s="143"/>
      <c r="AK13" s="143"/>
      <c r="AL13" s="143"/>
      <c r="AM13" s="143"/>
      <c r="AN13" s="157"/>
      <c r="AO13" s="158"/>
      <c r="AP13" s="157"/>
      <c r="AQ13" s="157"/>
      <c r="AR13" s="140"/>
      <c r="AS13" s="140"/>
      <c r="AT13" s="140"/>
      <c r="AU13" s="140"/>
      <c r="AV13" s="140"/>
      <c r="AW13" s="140"/>
      <c r="AX13" s="140"/>
      <c r="AY13" s="140"/>
      <c r="AZ13" s="140"/>
    </row>
    <row r="14" spans="1:68" ht="29.25" customHeight="1" x14ac:dyDescent="0.3">
      <c r="A14" s="159"/>
      <c r="B14" s="159"/>
      <c r="C14" s="140"/>
      <c r="D14" s="140"/>
      <c r="E14" s="140"/>
      <c r="F14" s="140"/>
      <c r="G14" s="140"/>
      <c r="H14" s="140"/>
      <c r="I14" s="140"/>
      <c r="J14" s="140"/>
      <c r="L14" s="141"/>
      <c r="M14" s="141"/>
      <c r="N14" s="527">
        <v>5</v>
      </c>
      <c r="O14" s="528">
        <v>45197</v>
      </c>
      <c r="P14" s="529" t="s">
        <v>354</v>
      </c>
      <c r="Q14" s="530"/>
      <c r="R14" s="530"/>
      <c r="S14" s="531"/>
      <c r="T14" s="141"/>
      <c r="U14" s="141"/>
      <c r="V14" s="141"/>
      <c r="W14" s="283"/>
      <c r="X14" s="283"/>
      <c r="Y14" s="283"/>
      <c r="Z14" s="283"/>
      <c r="AA14" s="283"/>
      <c r="AB14" s="283"/>
      <c r="AC14" s="164"/>
      <c r="AD14" s="164"/>
      <c r="AE14" s="165"/>
      <c r="AF14" s="140"/>
      <c r="AG14" s="140"/>
      <c r="AH14" s="142"/>
      <c r="AI14" s="143"/>
      <c r="AJ14" s="143"/>
      <c r="AK14" s="143"/>
      <c r="AL14" s="143"/>
      <c r="AM14" s="143"/>
      <c r="AN14" s="157">
        <v>0</v>
      </c>
      <c r="AO14" s="158"/>
      <c r="AP14" s="157"/>
      <c r="AQ14" s="157"/>
      <c r="AR14" s="140"/>
      <c r="AS14" s="140"/>
      <c r="AT14" s="140"/>
      <c r="AU14" s="140"/>
      <c r="AV14" s="140"/>
      <c r="AW14" s="140"/>
      <c r="AX14" s="140"/>
      <c r="AY14" s="140"/>
      <c r="AZ14" s="140"/>
    </row>
    <row r="15" spans="1:68" ht="18.75" x14ac:dyDescent="0.3">
      <c r="A15" s="284" t="s">
        <v>92</v>
      </c>
      <c r="B15" s="284"/>
      <c r="C15" s="284"/>
      <c r="D15" s="284"/>
      <c r="E15" s="284"/>
      <c r="F15" s="284"/>
      <c r="G15" s="284"/>
      <c r="H15" s="284"/>
      <c r="I15" s="284"/>
      <c r="J15" s="284"/>
      <c r="K15" s="141"/>
      <c r="L15" s="141"/>
      <c r="M15" s="141"/>
      <c r="N15" s="141"/>
      <c r="O15" s="160"/>
      <c r="P15" s="141"/>
      <c r="Q15" s="141"/>
      <c r="R15" s="141"/>
      <c r="S15" s="141"/>
      <c r="T15" s="141"/>
      <c r="U15" s="141"/>
      <c r="V15" s="141"/>
      <c r="W15" s="156"/>
      <c r="X15" s="156"/>
      <c r="Y15" s="156"/>
      <c r="Z15" s="156"/>
      <c r="AA15" s="156"/>
      <c r="AB15" s="161"/>
      <c r="AC15" s="161"/>
      <c r="AD15" s="161"/>
      <c r="AE15" s="161"/>
      <c r="AF15" s="162"/>
      <c r="AG15" s="162"/>
      <c r="AH15" s="143"/>
      <c r="AI15" s="143"/>
      <c r="AJ15" s="143"/>
      <c r="AK15" s="143"/>
      <c r="AL15" s="143"/>
      <c r="AM15" s="144"/>
      <c r="AN15" s="157"/>
      <c r="AO15" s="157"/>
      <c r="AP15" s="140"/>
      <c r="AQ15" s="140"/>
      <c r="AR15" s="140"/>
      <c r="AS15" s="140"/>
      <c r="AT15" s="140"/>
      <c r="AU15" s="140"/>
      <c r="AV15" s="140"/>
      <c r="AW15" s="140"/>
      <c r="AX15" s="140"/>
      <c r="AY15" s="140"/>
      <c r="AZ15" s="140"/>
    </row>
    <row r="16" spans="1:68" ht="16.5" customHeight="1" x14ac:dyDescent="0.3">
      <c r="A16" s="358"/>
      <c r="B16" s="359"/>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60"/>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24" customHeight="1" x14ac:dyDescent="0.3">
      <c r="A17" s="361"/>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3"/>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x14ac:dyDescent="0.3">
      <c r="A18" s="28"/>
      <c r="B18" s="29"/>
      <c r="C18" s="28"/>
      <c r="D18" s="28"/>
      <c r="E18" s="8"/>
      <c r="F18" s="27"/>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26.25" customHeight="1" x14ac:dyDescent="0.3">
      <c r="A19" s="326" t="s">
        <v>93</v>
      </c>
      <c r="B19" s="327"/>
      <c r="C19" s="354" t="s">
        <v>94</v>
      </c>
      <c r="D19" s="355"/>
      <c r="E19" s="355"/>
      <c r="F19" s="355"/>
      <c r="G19" s="355"/>
      <c r="H19" s="355"/>
      <c r="I19" s="355"/>
      <c r="J19" s="355"/>
      <c r="K19" s="355"/>
      <c r="L19" s="355"/>
      <c r="M19" s="355"/>
      <c r="N19" s="356"/>
      <c r="O19" s="357"/>
      <c r="P19" s="357"/>
      <c r="Q19" s="357"/>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63.75" customHeight="1" x14ac:dyDescent="0.3">
      <c r="A20" s="326" t="s">
        <v>95</v>
      </c>
      <c r="B20" s="327"/>
      <c r="C20" s="333" t="s">
        <v>96</v>
      </c>
      <c r="D20" s="334"/>
      <c r="E20" s="334"/>
      <c r="F20" s="334"/>
      <c r="G20" s="334"/>
      <c r="H20" s="334"/>
      <c r="I20" s="334"/>
      <c r="J20" s="334"/>
      <c r="K20" s="334"/>
      <c r="L20" s="334"/>
      <c r="M20" s="334"/>
      <c r="N20" s="335"/>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49.5" hidden="1" customHeight="1" x14ac:dyDescent="0.3">
      <c r="A21" s="326" t="s">
        <v>97</v>
      </c>
      <c r="B21" s="327"/>
      <c r="C21" s="333" t="s">
        <v>98</v>
      </c>
      <c r="D21" s="334"/>
      <c r="E21" s="334"/>
      <c r="F21" s="334"/>
      <c r="G21" s="334"/>
      <c r="H21" s="334"/>
      <c r="I21" s="334"/>
      <c r="J21" s="334"/>
      <c r="K21" s="334"/>
      <c r="L21" s="334"/>
      <c r="M21" s="334"/>
      <c r="N21" s="335"/>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x14ac:dyDescent="0.3">
      <c r="A22" s="364" t="s">
        <v>99</v>
      </c>
      <c r="B22" s="365"/>
      <c r="C22" s="365"/>
      <c r="D22" s="365"/>
      <c r="E22" s="365"/>
      <c r="F22" s="365"/>
      <c r="G22" s="366"/>
      <c r="H22" s="364" t="s">
        <v>100</v>
      </c>
      <c r="I22" s="365"/>
      <c r="J22" s="365"/>
      <c r="K22" s="365"/>
      <c r="L22" s="365"/>
      <c r="M22" s="365"/>
      <c r="N22" s="366"/>
      <c r="O22" s="364" t="s">
        <v>101</v>
      </c>
      <c r="P22" s="365"/>
      <c r="Q22" s="365"/>
      <c r="R22" s="365"/>
      <c r="S22" s="365"/>
      <c r="T22" s="365"/>
      <c r="U22" s="365"/>
      <c r="V22" s="365"/>
      <c r="W22" s="366"/>
      <c r="X22" s="364" t="s">
        <v>102</v>
      </c>
      <c r="Y22" s="365"/>
      <c r="Z22" s="365"/>
      <c r="AA22" s="365"/>
      <c r="AB22" s="365"/>
      <c r="AC22" s="365"/>
      <c r="AD22" s="366"/>
      <c r="AE22" s="364" t="s">
        <v>103</v>
      </c>
      <c r="AF22" s="365"/>
      <c r="AG22" s="365"/>
      <c r="AH22" s="365"/>
      <c r="AI22" s="365"/>
      <c r="AJ22" s="36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6.5" customHeight="1" x14ac:dyDescent="0.3">
      <c r="A23" s="328" t="s">
        <v>104</v>
      </c>
      <c r="B23" s="324" t="s">
        <v>15</v>
      </c>
      <c r="C23" s="318" t="s">
        <v>17</v>
      </c>
      <c r="D23" s="318" t="s">
        <v>19</v>
      </c>
      <c r="E23" s="330" t="s">
        <v>21</v>
      </c>
      <c r="F23" s="325" t="s">
        <v>23</v>
      </c>
      <c r="G23" s="318" t="s">
        <v>105</v>
      </c>
      <c r="H23" s="320" t="s">
        <v>106</v>
      </c>
      <c r="I23" s="321" t="s">
        <v>107</v>
      </c>
      <c r="J23" s="325" t="s">
        <v>108</v>
      </c>
      <c r="K23" s="325" t="s">
        <v>109</v>
      </c>
      <c r="L23" s="323" t="s">
        <v>110</v>
      </c>
      <c r="M23" s="321" t="s">
        <v>107</v>
      </c>
      <c r="N23" s="318" t="s">
        <v>29</v>
      </c>
      <c r="O23" s="331" t="s">
        <v>111</v>
      </c>
      <c r="P23" s="319" t="s">
        <v>31</v>
      </c>
      <c r="Q23" s="325" t="s">
        <v>33</v>
      </c>
      <c r="R23" s="319" t="s">
        <v>112</v>
      </c>
      <c r="S23" s="319"/>
      <c r="T23" s="319"/>
      <c r="U23" s="319"/>
      <c r="V23" s="319"/>
      <c r="W23" s="319"/>
      <c r="X23" s="317" t="s">
        <v>113</v>
      </c>
      <c r="Y23" s="317" t="s">
        <v>114</v>
      </c>
      <c r="Z23" s="317" t="s">
        <v>107</v>
      </c>
      <c r="AA23" s="317" t="s">
        <v>115</v>
      </c>
      <c r="AB23" s="317" t="s">
        <v>107</v>
      </c>
      <c r="AC23" s="317" t="s">
        <v>116</v>
      </c>
      <c r="AD23" s="331" t="s">
        <v>49</v>
      </c>
      <c r="AE23" s="319" t="s">
        <v>103</v>
      </c>
      <c r="AF23" s="319" t="s">
        <v>117</v>
      </c>
      <c r="AG23" s="319" t="s">
        <v>118</v>
      </c>
      <c r="AH23" s="319" t="s">
        <v>119</v>
      </c>
      <c r="AI23" s="319" t="s">
        <v>120</v>
      </c>
      <c r="AJ23" s="319" t="s">
        <v>53</v>
      </c>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s="4" customFormat="1" ht="90" customHeight="1" x14ac:dyDescent="0.25">
      <c r="A24" s="329"/>
      <c r="B24" s="324"/>
      <c r="C24" s="319"/>
      <c r="D24" s="319"/>
      <c r="E24" s="324"/>
      <c r="F24" s="318"/>
      <c r="G24" s="319"/>
      <c r="H24" s="318"/>
      <c r="I24" s="322"/>
      <c r="J24" s="318"/>
      <c r="K24" s="318"/>
      <c r="L24" s="322"/>
      <c r="M24" s="322"/>
      <c r="N24" s="319"/>
      <c r="O24" s="332"/>
      <c r="P24" s="319"/>
      <c r="Q24" s="318"/>
      <c r="R24" s="7" t="s">
        <v>121</v>
      </c>
      <c r="S24" s="7" t="s">
        <v>122</v>
      </c>
      <c r="T24" s="7" t="s">
        <v>123</v>
      </c>
      <c r="U24" s="7" t="s">
        <v>124</v>
      </c>
      <c r="V24" s="7" t="s">
        <v>125</v>
      </c>
      <c r="W24" s="7" t="s">
        <v>126</v>
      </c>
      <c r="X24" s="317"/>
      <c r="Y24" s="317"/>
      <c r="Z24" s="317"/>
      <c r="AA24" s="317"/>
      <c r="AB24" s="317"/>
      <c r="AC24" s="317"/>
      <c r="AD24" s="332"/>
      <c r="AE24" s="319"/>
      <c r="AF24" s="319"/>
      <c r="AG24" s="319"/>
      <c r="AH24" s="319"/>
      <c r="AI24" s="319"/>
      <c r="AJ24" s="319"/>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row>
    <row r="25" spans="1:68" s="3" customFormat="1" ht="18" customHeight="1" x14ac:dyDescent="0.25">
      <c r="A25" s="273">
        <v>1</v>
      </c>
      <c r="B25" s="293" t="s">
        <v>127</v>
      </c>
      <c r="C25" s="302" t="s">
        <v>128</v>
      </c>
      <c r="D25" s="302" t="s">
        <v>129</v>
      </c>
      <c r="E25" s="305" t="s">
        <v>130</v>
      </c>
      <c r="F25" s="293" t="s">
        <v>131</v>
      </c>
      <c r="G25" s="296">
        <v>1</v>
      </c>
      <c r="H25" s="299" t="str">
        <f>IF(G25&lt;=0,"",IF(G25&lt;=2,"Muy Baja",IF(G25&lt;=24,"Baja",IF(G25&lt;=500,"Media",IF(G25&lt;=5000,"Alta","Muy Alta")))))</f>
        <v>Muy Baja</v>
      </c>
      <c r="I25" s="311">
        <f>IF(H25="","",IF(H25="Muy Baja",0.2,IF(H25="Baja",0.4,IF(H25="Media",0.6,IF(H25="Alta",0.8,IF(H25="Muy Alta",1,))))))</f>
        <v>0.2</v>
      </c>
      <c r="J25" s="314" t="s">
        <v>132</v>
      </c>
      <c r="K25" s="311" t="str">
        <f>IF(NOT(ISERROR(MATCH(J25,'Tabla Impacto'!$B$221:$B$223,0))),'Tabla Impacto'!$F$228&amp;"Por favor no seleccionar los criterios de impacto(Afectación Económica o presupuestal y Pérdida Reputacional)",J25)</f>
        <v xml:space="preserve">     El riesgo afecta la imagen de la entidad internamente, de conocimiento general, nivel interno, de junta dircetiva y accionistas y/o de provedores</v>
      </c>
      <c r="L25" s="299" t="str">
        <f>IF(OR(K25='Tabla Impacto'!$C$11,K25='Tabla Impacto'!$D$11),"Leve",IF(OR(K25='Tabla Impacto'!$C$12,K25='Tabla Impacto'!$D$12),"Menor",IF(OR(K25='Tabla Impacto'!$C$13,K25='Tabla Impacto'!$D$13),"Moderado",IF(OR(K25='Tabla Impacto'!$C$14,K25='Tabla Impacto'!$D$14),"Mayor",IF(OR(K25='Tabla Impacto'!$C$15,K25='Tabla Impacto'!$D$15),"Catastrófico","")))))</f>
        <v>Menor</v>
      </c>
      <c r="M25" s="311">
        <f>IF(L25="","",IF(L25="Leve",0.2,IF(L25="Menor",0.4,IF(L25="Moderado",0.6,IF(L25="Mayor",0.8,IF(L25="Catastrófico",1,))))))</f>
        <v>0.4</v>
      </c>
      <c r="N25" s="308"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Bajo</v>
      </c>
      <c r="O25" s="273">
        <v>1</v>
      </c>
      <c r="P25" s="276" t="s">
        <v>133</v>
      </c>
      <c r="Q25" s="279" t="str">
        <f>IF(OR(R25="Preventivo",R25="Detectivo"),"Probabilidad",IF(R25="Correctivo","Impacto",""))</f>
        <v>Probabilidad</v>
      </c>
      <c r="R25" s="258" t="s">
        <v>134</v>
      </c>
      <c r="S25" s="258" t="s">
        <v>135</v>
      </c>
      <c r="T25" s="266" t="str">
        <f>IF(AND(R25="Preventivo",S25="Automático"),"50%",IF(AND(R25="Preventivo",S25="Manual"),"40%",IF(AND(R25="Detectivo",S25="Automático"),"40%",IF(AND(R25="Detectivo",S25="Manual"),"30%",IF(AND(R25="Correctivo",S25="Automático"),"35%",IF(AND(R25="Correctivo",S25="Manual"),"25%",""))))))</f>
        <v>40%</v>
      </c>
      <c r="U25" s="258" t="s">
        <v>136</v>
      </c>
      <c r="V25" s="258" t="s">
        <v>137</v>
      </c>
      <c r="W25" s="258" t="s">
        <v>138</v>
      </c>
      <c r="X25" s="182">
        <f>IFERROR(IF(Q25="Probabilidad",(I25-(+I25*T25)),IF(Q25="Impacto",I25,"")),"")</f>
        <v>0.12</v>
      </c>
      <c r="Y25" s="263" t="str">
        <f>IFERROR(IF(X25="","",IF(X25&lt;=0.2,"Muy Baja",IF(X25&lt;=0.4,"Baja",IF(X25&lt;=0.6,"Media",IF(X25&lt;=0.8,"Alta","Muy Alta"))))),"")</f>
        <v>Muy Baja</v>
      </c>
      <c r="Z25" s="266">
        <f>+X25</f>
        <v>0.12</v>
      </c>
      <c r="AA25" s="263" t="str">
        <f>IFERROR(IF(AB25="","",IF(AB25&lt;=0.2,"Leve",IF(AB25&lt;=0.4,"Menor",IF(AB25&lt;=0.6,"Moderado",IF(AB25&lt;=0.8,"Mayor","Catastrófico"))))),"")</f>
        <v>Menor</v>
      </c>
      <c r="AB25" s="266">
        <f>IFERROR(IF(Q25="Impacto",(M25-(+M25*T25)),IF(Q25="Probabilidad",M25,"")),"")</f>
        <v>0.4</v>
      </c>
      <c r="AC25" s="269"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Bajo</v>
      </c>
      <c r="AD25" s="258" t="s">
        <v>139</v>
      </c>
      <c r="AE25" s="260"/>
      <c r="AF25" s="260"/>
      <c r="AG25" s="260"/>
      <c r="AH25" s="260"/>
      <c r="AI25" s="260"/>
      <c r="AJ25" s="260"/>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row>
    <row r="26" spans="1:68" ht="9.75" customHeight="1" x14ac:dyDescent="0.3">
      <c r="A26" s="274"/>
      <c r="B26" s="294"/>
      <c r="C26" s="303"/>
      <c r="D26" s="303"/>
      <c r="E26" s="306"/>
      <c r="F26" s="294"/>
      <c r="G26" s="297"/>
      <c r="H26" s="300"/>
      <c r="I26" s="312"/>
      <c r="J26" s="315"/>
      <c r="K26" s="312">
        <f>IF(NOT(ISERROR(MATCH(J26,_xlfn.ANCHORARRAY(E33),0))),#REF!&amp;"Por favor no seleccionar los criterios de impacto",J26)</f>
        <v>0</v>
      </c>
      <c r="L26" s="300"/>
      <c r="M26" s="312"/>
      <c r="N26" s="309"/>
      <c r="O26" s="274"/>
      <c r="P26" s="277"/>
      <c r="Q26" s="280"/>
      <c r="R26" s="272"/>
      <c r="S26" s="272"/>
      <c r="T26" s="267"/>
      <c r="U26" s="272"/>
      <c r="V26" s="272"/>
      <c r="W26" s="272"/>
      <c r="X26" s="182" t="str">
        <f>IFERROR(IF(AND(Q25="Probabilidad",Q26="Probabilidad"),(Z25-(+Z25*T26)),IF(Q26="Probabilidad",(I25-(+I25*T26)),IF(Q26="Impacto",Z25,""))),"")</f>
        <v/>
      </c>
      <c r="Y26" s="264"/>
      <c r="Z26" s="267"/>
      <c r="AA26" s="264"/>
      <c r="AB26" s="267"/>
      <c r="AC26" s="270"/>
      <c r="AD26" s="272"/>
      <c r="AE26" s="261"/>
      <c r="AF26" s="261"/>
      <c r="AG26" s="261"/>
      <c r="AH26" s="261"/>
      <c r="AI26" s="261"/>
      <c r="AJ26" s="261"/>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2" customHeight="1" x14ac:dyDescent="0.3">
      <c r="A27" s="274"/>
      <c r="B27" s="294"/>
      <c r="C27" s="303"/>
      <c r="D27" s="303"/>
      <c r="E27" s="306"/>
      <c r="F27" s="294"/>
      <c r="G27" s="297"/>
      <c r="H27" s="300"/>
      <c r="I27" s="312"/>
      <c r="J27" s="315"/>
      <c r="K27" s="312">
        <f>IF(NOT(ISERROR(MATCH(J27,_xlfn.ANCHORARRAY(#REF!),0))),#REF!&amp;"Por favor no seleccionar los criterios de impacto",J27)</f>
        <v>0</v>
      </c>
      <c r="L27" s="300"/>
      <c r="M27" s="312"/>
      <c r="N27" s="309"/>
      <c r="O27" s="274"/>
      <c r="P27" s="277"/>
      <c r="Q27" s="280"/>
      <c r="R27" s="272"/>
      <c r="S27" s="272"/>
      <c r="T27" s="267"/>
      <c r="U27" s="272"/>
      <c r="V27" s="272"/>
      <c r="W27" s="272"/>
      <c r="X27" s="182" t="str">
        <f>IFERROR(IF(AND(Q26="Probabilidad",Q27="Probabilidad"),(Z26-(+Z26*T27)),IF(AND(Q26="Impacto",Q27="Probabilidad"),(Z25-(+Z25*T27)),IF(Q27="Impacto",Z26,""))),"")</f>
        <v/>
      </c>
      <c r="Y27" s="264"/>
      <c r="Z27" s="267"/>
      <c r="AA27" s="264"/>
      <c r="AB27" s="267"/>
      <c r="AC27" s="270"/>
      <c r="AD27" s="272"/>
      <c r="AE27" s="261"/>
      <c r="AF27" s="261"/>
      <c r="AG27" s="261"/>
      <c r="AH27" s="261"/>
      <c r="AI27" s="261"/>
      <c r="AJ27" s="261"/>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8" customHeight="1" x14ac:dyDescent="0.3">
      <c r="A28" s="274"/>
      <c r="B28" s="294"/>
      <c r="C28" s="303"/>
      <c r="D28" s="303"/>
      <c r="E28" s="306"/>
      <c r="F28" s="294"/>
      <c r="G28" s="297"/>
      <c r="H28" s="300"/>
      <c r="I28" s="312"/>
      <c r="J28" s="315"/>
      <c r="K28" s="312">
        <f>IF(NOT(ISERROR(MATCH(J28,_xlfn.ANCHORARRAY(#REF!),0))),#REF!&amp;"Por favor no seleccionar los criterios de impacto",J28)</f>
        <v>0</v>
      </c>
      <c r="L28" s="300"/>
      <c r="M28" s="312"/>
      <c r="N28" s="309"/>
      <c r="O28" s="274"/>
      <c r="P28" s="277"/>
      <c r="Q28" s="280"/>
      <c r="R28" s="272"/>
      <c r="S28" s="272"/>
      <c r="T28" s="267"/>
      <c r="U28" s="272"/>
      <c r="V28" s="272"/>
      <c r="W28" s="272"/>
      <c r="X28" s="182" t="str">
        <f t="shared" ref="X28:X30" si="0">IFERROR(IF(AND(Q27="Probabilidad",Q28="Probabilidad"),(Z27-(+Z27*T28)),IF(AND(Q27="Impacto",Q28="Probabilidad"),(Z26-(+Z26*T28)),IF(Q28="Impacto",Z27,""))),"")</f>
        <v/>
      </c>
      <c r="Y28" s="264"/>
      <c r="Z28" s="267"/>
      <c r="AA28" s="264"/>
      <c r="AB28" s="267"/>
      <c r="AC28" s="270"/>
      <c r="AD28" s="272"/>
      <c r="AE28" s="261"/>
      <c r="AF28" s="261"/>
      <c r="AG28" s="261"/>
      <c r="AH28" s="261"/>
      <c r="AI28" s="261"/>
      <c r="AJ28" s="261"/>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8" customHeight="1" x14ac:dyDescent="0.3">
      <c r="A29" s="274"/>
      <c r="B29" s="294"/>
      <c r="C29" s="303"/>
      <c r="D29" s="303"/>
      <c r="E29" s="306"/>
      <c r="F29" s="294"/>
      <c r="G29" s="297"/>
      <c r="H29" s="300"/>
      <c r="I29" s="312"/>
      <c r="J29" s="315"/>
      <c r="K29" s="312">
        <f>IF(NOT(ISERROR(MATCH(J29,_xlfn.ANCHORARRAY(#REF!),0))),#REF!&amp;"Por favor no seleccionar los criterios de impacto",J29)</f>
        <v>0</v>
      </c>
      <c r="L29" s="300"/>
      <c r="M29" s="312"/>
      <c r="N29" s="309"/>
      <c r="O29" s="274"/>
      <c r="P29" s="277"/>
      <c r="Q29" s="280"/>
      <c r="R29" s="272"/>
      <c r="S29" s="272"/>
      <c r="T29" s="267"/>
      <c r="U29" s="272"/>
      <c r="V29" s="272"/>
      <c r="W29" s="272"/>
      <c r="X29" s="182" t="str">
        <f t="shared" si="0"/>
        <v/>
      </c>
      <c r="Y29" s="264"/>
      <c r="Z29" s="267"/>
      <c r="AA29" s="264"/>
      <c r="AB29" s="267"/>
      <c r="AC29" s="270"/>
      <c r="AD29" s="272"/>
      <c r="AE29" s="261"/>
      <c r="AF29" s="261"/>
      <c r="AG29" s="261"/>
      <c r="AH29" s="261"/>
      <c r="AI29" s="261"/>
      <c r="AJ29" s="261"/>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3.75" customHeight="1" x14ac:dyDescent="0.3">
      <c r="A30" s="275"/>
      <c r="B30" s="295"/>
      <c r="C30" s="304"/>
      <c r="D30" s="304"/>
      <c r="E30" s="307"/>
      <c r="F30" s="295"/>
      <c r="G30" s="298"/>
      <c r="H30" s="301"/>
      <c r="I30" s="313"/>
      <c r="J30" s="316"/>
      <c r="K30" s="313">
        <f>IF(NOT(ISERROR(MATCH(J30,_xlfn.ANCHORARRAY(#REF!),0))),I34&amp;"Por favor no seleccionar los criterios de impacto",J30)</f>
        <v>0</v>
      </c>
      <c r="L30" s="301"/>
      <c r="M30" s="313"/>
      <c r="N30" s="310"/>
      <c r="O30" s="275"/>
      <c r="P30" s="278"/>
      <c r="Q30" s="281"/>
      <c r="R30" s="259"/>
      <c r="S30" s="259"/>
      <c r="T30" s="268"/>
      <c r="U30" s="259"/>
      <c r="V30" s="259"/>
      <c r="W30" s="259"/>
      <c r="X30" s="182" t="str">
        <f t="shared" si="0"/>
        <v/>
      </c>
      <c r="Y30" s="265"/>
      <c r="Z30" s="268"/>
      <c r="AA30" s="265"/>
      <c r="AB30" s="268"/>
      <c r="AC30" s="271"/>
      <c r="AD30" s="259"/>
      <c r="AE30" s="262"/>
      <c r="AF30" s="262"/>
      <c r="AG30" s="262"/>
      <c r="AH30" s="262"/>
      <c r="AI30" s="262"/>
      <c r="AJ30" s="262"/>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10.25" customHeight="1" x14ac:dyDescent="0.3">
      <c r="A31" s="273">
        <v>2</v>
      </c>
      <c r="B31" s="293" t="s">
        <v>127</v>
      </c>
      <c r="C31" s="302" t="s">
        <v>140</v>
      </c>
      <c r="D31" s="302" t="s">
        <v>141</v>
      </c>
      <c r="E31" s="305" t="s">
        <v>142</v>
      </c>
      <c r="F31" s="293" t="s">
        <v>131</v>
      </c>
      <c r="G31" s="296">
        <v>2</v>
      </c>
      <c r="H31" s="299" t="str">
        <f>IF(G31&lt;=0,"",IF(G31&lt;=2,"Muy Baja",IF(G31&lt;=24,"Baja",IF(G31&lt;=500,"Media",IF(G31&lt;=5000,"Alta","Muy Alta")))))</f>
        <v>Muy Baja</v>
      </c>
      <c r="I31" s="311">
        <f>IF(H31="","",IF(H31="Muy Baja",0.2,IF(H31="Baja",0.4,IF(H31="Media",0.6,IF(H31="Alta",0.8,IF(H31="Muy Alta",1,))))))</f>
        <v>0.2</v>
      </c>
      <c r="J31" s="314" t="s">
        <v>143</v>
      </c>
      <c r="K31" s="311" t="str">
        <f>IF(NOT(ISERROR(MATCH(J31,'Tabla Impacto'!$B$221:$B$223,0))),'Tabla Impacto'!$F$228&amp;"Por favor no seleccionar los criterios de impacto(Afectación Económica o presupuestal y Pérdida Reputacional)",J31)</f>
        <v xml:space="preserve">     El riesgo afecta la imagen de la entidad con algunos usuarios de relevancia frente al logro de los objetivos</v>
      </c>
      <c r="L31" s="299" t="str">
        <f>IF(OR(K31='Tabla Impacto'!$C$11,K31='Tabla Impacto'!$D$11),"Leve",IF(OR(K31='Tabla Impacto'!$C$12,K31='Tabla Impacto'!$D$12),"Menor",IF(OR(K31='Tabla Impacto'!$C$13,K31='Tabla Impacto'!$D$13),"Moderado",IF(OR(K31='Tabla Impacto'!$C$14,K31='Tabla Impacto'!$D$14),"Mayor",IF(OR(K31='Tabla Impacto'!$C$15,K31='Tabla Impacto'!$D$15),"Catastrófico","")))))</f>
        <v>Moderado</v>
      </c>
      <c r="M31" s="311">
        <f>IF(L31="","",IF(L31="Leve",0.2,IF(L31="Menor",0.4,IF(L31="Moderado",0.6,IF(L31="Mayor",0.8,IF(L31="Catastrófico",1,))))))</f>
        <v>0.6</v>
      </c>
      <c r="N31" s="308" t="str">
        <f>IF(OR(AND(H31="Muy Baja",L31="Leve"),AND(H31="Muy Baja",L31="Menor"),AND(H31="Baja",L31="Leve")),"Bajo",IF(OR(AND(H31="Muy baja",L31="Moderado"),AND(H31="Baja",L31="Menor"),AND(H31="Baja",L31="Moderado"),AND(H31="Media",L31="Leve"),AND(H31="Media",L31="Menor"),AND(H31="Media",L31="Moderado"),AND(H31="Alta",L31="Leve"),AND(H31="Alta",L31="Menor")),"Moderado",IF(OR(AND(H31="Muy Baja",L31="Mayor"),AND(H31="Baja",L31="Mayor"),AND(H31="Media",L31="Mayor"),AND(H31="Alta",L31="Moderado"),AND(H31="Alta",L31="Mayor"),AND(H31="Muy Alta",L31="Leve"),AND(H31="Muy Alta",L31="Menor"),AND(H31="Muy Alta",L31="Moderado"),AND(H31="Muy Alta",L31="Mayor")),"Alto",IF(OR(AND(H31="Muy Baja",L31="Catastrófico"),AND(H31="Baja",L31="Catastrófico"),AND(H31="Media",L31="Catastrófico"),AND(H31="Alta",L31="Catastrófico"),AND(H31="Muy Alta",L31="Catastrófico")),"Extremo",""))))</f>
        <v>Moderado</v>
      </c>
      <c r="O31" s="6">
        <v>1</v>
      </c>
      <c r="P31" s="201" t="s">
        <v>144</v>
      </c>
      <c r="Q31" s="202" t="str">
        <f t="shared" ref="Q31:Q40" si="1">IF(OR(R31="Preventivo",R31="Detectivo"),"Probabilidad",IF(R31="Correctivo","Impacto",""))</f>
        <v>Impacto</v>
      </c>
      <c r="R31" s="203" t="s">
        <v>145</v>
      </c>
      <c r="S31" s="203" t="s">
        <v>146</v>
      </c>
      <c r="T31" s="204" t="str">
        <f>IF(AND(R31="Preventivo",S31="Automático"),"50%",IF(AND(R31="Preventivo",S31="Manual"),"40%",IF(AND(R31="Detectivo",S31="Automático"),"40%",IF(AND(R31="Detectivo",S31="Manual"),"30%",IF(AND(R31="Correctivo",S31="Automático"),"35%",IF(AND(R31="Correctivo",S31="Manual"),"25%",""))))))</f>
        <v>35%</v>
      </c>
      <c r="U31" s="203" t="s">
        <v>136</v>
      </c>
      <c r="V31" s="203" t="s">
        <v>137</v>
      </c>
      <c r="W31" s="203" t="s">
        <v>138</v>
      </c>
      <c r="X31" s="182">
        <f>IFERROR(IF(Q31="Probabilidad",(I31-(+I31*T31)),IF(Q31="Impacto",I31,"")),"")</f>
        <v>0.2</v>
      </c>
      <c r="Y31" s="205" t="str">
        <f>IFERROR(IF(X31="","",IF(X31&lt;=0.2,"Muy Baja",IF(X31&lt;=0.4,"Baja",IF(X31&lt;=0.6,"Media",IF(X31&lt;=0.8,"Alta","Muy Alta"))))),"")</f>
        <v>Muy Baja</v>
      </c>
      <c r="Z31" s="193">
        <f>+X31</f>
        <v>0.2</v>
      </c>
      <c r="AA31" s="205" t="str">
        <f>IFERROR(IF(AB31="","",IF(AB31&lt;=0.2,"Leve",IF(AB31&lt;=0.4,"Menor",IF(AB31&lt;=0.6,"Moderado",IF(AB31&lt;=0.8,"Mayor","Catastrófico"))))),"")</f>
        <v>Menor</v>
      </c>
      <c r="AB31" s="193">
        <f>IFERROR(IF(Q31="Impacto",(M31-(+M31*T31)),IF(Q31="Probabilidad",M31,"")),"")</f>
        <v>0.39</v>
      </c>
      <c r="AC31" s="206"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Bajo</v>
      </c>
      <c r="AD31" s="258" t="s">
        <v>139</v>
      </c>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93" customHeight="1" x14ac:dyDescent="0.3">
      <c r="A32" s="274"/>
      <c r="B32" s="294"/>
      <c r="C32" s="303"/>
      <c r="D32" s="303"/>
      <c r="E32" s="306"/>
      <c r="F32" s="294"/>
      <c r="G32" s="297"/>
      <c r="H32" s="300"/>
      <c r="I32" s="312"/>
      <c r="J32" s="315"/>
      <c r="K32" s="312">
        <f>IF(NOT(ISERROR(MATCH(J32,_xlfn.ANCHORARRAY(E34),0))),#REF!&amp;"Por favor no seleccionar los criterios de impacto",J32)</f>
        <v>0</v>
      </c>
      <c r="L32" s="300"/>
      <c r="M32" s="312"/>
      <c r="N32" s="309"/>
      <c r="O32" s="6">
        <v>2</v>
      </c>
      <c r="P32" s="201" t="s">
        <v>147</v>
      </c>
      <c r="Q32" s="202" t="str">
        <f t="shared" si="1"/>
        <v>Probabilidad</v>
      </c>
      <c r="R32" s="203" t="s">
        <v>134</v>
      </c>
      <c r="S32" s="203" t="s">
        <v>135</v>
      </c>
      <c r="T32" s="204" t="str">
        <f t="shared" ref="T32" si="2">IF(AND(R32="Preventivo",S32="Automático"),"50%",IF(AND(R32="Preventivo",S32="Manual"),"40%",IF(AND(R32="Detectivo",S32="Automático"),"40%",IF(AND(R32="Detectivo",S32="Manual"),"30%",IF(AND(R32="Correctivo",S32="Automático"),"35%",IF(AND(R32="Correctivo",S32="Manual"),"25%",""))))))</f>
        <v>40%</v>
      </c>
      <c r="U32" s="203" t="s">
        <v>136</v>
      </c>
      <c r="V32" s="203" t="s">
        <v>137</v>
      </c>
      <c r="W32" s="203" t="s">
        <v>138</v>
      </c>
      <c r="X32" s="182">
        <f>IFERROR(IF(AND(Q31="Probabilidad",Q32="Probabilidad"),(Z31-(+Z31*T32)),IF(Q32="Probabilidad",(I31-(+I31*T32)),IF(Q32="Impacto",Z31,""))),"")</f>
        <v>0.12</v>
      </c>
      <c r="Y32" s="205" t="str">
        <f t="shared" ref="Y32:Y55" si="3">IFERROR(IF(X32="","",IF(X32&lt;=0.2,"Muy Baja",IF(X32&lt;=0.4,"Baja",IF(X32&lt;=0.6,"Media",IF(X32&lt;=0.8,"Alta","Muy Alta"))))),"")</f>
        <v>Muy Baja</v>
      </c>
      <c r="Z32" s="193">
        <f t="shared" ref="Z32" si="4">+X32</f>
        <v>0.12</v>
      </c>
      <c r="AA32" s="205" t="str">
        <f t="shared" ref="AA32:AA55" si="5">IFERROR(IF(AB32="","",IF(AB32&lt;=0.2,"Leve",IF(AB32&lt;=0.4,"Menor",IF(AB32&lt;=0.6,"Moderado",IF(AB32&lt;=0.8,"Mayor","Catastrófico"))))),"")</f>
        <v>Menor</v>
      </c>
      <c r="AB32" s="193">
        <f>IFERROR(IF(AND(Q31="Impacto",Q32="Impacto"),(AB31-(+AB31*T32)),IF(Q32="Impacto",(M31-(+M31*T32)),IF(Q32="Probabilidad",AB31,""))),"")</f>
        <v>0.39</v>
      </c>
      <c r="AC32" s="206" t="str">
        <f t="shared" ref="AC32" si="6">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Bajo</v>
      </c>
      <c r="AD32" s="259"/>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10.25" customHeight="1" x14ac:dyDescent="0.3">
      <c r="A33" s="183">
        <v>3</v>
      </c>
      <c r="B33" s="187" t="s">
        <v>127</v>
      </c>
      <c r="C33" s="188" t="s">
        <v>148</v>
      </c>
      <c r="D33" s="188" t="s">
        <v>149</v>
      </c>
      <c r="E33" s="189" t="s">
        <v>150</v>
      </c>
      <c r="F33" s="187" t="s">
        <v>131</v>
      </c>
      <c r="G33" s="191">
        <v>365</v>
      </c>
      <c r="H33" s="186" t="str">
        <f>IF(G33&lt;=0,"",IF(G33&lt;=2,"Muy Baja",IF(G33&lt;=24,"Baja",IF(G33&lt;=500,"Media",IF(G33&lt;=5000,"Alta","Muy Alta")))))</f>
        <v>Media</v>
      </c>
      <c r="I33" s="185">
        <f>IF(H33="","",IF(H33="Muy Baja",0.2,IF(H33="Baja",0.4,IF(H33="Media",0.6,IF(H33="Alta",0.8,IF(H33="Muy Alta",1,))))))</f>
        <v>0.6</v>
      </c>
      <c r="J33" s="184" t="s">
        <v>132</v>
      </c>
      <c r="K33" s="185" t="str">
        <f>IF(NOT(ISERROR(MATCH(J33,'Tabla Impacto'!$B$221:$B$223,0))),'Tabla Impacto'!$F$228&amp;"Por favor no seleccionar los criterios de impacto(Afectación Económica o presupuestal y Pérdida Reputacional)",J33)</f>
        <v xml:space="preserve">     El riesgo afecta la imagen de la entidad internamente, de conocimiento general, nivel interno, de junta dircetiva y accionistas y/o de provedores</v>
      </c>
      <c r="L33" s="186" t="str">
        <f>IF(OR(K33='Tabla Impacto'!$C$11,K33='Tabla Impacto'!$D$11),"Leve",IF(OR(K33='Tabla Impacto'!$C$12,K33='Tabla Impacto'!$D$12),"Menor",IF(OR(K33='Tabla Impacto'!$C$13,K33='Tabla Impacto'!$D$13),"Moderado",IF(OR(K33='Tabla Impacto'!$C$14,K33='Tabla Impacto'!$D$14),"Mayor",IF(OR(K33='Tabla Impacto'!$C$15,K33='Tabla Impacto'!$D$15),"Catastrófico","")))))</f>
        <v>Menor</v>
      </c>
      <c r="M33" s="185">
        <f>IF(L33="","",IF(L33="Leve",0.2,IF(L33="Menor",0.4,IF(L33="Moderado",0.6,IF(L33="Mayor",0.8,IF(L33="Catastrófico",1,))))))</f>
        <v>0.4</v>
      </c>
      <c r="N33" s="190" t="str">
        <f>IF(OR(AND(H33="Muy Baja",L33="Leve"),AND(H33="Muy Baja",L33="Menor"),AND(H33="Baja",L33="Leve")),"Bajo",IF(OR(AND(H33="Muy baja",L33="Moderado"),AND(H33="Baja",L33="Menor"),AND(H33="Baja",L33="Moderado"),AND(H33="Media",L33="Leve"),AND(H33="Media",L33="Menor"),AND(H33="Media",L33="Moderado"),AND(H33="Alta",L33="Leve"),AND(H33="Alta",L33="Menor")),"Moderado",IF(OR(AND(H33="Muy Baja",L33="Mayor"),AND(H33="Baja",L33="Mayor"),AND(H33="Media",L33="Mayor"),AND(H33="Alta",L33="Moderado"),AND(H33="Alta",L33="Mayor"),AND(H33="Muy Alta",L33="Leve"),AND(H33="Muy Alta",L33="Menor"),AND(H33="Muy Alta",L33="Moderado"),AND(H33="Muy Alta",L33="Mayor")),"Alto",IF(OR(AND(H33="Muy Baja",L33="Catastrófico"),AND(H33="Baja",L33="Catastrófico"),AND(H33="Media",L33="Catastrófico"),AND(H33="Alta",L33="Catastrófico"),AND(H33="Muy Alta",L33="Catastrófico")),"Extremo",""))))</f>
        <v>Moderado</v>
      </c>
      <c r="O33" s="6">
        <v>1</v>
      </c>
      <c r="P33" s="201" t="s">
        <v>151</v>
      </c>
      <c r="Q33" s="202" t="str">
        <f t="shared" si="1"/>
        <v>Probabilidad</v>
      </c>
      <c r="R33" s="203" t="s">
        <v>134</v>
      </c>
      <c r="S33" s="203" t="s">
        <v>146</v>
      </c>
      <c r="T33" s="204" t="str">
        <f>IF(AND(R33="Preventivo",S33="Automático"),"50%",IF(AND(R33="Preventivo",S33="Manual"),"40%",IF(AND(R33="Detectivo",S33="Automático"),"40%",IF(AND(R33="Detectivo",S33="Manual"),"30%",IF(AND(R33="Correctivo",S33="Automático"),"35%",IF(AND(R33="Correctivo",S33="Manual"),"25%",""))))))</f>
        <v>50%</v>
      </c>
      <c r="U33" s="203" t="s">
        <v>152</v>
      </c>
      <c r="V33" s="203" t="s">
        <v>137</v>
      </c>
      <c r="W33" s="203" t="s">
        <v>138</v>
      </c>
      <c r="X33" s="182">
        <f>IFERROR(IF(Q33="Probabilidad",(I33-(+I33*T33)),IF(Q33="Impacto",I33,"")),"")</f>
        <v>0.3</v>
      </c>
      <c r="Y33" s="205" t="str">
        <f>IFERROR(IF(X33="","",IF(X33&lt;=0.2,"Muy Baja",IF(X33&lt;=0.4,"Baja",IF(X33&lt;=0.6,"Media",IF(X33&lt;=0.8,"Alta","Muy Alta"))))),"")</f>
        <v>Baja</v>
      </c>
      <c r="Z33" s="193">
        <f>+X33</f>
        <v>0.3</v>
      </c>
      <c r="AA33" s="205" t="str">
        <f>IFERROR(IF(AB33="","",IF(AB33&lt;=0.2,"Leve",IF(AB33&lt;=0.4,"Menor",IF(AB33&lt;=0.6,"Moderado",IF(AB33&lt;=0.8,"Mayor","Catastrófico"))))),"")</f>
        <v>Menor</v>
      </c>
      <c r="AB33" s="193">
        <f>IFERROR(IF(Q33="Impacto",(M33-(+M33*T33)),IF(Q33="Probabilidad",M33,"")),"")</f>
        <v>0.4</v>
      </c>
      <c r="AC33" s="206"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Moderado</v>
      </c>
      <c r="AD33" s="192" t="s">
        <v>139</v>
      </c>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93.75" customHeight="1" x14ac:dyDescent="0.3">
      <c r="A34" s="273">
        <v>4</v>
      </c>
      <c r="B34" s="293" t="s">
        <v>153</v>
      </c>
      <c r="C34" s="189" t="s">
        <v>154</v>
      </c>
      <c r="D34" s="305" t="s">
        <v>155</v>
      </c>
      <c r="E34" s="305" t="s">
        <v>156</v>
      </c>
      <c r="F34" s="293" t="s">
        <v>157</v>
      </c>
      <c r="G34" s="296">
        <v>1</v>
      </c>
      <c r="H34" s="299" t="str">
        <f>IF(G34&lt;=0,"",IF(G34&lt;=2,"Muy Baja",IF(G34&lt;=24,"Baja",IF(G34&lt;=500,"Media",IF(G34&lt;=5000,"Alta","Muy Alta")))))</f>
        <v>Muy Baja</v>
      </c>
      <c r="I34" s="311">
        <f>IF(H34="","",IF(H34="Muy Baja",0.2,IF(H34="Baja",0.4,IF(H34="Media",0.6,IF(H34="Alta",0.8,IF(H34="Muy Alta",1,))))))</f>
        <v>0.2</v>
      </c>
      <c r="J34" s="314" t="s">
        <v>158</v>
      </c>
      <c r="K34" s="185" t="str">
        <f>IF(NOT(ISERROR(MATCH(J34,'Tabla Impacto'!$B$221:$B$223,0))),'Tabla Impacto'!$F$228&amp;"Por favor no seleccionar los criterios de impacto(Afectación Económica o presupuestal y Pérdida Reputacional)",J34)</f>
        <v>Entre 1-12.500</v>
      </c>
      <c r="L34" s="299" t="s">
        <v>159</v>
      </c>
      <c r="M34" s="311">
        <f>IF(L34="","",IF(L34="Leve",0.2,IF(L34="Menor",0.4,IF(L34="Moderado",0.6,IF(L34="Mayor",0.8,IF(L34="Catastrófico",1,))))))</f>
        <v>0.2</v>
      </c>
      <c r="N34" s="308"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Bajo</v>
      </c>
      <c r="O34" s="273">
        <v>1</v>
      </c>
      <c r="P34" s="276" t="s">
        <v>160</v>
      </c>
      <c r="Q34" s="279" t="str">
        <f t="shared" si="1"/>
        <v>Probabilidad</v>
      </c>
      <c r="R34" s="258" t="s">
        <v>161</v>
      </c>
      <c r="S34" s="258" t="s">
        <v>135</v>
      </c>
      <c r="T34" s="266" t="str">
        <f>IF(AND(R34="Preventivo",S34="Automático"),"50%",IF(AND(R34="Preventivo",S34="Manual"),"40%",IF(AND(R34="Detectivo",S34="Automático"),"40%",IF(AND(R34="Detectivo",S34="Manual"),"30%",IF(AND(R34="Correctivo",S34="Automático"),"35%",IF(AND(R34="Correctivo",S34="Manual"),"25%",""))))))</f>
        <v>30%</v>
      </c>
      <c r="U34" s="258" t="s">
        <v>136</v>
      </c>
      <c r="V34" s="258" t="s">
        <v>137</v>
      </c>
      <c r="W34" s="258" t="s">
        <v>138</v>
      </c>
      <c r="X34" s="182">
        <f>IFERROR(IF(Q34="Probabilidad",(I34-(+I34*T34)),IF(Q34="Impacto",I34,"")),"")</f>
        <v>0.14000000000000001</v>
      </c>
      <c r="Y34" s="263" t="str">
        <f>IFERROR(IF(X34="","",IF(X34&lt;=0.2,"Muy Baja",IF(X34&lt;=0.4,"Baja",IF(X34&lt;=0.6,"Media",IF(X34&lt;=0.8,"Alta","Muy Alta"))))),"")</f>
        <v>Muy Baja</v>
      </c>
      <c r="Z34" s="266">
        <f>+X34</f>
        <v>0.14000000000000001</v>
      </c>
      <c r="AA34" s="263" t="str">
        <f>IFERROR(IF(AB34="","",IF(AB34&lt;=0.2,"Leve",IF(AB34&lt;=0.4,"Menor",IF(AB34&lt;=0.6,"Moderado",IF(AB34&lt;=0.8,"Mayor","Catastrófico"))))),"")</f>
        <v>Leve</v>
      </c>
      <c r="AB34" s="266">
        <f>IFERROR(IF(Q34="Impacto",(M34-(+M34*T34)),IF(Q34="Probabilidad",M34,"")),"")</f>
        <v>0.2</v>
      </c>
      <c r="AC34" s="269"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Bajo</v>
      </c>
      <c r="AD34" s="258"/>
      <c r="AE34" s="258"/>
      <c r="AF34" s="258"/>
      <c r="AG34" s="258"/>
      <c r="AH34" s="258"/>
      <c r="AI34" s="258"/>
      <c r="AJ34" s="25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78.75" customHeight="1" x14ac:dyDescent="0.3">
      <c r="A35" s="275"/>
      <c r="B35" s="295"/>
      <c r="C35" s="189" t="s">
        <v>162</v>
      </c>
      <c r="D35" s="307"/>
      <c r="E35" s="307"/>
      <c r="F35" s="295"/>
      <c r="G35" s="298"/>
      <c r="H35" s="301"/>
      <c r="I35" s="313"/>
      <c r="J35" s="316"/>
      <c r="K35" s="185"/>
      <c r="L35" s="301"/>
      <c r="M35" s="313"/>
      <c r="N35" s="310"/>
      <c r="O35" s="275"/>
      <c r="P35" s="278"/>
      <c r="Q35" s="281"/>
      <c r="R35" s="259"/>
      <c r="S35" s="259"/>
      <c r="T35" s="268"/>
      <c r="U35" s="259"/>
      <c r="V35" s="259"/>
      <c r="W35" s="259"/>
      <c r="X35" s="182"/>
      <c r="Y35" s="265"/>
      <c r="Z35" s="268"/>
      <c r="AA35" s="265"/>
      <c r="AB35" s="268"/>
      <c r="AC35" s="271"/>
      <c r="AD35" s="259"/>
      <c r="AE35" s="259"/>
      <c r="AF35" s="259"/>
      <c r="AG35" s="259"/>
      <c r="AH35" s="259"/>
      <c r="AI35" s="259"/>
      <c r="AJ35" s="259"/>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63.5" customHeight="1" x14ac:dyDescent="0.3">
      <c r="A36" s="183">
        <v>5</v>
      </c>
      <c r="B36" s="187" t="s">
        <v>153</v>
      </c>
      <c r="C36" s="188" t="s">
        <v>163</v>
      </c>
      <c r="D36" s="188" t="s">
        <v>164</v>
      </c>
      <c r="E36" s="189" t="s">
        <v>165</v>
      </c>
      <c r="F36" s="187" t="s">
        <v>157</v>
      </c>
      <c r="G36" s="191">
        <v>3</v>
      </c>
      <c r="H36" s="186" t="str">
        <f>IF(G36&lt;=0,"",IF(G36&lt;=2,"Muy Baja",IF(G36&lt;=24,"Baja",IF(G36&lt;=500,"Media",IF(G36&lt;=5000,"Alta","Muy Alta")))))</f>
        <v>Baja</v>
      </c>
      <c r="I36" s="185">
        <f>IF(H36="","",IF(H36="Muy Baja",0.2,IF(H36="Baja",0.4,IF(H36="Media",0.6,IF(H36="Alta",0.8,IF(H36="Muy Alta",1,))))))</f>
        <v>0.4</v>
      </c>
      <c r="J36" s="184" t="s">
        <v>158</v>
      </c>
      <c r="K36" s="185" t="str">
        <f>IF(NOT(ISERROR(MATCH(J36,'Tabla Impacto'!$B$221:$B$223,0))),'Tabla Impacto'!$F$228&amp;"Por favor no seleccionar los criterios de impacto(Afectación Económica o presupuestal y Pérdida Reputacional)",J36)</f>
        <v>Entre 1-12.500</v>
      </c>
      <c r="L36" s="186" t="s">
        <v>159</v>
      </c>
      <c r="M36" s="185">
        <f>IF(L36="","",IF(L36="Leve",0.2,IF(L36="Menor",0.4,IF(L36="Moderado",0.6,IF(L36="Mayor",0.8,IF(L36="Catastrófico",1,))))))</f>
        <v>0.2</v>
      </c>
      <c r="N36" s="190"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Bajo</v>
      </c>
      <c r="O36" s="6">
        <v>1</v>
      </c>
      <c r="P36" s="201" t="s">
        <v>166</v>
      </c>
      <c r="Q36" s="202" t="str">
        <f t="shared" si="1"/>
        <v>Probabilidad</v>
      </c>
      <c r="R36" s="203" t="s">
        <v>134</v>
      </c>
      <c r="S36" s="203" t="s">
        <v>135</v>
      </c>
      <c r="T36" s="204" t="str">
        <f>IF(AND(R36="Preventivo",S36="Automático"),"50%",IF(AND(R36="Preventivo",S36="Manual"),"40%",IF(AND(R36="Detectivo",S36="Automático"),"40%",IF(AND(R36="Detectivo",S36="Manual"),"30%",IF(AND(R36="Correctivo",S36="Automático"),"35%",IF(AND(R36="Correctivo",S36="Manual"),"25%",""))))))</f>
        <v>40%</v>
      </c>
      <c r="U36" s="203" t="s">
        <v>136</v>
      </c>
      <c r="V36" s="203" t="s">
        <v>137</v>
      </c>
      <c r="W36" s="203" t="s">
        <v>138</v>
      </c>
      <c r="X36" s="182">
        <f>IFERROR(IF(Q36="Probabilidad",(I36-(+I36*T36)),IF(Q36="Impacto",I36,"")),"")</f>
        <v>0.24</v>
      </c>
      <c r="Y36" s="205" t="str">
        <f>IFERROR(IF(X36="","",IF(X36&lt;=0.2,"Muy Baja",IF(X36&lt;=0.4,"Baja",IF(X36&lt;=0.6,"Media",IF(X36&lt;=0.8,"Alta","Muy Alta"))))),"")</f>
        <v>Baja</v>
      </c>
      <c r="Z36" s="193">
        <f>+X36</f>
        <v>0.24</v>
      </c>
      <c r="AA36" s="205" t="str">
        <f>IFERROR(IF(AB36="","",IF(AB36&lt;=0.2,"Leve",IF(AB36&lt;=0.4,"Menor",IF(AB36&lt;=0.6,"Moderado",IF(AB36&lt;=0.8,"Mayor","Catastrófico"))))),"")</f>
        <v>Leve</v>
      </c>
      <c r="AB36" s="193">
        <f>IFERROR(IF(Q36="Impacto",(M36-(+M36*T36)),IF(Q36="Probabilidad",M36,"")),"")</f>
        <v>0.2</v>
      </c>
      <c r="AC36" s="206"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Bajo</v>
      </c>
      <c r="AD36" s="192"/>
      <c r="AE36" s="207"/>
      <c r="AF36" s="208"/>
      <c r="AG36" s="209"/>
      <c r="AH36" s="209"/>
      <c r="AI36" s="207"/>
      <c r="AJ36" s="20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15.5" customHeight="1" x14ac:dyDescent="0.3">
      <c r="A37" s="183">
        <v>6</v>
      </c>
      <c r="B37" s="187" t="s">
        <v>127</v>
      </c>
      <c r="C37" s="188" t="s">
        <v>167</v>
      </c>
      <c r="D37" s="188" t="s">
        <v>168</v>
      </c>
      <c r="E37" s="189" t="s">
        <v>169</v>
      </c>
      <c r="F37" s="187" t="s">
        <v>131</v>
      </c>
      <c r="G37" s="191">
        <v>4</v>
      </c>
      <c r="H37" s="186" t="str">
        <f>IF(G37&lt;=0,"",IF(G37&lt;=2,"Muy Baja",IF(G37&lt;=24,"Baja",IF(G37&lt;=500,"Media",IF(G37&lt;=5000,"Alta","Muy Alta")))))</f>
        <v>Baja</v>
      </c>
      <c r="I37" s="185">
        <f>IF(H37="","",IF(H37="Muy Baja",0.2,IF(H37="Baja",0.4,IF(H37="Media",0.6,IF(H37="Alta",0.8,IF(H37="Muy Alta",1,))))))</f>
        <v>0.4</v>
      </c>
      <c r="J37" s="184" t="s">
        <v>132</v>
      </c>
      <c r="K37" s="185" t="str">
        <f>IF(NOT(ISERROR(MATCH(J37,'Tabla Impacto'!$B$221:$B$223,0))),'Tabla Impacto'!$F$228&amp;"Por favor no seleccionar los criterios de impacto(Afectación Económica o presupuestal y Pérdida Reputacional)",J37)</f>
        <v xml:space="preserve">     El riesgo afecta la imagen de la entidad internamente, de conocimiento general, nivel interno, de junta dircetiva y accionistas y/o de provedores</v>
      </c>
      <c r="L37" s="186" t="str">
        <f>IF(OR(K37='Tabla Impacto'!$C$11,K37='Tabla Impacto'!$D$11),"Leve",IF(OR(K37='Tabla Impacto'!$C$12,K37='Tabla Impacto'!$D$12),"Menor",IF(OR(K37='Tabla Impacto'!$C$13,K37='Tabla Impacto'!$D$13),"Moderado",IF(OR(K37='Tabla Impacto'!$C$14,K37='Tabla Impacto'!$D$14),"Mayor",IF(OR(K37='Tabla Impacto'!$C$15,K37='Tabla Impacto'!$D$15),"Catastrófico","")))))</f>
        <v>Menor</v>
      </c>
      <c r="M37" s="185">
        <f>IF(L37="","",IF(L37="Leve",0.2,IF(L37="Menor",0.4,IF(L37="Moderado",0.6,IF(L37="Mayor",0.8,IF(L37="Catastrófico",1,))))))</f>
        <v>0.4</v>
      </c>
      <c r="N37" s="190"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Moderado</v>
      </c>
      <c r="O37" s="6">
        <v>1</v>
      </c>
      <c r="P37" s="201" t="s">
        <v>170</v>
      </c>
      <c r="Q37" s="202" t="str">
        <f t="shared" si="1"/>
        <v>Impacto</v>
      </c>
      <c r="R37" s="203" t="s">
        <v>145</v>
      </c>
      <c r="S37" s="203" t="s">
        <v>135</v>
      </c>
      <c r="T37" s="204" t="str">
        <f>IF(AND(R37="Preventivo",S37="Automático"),"50%",IF(AND(R37="Preventivo",S37="Manual"),"40%",IF(AND(R37="Detectivo",S37="Automático"),"40%",IF(AND(R37="Detectivo",S37="Manual"),"30%",IF(AND(R37="Correctivo",S37="Automático"),"35%",IF(AND(R37="Correctivo",S37="Manual"),"25%",""))))))</f>
        <v>25%</v>
      </c>
      <c r="U37" s="203" t="s">
        <v>136</v>
      </c>
      <c r="V37" s="203" t="s">
        <v>137</v>
      </c>
      <c r="W37" s="203" t="s">
        <v>138</v>
      </c>
      <c r="X37" s="182">
        <f>IFERROR(IF(Q37="Probabilidad",(I37-(+I37*T37)),IF(Q37="Impacto",I37,"")),"")</f>
        <v>0.4</v>
      </c>
      <c r="Y37" s="205" t="str">
        <f>IFERROR(IF(X37="","",IF(X37&lt;=0.2,"Muy Baja",IF(X37&lt;=0.4,"Baja",IF(X37&lt;=0.6,"Media",IF(X37&lt;=0.8,"Alta","Muy Alta"))))),"")</f>
        <v>Baja</v>
      </c>
      <c r="Z37" s="193">
        <f>+X37</f>
        <v>0.4</v>
      </c>
      <c r="AA37" s="205" t="str">
        <f>IFERROR(IF(AB37="","",IF(AB37&lt;=0.2,"Leve",IF(AB37&lt;=0.4,"Menor",IF(AB37&lt;=0.6,"Moderado",IF(AB37&lt;=0.8,"Mayor","Catastrófico"))))),"")</f>
        <v>Menor</v>
      </c>
      <c r="AB37" s="193">
        <f>IFERROR(IF(Q37="Impacto",(M37-(+M37*T37)),IF(Q37="Probabilidad",M37,"")),"")</f>
        <v>0.30000000000000004</v>
      </c>
      <c r="AC37" s="206"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Moderado</v>
      </c>
      <c r="AD37" s="192"/>
      <c r="AE37" s="207"/>
      <c r="AF37" s="208"/>
      <c r="AG37" s="209"/>
      <c r="AH37" s="209"/>
      <c r="AI37" s="207"/>
      <c r="AJ37" s="20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41" customHeight="1" x14ac:dyDescent="0.3">
      <c r="A38" s="273">
        <v>7</v>
      </c>
      <c r="B38" s="293" t="s">
        <v>127</v>
      </c>
      <c r="C38" s="302" t="s">
        <v>352</v>
      </c>
      <c r="D38" s="535" t="s">
        <v>350</v>
      </c>
      <c r="E38" s="535" t="s">
        <v>351</v>
      </c>
      <c r="F38" s="293" t="s">
        <v>131</v>
      </c>
      <c r="G38" s="296">
        <v>365</v>
      </c>
      <c r="H38" s="299" t="str">
        <f>IF(G38&lt;=0,"",IF(G38&lt;=2,"Muy Baja",IF(G38&lt;=24,"Baja",IF(G38&lt;=500,"Media",IF(G38&lt;=5000,"Alta","Muy Alta")))))</f>
        <v>Media</v>
      </c>
      <c r="I38" s="311">
        <f>IF(H38="","",IF(H38="Muy Baja",0.2,IF(H38="Baja",0.4,IF(H38="Media",0.6,IF(H38="Alta",0.8,IF(H38="Muy Alta",1,))))))</f>
        <v>0.6</v>
      </c>
      <c r="J38" s="314" t="s">
        <v>132</v>
      </c>
      <c r="K38" s="311" t="str">
        <f>IF(NOT(ISERROR(MATCH(J38,'Tabla Impacto'!$B$221:$B$223,0))),'Tabla Impacto'!$F$228&amp;"Por favor no seleccionar los criterios de impacto(Afectación Económica o presupuestal y Pérdida Reputacional)",J38)</f>
        <v xml:space="preserve">     El riesgo afecta la imagen de la entidad internamente, de conocimiento general, nivel interno, de junta dircetiva y accionistas y/o de provedores</v>
      </c>
      <c r="L38" s="186" t="str">
        <f>IF(OR(K38='Tabla Impacto'!$C$11,K38='Tabla Impacto'!$D$11),"Leve",IF(OR(K38='Tabla Impacto'!$C$12,K38='Tabla Impacto'!$D$12),"Menor",IF(OR(K38='Tabla Impacto'!$C$13,K38='Tabla Impacto'!$D$13),"Moderado",IF(OR(K38='Tabla Impacto'!$C$14,K38='Tabla Impacto'!$D$14),"Mayor",IF(OR(K38='Tabla Impacto'!$C$15,K38='Tabla Impacto'!$D$15),"Catastrófico","")))))</f>
        <v>Menor</v>
      </c>
      <c r="M38" s="185">
        <f t="shared" ref="M38:M43" si="7">IF(L38="","",IF(L38="Leve",0.2,IF(L38="Menor",0.4,IF(L38="Moderado",0.6,IF(L38="Mayor",0.8,IF(L38="Catastrófico",1,))))))</f>
        <v>0.4</v>
      </c>
      <c r="N38" s="190" t="str">
        <f t="shared" ref="N38:N43" si="8">IF(OR(AND(H38="Muy Baja",L38="Leve"),AND(H38="Muy Baja",L38="Menor"),AND(H38="Baja",L38="Leve")),"Bajo",IF(OR(AND(H38="Muy baja",L38="Moderado"),AND(H38="Baja",L38="Menor"),AND(H38="Baja",L38="Moderado"),AND(H38="Media",L38="Leve"),AND(H38="Media",L38="Menor"),AND(H38="Media",L38="Moderado"),AND(H38="Alta",L38="Leve"),AND(H38="Alta",L38="Menor")),"Moderado",IF(OR(AND(H38="Muy Baja",L38="Mayor"),AND(H38="Baja",L38="Mayor"),AND(H38="Media",L38="Mayor"),AND(H38="Alta",L38="Moderado"),AND(H38="Alta",L38="Mayor"),AND(H38="Muy Alta",L38="Leve"),AND(H38="Muy Alta",L38="Menor"),AND(H38="Muy Alta",L38="Moderado"),AND(H38="Muy Alta",L38="Mayor")),"Alto",IF(OR(AND(H38="Muy Baja",L38="Catastrófico"),AND(H38="Baja",L38="Catastrófico"),AND(H38="Media",L38="Catastrófico"),AND(H38="Alta",L38="Catastrófico"),AND(H38="Muy Alta",L38="Catastrófico")),"Extremo",""))))</f>
        <v>Moderado</v>
      </c>
      <c r="O38" s="6">
        <v>1</v>
      </c>
      <c r="P38" s="214" t="s">
        <v>353</v>
      </c>
      <c r="Q38" s="202" t="str">
        <f t="shared" si="1"/>
        <v>Probabilidad</v>
      </c>
      <c r="R38" s="538" t="s">
        <v>161</v>
      </c>
      <c r="S38" s="203" t="s">
        <v>135</v>
      </c>
      <c r="T38" s="204" t="str">
        <f>IF(AND(R38="Preventivo",S38="Automático"),"50%",IF(AND(R38="Preventivo",S38="Manual"),"40%",IF(AND(R38="Detectivo",S38="Automático"),"40%",IF(AND(R38="Detectivo",S38="Manual"),"30%",IF(AND(R38="Correctivo",S38="Automático"),"35%",IF(AND(R38="Correctivo",S38="Manual"),"25%",""))))))</f>
        <v>30%</v>
      </c>
      <c r="U38" s="538" t="s">
        <v>152</v>
      </c>
      <c r="V38" s="203" t="s">
        <v>137</v>
      </c>
      <c r="W38" s="203" t="s">
        <v>138</v>
      </c>
      <c r="X38" s="128">
        <f>IFERROR(IF(Q38="Probabilidad",(I38-(+I38*T38)),IF(Q38="Impacto",I38,"")),"")</f>
        <v>0.42</v>
      </c>
      <c r="Y38" s="205" t="str">
        <f>IFERROR(IF(X38="","",IF(X38&lt;=0.2,"Muy Baja",IF(X38&lt;=0.4,"Baja",IF(X38&lt;=0.6,"Media",IF(X38&lt;=0.8,"Alta","Muy Alta"))))),"")</f>
        <v>Media</v>
      </c>
      <c r="Z38" s="193">
        <f>+X38</f>
        <v>0.42</v>
      </c>
      <c r="AA38" s="205" t="str">
        <f>IFERROR(IF(AB38="","",IF(AB38&lt;=0.2,"Leve",IF(AB38&lt;=0.4,"Menor",IF(AB38&lt;=0.6,"Moderado",IF(AB38&lt;=0.8,"Mayor","Catastrófico"))))),"")</f>
        <v>Menor</v>
      </c>
      <c r="AB38" s="193">
        <f>IFERROR(IF(Q38="Impacto",(M38-(+M38*T38)),IF(Q38="Probabilidad",M38,"")),"")</f>
        <v>0.4</v>
      </c>
      <c r="AC38" s="206"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Moderado</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8" hidden="1" customHeight="1" x14ac:dyDescent="0.3">
      <c r="A39" s="274"/>
      <c r="B39" s="294"/>
      <c r="C39" s="303"/>
      <c r="D39" s="536"/>
      <c r="E39" s="536"/>
      <c r="F39" s="294"/>
      <c r="G39" s="297"/>
      <c r="H39" s="300"/>
      <c r="I39" s="312"/>
      <c r="J39" s="315"/>
      <c r="K39" s="312">
        <f>IF(NOT(ISERROR(MATCH(J39,_xlfn.ANCHORARRAY(E50),0))),I52&amp;"Por favor no seleccionar los criterios de impacto",J39)</f>
        <v>0</v>
      </c>
      <c r="L39" s="186" t="str">
        <f>IF(OR(K39='Tabla Impacto'!$C$11,K39='Tabla Impacto'!$D$11),"Leve",IF(OR(K39='Tabla Impacto'!$C$12,K39='Tabla Impacto'!$D$12),"Menor",IF(OR(K39='Tabla Impacto'!$C$13,K39='Tabla Impacto'!$D$13),"Moderado",IF(OR(K39='Tabla Impacto'!$C$14,K39='Tabla Impacto'!$D$14),"Mayor",IF(OR(K39='Tabla Impacto'!$C$15,K39='Tabla Impacto'!$D$15),"Catastrófico","")))))</f>
        <v/>
      </c>
      <c r="M39" s="185" t="str">
        <f t="shared" si="7"/>
        <v/>
      </c>
      <c r="N39" s="190" t="str">
        <f t="shared" si="8"/>
        <v/>
      </c>
      <c r="O39" s="123">
        <v>2</v>
      </c>
      <c r="P39" s="124"/>
      <c r="Q39" s="125" t="str">
        <f t="shared" si="1"/>
        <v/>
      </c>
      <c r="R39" s="126"/>
      <c r="S39" s="126"/>
      <c r="T39" s="127" t="str">
        <f t="shared" ref="T39:T43" si="9">IF(AND(R39="Preventivo",S39="Automático"),"50%",IF(AND(R39="Preventivo",S39="Manual"),"40%",IF(AND(R39="Detectivo",S39="Automático"),"40%",IF(AND(R39="Detectivo",S39="Manual"),"30%",IF(AND(R39="Correctivo",S39="Automático"),"35%",IF(AND(R39="Correctivo",S39="Manual"),"25%",""))))))</f>
        <v/>
      </c>
      <c r="U39" s="126"/>
      <c r="V39" s="126"/>
      <c r="W39" s="126"/>
      <c r="X39" s="128" t="str">
        <f>IFERROR(IF(AND(Q38="Probabilidad",Q39="Probabilidad"),(Z38-(+Z38*T39)),IF(Q39="Probabilidad",(I38-(+I38*T39)),IF(Q39="Impacto",Z38,""))),"")</f>
        <v/>
      </c>
      <c r="Y39" s="129" t="str">
        <f t="shared" si="3"/>
        <v/>
      </c>
      <c r="Z39" s="130" t="str">
        <f t="shared" ref="Z39:Z43" si="10">+X39</f>
        <v/>
      </c>
      <c r="AA39" s="129" t="str">
        <f t="shared" si="5"/>
        <v/>
      </c>
      <c r="AB39" s="130" t="str">
        <f>IFERROR(IF(AND(Q38="Impacto",Q39="Impacto"),(AB38-(+AB38*T39)),IF(Q39="Impacto",(M38-(+M38*T39)),IF(Q39="Probabilidad",AB38,""))),"")</f>
        <v/>
      </c>
      <c r="AC39" s="131" t="str">
        <f t="shared" ref="AC39:AC40" si="11">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8" hidden="1" customHeight="1" x14ac:dyDescent="0.3">
      <c r="A40" s="274"/>
      <c r="B40" s="294"/>
      <c r="C40" s="303"/>
      <c r="D40" s="536"/>
      <c r="E40" s="536"/>
      <c r="F40" s="294"/>
      <c r="G40" s="297"/>
      <c r="H40" s="300"/>
      <c r="I40" s="312"/>
      <c r="J40" s="315"/>
      <c r="K40" s="312">
        <f>IF(NOT(ISERROR(MATCH(J40,_xlfn.ANCHORARRAY(E51),0))),I53&amp;"Por favor no seleccionar los criterios de impacto",J40)</f>
        <v>0</v>
      </c>
      <c r="L40" s="186" t="str">
        <f>IF(OR(K40='Tabla Impacto'!$C$11,K40='Tabla Impacto'!$D$11),"Leve",IF(OR(K40='Tabla Impacto'!$C$12,K40='Tabla Impacto'!$D$12),"Menor",IF(OR(K40='Tabla Impacto'!$C$13,K40='Tabla Impacto'!$D$13),"Moderado",IF(OR(K40='Tabla Impacto'!$C$14,K40='Tabla Impacto'!$D$14),"Mayor",IF(OR(K40='Tabla Impacto'!$C$15,K40='Tabla Impacto'!$D$15),"Catastrófico","")))))</f>
        <v/>
      </c>
      <c r="M40" s="185" t="str">
        <f t="shared" si="7"/>
        <v/>
      </c>
      <c r="N40" s="190" t="str">
        <f t="shared" si="8"/>
        <v/>
      </c>
      <c r="O40" s="123">
        <v>3</v>
      </c>
      <c r="P40" s="136"/>
      <c r="Q40" s="125" t="str">
        <f t="shared" si="1"/>
        <v/>
      </c>
      <c r="R40" s="126"/>
      <c r="S40" s="126"/>
      <c r="T40" s="127" t="str">
        <f t="shared" si="9"/>
        <v/>
      </c>
      <c r="U40" s="126"/>
      <c r="V40" s="126"/>
      <c r="W40" s="126"/>
      <c r="X40" s="128" t="str">
        <f>IFERROR(IF(AND(Q39="Probabilidad",Q40="Probabilidad"),(Z39-(+Z39*T40)),IF(AND(Q39="Impacto",Q40="Probabilidad"),(Z38-(+Z38*T40)),IF(Q40="Impacto",Z39,""))),"")</f>
        <v/>
      </c>
      <c r="Y40" s="129" t="str">
        <f t="shared" si="3"/>
        <v/>
      </c>
      <c r="Z40" s="130" t="str">
        <f t="shared" si="10"/>
        <v/>
      </c>
      <c r="AA40" s="129" t="str">
        <f t="shared" si="5"/>
        <v/>
      </c>
      <c r="AB40" s="130" t="str">
        <f>IFERROR(IF(AND(Q39="Impacto",Q40="Impacto"),(AB39-(+AB39*T40)),IF(AND(Q39="Probabilidad",Q40="Impacto"),(AB38-(+AB38*T40)),IF(Q40="Probabilidad",AB39,""))),"")</f>
        <v/>
      </c>
      <c r="AC40" s="131" t="str">
        <f t="shared" si="11"/>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8" hidden="1" customHeight="1" x14ac:dyDescent="0.3">
      <c r="A41" s="274"/>
      <c r="B41" s="294"/>
      <c r="C41" s="303"/>
      <c r="D41" s="536"/>
      <c r="E41" s="536"/>
      <c r="F41" s="294"/>
      <c r="G41" s="297"/>
      <c r="H41" s="300"/>
      <c r="I41" s="312"/>
      <c r="J41" s="315"/>
      <c r="K41" s="312">
        <f>IF(NOT(ISERROR(MATCH(J41,_xlfn.ANCHORARRAY(E52),0))),I54&amp;"Por favor no seleccionar los criterios de impacto",J41)</f>
        <v>0</v>
      </c>
      <c r="L41" s="186" t="str">
        <f>IF(OR(K41='Tabla Impacto'!$C$11,K41='Tabla Impacto'!$D$11),"Leve",IF(OR(K41='Tabla Impacto'!$C$12,K41='Tabla Impacto'!$D$12),"Menor",IF(OR(K41='Tabla Impacto'!$C$13,K41='Tabla Impacto'!$D$13),"Moderado",IF(OR(K41='Tabla Impacto'!$C$14,K41='Tabla Impacto'!$D$14),"Mayor",IF(OR(K41='Tabla Impacto'!$C$15,K41='Tabla Impacto'!$D$15),"Catastrófico","")))))</f>
        <v/>
      </c>
      <c r="M41" s="185" t="str">
        <f t="shared" si="7"/>
        <v/>
      </c>
      <c r="N41" s="190" t="str">
        <f t="shared" si="8"/>
        <v/>
      </c>
      <c r="O41" s="123">
        <v>4</v>
      </c>
      <c r="P41" s="124"/>
      <c r="Q41" s="125" t="str">
        <f t="shared" ref="Q41:Q43" si="12">IF(OR(R41="Preventivo",R41="Detectivo"),"Probabilidad",IF(R41="Correctivo","Impacto",""))</f>
        <v/>
      </c>
      <c r="R41" s="126"/>
      <c r="S41" s="126"/>
      <c r="T41" s="127" t="str">
        <f t="shared" si="9"/>
        <v/>
      </c>
      <c r="U41" s="126"/>
      <c r="V41" s="126"/>
      <c r="W41" s="126"/>
      <c r="X41" s="128" t="str">
        <f t="shared" ref="X41:X43" si="13">IFERROR(IF(AND(Q40="Probabilidad",Q41="Probabilidad"),(Z40-(+Z40*T41)),IF(AND(Q40="Impacto",Q41="Probabilidad"),(Z39-(+Z39*T41)),IF(Q41="Impacto",Z40,""))),"")</f>
        <v/>
      </c>
      <c r="Y41" s="129" t="str">
        <f t="shared" si="3"/>
        <v/>
      </c>
      <c r="Z41" s="130" t="str">
        <f t="shared" si="10"/>
        <v/>
      </c>
      <c r="AA41" s="129" t="str">
        <f t="shared" si="5"/>
        <v/>
      </c>
      <c r="AB41" s="130" t="str">
        <f t="shared" ref="AB41:AB43" si="14">IFERROR(IF(AND(Q40="Impacto",Q41="Impacto"),(AB40-(+AB40*T41)),IF(AND(Q40="Probabilidad",Q41="Impacto"),(AB39-(+AB39*T41)),IF(Q41="Probabilidad",AB40,""))),"")</f>
        <v/>
      </c>
      <c r="AC41" s="131"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8" hidden="1" customHeight="1" x14ac:dyDescent="0.3">
      <c r="A42" s="274"/>
      <c r="B42" s="294"/>
      <c r="C42" s="303"/>
      <c r="D42" s="536"/>
      <c r="E42" s="536"/>
      <c r="F42" s="294"/>
      <c r="G42" s="297"/>
      <c r="H42" s="300"/>
      <c r="I42" s="312"/>
      <c r="J42" s="315"/>
      <c r="K42" s="312">
        <f>IF(NOT(ISERROR(MATCH(J42,_xlfn.ANCHORARRAY(E53),0))),I55&amp;"Por favor no seleccionar los criterios de impacto",J42)</f>
        <v>0</v>
      </c>
      <c r="L42" s="186" t="str">
        <f>IF(OR(K42='Tabla Impacto'!$C$11,K42='Tabla Impacto'!$D$11),"Leve",IF(OR(K42='Tabla Impacto'!$C$12,K42='Tabla Impacto'!$D$12),"Menor",IF(OR(K42='Tabla Impacto'!$C$13,K42='Tabla Impacto'!$D$13),"Moderado",IF(OR(K42='Tabla Impacto'!$C$14,K42='Tabla Impacto'!$D$14),"Mayor",IF(OR(K42='Tabla Impacto'!$C$15,K42='Tabla Impacto'!$D$15),"Catastrófico","")))))</f>
        <v/>
      </c>
      <c r="M42" s="185" t="str">
        <f t="shared" si="7"/>
        <v/>
      </c>
      <c r="N42" s="190" t="str">
        <f t="shared" si="8"/>
        <v/>
      </c>
      <c r="O42" s="123">
        <v>5</v>
      </c>
      <c r="P42" s="124"/>
      <c r="Q42" s="125" t="str">
        <f t="shared" si="12"/>
        <v/>
      </c>
      <c r="R42" s="126"/>
      <c r="S42" s="126"/>
      <c r="T42" s="127" t="str">
        <f t="shared" si="9"/>
        <v/>
      </c>
      <c r="U42" s="126"/>
      <c r="V42" s="126"/>
      <c r="W42" s="126"/>
      <c r="X42" s="128" t="str">
        <f t="shared" si="13"/>
        <v/>
      </c>
      <c r="Y42" s="129" t="str">
        <f t="shared" si="3"/>
        <v/>
      </c>
      <c r="Z42" s="130" t="str">
        <f t="shared" si="10"/>
        <v/>
      </c>
      <c r="AA42" s="129" t="str">
        <f t="shared" si="5"/>
        <v/>
      </c>
      <c r="AB42" s="130" t="str">
        <f t="shared" si="14"/>
        <v/>
      </c>
      <c r="AC42" s="131" t="str">
        <f t="shared" ref="AC42:AC43" si="15">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8" hidden="1" customHeight="1" x14ac:dyDescent="0.3">
      <c r="A43" s="275"/>
      <c r="B43" s="295"/>
      <c r="C43" s="304"/>
      <c r="D43" s="537"/>
      <c r="E43" s="537"/>
      <c r="F43" s="295"/>
      <c r="G43" s="298"/>
      <c r="H43" s="301"/>
      <c r="I43" s="313"/>
      <c r="J43" s="316"/>
      <c r="K43" s="313">
        <f>IF(NOT(ISERROR(MATCH(J43,_xlfn.ANCHORARRAY(E54),0))),I56&amp;"Por favor no seleccionar los criterios de impacto",J43)</f>
        <v>0</v>
      </c>
      <c r="L43" s="186" t="str">
        <f>IF(OR(K43='Tabla Impacto'!$C$11,K43='Tabla Impacto'!$D$11),"Leve",IF(OR(K43='Tabla Impacto'!$C$12,K43='Tabla Impacto'!$D$12),"Menor",IF(OR(K43='Tabla Impacto'!$C$13,K43='Tabla Impacto'!$D$13),"Moderado",IF(OR(K43='Tabla Impacto'!$C$14,K43='Tabla Impacto'!$D$14),"Mayor",IF(OR(K43='Tabla Impacto'!$C$15,K43='Tabla Impacto'!$D$15),"Catastrófico","")))))</f>
        <v/>
      </c>
      <c r="M43" s="185" t="str">
        <f t="shared" si="7"/>
        <v/>
      </c>
      <c r="N43" s="190" t="str">
        <f t="shared" si="8"/>
        <v/>
      </c>
      <c r="O43" s="123">
        <v>6</v>
      </c>
      <c r="P43" s="124"/>
      <c r="Q43" s="125" t="str">
        <f t="shared" si="12"/>
        <v/>
      </c>
      <c r="R43" s="126"/>
      <c r="S43" s="126"/>
      <c r="T43" s="127" t="str">
        <f t="shared" si="9"/>
        <v/>
      </c>
      <c r="U43" s="126"/>
      <c r="V43" s="126"/>
      <c r="W43" s="126"/>
      <c r="X43" s="128" t="str">
        <f t="shared" si="13"/>
        <v/>
      </c>
      <c r="Y43" s="129" t="str">
        <f t="shared" si="3"/>
        <v/>
      </c>
      <c r="Z43" s="130" t="str">
        <f t="shared" si="10"/>
        <v/>
      </c>
      <c r="AA43" s="129" t="str">
        <f t="shared" si="5"/>
        <v/>
      </c>
      <c r="AB43" s="130" t="str">
        <f t="shared" si="14"/>
        <v/>
      </c>
      <c r="AC43" s="131" t="str">
        <f t="shared" si="15"/>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8" hidden="1" customHeight="1" x14ac:dyDescent="0.3">
      <c r="A44" s="273">
        <v>9</v>
      </c>
      <c r="B44" s="260"/>
      <c r="C44" s="260"/>
      <c r="D44" s="260"/>
      <c r="E44" s="348"/>
      <c r="F44" s="260"/>
      <c r="G44" s="351"/>
      <c r="H44" s="345" t="str">
        <f>IF(G44&lt;=0,"",IF(G44&lt;=2,"Muy Baja",IF(G44&lt;=24,"Baja",IF(G44&lt;=500,"Media",IF(G44&lt;=5000,"Alta","Muy Alta")))))</f>
        <v/>
      </c>
      <c r="I44" s="342" t="str">
        <f>IF(H44="","",IF(H44="Muy Baja",0.2,IF(H44="Baja",0.4,IF(H44="Media",0.6,IF(H44="Alta",0.8,IF(H44="Muy Alta",1,))))))</f>
        <v/>
      </c>
      <c r="J44" s="339"/>
      <c r="K44" s="342">
        <f>IF(NOT(ISERROR(MATCH(J44,'Tabla Impacto'!$B$221:$B$223,0))),'Tabla Impacto'!$F$228&amp;"Por favor no seleccionar los criterios de impacto(Afectación Económica o presupuestal y Pérdida Reputacional)",J44)</f>
        <v>0</v>
      </c>
      <c r="L44" s="345" t="str">
        <f>IF(OR(K44='Tabla Impacto'!$C$11,K44='Tabla Impacto'!$D$11),"Leve",IF(OR(K44='Tabla Impacto'!$C$12,K44='Tabla Impacto'!$D$12),"Menor",IF(OR(K44='Tabla Impacto'!$C$13,K44='Tabla Impacto'!$D$13),"Moderado",IF(OR(K44='Tabla Impacto'!$C$14,K44='Tabla Impacto'!$D$14),"Mayor",IF(OR(K44='Tabla Impacto'!$C$15,K44='Tabla Impacto'!$D$15),"Catastrófico","")))))</f>
        <v/>
      </c>
      <c r="M44" s="342" t="str">
        <f>IF(L44="","",IF(L44="Leve",0.2,IF(L44="Menor",0.4,IF(L44="Moderado",0.6,IF(L44="Mayor",0.8,IF(L44="Catastrófico",1,))))))</f>
        <v/>
      </c>
      <c r="N44" s="336" t="str">
        <f>IF(OR(AND(H44="Muy Baja",L44="Leve"),AND(H44="Muy Baja",L44="Menor"),AND(H44="Baja",L44="Leve")),"Bajo",IF(OR(AND(H44="Muy baja",L44="Moderado"),AND(H44="Baja",L44="Menor"),AND(H44="Baja",L44="Moderado"),AND(H44="Media",L44="Leve"),AND(H44="Media",L44="Menor"),AND(H44="Media",L44="Moderado"),AND(H44="Alta",L44="Leve"),AND(H44="Alta",L44="Menor")),"Moderado",IF(OR(AND(H44="Muy Baja",L44="Mayor"),AND(H44="Baja",L44="Mayor"),AND(H44="Media",L44="Mayor"),AND(H44="Alta",L44="Moderado"),AND(H44="Alta",L44="Mayor"),AND(H44="Muy Alta",L44="Leve"),AND(H44="Muy Alta",L44="Menor"),AND(H44="Muy Alta",L44="Moderado"),AND(H44="Muy Alta",L44="Mayor")),"Alto",IF(OR(AND(H44="Muy Baja",L44="Catastrófico"),AND(H44="Baja",L44="Catastrófico"),AND(H44="Media",L44="Catastrófico"),AND(H44="Alta",L44="Catastrófico"),AND(H44="Muy Alta",L44="Catastrófico")),"Extremo",""))))</f>
        <v/>
      </c>
      <c r="O44" s="123">
        <v>1</v>
      </c>
      <c r="P44" s="124"/>
      <c r="Q44" s="125" t="str">
        <f>IF(OR(R44="Preventivo",R44="Detectivo"),"Probabilidad",IF(R44="Correctivo","Impacto",""))</f>
        <v/>
      </c>
      <c r="R44" s="126"/>
      <c r="S44" s="126"/>
      <c r="T44" s="127" t="str">
        <f>IF(AND(R44="Preventivo",S44="Automático"),"50%",IF(AND(R44="Preventivo",S44="Manual"),"40%",IF(AND(R44="Detectivo",S44="Automático"),"40%",IF(AND(R44="Detectivo",S44="Manual"),"30%",IF(AND(R44="Correctivo",S44="Automático"),"35%",IF(AND(R44="Correctivo",S44="Manual"),"25%",""))))))</f>
        <v/>
      </c>
      <c r="U44" s="126"/>
      <c r="V44" s="126"/>
      <c r="W44" s="126"/>
      <c r="X44" s="128" t="str">
        <f>IFERROR(IF(Q44="Probabilidad",(I44-(+I44*T44)),IF(Q44="Impacto",I44,"")),"")</f>
        <v/>
      </c>
      <c r="Y44" s="129" t="str">
        <f>IFERROR(IF(X44="","",IF(X44&lt;=0.2,"Muy Baja",IF(X44&lt;=0.4,"Baja",IF(X44&lt;=0.6,"Media",IF(X44&lt;=0.8,"Alta","Muy Alta"))))),"")</f>
        <v/>
      </c>
      <c r="Z44" s="130" t="str">
        <f>+X44</f>
        <v/>
      </c>
      <c r="AA44" s="129" t="str">
        <f>IFERROR(IF(AB44="","",IF(AB44&lt;=0.2,"Leve",IF(AB44&lt;=0.4,"Menor",IF(AB44&lt;=0.6,"Moderado",IF(AB44&lt;=0.8,"Mayor","Catastrófico"))))),"")</f>
        <v/>
      </c>
      <c r="AB44" s="130" t="str">
        <f>IFERROR(IF(Q44="Impacto",(M44-(+M44*T44)),IF(Q44="Probabilidad",M44,"")),"")</f>
        <v/>
      </c>
      <c r="AC44" s="131" t="str">
        <f>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8" hidden="1" customHeight="1" x14ac:dyDescent="0.3">
      <c r="A45" s="274"/>
      <c r="B45" s="261"/>
      <c r="C45" s="261"/>
      <c r="D45" s="261"/>
      <c r="E45" s="349"/>
      <c r="F45" s="261"/>
      <c r="G45" s="352"/>
      <c r="H45" s="346"/>
      <c r="I45" s="343"/>
      <c r="J45" s="340"/>
      <c r="K45" s="343">
        <f>IF(NOT(ISERROR(MATCH(J45,_xlfn.ANCHORARRAY(E56),0))),I58&amp;"Por favor no seleccionar los criterios de impacto",J45)</f>
        <v>0</v>
      </c>
      <c r="L45" s="346"/>
      <c r="M45" s="343"/>
      <c r="N45" s="337"/>
      <c r="O45" s="123">
        <v>2</v>
      </c>
      <c r="P45" s="124"/>
      <c r="Q45" s="125" t="str">
        <f>IF(OR(R45="Preventivo",R45="Detectivo"),"Probabilidad",IF(R45="Correctivo","Impacto",""))</f>
        <v/>
      </c>
      <c r="R45" s="126"/>
      <c r="S45" s="126"/>
      <c r="T45" s="127" t="str">
        <f t="shared" ref="T45:T49" si="16">IF(AND(R45="Preventivo",S45="Automático"),"50%",IF(AND(R45="Preventivo",S45="Manual"),"40%",IF(AND(R45="Detectivo",S45="Automático"),"40%",IF(AND(R45="Detectivo",S45="Manual"),"30%",IF(AND(R45="Correctivo",S45="Automático"),"35%",IF(AND(R45="Correctivo",S45="Manual"),"25%",""))))))</f>
        <v/>
      </c>
      <c r="U45" s="126"/>
      <c r="V45" s="126"/>
      <c r="W45" s="126"/>
      <c r="X45" s="128" t="str">
        <f>IFERROR(IF(AND(Q44="Probabilidad",Q45="Probabilidad"),(Z44-(+Z44*T45)),IF(Q45="Probabilidad",(I44-(+I44*T45)),IF(Q45="Impacto",Z44,""))),"")</f>
        <v/>
      </c>
      <c r="Y45" s="129" t="str">
        <f t="shared" si="3"/>
        <v/>
      </c>
      <c r="Z45" s="130" t="str">
        <f t="shared" ref="Z45:Z49" si="17">+X45</f>
        <v/>
      </c>
      <c r="AA45" s="129" t="str">
        <f t="shared" si="5"/>
        <v/>
      </c>
      <c r="AB45" s="130" t="str">
        <f>IFERROR(IF(AND(Q44="Impacto",Q45="Impacto"),(AB44-(+AB44*T45)),IF(Q45="Impacto",(M44-(+M44*T45)),IF(Q45="Probabilidad",AB44,""))),"")</f>
        <v/>
      </c>
      <c r="AC45" s="131" t="str">
        <f t="shared" ref="AC45:AC46" si="18">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8" hidden="1" customHeight="1" x14ac:dyDescent="0.3">
      <c r="A46" s="274"/>
      <c r="B46" s="261"/>
      <c r="C46" s="261"/>
      <c r="D46" s="261"/>
      <c r="E46" s="349"/>
      <c r="F46" s="261"/>
      <c r="G46" s="352"/>
      <c r="H46" s="346"/>
      <c r="I46" s="343"/>
      <c r="J46" s="340"/>
      <c r="K46" s="343">
        <f>IF(NOT(ISERROR(MATCH(J46,_xlfn.ANCHORARRAY(E57),0))),I59&amp;"Por favor no seleccionar los criterios de impacto",J46)</f>
        <v>0</v>
      </c>
      <c r="L46" s="346"/>
      <c r="M46" s="343"/>
      <c r="N46" s="337"/>
      <c r="O46" s="123">
        <v>3</v>
      </c>
      <c r="P46" s="136"/>
      <c r="Q46" s="125" t="str">
        <f>IF(OR(R46="Preventivo",R46="Detectivo"),"Probabilidad",IF(R46="Correctivo","Impacto",""))</f>
        <v/>
      </c>
      <c r="R46" s="126"/>
      <c r="S46" s="126"/>
      <c r="T46" s="127" t="str">
        <f t="shared" si="16"/>
        <v/>
      </c>
      <c r="U46" s="126"/>
      <c r="V46" s="126"/>
      <c r="W46" s="126"/>
      <c r="X46" s="128" t="str">
        <f>IFERROR(IF(AND(Q45="Probabilidad",Q46="Probabilidad"),(Z45-(+Z45*T46)),IF(AND(Q45="Impacto",Q46="Probabilidad"),(Z44-(+Z44*T46)),IF(Q46="Impacto",Z45,""))),"")</f>
        <v/>
      </c>
      <c r="Y46" s="129" t="str">
        <f t="shared" si="3"/>
        <v/>
      </c>
      <c r="Z46" s="130" t="str">
        <f t="shared" si="17"/>
        <v/>
      </c>
      <c r="AA46" s="129" t="str">
        <f t="shared" si="5"/>
        <v/>
      </c>
      <c r="AB46" s="130" t="str">
        <f>IFERROR(IF(AND(Q45="Impacto",Q46="Impacto"),(AB45-(+AB45*T46)),IF(AND(Q45="Probabilidad",Q46="Impacto"),(AB44-(+AB44*T46)),IF(Q46="Probabilidad",AB45,""))),"")</f>
        <v/>
      </c>
      <c r="AC46" s="131" t="str">
        <f t="shared" si="18"/>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8" hidden="1" customHeight="1" x14ac:dyDescent="0.3">
      <c r="A47" s="274"/>
      <c r="B47" s="261"/>
      <c r="C47" s="261"/>
      <c r="D47" s="261"/>
      <c r="E47" s="349"/>
      <c r="F47" s="261"/>
      <c r="G47" s="352"/>
      <c r="H47" s="346"/>
      <c r="I47" s="343"/>
      <c r="J47" s="340"/>
      <c r="K47" s="343">
        <f>IF(NOT(ISERROR(MATCH(J47,_xlfn.ANCHORARRAY(E58),0))),I60&amp;"Por favor no seleccionar los criterios de impacto",J47)</f>
        <v>0</v>
      </c>
      <c r="L47" s="346"/>
      <c r="M47" s="343"/>
      <c r="N47" s="337"/>
      <c r="O47" s="123">
        <v>4</v>
      </c>
      <c r="P47" s="124"/>
      <c r="Q47" s="125" t="str">
        <f t="shared" ref="Q47:Q49" si="19">IF(OR(R47="Preventivo",R47="Detectivo"),"Probabilidad",IF(R47="Correctivo","Impacto",""))</f>
        <v/>
      </c>
      <c r="R47" s="126"/>
      <c r="S47" s="126"/>
      <c r="T47" s="127" t="str">
        <f t="shared" si="16"/>
        <v/>
      </c>
      <c r="U47" s="126"/>
      <c r="V47" s="126"/>
      <c r="W47" s="126"/>
      <c r="X47" s="128" t="str">
        <f t="shared" ref="X47:X49" si="20">IFERROR(IF(AND(Q46="Probabilidad",Q47="Probabilidad"),(Z46-(+Z46*T47)),IF(AND(Q46="Impacto",Q47="Probabilidad"),(Z45-(+Z45*T47)),IF(Q47="Impacto",Z46,""))),"")</f>
        <v/>
      </c>
      <c r="Y47" s="129" t="str">
        <f t="shared" si="3"/>
        <v/>
      </c>
      <c r="Z47" s="130" t="str">
        <f t="shared" si="17"/>
        <v/>
      </c>
      <c r="AA47" s="129" t="str">
        <f t="shared" si="5"/>
        <v/>
      </c>
      <c r="AB47" s="130" t="str">
        <f t="shared" ref="AB47:AB49" si="21">IFERROR(IF(AND(Q46="Impacto",Q47="Impacto"),(AB46-(+AB46*T47)),IF(AND(Q46="Probabilidad",Q47="Impacto"),(AB45-(+AB45*T47)),IF(Q47="Probabilidad",AB46,""))),"")</f>
        <v/>
      </c>
      <c r="AC47" s="131"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8" hidden="1" customHeight="1" x14ac:dyDescent="0.3">
      <c r="A48" s="274"/>
      <c r="B48" s="261"/>
      <c r="C48" s="261"/>
      <c r="D48" s="261"/>
      <c r="E48" s="349"/>
      <c r="F48" s="261"/>
      <c r="G48" s="352"/>
      <c r="H48" s="346"/>
      <c r="I48" s="343"/>
      <c r="J48" s="340"/>
      <c r="K48" s="343">
        <f>IF(NOT(ISERROR(MATCH(J48,_xlfn.ANCHORARRAY(E59),0))),I61&amp;"Por favor no seleccionar los criterios de impacto",J48)</f>
        <v>0</v>
      </c>
      <c r="L48" s="346"/>
      <c r="M48" s="343"/>
      <c r="N48" s="337"/>
      <c r="O48" s="123">
        <v>5</v>
      </c>
      <c r="P48" s="124"/>
      <c r="Q48" s="125" t="str">
        <f t="shared" si="19"/>
        <v/>
      </c>
      <c r="R48" s="126"/>
      <c r="S48" s="126"/>
      <c r="T48" s="127" t="str">
        <f t="shared" si="16"/>
        <v/>
      </c>
      <c r="U48" s="126"/>
      <c r="V48" s="126"/>
      <c r="W48" s="126"/>
      <c r="X48" s="128" t="str">
        <f t="shared" si="20"/>
        <v/>
      </c>
      <c r="Y48" s="129" t="str">
        <f t="shared" si="3"/>
        <v/>
      </c>
      <c r="Z48" s="130" t="str">
        <f t="shared" si="17"/>
        <v/>
      </c>
      <c r="AA48" s="129" t="str">
        <f t="shared" si="5"/>
        <v/>
      </c>
      <c r="AB48" s="130" t="str">
        <f t="shared" si="21"/>
        <v/>
      </c>
      <c r="AC48" s="131" t="str">
        <f t="shared" ref="AC48:AC49" si="22">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8" hidden="1" customHeight="1" x14ac:dyDescent="0.3">
      <c r="A49" s="275"/>
      <c r="B49" s="262"/>
      <c r="C49" s="262"/>
      <c r="D49" s="262"/>
      <c r="E49" s="350"/>
      <c r="F49" s="262"/>
      <c r="G49" s="353"/>
      <c r="H49" s="347"/>
      <c r="I49" s="344"/>
      <c r="J49" s="341"/>
      <c r="K49" s="344">
        <f>IF(NOT(ISERROR(MATCH(J49,_xlfn.ANCHORARRAY(E60),0))),I62&amp;"Por favor no seleccionar los criterios de impacto",J49)</f>
        <v>0</v>
      </c>
      <c r="L49" s="347"/>
      <c r="M49" s="344"/>
      <c r="N49" s="338"/>
      <c r="O49" s="123">
        <v>6</v>
      </c>
      <c r="P49" s="124"/>
      <c r="Q49" s="125" t="str">
        <f t="shared" si="19"/>
        <v/>
      </c>
      <c r="R49" s="126"/>
      <c r="S49" s="126"/>
      <c r="T49" s="127" t="str">
        <f t="shared" si="16"/>
        <v/>
      </c>
      <c r="U49" s="126"/>
      <c r="V49" s="126"/>
      <c r="W49" s="126"/>
      <c r="X49" s="128" t="str">
        <f t="shared" si="20"/>
        <v/>
      </c>
      <c r="Y49" s="129" t="str">
        <f t="shared" si="3"/>
        <v/>
      </c>
      <c r="Z49" s="130" t="str">
        <f t="shared" si="17"/>
        <v/>
      </c>
      <c r="AA49" s="129" t="str">
        <f t="shared" si="5"/>
        <v/>
      </c>
      <c r="AB49" s="130" t="str">
        <f t="shared" si="21"/>
        <v/>
      </c>
      <c r="AC49" s="131" t="str">
        <f t="shared" si="22"/>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8" hidden="1" customHeight="1" x14ac:dyDescent="0.3">
      <c r="A50" s="273">
        <v>10</v>
      </c>
      <c r="B50" s="260"/>
      <c r="C50" s="260"/>
      <c r="D50" s="260"/>
      <c r="E50" s="348"/>
      <c r="F50" s="260"/>
      <c r="G50" s="351"/>
      <c r="H50" s="345" t="str">
        <f>IF(G50&lt;=0,"",IF(G50&lt;=2,"Muy Baja",IF(G50&lt;=24,"Baja",IF(G50&lt;=500,"Media",IF(G50&lt;=5000,"Alta","Muy Alta")))))</f>
        <v/>
      </c>
      <c r="I50" s="342" t="str">
        <f>IF(H50="","",IF(H50="Muy Baja",0.2,IF(H50="Baja",0.4,IF(H50="Media",0.6,IF(H50="Alta",0.8,IF(H50="Muy Alta",1,))))))</f>
        <v/>
      </c>
      <c r="J50" s="339"/>
      <c r="K50" s="342">
        <f>IF(NOT(ISERROR(MATCH(J50,'Tabla Impacto'!$B$221:$B$223,0))),'Tabla Impacto'!$F$228&amp;"Por favor no seleccionar los criterios de impacto(Afectación Económica o presupuestal y Pérdida Reputacional)",J50)</f>
        <v>0</v>
      </c>
      <c r="L50" s="345" t="str">
        <f>IF(OR(K50='Tabla Impacto'!$C$11,K50='Tabla Impacto'!$D$11),"Leve",IF(OR(K50='Tabla Impacto'!$C$12,K50='Tabla Impacto'!$D$12),"Menor",IF(OR(K50='Tabla Impacto'!$C$13,K50='Tabla Impacto'!$D$13),"Moderado",IF(OR(K50='Tabla Impacto'!$C$14,K50='Tabla Impacto'!$D$14),"Mayor",IF(OR(K50='Tabla Impacto'!$C$15,K50='Tabla Impacto'!$D$15),"Catastrófico","")))))</f>
        <v/>
      </c>
      <c r="M50" s="342" t="str">
        <f>IF(L50="","",IF(L50="Leve",0.2,IF(L50="Menor",0.4,IF(L50="Moderado",0.6,IF(L50="Mayor",0.8,IF(L50="Catastrófico",1,))))))</f>
        <v/>
      </c>
      <c r="N50" s="336" t="str">
        <f>IF(OR(AND(H50="Muy Baja",L50="Leve"),AND(H50="Muy Baja",L50="Menor"),AND(H50="Baja",L50="Leve")),"Bajo",IF(OR(AND(H50="Muy baja",L50="Moderado"),AND(H50="Baja",L50="Menor"),AND(H50="Baja",L50="Moderado"),AND(H50="Media",L50="Leve"),AND(H50="Media",L50="Menor"),AND(H50="Media",L50="Moderado"),AND(H50="Alta",L50="Leve"),AND(H50="Alta",L50="Menor")),"Moderado",IF(OR(AND(H50="Muy Baja",L50="Mayor"),AND(H50="Baja",L50="Mayor"),AND(H50="Media",L50="Mayor"),AND(H50="Alta",L50="Moderado"),AND(H50="Alta",L50="Mayor"),AND(H50="Muy Alta",L50="Leve"),AND(H50="Muy Alta",L50="Menor"),AND(H50="Muy Alta",L50="Moderado"),AND(H50="Muy Alta",L50="Mayor")),"Alto",IF(OR(AND(H50="Muy Baja",L50="Catastrófico"),AND(H50="Baja",L50="Catastrófico"),AND(H50="Media",L50="Catastrófico"),AND(H50="Alta",L50="Catastrófico"),AND(H50="Muy Alta",L50="Catastrófico")),"Extremo",""))))</f>
        <v/>
      </c>
      <c r="O50" s="123">
        <v>1</v>
      </c>
      <c r="P50" s="124"/>
      <c r="Q50" s="125" t="str">
        <f>IF(OR(R50="Preventivo",R50="Detectivo"),"Probabilidad",IF(R50="Correctivo","Impacto",""))</f>
        <v/>
      </c>
      <c r="R50" s="126"/>
      <c r="S50" s="126"/>
      <c r="T50" s="127" t="str">
        <f>IF(AND(R50="Preventivo",S50="Automático"),"50%",IF(AND(R50="Preventivo",S50="Manual"),"40%",IF(AND(R50="Detectivo",S50="Automático"),"40%",IF(AND(R50="Detectivo",S50="Manual"),"30%",IF(AND(R50="Correctivo",S50="Automático"),"35%",IF(AND(R50="Correctivo",S50="Manual"),"25%",""))))))</f>
        <v/>
      </c>
      <c r="U50" s="126"/>
      <c r="V50" s="126"/>
      <c r="W50" s="126"/>
      <c r="X50" s="128" t="str">
        <f>IFERROR(IF(Q50="Probabilidad",(I50-(+I50*T50)),IF(Q50="Impacto",I50,"")),"")</f>
        <v/>
      </c>
      <c r="Y50" s="129" t="str">
        <f>IFERROR(IF(X50="","",IF(X50&lt;=0.2,"Muy Baja",IF(X50&lt;=0.4,"Baja",IF(X50&lt;=0.6,"Media",IF(X50&lt;=0.8,"Alta","Muy Alta"))))),"")</f>
        <v/>
      </c>
      <c r="Z50" s="130" t="str">
        <f>+X50</f>
        <v/>
      </c>
      <c r="AA50" s="129" t="str">
        <f>IFERROR(IF(AB50="","",IF(AB50&lt;=0.2,"Leve",IF(AB50&lt;=0.4,"Menor",IF(AB50&lt;=0.6,"Moderado",IF(AB50&lt;=0.8,"Mayor","Catastrófico"))))),"")</f>
        <v/>
      </c>
      <c r="AB50" s="130" t="str">
        <f>IFERROR(IF(Q50="Impacto",(M50-(+M50*T50)),IF(Q50="Probabilidad",M50,"")),"")</f>
        <v/>
      </c>
      <c r="AC50" s="131" t="str">
        <f>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8" hidden="1" customHeight="1" x14ac:dyDescent="0.3">
      <c r="A51" s="274"/>
      <c r="B51" s="261"/>
      <c r="C51" s="261"/>
      <c r="D51" s="261"/>
      <c r="E51" s="349"/>
      <c r="F51" s="261"/>
      <c r="G51" s="352"/>
      <c r="H51" s="346"/>
      <c r="I51" s="343"/>
      <c r="J51" s="340"/>
      <c r="K51" s="343">
        <f>IF(NOT(ISERROR(MATCH(J51,_xlfn.ANCHORARRAY(E62),0))),I64&amp;"Por favor no seleccionar los criterios de impacto",J51)</f>
        <v>0</v>
      </c>
      <c r="L51" s="346"/>
      <c r="M51" s="343"/>
      <c r="N51" s="337"/>
      <c r="O51" s="123">
        <v>2</v>
      </c>
      <c r="P51" s="124"/>
      <c r="Q51" s="125" t="str">
        <f>IF(OR(R51="Preventivo",R51="Detectivo"),"Probabilidad",IF(R51="Correctivo","Impacto",""))</f>
        <v/>
      </c>
      <c r="R51" s="126"/>
      <c r="S51" s="126"/>
      <c r="T51" s="127" t="str">
        <f t="shared" ref="T51:T55" si="23">IF(AND(R51="Preventivo",S51="Automático"),"50%",IF(AND(R51="Preventivo",S51="Manual"),"40%",IF(AND(R51="Detectivo",S51="Automático"),"40%",IF(AND(R51="Detectivo",S51="Manual"),"30%",IF(AND(R51="Correctivo",S51="Automático"),"35%",IF(AND(R51="Correctivo",S51="Manual"),"25%",""))))))</f>
        <v/>
      </c>
      <c r="U51" s="126"/>
      <c r="V51" s="126"/>
      <c r="W51" s="126"/>
      <c r="X51" s="128" t="str">
        <f>IFERROR(IF(AND(Q50="Probabilidad",Q51="Probabilidad"),(Z50-(+Z50*T51)),IF(Q51="Probabilidad",(I50-(+I50*T51)),IF(Q51="Impacto",Z50,""))),"")</f>
        <v/>
      </c>
      <c r="Y51" s="129" t="str">
        <f t="shared" si="3"/>
        <v/>
      </c>
      <c r="Z51" s="130" t="str">
        <f t="shared" ref="Z51:Z55" si="24">+X51</f>
        <v/>
      </c>
      <c r="AA51" s="129" t="str">
        <f t="shared" si="5"/>
        <v/>
      </c>
      <c r="AB51" s="130" t="str">
        <f>IFERROR(IF(AND(Q50="Impacto",Q51="Impacto"),(AB50-(+AB50*T51)),IF(Q51="Impacto",(M50-(+M50*T51)),IF(Q51="Probabilidad",AB50,""))),"")</f>
        <v/>
      </c>
      <c r="AC51" s="131" t="str">
        <f t="shared" ref="AC51:AC52" si="25">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32"/>
      <c r="AE51" s="133"/>
      <c r="AF51" s="134"/>
      <c r="AG51" s="135"/>
      <c r="AH51" s="135"/>
      <c r="AI51" s="133"/>
      <c r="AJ51" s="134"/>
    </row>
    <row r="52" spans="1:68" ht="18" hidden="1" customHeight="1" x14ac:dyDescent="0.3">
      <c r="A52" s="274"/>
      <c r="B52" s="261"/>
      <c r="C52" s="261"/>
      <c r="D52" s="261"/>
      <c r="E52" s="349"/>
      <c r="F52" s="261"/>
      <c r="G52" s="352"/>
      <c r="H52" s="346"/>
      <c r="I52" s="343"/>
      <c r="J52" s="340"/>
      <c r="K52" s="343">
        <f>IF(NOT(ISERROR(MATCH(J52,_xlfn.ANCHORARRAY(E63),0))),I65&amp;"Por favor no seleccionar los criterios de impacto",J52)</f>
        <v>0</v>
      </c>
      <c r="L52" s="346"/>
      <c r="M52" s="343"/>
      <c r="N52" s="337"/>
      <c r="O52" s="123">
        <v>3</v>
      </c>
      <c r="P52" s="136"/>
      <c r="Q52" s="125" t="str">
        <f>IF(OR(R52="Preventivo",R52="Detectivo"),"Probabilidad",IF(R52="Correctivo","Impacto",""))</f>
        <v/>
      </c>
      <c r="R52" s="126"/>
      <c r="S52" s="126"/>
      <c r="T52" s="127" t="str">
        <f t="shared" si="23"/>
        <v/>
      </c>
      <c r="U52" s="126"/>
      <c r="V52" s="126"/>
      <c r="W52" s="126"/>
      <c r="X52" s="128" t="str">
        <f>IFERROR(IF(AND(Q51="Probabilidad",Q52="Probabilidad"),(Z51-(+Z51*T52)),IF(AND(Q51="Impacto",Q52="Probabilidad"),(Z50-(+Z50*T52)),IF(Q52="Impacto",Z51,""))),"")</f>
        <v/>
      </c>
      <c r="Y52" s="129" t="str">
        <f t="shared" si="3"/>
        <v/>
      </c>
      <c r="Z52" s="130" t="str">
        <f t="shared" si="24"/>
        <v/>
      </c>
      <c r="AA52" s="129" t="str">
        <f t="shared" si="5"/>
        <v/>
      </c>
      <c r="AB52" s="130" t="str">
        <f>IFERROR(IF(AND(Q51="Impacto",Q52="Impacto"),(AB51-(+AB51*T52)),IF(AND(Q51="Probabilidad",Q52="Impacto"),(AB50-(+AB50*T52)),IF(Q52="Probabilidad",AB51,""))),"")</f>
        <v/>
      </c>
      <c r="AC52" s="131" t="str">
        <f t="shared" si="25"/>
        <v/>
      </c>
      <c r="AD52" s="132"/>
      <c r="AE52" s="133"/>
      <c r="AF52" s="134"/>
      <c r="AG52" s="135"/>
      <c r="AH52" s="135"/>
      <c r="AI52" s="133"/>
      <c r="AJ52" s="134"/>
    </row>
    <row r="53" spans="1:68" ht="18" hidden="1" customHeight="1" x14ac:dyDescent="0.3">
      <c r="A53" s="274"/>
      <c r="B53" s="261"/>
      <c r="C53" s="261"/>
      <c r="D53" s="261"/>
      <c r="E53" s="349"/>
      <c r="F53" s="261"/>
      <c r="G53" s="352"/>
      <c r="H53" s="346"/>
      <c r="I53" s="343"/>
      <c r="J53" s="340"/>
      <c r="K53" s="343">
        <f>IF(NOT(ISERROR(MATCH(J53,_xlfn.ANCHORARRAY(E64),0))),I66&amp;"Por favor no seleccionar los criterios de impacto",J53)</f>
        <v>0</v>
      </c>
      <c r="L53" s="346"/>
      <c r="M53" s="343"/>
      <c r="N53" s="337"/>
      <c r="O53" s="123">
        <v>4</v>
      </c>
      <c r="P53" s="124"/>
      <c r="Q53" s="125" t="str">
        <f t="shared" ref="Q53:Q55" si="26">IF(OR(R53="Preventivo",R53="Detectivo"),"Probabilidad",IF(R53="Correctivo","Impacto",""))</f>
        <v/>
      </c>
      <c r="R53" s="126"/>
      <c r="S53" s="126"/>
      <c r="T53" s="127" t="str">
        <f t="shared" si="23"/>
        <v/>
      </c>
      <c r="U53" s="126"/>
      <c r="V53" s="126"/>
      <c r="W53" s="126"/>
      <c r="X53" s="128" t="str">
        <f t="shared" ref="X53:X55" si="27">IFERROR(IF(AND(Q52="Probabilidad",Q53="Probabilidad"),(Z52-(+Z52*T53)),IF(AND(Q52="Impacto",Q53="Probabilidad"),(Z51-(+Z51*T53)),IF(Q53="Impacto",Z52,""))),"")</f>
        <v/>
      </c>
      <c r="Y53" s="129" t="str">
        <f t="shared" si="3"/>
        <v/>
      </c>
      <c r="Z53" s="130" t="str">
        <f t="shared" si="24"/>
        <v/>
      </c>
      <c r="AA53" s="129" t="str">
        <f t="shared" si="5"/>
        <v/>
      </c>
      <c r="AB53" s="130" t="str">
        <f t="shared" ref="AB53:AB55" si="28">IFERROR(IF(AND(Q52="Impacto",Q53="Impacto"),(AB52-(+AB52*T53)),IF(AND(Q52="Probabilidad",Q53="Impacto"),(AB51-(+AB51*T53)),IF(Q53="Probabilidad",AB52,""))),"")</f>
        <v/>
      </c>
      <c r="AC53" s="131"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row>
    <row r="54" spans="1:68" ht="33.75" hidden="1" customHeight="1" x14ac:dyDescent="0.3">
      <c r="A54" s="274"/>
      <c r="B54" s="261"/>
      <c r="C54" s="261"/>
      <c r="D54" s="261"/>
      <c r="E54" s="349"/>
      <c r="F54" s="261"/>
      <c r="G54" s="352"/>
      <c r="H54" s="346"/>
      <c r="I54" s="343"/>
      <c r="J54" s="340"/>
      <c r="K54" s="343">
        <f>IF(NOT(ISERROR(MATCH(J54,_xlfn.ANCHORARRAY(E65),0))),I67&amp;"Por favor no seleccionar los criterios de impacto",J54)</f>
        <v>0</v>
      </c>
      <c r="L54" s="346"/>
      <c r="M54" s="343"/>
      <c r="N54" s="337"/>
      <c r="O54" s="123">
        <v>5</v>
      </c>
      <c r="P54" s="124"/>
      <c r="Q54" s="125" t="str">
        <f t="shared" si="26"/>
        <v/>
      </c>
      <c r="R54" s="126"/>
      <c r="S54" s="126"/>
      <c r="T54" s="127" t="str">
        <f t="shared" si="23"/>
        <v/>
      </c>
      <c r="U54" s="126"/>
      <c r="V54" s="126"/>
      <c r="W54" s="126"/>
      <c r="X54" s="128" t="str">
        <f t="shared" si="27"/>
        <v/>
      </c>
      <c r="Y54" s="129" t="str">
        <f t="shared" si="3"/>
        <v/>
      </c>
      <c r="Z54" s="130" t="str">
        <f t="shared" si="24"/>
        <v/>
      </c>
      <c r="AA54" s="129" t="str">
        <f t="shared" si="5"/>
        <v/>
      </c>
      <c r="AB54" s="130" t="str">
        <f t="shared" si="28"/>
        <v/>
      </c>
      <c r="AC54" s="131" t="str">
        <f t="shared" ref="AC54:AC55" si="29">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32"/>
      <c r="AE54" s="133"/>
      <c r="AF54" s="134"/>
      <c r="AG54" s="135"/>
      <c r="AH54" s="135"/>
      <c r="AI54" s="133"/>
      <c r="AJ54" s="134"/>
    </row>
    <row r="55" spans="1:68" ht="21" hidden="1" customHeight="1" x14ac:dyDescent="0.3">
      <c r="A55" s="275"/>
      <c r="B55" s="262"/>
      <c r="C55" s="262"/>
      <c r="D55" s="262"/>
      <c r="E55" s="350"/>
      <c r="F55" s="262"/>
      <c r="G55" s="353"/>
      <c r="H55" s="347"/>
      <c r="I55" s="344"/>
      <c r="J55" s="341"/>
      <c r="K55" s="344">
        <f>IF(NOT(ISERROR(MATCH(J55,_xlfn.ANCHORARRAY(E66),0))),I68&amp;"Por favor no seleccionar los criterios de impacto",J55)</f>
        <v>0</v>
      </c>
      <c r="L55" s="347"/>
      <c r="M55" s="344"/>
      <c r="N55" s="338"/>
      <c r="O55" s="123">
        <v>6</v>
      </c>
      <c r="P55" s="124"/>
      <c r="Q55" s="125" t="str">
        <f t="shared" si="26"/>
        <v/>
      </c>
      <c r="R55" s="126"/>
      <c r="S55" s="126"/>
      <c r="T55" s="127" t="str">
        <f t="shared" si="23"/>
        <v/>
      </c>
      <c r="U55" s="126"/>
      <c r="V55" s="126"/>
      <c r="W55" s="126"/>
      <c r="X55" s="128" t="str">
        <f t="shared" si="27"/>
        <v/>
      </c>
      <c r="Y55" s="129" t="str">
        <f t="shared" si="3"/>
        <v/>
      </c>
      <c r="Z55" s="130" t="str">
        <f t="shared" si="24"/>
        <v/>
      </c>
      <c r="AA55" s="129" t="str">
        <f t="shared" si="5"/>
        <v/>
      </c>
      <c r="AB55" s="130" t="str">
        <f t="shared" si="28"/>
        <v/>
      </c>
      <c r="AC55" s="131" t="str">
        <f t="shared" si="29"/>
        <v/>
      </c>
      <c r="AD55" s="132"/>
      <c r="AE55" s="133"/>
      <c r="AF55" s="134"/>
      <c r="AG55" s="135"/>
      <c r="AH55" s="135"/>
      <c r="AI55" s="133"/>
      <c r="AJ55" s="134"/>
    </row>
    <row r="56" spans="1:68" ht="49.5" customHeight="1" x14ac:dyDescent="0.3">
      <c r="A56" s="6"/>
      <c r="B56" s="367" t="s">
        <v>171</v>
      </c>
      <c r="C56" s="368"/>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9"/>
    </row>
    <row r="58" spans="1:68" x14ac:dyDescent="0.3">
      <c r="A58" s="1"/>
      <c r="B58" s="24"/>
      <c r="C58" s="1"/>
      <c r="D58" s="1"/>
      <c r="F58" s="1"/>
    </row>
  </sheetData>
  <dataConsolidate/>
  <mergeCells count="179">
    <mergeCell ref="AA34:AA35"/>
    <mergeCell ref="AB34:AB35"/>
    <mergeCell ref="AC34:AC35"/>
    <mergeCell ref="Q34:Q35"/>
    <mergeCell ref="R34:R35"/>
    <mergeCell ref="S34:S35"/>
    <mergeCell ref="T34:T35"/>
    <mergeCell ref="U34:U35"/>
    <mergeCell ref="V34:V35"/>
    <mergeCell ref="W34:W35"/>
    <mergeCell ref="Y34:Y35"/>
    <mergeCell ref="Z34:Z35"/>
    <mergeCell ref="G34:G35"/>
    <mergeCell ref="H34:H35"/>
    <mergeCell ref="I34:I35"/>
    <mergeCell ref="J34:J35"/>
    <mergeCell ref="L34:L35"/>
    <mergeCell ref="M34:M35"/>
    <mergeCell ref="N34:N35"/>
    <mergeCell ref="O34:O35"/>
    <mergeCell ref="P34:P35"/>
    <mergeCell ref="C19:N19"/>
    <mergeCell ref="O19:Q19"/>
    <mergeCell ref="A16:AJ17"/>
    <mergeCell ref="A22:G22"/>
    <mergeCell ref="H22:N22"/>
    <mergeCell ref="O22:W22"/>
    <mergeCell ref="X22:AD22"/>
    <mergeCell ref="AE22:AJ22"/>
    <mergeCell ref="B56:AJ56"/>
    <mergeCell ref="M44:M49"/>
    <mergeCell ref="N44:N49"/>
    <mergeCell ref="A50:A55"/>
    <mergeCell ref="B50:B55"/>
    <mergeCell ref="C50:C55"/>
    <mergeCell ref="D50:D55"/>
    <mergeCell ref="E50:E55"/>
    <mergeCell ref="F50:F55"/>
    <mergeCell ref="G50:G55"/>
    <mergeCell ref="H50:H55"/>
    <mergeCell ref="I50:I55"/>
    <mergeCell ref="J50:J55"/>
    <mergeCell ref="K50:K55"/>
    <mergeCell ref="L50:L55"/>
    <mergeCell ref="M50:M55"/>
    <mergeCell ref="A44:A49"/>
    <mergeCell ref="B44:B49"/>
    <mergeCell ref="C44:C49"/>
    <mergeCell ref="D44:D49"/>
    <mergeCell ref="E44:E49"/>
    <mergeCell ref="F44:F49"/>
    <mergeCell ref="G44:G49"/>
    <mergeCell ref="H44:H49"/>
    <mergeCell ref="I44:I49"/>
    <mergeCell ref="G38:G43"/>
    <mergeCell ref="H38:H43"/>
    <mergeCell ref="I38:I43"/>
    <mergeCell ref="J38:J43"/>
    <mergeCell ref="K38:K43"/>
    <mergeCell ref="N50:N55"/>
    <mergeCell ref="J44:J49"/>
    <mergeCell ref="K44:K49"/>
    <mergeCell ref="L44:L49"/>
    <mergeCell ref="A31:A32"/>
    <mergeCell ref="B31:B32"/>
    <mergeCell ref="C31:C32"/>
    <mergeCell ref="A38:A43"/>
    <mergeCell ref="B38:B43"/>
    <mergeCell ref="C38:C43"/>
    <mergeCell ref="D38:D43"/>
    <mergeCell ref="E38:E43"/>
    <mergeCell ref="F38:F43"/>
    <mergeCell ref="B34:B35"/>
    <mergeCell ref="D34:D35"/>
    <mergeCell ref="E34:E35"/>
    <mergeCell ref="F34:F35"/>
    <mergeCell ref="D31:D32"/>
    <mergeCell ref="E31:E32"/>
    <mergeCell ref="A34:A35"/>
    <mergeCell ref="K31:K32"/>
    <mergeCell ref="L31:L32"/>
    <mergeCell ref="M31:M32"/>
    <mergeCell ref="N31:N32"/>
    <mergeCell ref="F31:F32"/>
    <mergeCell ref="G31:G32"/>
    <mergeCell ref="H31:H32"/>
    <mergeCell ref="I31:I32"/>
    <mergeCell ref="J31:J32"/>
    <mergeCell ref="AE23:AE24"/>
    <mergeCell ref="AJ23:AJ24"/>
    <mergeCell ref="AI23:AI24"/>
    <mergeCell ref="AH23:AH24"/>
    <mergeCell ref="AG23:AG24"/>
    <mergeCell ref="AF23:AF24"/>
    <mergeCell ref="A19:B19"/>
    <mergeCell ref="A20:B20"/>
    <mergeCell ref="A21:B21"/>
    <mergeCell ref="A23:A24"/>
    <mergeCell ref="F23:F24"/>
    <mergeCell ref="E23:E24"/>
    <mergeCell ref="D23:D24"/>
    <mergeCell ref="C23:C24"/>
    <mergeCell ref="AD23:AD24"/>
    <mergeCell ref="C20:N20"/>
    <mergeCell ref="C21:N21"/>
    <mergeCell ref="O23:O24"/>
    <mergeCell ref="AC23:AC24"/>
    <mergeCell ref="AB23:AB24"/>
    <mergeCell ref="X23:X24"/>
    <mergeCell ref="P23:P24"/>
    <mergeCell ref="AA23:AA24"/>
    <mergeCell ref="Y23:Y24"/>
    <mergeCell ref="Z23:Z24"/>
    <mergeCell ref="G23:G24"/>
    <mergeCell ref="H23:H24"/>
    <mergeCell ref="I23:I24"/>
    <mergeCell ref="L23:L24"/>
    <mergeCell ref="M23:M24"/>
    <mergeCell ref="B23:B24"/>
    <mergeCell ref="N23:N24"/>
    <mergeCell ref="J23:J24"/>
    <mergeCell ref="K23:K24"/>
    <mergeCell ref="Q23:Q24"/>
    <mergeCell ref="R23:W23"/>
    <mergeCell ref="F25:F30"/>
    <mergeCell ref="G25:G30"/>
    <mergeCell ref="H25:H30"/>
    <mergeCell ref="A25:A30"/>
    <mergeCell ref="B25:B30"/>
    <mergeCell ref="C25:C30"/>
    <mergeCell ref="D25:D30"/>
    <mergeCell ref="E25:E30"/>
    <mergeCell ref="N25:N30"/>
    <mergeCell ref="I25:I30"/>
    <mergeCell ref="J25:J30"/>
    <mergeCell ref="K25:K30"/>
    <mergeCell ref="L25:L30"/>
    <mergeCell ref="M25:M30"/>
    <mergeCell ref="A1:AE5"/>
    <mergeCell ref="W14:AB14"/>
    <mergeCell ref="A15:J15"/>
    <mergeCell ref="N7:S7"/>
    <mergeCell ref="W9:AB9"/>
    <mergeCell ref="P8:S8"/>
    <mergeCell ref="P9:S9"/>
    <mergeCell ref="P14:S14"/>
    <mergeCell ref="P10:S10"/>
    <mergeCell ref="P11:S11"/>
    <mergeCell ref="P12:S12"/>
    <mergeCell ref="P13:S13"/>
    <mergeCell ref="O25:O30"/>
    <mergeCell ref="P25:P30"/>
    <mergeCell ref="Q25:Q30"/>
    <mergeCell ref="R25:R30"/>
    <mergeCell ref="S25:S30"/>
    <mergeCell ref="T25:T30"/>
    <mergeCell ref="U25:U30"/>
    <mergeCell ref="V25:V30"/>
    <mergeCell ref="W25:W30"/>
    <mergeCell ref="Y25:Y30"/>
    <mergeCell ref="Z25:Z30"/>
    <mergeCell ref="AA25:AA30"/>
    <mergeCell ref="AB25:AB30"/>
    <mergeCell ref="AC25:AC30"/>
    <mergeCell ref="AD25:AD30"/>
    <mergeCell ref="AE25:AE30"/>
    <mergeCell ref="AF25:AF30"/>
    <mergeCell ref="AG25:AG30"/>
    <mergeCell ref="AD34:AD35"/>
    <mergeCell ref="AE34:AE35"/>
    <mergeCell ref="AF34:AF35"/>
    <mergeCell ref="AG34:AG35"/>
    <mergeCell ref="AH34:AH35"/>
    <mergeCell ref="AI34:AI35"/>
    <mergeCell ref="AJ34:AJ35"/>
    <mergeCell ref="AH25:AH30"/>
    <mergeCell ref="AI25:AI30"/>
    <mergeCell ref="AJ25:AJ30"/>
    <mergeCell ref="AD31:AD32"/>
  </mergeCells>
  <conditionalFormatting sqref="H25 H31">
    <cfRule type="cellIs" dxfId="102" priority="345" operator="equal">
      <formula>"Baja"</formula>
    </cfRule>
    <cfRule type="cellIs" dxfId="101" priority="344" operator="equal">
      <formula>"Media"</formula>
    </cfRule>
    <cfRule type="cellIs" dxfId="100" priority="343" operator="equal">
      <formula>"Alta"</formula>
    </cfRule>
    <cfRule type="cellIs" dxfId="99" priority="342" operator="equal">
      <formula>"Muy Alta"</formula>
    </cfRule>
    <cfRule type="cellIs" dxfId="98" priority="346" operator="equal">
      <formula>"Muy Baja"</formula>
    </cfRule>
  </conditionalFormatting>
  <conditionalFormatting sqref="H33:H34">
    <cfRule type="cellIs" dxfId="97" priority="220" operator="equal">
      <formula>"Muy Baja"</formula>
    </cfRule>
    <cfRule type="cellIs" dxfId="96" priority="219" operator="equal">
      <formula>"Baja"</formula>
    </cfRule>
    <cfRule type="cellIs" dxfId="95" priority="218" operator="equal">
      <formula>"Media"</formula>
    </cfRule>
    <cfRule type="cellIs" dxfId="94" priority="217" operator="equal">
      <formula>"Alta"</formula>
    </cfRule>
    <cfRule type="cellIs" dxfId="93" priority="216" operator="equal">
      <formula>"Muy Alta"</formula>
    </cfRule>
  </conditionalFormatting>
  <conditionalFormatting sqref="H36:H38">
    <cfRule type="cellIs" dxfId="92" priority="104" operator="equal">
      <formula>"Muy Alta"</formula>
    </cfRule>
    <cfRule type="cellIs" dxfId="91" priority="108" operator="equal">
      <formula>"Muy Baja"</formula>
    </cfRule>
    <cfRule type="cellIs" dxfId="90" priority="107" operator="equal">
      <formula>"Baja"</formula>
    </cfRule>
    <cfRule type="cellIs" dxfId="89" priority="106" operator="equal">
      <formula>"Media"</formula>
    </cfRule>
    <cfRule type="cellIs" dxfId="88" priority="105" operator="equal">
      <formula>"Alta"</formula>
    </cfRule>
  </conditionalFormatting>
  <conditionalFormatting sqref="H44">
    <cfRule type="cellIs" dxfId="87" priority="79" operator="equal">
      <formula>"Baja"</formula>
    </cfRule>
    <cfRule type="cellIs" dxfId="86" priority="80" operator="equal">
      <formula>"Muy Baja"</formula>
    </cfRule>
    <cfRule type="cellIs" dxfId="85" priority="76" operator="equal">
      <formula>"Muy Alta"</formula>
    </cfRule>
    <cfRule type="cellIs" dxfId="84" priority="77" operator="equal">
      <formula>"Alta"</formula>
    </cfRule>
    <cfRule type="cellIs" dxfId="83" priority="78" operator="equal">
      <formula>"Media"</formula>
    </cfRule>
  </conditionalFormatting>
  <conditionalFormatting sqref="H50">
    <cfRule type="cellIs" dxfId="82" priority="52" operator="equal">
      <formula>"Muy Baja"</formula>
    </cfRule>
    <cfRule type="cellIs" dxfId="81" priority="50" operator="equal">
      <formula>"Media"</formula>
    </cfRule>
    <cfRule type="cellIs" dxfId="80" priority="48" operator="equal">
      <formula>"Muy Alta"</formula>
    </cfRule>
    <cfRule type="cellIs" dxfId="79" priority="49" operator="equal">
      <formula>"Alta"</formula>
    </cfRule>
    <cfRule type="cellIs" dxfId="78" priority="51" operator="equal">
      <formula>"Baja"</formula>
    </cfRule>
  </conditionalFormatting>
  <conditionalFormatting sqref="K25:K55">
    <cfRule type="containsText" dxfId="77" priority="24" operator="containsText" text="❌">
      <formula>NOT(ISERROR(SEARCH("❌",K25)))</formula>
    </cfRule>
  </conditionalFormatting>
  <conditionalFormatting sqref="L25">
    <cfRule type="cellIs" dxfId="76" priority="14" operator="equal">
      <formula>"Catastrófico"</formula>
    </cfRule>
    <cfRule type="cellIs" dxfId="75" priority="15" operator="equal">
      <formula>"Mayor"</formula>
    </cfRule>
    <cfRule type="cellIs" dxfId="74" priority="16" operator="equal">
      <formula>"Moderado"</formula>
    </cfRule>
    <cfRule type="cellIs" dxfId="73" priority="17" operator="equal">
      <formula>"Menor"</formula>
    </cfRule>
    <cfRule type="cellIs" dxfId="72" priority="18" operator="equal">
      <formula>"Leve"</formula>
    </cfRule>
  </conditionalFormatting>
  <conditionalFormatting sqref="L31">
    <cfRule type="cellIs" dxfId="71" priority="5" operator="equal">
      <formula>"Catastrófico"</formula>
    </cfRule>
    <cfRule type="cellIs" dxfId="70" priority="6" operator="equal">
      <formula>"Mayor"</formula>
    </cfRule>
    <cfRule type="cellIs" dxfId="69" priority="7" operator="equal">
      <formula>"Moderado"</formula>
    </cfRule>
    <cfRule type="cellIs" dxfId="68" priority="8" operator="equal">
      <formula>"Menor"</formula>
    </cfRule>
    <cfRule type="cellIs" dxfId="67" priority="9" operator="equal">
      <formula>"Leve"</formula>
    </cfRule>
  </conditionalFormatting>
  <conditionalFormatting sqref="L33:L34 L36:L44 L50">
    <cfRule type="cellIs" dxfId="66" priority="340" operator="equal">
      <formula>"Menor"</formula>
    </cfRule>
    <cfRule type="cellIs" dxfId="65" priority="339" operator="equal">
      <formula>"Moderado"</formula>
    </cfRule>
    <cfRule type="cellIs" dxfId="64" priority="338" operator="equal">
      <formula>"Mayor"</formula>
    </cfRule>
    <cfRule type="cellIs" dxfId="63" priority="337" operator="equal">
      <formula>"Catastrófico"</formula>
    </cfRule>
    <cfRule type="cellIs" dxfId="62" priority="341" operator="equal">
      <formula>"Leve"</formula>
    </cfRule>
  </conditionalFormatting>
  <conditionalFormatting sqref="N25">
    <cfRule type="cellIs" dxfId="61" priority="13" operator="equal">
      <formula>"Bajo"</formula>
    </cfRule>
    <cfRule type="cellIs" dxfId="60" priority="10" operator="equal">
      <formula>"Extremo"</formula>
    </cfRule>
    <cfRule type="cellIs" dxfId="59" priority="11" operator="equal">
      <formula>"Alto"</formula>
    </cfRule>
    <cfRule type="cellIs" dxfId="58" priority="12" operator="equal">
      <formula>"Moderado"</formula>
    </cfRule>
  </conditionalFormatting>
  <conditionalFormatting sqref="N31">
    <cfRule type="cellIs" dxfId="57" priority="2" operator="equal">
      <formula>"Alto"</formula>
    </cfRule>
    <cfRule type="cellIs" dxfId="56" priority="3" operator="equal">
      <formula>"Moderado"</formula>
    </cfRule>
    <cfRule type="cellIs" dxfId="55" priority="4" operator="equal">
      <formula>"Bajo"</formula>
    </cfRule>
    <cfRule type="cellIs" dxfId="54" priority="1" operator="equal">
      <formula>"Extremo"</formula>
    </cfRule>
  </conditionalFormatting>
  <conditionalFormatting sqref="N33:N34">
    <cfRule type="cellIs" dxfId="53" priority="208" operator="equal">
      <formula>"Alto"</formula>
    </cfRule>
    <cfRule type="cellIs" dxfId="52" priority="207" operator="equal">
      <formula>"Extremo"</formula>
    </cfRule>
    <cfRule type="cellIs" dxfId="51" priority="210" operator="equal">
      <formula>"Bajo"</formula>
    </cfRule>
    <cfRule type="cellIs" dxfId="50" priority="209" operator="equal">
      <formula>"Moderado"</formula>
    </cfRule>
  </conditionalFormatting>
  <conditionalFormatting sqref="N36:N44">
    <cfRule type="cellIs" dxfId="49" priority="70" operator="equal">
      <formula>"Bajo"</formula>
    </cfRule>
    <cfRule type="cellIs" dxfId="48" priority="69" operator="equal">
      <formula>"Moderado"</formula>
    </cfRule>
    <cfRule type="cellIs" dxfId="47" priority="68" operator="equal">
      <formula>"Alto"</formula>
    </cfRule>
    <cfRule type="cellIs" dxfId="46" priority="67" operator="equal">
      <formula>"Extremo"</formula>
    </cfRule>
  </conditionalFormatting>
  <conditionalFormatting sqref="N50">
    <cfRule type="cellIs" dxfId="45" priority="40" operator="equal">
      <formula>"Alto"</formula>
    </cfRule>
    <cfRule type="cellIs" dxfId="44" priority="39" operator="equal">
      <formula>"Extremo"</formula>
    </cfRule>
    <cfRule type="cellIs" dxfId="43" priority="42" operator="equal">
      <formula>"Bajo"</formula>
    </cfRule>
    <cfRule type="cellIs" dxfId="42" priority="41" operator="equal">
      <formula>"Moderado"</formula>
    </cfRule>
  </conditionalFormatting>
  <conditionalFormatting sqref="Y25">
    <cfRule type="cellIs" dxfId="41" priority="328" operator="equal">
      <formula>"Muy Alta"</formula>
    </cfRule>
    <cfRule type="cellIs" dxfId="40" priority="330" operator="equal">
      <formula>"Media"</formula>
    </cfRule>
    <cfRule type="cellIs" dxfId="39" priority="332" operator="equal">
      <formula>"Muy Baja"</formula>
    </cfRule>
    <cfRule type="cellIs" dxfId="38" priority="331" operator="equal">
      <formula>"Baja"</formula>
    </cfRule>
    <cfRule type="cellIs" dxfId="37" priority="329" operator="equal">
      <formula>"Alta"</formula>
    </cfRule>
  </conditionalFormatting>
  <conditionalFormatting sqref="Y31:Y34">
    <cfRule type="cellIs" dxfId="36" priority="204" operator="equal">
      <formula>"Media"</formula>
    </cfRule>
    <cfRule type="cellIs" dxfId="35" priority="202" operator="equal">
      <formula>"Muy Alta"</formula>
    </cfRule>
    <cfRule type="cellIs" dxfId="34" priority="203" operator="equal">
      <formula>"Alta"</formula>
    </cfRule>
    <cfRule type="cellIs" dxfId="33" priority="205" operator="equal">
      <formula>"Baja"</formula>
    </cfRule>
    <cfRule type="cellIs" dxfId="32" priority="206" operator="equal">
      <formula>"Muy Baja"</formula>
    </cfRule>
  </conditionalFormatting>
  <conditionalFormatting sqref="Y36:Y55">
    <cfRule type="cellIs" dxfId="31" priority="38" operator="equal">
      <formula>"Muy Baja"</formula>
    </cfRule>
    <cfRule type="cellIs" dxfId="30" priority="34" operator="equal">
      <formula>"Muy Alta"</formula>
    </cfRule>
    <cfRule type="cellIs" dxfId="29" priority="35" operator="equal">
      <formula>"Alta"</formula>
    </cfRule>
    <cfRule type="cellIs" dxfId="28" priority="36" operator="equal">
      <formula>"Media"</formula>
    </cfRule>
    <cfRule type="cellIs" dxfId="27" priority="37" operator="equal">
      <formula>"Baja"</formula>
    </cfRule>
  </conditionalFormatting>
  <conditionalFormatting sqref="AA25">
    <cfRule type="cellIs" dxfId="26" priority="323" operator="equal">
      <formula>"Catastrófico"</formula>
    </cfRule>
    <cfRule type="cellIs" dxfId="25" priority="326" operator="equal">
      <formula>"Menor"</formula>
    </cfRule>
    <cfRule type="cellIs" dxfId="24" priority="327" operator="equal">
      <formula>"Leve"</formula>
    </cfRule>
    <cfRule type="cellIs" dxfId="23" priority="325" operator="equal">
      <formula>"Moderado"</formula>
    </cfRule>
    <cfRule type="cellIs" dxfId="22" priority="324" operator="equal">
      <formula>"Mayor"</formula>
    </cfRule>
  </conditionalFormatting>
  <conditionalFormatting sqref="AA31:AA34">
    <cfRule type="cellIs" dxfId="21" priority="197" operator="equal">
      <formula>"Catastrófico"</formula>
    </cfRule>
    <cfRule type="cellIs" dxfId="20" priority="201" operator="equal">
      <formula>"Leve"</formula>
    </cfRule>
    <cfRule type="cellIs" dxfId="19" priority="198" operator="equal">
      <formula>"Mayor"</formula>
    </cfRule>
    <cfRule type="cellIs" dxfId="18" priority="199" operator="equal">
      <formula>"Moderado"</formula>
    </cfRule>
    <cfRule type="cellIs" dxfId="17" priority="200" operator="equal">
      <formula>"Menor"</formula>
    </cfRule>
  </conditionalFormatting>
  <conditionalFormatting sqref="AA36:AA55">
    <cfRule type="cellIs" dxfId="16" priority="30" operator="equal">
      <formula>"Mayor"</formula>
    </cfRule>
    <cfRule type="cellIs" dxfId="15" priority="32" operator="equal">
      <formula>"Menor"</formula>
    </cfRule>
    <cfRule type="cellIs" dxfId="14" priority="31" operator="equal">
      <formula>"Moderado"</formula>
    </cfRule>
    <cfRule type="cellIs" dxfId="13" priority="29" operator="equal">
      <formula>"Catastrófico"</formula>
    </cfRule>
    <cfRule type="cellIs" dxfId="12" priority="33" operator="equal">
      <formula>"Leve"</formula>
    </cfRule>
  </conditionalFormatting>
  <conditionalFormatting sqref="AC25">
    <cfRule type="cellIs" dxfId="11" priority="320" operator="equal">
      <formula>"Alto"</formula>
    </cfRule>
    <cfRule type="cellIs" dxfId="10" priority="322" operator="equal">
      <formula>"Bajo"</formula>
    </cfRule>
    <cfRule type="cellIs" dxfId="9" priority="321" operator="equal">
      <formula>"Moderado"</formula>
    </cfRule>
    <cfRule type="cellIs" dxfId="8" priority="319" operator="equal">
      <formula>"Extremo"</formula>
    </cfRule>
  </conditionalFormatting>
  <conditionalFormatting sqref="AC31:AC34">
    <cfRule type="cellIs" dxfId="7" priority="196" operator="equal">
      <formula>"Bajo"</formula>
    </cfRule>
    <cfRule type="cellIs" dxfId="6" priority="195" operator="equal">
      <formula>"Moderado"</formula>
    </cfRule>
    <cfRule type="cellIs" dxfId="5" priority="194" operator="equal">
      <formula>"Alto"</formula>
    </cfRule>
    <cfRule type="cellIs" dxfId="4" priority="193" operator="equal">
      <formula>"Extremo"</formula>
    </cfRule>
  </conditionalFormatting>
  <conditionalFormatting sqref="AC36:AC55">
    <cfRule type="cellIs" dxfId="3" priority="26" operator="equal">
      <formula>"Alto"</formula>
    </cfRule>
    <cfRule type="cellIs" dxfId="2" priority="27" operator="equal">
      <formula>"Moderado"</formula>
    </cfRule>
    <cfRule type="cellIs" dxfId="1" priority="28" operator="equal">
      <formula>"Bajo"</formula>
    </cfRule>
    <cfRule type="cellIs" dxfId="0" priority="25" operator="equal">
      <formula>"Extremo"</formula>
    </cfRule>
  </conditionalFormatting>
  <pageMargins left="0.7" right="0.7" top="0.75" bottom="0.75" header="0.3" footer="0.3"/>
  <pageSetup orientation="portrait" r:id="rId1"/>
  <ignoredErrors>
    <ignoredError sqref="AB32" formula="1"/>
  </ignoredErrors>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200-000000000000}">
          <x14:formula1>
            <xm:f>'Opciones Tratamiento'!$B$9:$B$10</xm:f>
          </x14:formula1>
          <xm:sqref>AJ25:AJ26 AJ28:AJ29 AJ41:AJ42 AJ44:AJ45 AJ47:AJ48 AJ50:AJ51 AJ53:AJ54 AJ31:AJ39</xm:sqref>
        </x14:dataValidation>
        <x14:dataValidation type="list" allowBlank="1" showInputMessage="1" showErrorMessage="1" xr:uid="{00000000-0002-0000-0200-000001000000}">
          <x14:formula1>
            <xm:f>'Opciones Tratamiento'!$B$13:$B$19</xm:f>
          </x14:formula1>
          <xm:sqref>F44:F55</xm:sqref>
        </x14:dataValidation>
        <x14:dataValidation type="list" allowBlank="1" showInputMessage="1" showErrorMessage="1" xr:uid="{00000000-0002-0000-0200-000002000000}">
          <x14:formula1>
            <xm:f>'Tabla Valoración controles'!$D$4:$D$6</xm:f>
          </x14:formula1>
          <xm:sqref>R25 R31:R34 R36:R55</xm:sqref>
        </x14:dataValidation>
        <x14:dataValidation type="list" allowBlank="1" showInputMessage="1" showErrorMessage="1" xr:uid="{00000000-0002-0000-0200-000003000000}">
          <x14:formula1>
            <xm:f>'Tabla Valoración controles'!$D$7:$D$8</xm:f>
          </x14:formula1>
          <xm:sqref>S25 S31:S34 S36:S55</xm:sqref>
        </x14:dataValidation>
        <x14:dataValidation type="list" allowBlank="1" showInputMessage="1" showErrorMessage="1" xr:uid="{00000000-0002-0000-0200-000004000000}">
          <x14:formula1>
            <xm:f>'Tabla Valoración controles'!$D$9:$D$10</xm:f>
          </x14:formula1>
          <xm:sqref>U25 U31:U34 U36:U55</xm:sqref>
        </x14:dataValidation>
        <x14:dataValidation type="list" allowBlank="1" showInputMessage="1" showErrorMessage="1" xr:uid="{00000000-0002-0000-0200-000005000000}">
          <x14:formula1>
            <xm:f>'Tabla Valoración controles'!$D$11:$D$12</xm:f>
          </x14:formula1>
          <xm:sqref>V25 V31:V34 V36:V55</xm:sqref>
        </x14:dataValidation>
        <x14:dataValidation type="list" allowBlank="1" showInputMessage="1" showErrorMessage="1" xr:uid="{00000000-0002-0000-0200-000006000000}">
          <x14:formula1>
            <xm:f>'Tabla Valoración controles'!$D$13:$D$14</xm:f>
          </x14:formula1>
          <xm:sqref>W25 W31:W34 W36:W55</xm:sqref>
        </x14:dataValidation>
        <x14:dataValidation type="list" allowBlank="1" showInputMessage="1" showErrorMessage="1" xr:uid="{00000000-0002-0000-0200-000007000000}">
          <x14:formula1>
            <xm:f>'Opciones Tratamiento'!$B$2:$B$5</xm:f>
          </x14:formula1>
          <xm:sqref>AD25 AD31 AD33:AD34 AD36:AD55</xm:sqref>
        </x14:dataValidation>
        <x14:dataValidation type="custom" allowBlank="1" showInputMessage="1" showErrorMessage="1" error="Recuerde que las acciones se generan bajo la medida de mitigar el riesgo" xr:uid="{00000000-0002-0000-0200-000008000000}">
          <x14:formula1>
            <xm:f>IF(OR(AD25='Opciones Tratamiento'!$B$2,AD25='Opciones Tratamiento'!$B$3,AD25='Opciones Tratamiento'!$B$4),ISBLANK(AD25),ISTEXT(AD25))</xm:f>
          </x14:formula1>
          <xm:sqref>AE25 AE31:AE55</xm:sqref>
        </x14:dataValidation>
        <x14:dataValidation type="custom" allowBlank="1" showInputMessage="1" showErrorMessage="1" error="Recuerde que las acciones se generan bajo la medida de mitigar el riesgo" xr:uid="{00000000-0002-0000-0200-000009000000}">
          <x14:formula1>
            <xm:f>IF(OR(AD25='Opciones Tratamiento'!$B$2,AD25='Opciones Tratamiento'!$B$3,AD25='Opciones Tratamiento'!$B$4),ISBLANK(AD25),ISTEXT(AD25))</xm:f>
          </x14:formula1>
          <xm:sqref>AF25:AF55</xm:sqref>
        </x14:dataValidation>
        <x14:dataValidation type="custom" allowBlank="1" showInputMessage="1" showErrorMessage="1" error="Recuerde que las acciones se generan bajo la medida de mitigar el riesgo" xr:uid="{00000000-0002-0000-0200-00000A000000}">
          <x14:formula1>
            <xm:f>IF(OR(AD25='Opciones Tratamiento'!$B$2,AD25='Opciones Tratamiento'!$B$3,AD25='Opciones Tratamiento'!$B$4),ISBLANK(AD25),ISTEXT(AD25))</xm:f>
          </x14:formula1>
          <xm:sqref>AG25:AG55</xm:sqref>
        </x14:dataValidation>
        <x14:dataValidation type="custom" allowBlank="1" showInputMessage="1" showErrorMessage="1" error="Recuerde que las acciones se generan bajo la medida de mitigar el riesgo" xr:uid="{00000000-0002-0000-0200-00000B000000}">
          <x14:formula1>
            <xm:f>IF(OR(AD25='Opciones Tratamiento'!$B$2,AD25='Opciones Tratamiento'!$B$3,AD25='Opciones Tratamiento'!$B$4),ISBLANK(AD25),ISTEXT(AD25))</xm:f>
          </x14:formula1>
          <xm:sqref>AH25:AH55</xm:sqref>
        </x14:dataValidation>
        <x14:dataValidation type="custom" allowBlank="1" showInputMessage="1" showErrorMessage="1" error="Recuerde que las acciones se generan bajo la medida de mitigar el riesgo" xr:uid="{00000000-0002-0000-0200-00000C000000}">
          <x14:formula1>
            <xm:f>IF(OR(AD25='Opciones Tratamiento'!$B$2,AD25='Opciones Tratamiento'!$B$3,AD25='Opciones Tratamiento'!$B$4),ISBLANK(AD25),ISTEXT(AD25))</xm:f>
          </x14:formula1>
          <xm:sqref>AI25:AI55</xm:sqref>
        </x14:dataValidation>
        <x14:dataValidation type="list" allowBlank="1" showInputMessage="1" showErrorMessage="1" xr:uid="{00000000-0002-0000-0200-00000D000000}">
          <x14:formula1>
            <xm:f>'Impacto-clasificacion'!$A$3:$A$6</xm:f>
          </x14:formula1>
          <xm:sqref>B25:B34 B36:B55</xm:sqref>
        </x14:dataValidation>
        <x14:dataValidation type="list" allowBlank="1" showInputMessage="1" showErrorMessage="1" xr:uid="{00000000-0002-0000-0200-00000E000000}">
          <x14:formula1>
            <xm:f>'Impacto-clasificacion'!$D$3:$D$10</xm:f>
          </x14:formula1>
          <xm:sqref>F25:F34 F36:F43</xm:sqref>
        </x14:dataValidation>
        <x14:dataValidation type="list" allowBlank="1" showInputMessage="1" showErrorMessage="1" xr:uid="{00000000-0002-0000-0200-00000F000000}">
          <x14:formula1>
            <xm:f>'Tabla Impacto'!$F$210:$F$227</xm:f>
          </x14:formula1>
          <xm:sqref>J25:J34 J36:J55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10"/>
  <sheetViews>
    <sheetView workbookViewId="0">
      <selection activeCell="E12" sqref="E12"/>
    </sheetView>
  </sheetViews>
  <sheetFormatPr baseColWidth="10" defaultColWidth="11.42578125" defaultRowHeight="15" x14ac:dyDescent="0.25"/>
  <sheetData>
    <row r="2" spans="1:4" x14ac:dyDescent="0.25">
      <c r="A2" t="s">
        <v>15</v>
      </c>
    </row>
    <row r="3" spans="1:4" x14ac:dyDescent="0.25">
      <c r="A3" t="s">
        <v>172</v>
      </c>
      <c r="D3" t="s">
        <v>173</v>
      </c>
    </row>
    <row r="4" spans="1:4" x14ac:dyDescent="0.25">
      <c r="A4" t="s">
        <v>127</v>
      </c>
      <c r="D4" t="s">
        <v>131</v>
      </c>
    </row>
    <row r="5" spans="1:4" x14ac:dyDescent="0.25">
      <c r="A5" t="s">
        <v>174</v>
      </c>
      <c r="D5" t="s">
        <v>175</v>
      </c>
    </row>
    <row r="6" spans="1:4" x14ac:dyDescent="0.25">
      <c r="A6" t="s">
        <v>153</v>
      </c>
      <c r="D6" t="s">
        <v>176</v>
      </c>
    </row>
    <row r="7" spans="1:4" x14ac:dyDescent="0.25">
      <c r="D7" t="s">
        <v>177</v>
      </c>
    </row>
    <row r="8" spans="1:4" x14ac:dyDescent="0.25">
      <c r="D8" t="s">
        <v>178</v>
      </c>
    </row>
    <row r="9" spans="1:4" x14ac:dyDescent="0.25">
      <c r="D9" t="s">
        <v>179</v>
      </c>
    </row>
    <row r="10" spans="1:4" x14ac:dyDescent="0.25">
      <c r="D10"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zoomScale="40" zoomScaleNormal="40" workbookViewId="0"/>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370" t="s">
        <v>180</v>
      </c>
      <c r="C2" s="370"/>
      <c r="D2" s="370"/>
      <c r="E2" s="370"/>
      <c r="F2" s="370"/>
      <c r="G2" s="370"/>
      <c r="H2" s="370"/>
      <c r="I2" s="370"/>
      <c r="J2" s="407" t="s">
        <v>15</v>
      </c>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370"/>
      <c r="C3" s="370"/>
      <c r="D3" s="370"/>
      <c r="E3" s="370"/>
      <c r="F3" s="370"/>
      <c r="G3" s="370"/>
      <c r="H3" s="370"/>
      <c r="I3" s="370"/>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370"/>
      <c r="C4" s="370"/>
      <c r="D4" s="370"/>
      <c r="E4" s="370"/>
      <c r="F4" s="370"/>
      <c r="G4" s="370"/>
      <c r="H4" s="370"/>
      <c r="I4" s="370"/>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18" t="s">
        <v>181</v>
      </c>
      <c r="C6" s="418"/>
      <c r="D6" s="419"/>
      <c r="E6" s="408" t="s">
        <v>182</v>
      </c>
      <c r="F6" s="409"/>
      <c r="G6" s="409"/>
      <c r="H6" s="409"/>
      <c r="I6" s="410"/>
      <c r="J6" s="404" t="str">
        <f>IF(AND('Mapa final'!$H$25="Muy Alta",'Mapa final'!$L$25="Leve"),CONCATENATE("R",'Mapa final'!$A$25),"")</f>
        <v/>
      </c>
      <c r="K6" s="405"/>
      <c r="L6" s="405" t="str">
        <f>IF(AND('Mapa final'!$H$31="Muy Alta",'Mapa final'!$L$31="Leve"),CONCATENATE("R",'Mapa final'!$A$31),"")</f>
        <v/>
      </c>
      <c r="M6" s="405"/>
      <c r="N6" s="405" t="str">
        <f>IF(AND('Mapa final'!$H$33="Muy Alta",'Mapa final'!$L$33="Leve"),CONCATENATE("R",'Mapa final'!$A$33),"")</f>
        <v/>
      </c>
      <c r="O6" s="406"/>
      <c r="P6" s="404" t="str">
        <f>IF(AND('Mapa final'!$H$25="Muy Alta",'Mapa final'!$L$25="Menor"),CONCATENATE("R",'Mapa final'!$A$25),"")</f>
        <v/>
      </c>
      <c r="Q6" s="405"/>
      <c r="R6" s="405" t="str">
        <f>IF(AND('Mapa final'!$H$31="Muy Alta",'Mapa final'!$L$31="Menor"),CONCATENATE("R",'Mapa final'!$A$31),"")</f>
        <v/>
      </c>
      <c r="S6" s="405"/>
      <c r="T6" s="405" t="str">
        <f>IF(AND('Mapa final'!$H$33="Muy Alta",'Mapa final'!$L$33="Menor"),CONCATENATE("R",'Mapa final'!$A$33),"")</f>
        <v/>
      </c>
      <c r="U6" s="406"/>
      <c r="V6" s="404" t="str">
        <f>IF(AND('Mapa final'!$H$25="Muy Alta",'Mapa final'!$L$25="Moderado"),CONCATENATE("R",'Mapa final'!$A$25),"")</f>
        <v/>
      </c>
      <c r="W6" s="405"/>
      <c r="X6" s="405" t="str">
        <f>IF(AND('Mapa final'!$H$31="Muy Alta",'Mapa final'!$L$31="Moderado"),CONCATENATE("R",'Mapa final'!$A$31),"")</f>
        <v/>
      </c>
      <c r="Y6" s="405"/>
      <c r="Z6" s="405" t="str">
        <f>IF(AND('Mapa final'!$H$33="Muy Alta",'Mapa final'!$L$33="Moderado"),CONCATENATE("R",'Mapa final'!$A$33),"")</f>
        <v/>
      </c>
      <c r="AA6" s="406"/>
      <c r="AB6" s="404" t="str">
        <f>IF(AND('Mapa final'!$H$25="Muy Alta",'Mapa final'!$L$25="Mayor"),CONCATENATE("R",'Mapa final'!$A$25),"")</f>
        <v/>
      </c>
      <c r="AC6" s="405"/>
      <c r="AD6" s="405" t="str">
        <f>IF(AND('Mapa final'!$H$31="Muy Alta",'Mapa final'!$L$31="Mayor"),CONCATENATE("R",'Mapa final'!$A$31),"")</f>
        <v/>
      </c>
      <c r="AE6" s="405"/>
      <c r="AF6" s="405" t="str">
        <f>IF(AND('Mapa final'!$H$33="Muy Alta",'Mapa final'!$L$33="Mayor"),CONCATENATE("R",'Mapa final'!$A$33),"")</f>
        <v/>
      </c>
      <c r="AG6" s="406"/>
      <c r="AH6" s="395" t="str">
        <f>IF(AND('Mapa final'!$H$25="Muy Alta",'Mapa final'!$L$25="Catastrófico"),CONCATENATE("R",'Mapa final'!$A$25),"")</f>
        <v/>
      </c>
      <c r="AI6" s="396"/>
      <c r="AJ6" s="396" t="str">
        <f>IF(AND('Mapa final'!$H$31="Muy Alta",'Mapa final'!$L$31="Catastrófico"),CONCATENATE("R",'Mapa final'!$A$31),"")</f>
        <v/>
      </c>
      <c r="AK6" s="396"/>
      <c r="AL6" s="396" t="str">
        <f>IF(AND('Mapa final'!$H$33="Muy Alta",'Mapa final'!$L$33="Catastrófico"),CONCATENATE("R",'Mapa final'!$A$33),"")</f>
        <v/>
      </c>
      <c r="AM6" s="397"/>
      <c r="AO6" s="420" t="s">
        <v>183</v>
      </c>
      <c r="AP6" s="421"/>
      <c r="AQ6" s="421"/>
      <c r="AR6" s="421"/>
      <c r="AS6" s="421"/>
      <c r="AT6" s="422"/>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18"/>
      <c r="C7" s="418"/>
      <c r="D7" s="419"/>
      <c r="E7" s="411"/>
      <c r="F7" s="412"/>
      <c r="G7" s="412"/>
      <c r="H7" s="412"/>
      <c r="I7" s="413"/>
      <c r="J7" s="398"/>
      <c r="K7" s="399"/>
      <c r="L7" s="399"/>
      <c r="M7" s="399"/>
      <c r="N7" s="399"/>
      <c r="O7" s="400"/>
      <c r="P7" s="398"/>
      <c r="Q7" s="399"/>
      <c r="R7" s="399"/>
      <c r="S7" s="399"/>
      <c r="T7" s="399"/>
      <c r="U7" s="400"/>
      <c r="V7" s="398"/>
      <c r="W7" s="399"/>
      <c r="X7" s="399"/>
      <c r="Y7" s="399"/>
      <c r="Z7" s="399"/>
      <c r="AA7" s="400"/>
      <c r="AB7" s="398"/>
      <c r="AC7" s="399"/>
      <c r="AD7" s="399"/>
      <c r="AE7" s="399"/>
      <c r="AF7" s="399"/>
      <c r="AG7" s="400"/>
      <c r="AH7" s="389"/>
      <c r="AI7" s="390"/>
      <c r="AJ7" s="390"/>
      <c r="AK7" s="390"/>
      <c r="AL7" s="390"/>
      <c r="AM7" s="391"/>
      <c r="AN7" s="83"/>
      <c r="AO7" s="423"/>
      <c r="AP7" s="424"/>
      <c r="AQ7" s="424"/>
      <c r="AR7" s="424"/>
      <c r="AS7" s="424"/>
      <c r="AT7" s="425"/>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18"/>
      <c r="C8" s="418"/>
      <c r="D8" s="419"/>
      <c r="E8" s="411"/>
      <c r="F8" s="412"/>
      <c r="G8" s="412"/>
      <c r="H8" s="412"/>
      <c r="I8" s="413"/>
      <c r="J8" s="398" t="str">
        <f>IF(AND('Mapa final'!$H$34="Muy Alta",'Mapa final'!$L$34="Leve"),CONCATENATE("R",'Mapa final'!$A$34),"")</f>
        <v/>
      </c>
      <c r="K8" s="399"/>
      <c r="L8" s="399" t="str">
        <f>IF(AND('Mapa final'!$H$36="Muy Alta",'Mapa final'!$L$36="Leve"),CONCATENATE("R",'Mapa final'!$A$36),"")</f>
        <v/>
      </c>
      <c r="M8" s="399"/>
      <c r="N8" s="399" t="str">
        <f>IF(AND('Mapa final'!$H$37="Muy Alta",'Mapa final'!$L$37="Leve"),CONCATENATE("R",'Mapa final'!$A$37),"")</f>
        <v/>
      </c>
      <c r="O8" s="400"/>
      <c r="P8" s="398" t="str">
        <f>IF(AND('Mapa final'!$H$34="Muy Alta",'Mapa final'!$L$34="Menor"),CONCATENATE("R",'Mapa final'!$A$34),"")</f>
        <v/>
      </c>
      <c r="Q8" s="399"/>
      <c r="R8" s="399" t="str">
        <f>IF(AND('Mapa final'!$H$36="Muy Alta",'Mapa final'!$L$36="Menor"),CONCATENATE("R",'Mapa final'!$A$36),"")</f>
        <v/>
      </c>
      <c r="S8" s="399"/>
      <c r="T8" s="399" t="str">
        <f>IF(AND('Mapa final'!$H$37="Muy Alta",'Mapa final'!$L$37="Menor"),CONCATENATE("R",'Mapa final'!$A$37),"")</f>
        <v/>
      </c>
      <c r="U8" s="400"/>
      <c r="V8" s="398" t="str">
        <f>IF(AND('Mapa final'!$H$34="Muy Alta",'Mapa final'!$L$34="Moderado"),CONCATENATE("R",'Mapa final'!$A$34),"")</f>
        <v/>
      </c>
      <c r="W8" s="399"/>
      <c r="X8" s="399" t="str">
        <f>IF(AND('Mapa final'!$H$36="Muy Alta",'Mapa final'!$L$36="Moderado"),CONCATENATE("R",'Mapa final'!$A$36),"")</f>
        <v/>
      </c>
      <c r="Y8" s="399"/>
      <c r="Z8" s="399" t="str">
        <f>IF(AND('Mapa final'!$H$37="Muy Alta",'Mapa final'!$L$37="Moderado"),CONCATENATE("R",'Mapa final'!$A$37),"")</f>
        <v/>
      </c>
      <c r="AA8" s="400"/>
      <c r="AB8" s="398" t="str">
        <f>IF(AND('Mapa final'!$H$34="Muy Alta",'Mapa final'!$L$34="Mayor"),CONCATENATE("R",'Mapa final'!$A$34),"")</f>
        <v/>
      </c>
      <c r="AC8" s="399"/>
      <c r="AD8" s="399" t="str">
        <f>IF(AND('Mapa final'!$H$36="Muy Alta",'Mapa final'!$L$36="Mayor"),CONCATENATE("R",'Mapa final'!$A$36),"")</f>
        <v/>
      </c>
      <c r="AE8" s="399"/>
      <c r="AF8" s="399" t="str">
        <f>IF(AND('Mapa final'!$H$37="Muy Alta",'Mapa final'!$L$37="Mayor"),CONCATENATE("R",'Mapa final'!$A$37),"")</f>
        <v/>
      </c>
      <c r="AG8" s="400"/>
      <c r="AH8" s="389" t="str">
        <f>IF(AND('Mapa final'!$H$34="Muy Alta",'Mapa final'!$L$34="Catastrófico"),CONCATENATE("R",'Mapa final'!$A$34),"")</f>
        <v/>
      </c>
      <c r="AI8" s="390"/>
      <c r="AJ8" s="390" t="str">
        <f>IF(AND('Mapa final'!$H$36="Muy Alta",'Mapa final'!$L$36="Catastrófico"),CONCATENATE("R",'Mapa final'!$A$36),"")</f>
        <v/>
      </c>
      <c r="AK8" s="390"/>
      <c r="AL8" s="390" t="str">
        <f>IF(AND('Mapa final'!$H$37="Muy Alta",'Mapa final'!$L$37="Catastrófico"),CONCATENATE("R",'Mapa final'!$A$37),"")</f>
        <v/>
      </c>
      <c r="AM8" s="391"/>
      <c r="AN8" s="83"/>
      <c r="AO8" s="423"/>
      <c r="AP8" s="424"/>
      <c r="AQ8" s="424"/>
      <c r="AR8" s="424"/>
      <c r="AS8" s="424"/>
      <c r="AT8" s="425"/>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18"/>
      <c r="C9" s="418"/>
      <c r="D9" s="419"/>
      <c r="E9" s="411"/>
      <c r="F9" s="412"/>
      <c r="G9" s="412"/>
      <c r="H9" s="412"/>
      <c r="I9" s="413"/>
      <c r="J9" s="398"/>
      <c r="K9" s="399"/>
      <c r="L9" s="399"/>
      <c r="M9" s="399"/>
      <c r="N9" s="399"/>
      <c r="O9" s="400"/>
      <c r="P9" s="398"/>
      <c r="Q9" s="399"/>
      <c r="R9" s="399"/>
      <c r="S9" s="399"/>
      <c r="T9" s="399"/>
      <c r="U9" s="400"/>
      <c r="V9" s="398"/>
      <c r="W9" s="399"/>
      <c r="X9" s="399"/>
      <c r="Y9" s="399"/>
      <c r="Z9" s="399"/>
      <c r="AA9" s="400"/>
      <c r="AB9" s="398"/>
      <c r="AC9" s="399"/>
      <c r="AD9" s="399"/>
      <c r="AE9" s="399"/>
      <c r="AF9" s="399"/>
      <c r="AG9" s="400"/>
      <c r="AH9" s="389"/>
      <c r="AI9" s="390"/>
      <c r="AJ9" s="390"/>
      <c r="AK9" s="390"/>
      <c r="AL9" s="390"/>
      <c r="AM9" s="391"/>
      <c r="AN9" s="83"/>
      <c r="AO9" s="423"/>
      <c r="AP9" s="424"/>
      <c r="AQ9" s="424"/>
      <c r="AR9" s="424"/>
      <c r="AS9" s="424"/>
      <c r="AT9" s="425"/>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18"/>
      <c r="C10" s="418"/>
      <c r="D10" s="419"/>
      <c r="E10" s="411"/>
      <c r="F10" s="412"/>
      <c r="G10" s="412"/>
      <c r="H10" s="412"/>
      <c r="I10" s="413"/>
      <c r="J10" s="398" t="e">
        <f>IF(AND('Mapa final'!#REF!="Muy Alta",'Mapa final'!#REF!="Leve"),CONCATENATE("R",'Mapa final'!#REF!),"")</f>
        <v>#REF!</v>
      </c>
      <c r="K10" s="399"/>
      <c r="L10" s="399" t="str">
        <f>IF(AND('Mapa final'!$H$38="Muy Alta",'Mapa final'!$L$38="Leve"),CONCATENATE("R",'Mapa final'!$A$38),"")</f>
        <v/>
      </c>
      <c r="M10" s="399"/>
      <c r="N10" s="399" t="str">
        <f>IF(AND('Mapa final'!$H$44="Muy Alta",'Mapa final'!$L$44="Leve"),CONCATENATE("R",'Mapa final'!$A$44),"")</f>
        <v/>
      </c>
      <c r="O10" s="400"/>
      <c r="P10" s="398" t="e">
        <f>IF(AND('Mapa final'!#REF!="Muy Alta",'Mapa final'!#REF!="Menor"),CONCATENATE("R",'Mapa final'!#REF!),"")</f>
        <v>#REF!</v>
      </c>
      <c r="Q10" s="399"/>
      <c r="R10" s="399" t="str">
        <f>IF(AND('Mapa final'!$H$38="Muy Alta",'Mapa final'!$L$38="Menor"),CONCATENATE("R",'Mapa final'!$A$38),"")</f>
        <v/>
      </c>
      <c r="S10" s="399"/>
      <c r="T10" s="399" t="str">
        <f>IF(AND('Mapa final'!$H$44="Muy Alta",'Mapa final'!$L$44="Menor"),CONCATENATE("R",'Mapa final'!$A$44),"")</f>
        <v/>
      </c>
      <c r="U10" s="400"/>
      <c r="V10" s="398" t="e">
        <f>IF(AND('Mapa final'!#REF!="Muy Alta",'Mapa final'!#REF!="Moderado"),CONCATENATE("R",'Mapa final'!#REF!),"")</f>
        <v>#REF!</v>
      </c>
      <c r="W10" s="399"/>
      <c r="X10" s="399" t="str">
        <f>IF(AND('Mapa final'!$H$38="Muy Alta",'Mapa final'!$L$38="Moderado"),CONCATENATE("R",'Mapa final'!$A$38),"")</f>
        <v/>
      </c>
      <c r="Y10" s="399"/>
      <c r="Z10" s="399" t="str">
        <f>IF(AND('Mapa final'!$H$44="Muy Alta",'Mapa final'!$L$44="Moderado"),CONCATENATE("R",'Mapa final'!$A$44),"")</f>
        <v/>
      </c>
      <c r="AA10" s="400"/>
      <c r="AB10" s="398" t="e">
        <f>IF(AND('Mapa final'!#REF!="Muy Alta",'Mapa final'!#REF!="Mayor"),CONCATENATE("R",'Mapa final'!#REF!),"")</f>
        <v>#REF!</v>
      </c>
      <c r="AC10" s="399"/>
      <c r="AD10" s="399" t="str">
        <f>IF(AND('Mapa final'!$H$38="Muy Alta",'Mapa final'!$L$38="Mayor"),CONCATENATE("R",'Mapa final'!$A$38),"")</f>
        <v/>
      </c>
      <c r="AE10" s="399"/>
      <c r="AF10" s="399" t="str">
        <f>IF(AND('Mapa final'!$H$44="Muy Alta",'Mapa final'!$L$44="Mayor"),CONCATENATE("R",'Mapa final'!$A$44),"")</f>
        <v/>
      </c>
      <c r="AG10" s="400"/>
      <c r="AH10" s="389" t="e">
        <f>IF(AND('Mapa final'!#REF!="Muy Alta",'Mapa final'!#REF!="Catastrófico"),CONCATENATE("R",'Mapa final'!#REF!),"")</f>
        <v>#REF!</v>
      </c>
      <c r="AI10" s="390"/>
      <c r="AJ10" s="390" t="str">
        <f>IF(AND('Mapa final'!$H$38="Muy Alta",'Mapa final'!$L$38="Catastrófico"),CONCATENATE("R",'Mapa final'!$A$38),"")</f>
        <v/>
      </c>
      <c r="AK10" s="390"/>
      <c r="AL10" s="390" t="str">
        <f>IF(AND('Mapa final'!$H$44="Muy Alta",'Mapa final'!$L$44="Catastrófico"),CONCATENATE("R",'Mapa final'!$A$44),"")</f>
        <v/>
      </c>
      <c r="AM10" s="391"/>
      <c r="AN10" s="83"/>
      <c r="AO10" s="423"/>
      <c r="AP10" s="424"/>
      <c r="AQ10" s="424"/>
      <c r="AR10" s="424"/>
      <c r="AS10" s="424"/>
      <c r="AT10" s="425"/>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18"/>
      <c r="C11" s="418"/>
      <c r="D11" s="419"/>
      <c r="E11" s="411"/>
      <c r="F11" s="412"/>
      <c r="G11" s="412"/>
      <c r="H11" s="412"/>
      <c r="I11" s="413"/>
      <c r="J11" s="398"/>
      <c r="K11" s="399"/>
      <c r="L11" s="399"/>
      <c r="M11" s="399"/>
      <c r="N11" s="399"/>
      <c r="O11" s="400"/>
      <c r="P11" s="398"/>
      <c r="Q11" s="399"/>
      <c r="R11" s="399"/>
      <c r="S11" s="399"/>
      <c r="T11" s="399"/>
      <c r="U11" s="400"/>
      <c r="V11" s="398"/>
      <c r="W11" s="399"/>
      <c r="X11" s="399"/>
      <c r="Y11" s="399"/>
      <c r="Z11" s="399"/>
      <c r="AA11" s="400"/>
      <c r="AB11" s="398"/>
      <c r="AC11" s="399"/>
      <c r="AD11" s="399"/>
      <c r="AE11" s="399"/>
      <c r="AF11" s="399"/>
      <c r="AG11" s="400"/>
      <c r="AH11" s="389"/>
      <c r="AI11" s="390"/>
      <c r="AJ11" s="390"/>
      <c r="AK11" s="390"/>
      <c r="AL11" s="390"/>
      <c r="AM11" s="391"/>
      <c r="AN11" s="83"/>
      <c r="AO11" s="423"/>
      <c r="AP11" s="424"/>
      <c r="AQ11" s="424"/>
      <c r="AR11" s="424"/>
      <c r="AS11" s="424"/>
      <c r="AT11" s="425"/>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18"/>
      <c r="C12" s="418"/>
      <c r="D12" s="419"/>
      <c r="E12" s="411"/>
      <c r="F12" s="412"/>
      <c r="G12" s="412"/>
      <c r="H12" s="412"/>
      <c r="I12" s="413"/>
      <c r="J12" s="398" t="str">
        <f>IF(AND('Mapa final'!$H$50="Muy Alta",'Mapa final'!$L$50="Leve"),CONCATENATE("R",'Mapa final'!$A$50),"")</f>
        <v/>
      </c>
      <c r="K12" s="399"/>
      <c r="L12" s="399" t="str">
        <f>IF(AND('Mapa final'!$H$56="Muy Alta",'Mapa final'!$L$56="Leve"),CONCATENATE("R",'Mapa final'!$A$56),"")</f>
        <v/>
      </c>
      <c r="M12" s="399"/>
      <c r="N12" s="399" t="str">
        <f>IF(AND('Mapa final'!$H$62="Muy Alta",'Mapa final'!$L$62="Leve"),CONCATENATE("R",'Mapa final'!$A$62),"")</f>
        <v/>
      </c>
      <c r="O12" s="400"/>
      <c r="P12" s="398" t="str">
        <f>IF(AND('Mapa final'!$H$50="Muy Alta",'Mapa final'!$L$50="Menor"),CONCATENATE("R",'Mapa final'!$A$50),"")</f>
        <v/>
      </c>
      <c r="Q12" s="399"/>
      <c r="R12" s="399" t="str">
        <f>IF(AND('Mapa final'!$H$56="Muy Alta",'Mapa final'!$L$56="Menor"),CONCATENATE("R",'Mapa final'!$A$56),"")</f>
        <v/>
      </c>
      <c r="S12" s="399"/>
      <c r="T12" s="399" t="str">
        <f>IF(AND('Mapa final'!$H$62="Muy Alta",'Mapa final'!$L$62="Menor"),CONCATENATE("R",'Mapa final'!$A$62),"")</f>
        <v/>
      </c>
      <c r="U12" s="400"/>
      <c r="V12" s="398" t="str">
        <f>IF(AND('Mapa final'!$H$50="Muy Alta",'Mapa final'!$L$50="Moderado"),CONCATENATE("R",'Mapa final'!$A$50),"")</f>
        <v/>
      </c>
      <c r="W12" s="399"/>
      <c r="X12" s="399" t="str">
        <f>IF(AND('Mapa final'!$H$56="Muy Alta",'Mapa final'!$L$56="Moderado"),CONCATENATE("R",'Mapa final'!$A$56),"")</f>
        <v/>
      </c>
      <c r="Y12" s="399"/>
      <c r="Z12" s="399" t="str">
        <f>IF(AND('Mapa final'!$H$62="Muy Alta",'Mapa final'!$L$62="Moderado"),CONCATENATE("R",'Mapa final'!$A$62),"")</f>
        <v/>
      </c>
      <c r="AA12" s="400"/>
      <c r="AB12" s="398" t="str">
        <f>IF(AND('Mapa final'!$H$50="Muy Alta",'Mapa final'!$L$50="Mayor"),CONCATENATE("R",'Mapa final'!$A$50),"")</f>
        <v/>
      </c>
      <c r="AC12" s="399"/>
      <c r="AD12" s="399" t="str">
        <f>IF(AND('Mapa final'!$H$56="Muy Alta",'Mapa final'!$L$56="Mayor"),CONCATENATE("R",'Mapa final'!$A$56),"")</f>
        <v/>
      </c>
      <c r="AE12" s="399"/>
      <c r="AF12" s="399" t="str">
        <f>IF(AND('Mapa final'!$H$62="Muy Alta",'Mapa final'!$L$62="Mayor"),CONCATENATE("R",'Mapa final'!$A$62),"")</f>
        <v/>
      </c>
      <c r="AG12" s="400"/>
      <c r="AH12" s="389" t="str">
        <f>IF(AND('Mapa final'!$H$50="Muy Alta",'Mapa final'!$L$50="Catastrófico"),CONCATENATE("R",'Mapa final'!$A$50),"")</f>
        <v/>
      </c>
      <c r="AI12" s="390"/>
      <c r="AJ12" s="390" t="str">
        <f>IF(AND('Mapa final'!$H$56="Muy Alta",'Mapa final'!$L$56="Catastrófico"),CONCATENATE("R",'Mapa final'!$A$56),"")</f>
        <v/>
      </c>
      <c r="AK12" s="390"/>
      <c r="AL12" s="390" t="str">
        <f>IF(AND('Mapa final'!$H$62="Muy Alta",'Mapa final'!$L$62="Catastrófico"),CONCATENATE("R",'Mapa final'!$A$62),"")</f>
        <v/>
      </c>
      <c r="AM12" s="391"/>
      <c r="AN12" s="83"/>
      <c r="AO12" s="423"/>
      <c r="AP12" s="424"/>
      <c r="AQ12" s="424"/>
      <c r="AR12" s="424"/>
      <c r="AS12" s="424"/>
      <c r="AT12" s="425"/>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18"/>
      <c r="C13" s="418"/>
      <c r="D13" s="419"/>
      <c r="E13" s="414"/>
      <c r="F13" s="415"/>
      <c r="G13" s="415"/>
      <c r="H13" s="415"/>
      <c r="I13" s="416"/>
      <c r="J13" s="398"/>
      <c r="K13" s="399"/>
      <c r="L13" s="399"/>
      <c r="M13" s="399"/>
      <c r="N13" s="399"/>
      <c r="O13" s="400"/>
      <c r="P13" s="398"/>
      <c r="Q13" s="399"/>
      <c r="R13" s="399"/>
      <c r="S13" s="399"/>
      <c r="T13" s="399"/>
      <c r="U13" s="400"/>
      <c r="V13" s="398"/>
      <c r="W13" s="399"/>
      <c r="X13" s="399"/>
      <c r="Y13" s="399"/>
      <c r="Z13" s="399"/>
      <c r="AA13" s="400"/>
      <c r="AB13" s="398"/>
      <c r="AC13" s="399"/>
      <c r="AD13" s="399"/>
      <c r="AE13" s="399"/>
      <c r="AF13" s="399"/>
      <c r="AG13" s="400"/>
      <c r="AH13" s="392"/>
      <c r="AI13" s="393"/>
      <c r="AJ13" s="393"/>
      <c r="AK13" s="393"/>
      <c r="AL13" s="393"/>
      <c r="AM13" s="394"/>
      <c r="AN13" s="83"/>
      <c r="AO13" s="426"/>
      <c r="AP13" s="427"/>
      <c r="AQ13" s="427"/>
      <c r="AR13" s="427"/>
      <c r="AS13" s="427"/>
      <c r="AT13" s="428"/>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18"/>
      <c r="C14" s="418"/>
      <c r="D14" s="419"/>
      <c r="E14" s="408" t="s">
        <v>184</v>
      </c>
      <c r="F14" s="409"/>
      <c r="G14" s="409"/>
      <c r="H14" s="409"/>
      <c r="I14" s="409"/>
      <c r="J14" s="386" t="str">
        <f>IF(AND('Mapa final'!$H$25="Alta",'Mapa final'!$L$25="Leve"),CONCATENATE("R",'Mapa final'!$A$25),"")</f>
        <v/>
      </c>
      <c r="K14" s="387"/>
      <c r="L14" s="387" t="str">
        <f>IF(AND('Mapa final'!$H$31="Alta",'Mapa final'!$L$31="Leve"),CONCATENATE("R",'Mapa final'!$A$31),"")</f>
        <v/>
      </c>
      <c r="M14" s="387"/>
      <c r="N14" s="387" t="str">
        <f>IF(AND('Mapa final'!$H$33="Alta",'Mapa final'!$L$33="Leve"),CONCATENATE("R",'Mapa final'!$A$33),"")</f>
        <v/>
      </c>
      <c r="O14" s="388"/>
      <c r="P14" s="386" t="str">
        <f>IF(AND('Mapa final'!$H$25="Alta",'Mapa final'!$L$25="Menor"),CONCATENATE("R",'Mapa final'!$A$25),"")</f>
        <v/>
      </c>
      <c r="Q14" s="387"/>
      <c r="R14" s="387" t="str">
        <f>IF(AND('Mapa final'!$H$31="Alta",'Mapa final'!$L$31="Menor"),CONCATENATE("R",'Mapa final'!$A$31),"")</f>
        <v/>
      </c>
      <c r="S14" s="387"/>
      <c r="T14" s="387" t="str">
        <f>IF(AND('Mapa final'!$H$33="Alta",'Mapa final'!$L$33="Menor"),CONCATENATE("R",'Mapa final'!$A$33),"")</f>
        <v/>
      </c>
      <c r="U14" s="388"/>
      <c r="V14" s="404" t="str">
        <f>IF(AND('Mapa final'!$H$25="Alta",'Mapa final'!$L$25="Moderado"),CONCATENATE("R",'Mapa final'!$A$25),"")</f>
        <v/>
      </c>
      <c r="W14" s="405"/>
      <c r="X14" s="405" t="str">
        <f>IF(AND('Mapa final'!$H$31="Alta",'Mapa final'!$L$31="Moderado"),CONCATENATE("R",'Mapa final'!$A$31),"")</f>
        <v/>
      </c>
      <c r="Y14" s="405"/>
      <c r="Z14" s="405" t="str">
        <f>IF(AND('Mapa final'!$H$33="Alta",'Mapa final'!$L$33="Moderado"),CONCATENATE("R",'Mapa final'!$A$33),"")</f>
        <v/>
      </c>
      <c r="AA14" s="406"/>
      <c r="AB14" s="404" t="str">
        <f>IF(AND('Mapa final'!$H$25="Alta",'Mapa final'!$L$25="Mayor"),CONCATENATE("R",'Mapa final'!$A$25),"")</f>
        <v/>
      </c>
      <c r="AC14" s="405"/>
      <c r="AD14" s="405" t="str">
        <f>IF(AND('Mapa final'!$H$31="Alta",'Mapa final'!$L$31="Mayor"),CONCATENATE("R",'Mapa final'!$A$31),"")</f>
        <v/>
      </c>
      <c r="AE14" s="405"/>
      <c r="AF14" s="405" t="str">
        <f>IF(AND('Mapa final'!$H$33="Alta",'Mapa final'!$L$33="Mayor"),CONCATENATE("R",'Mapa final'!$A$33),"")</f>
        <v/>
      </c>
      <c r="AG14" s="406"/>
      <c r="AH14" s="395" t="str">
        <f>IF(AND('Mapa final'!$H$25="Alta",'Mapa final'!$L$25="Catastrófico"),CONCATENATE("R",'Mapa final'!$A$25),"")</f>
        <v/>
      </c>
      <c r="AI14" s="396"/>
      <c r="AJ14" s="396" t="str">
        <f>IF(AND('Mapa final'!$H$31="Alta",'Mapa final'!$L$31="Catastrófico"),CONCATENATE("R",'Mapa final'!$A$31),"")</f>
        <v/>
      </c>
      <c r="AK14" s="396"/>
      <c r="AL14" s="396" t="str">
        <f>IF(AND('Mapa final'!$H$33="Alta",'Mapa final'!$L$33="Catastrófico"),CONCATENATE("R",'Mapa final'!$A$33),"")</f>
        <v/>
      </c>
      <c r="AM14" s="397"/>
      <c r="AN14" s="83"/>
      <c r="AO14" s="429" t="s">
        <v>185</v>
      </c>
      <c r="AP14" s="430"/>
      <c r="AQ14" s="430"/>
      <c r="AR14" s="430"/>
      <c r="AS14" s="430"/>
      <c r="AT14" s="431"/>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18"/>
      <c r="C15" s="418"/>
      <c r="D15" s="419"/>
      <c r="E15" s="411"/>
      <c r="F15" s="412"/>
      <c r="G15" s="412"/>
      <c r="H15" s="412"/>
      <c r="I15" s="412"/>
      <c r="J15" s="380"/>
      <c r="K15" s="381"/>
      <c r="L15" s="381"/>
      <c r="M15" s="381"/>
      <c r="N15" s="381"/>
      <c r="O15" s="382"/>
      <c r="P15" s="380"/>
      <c r="Q15" s="381"/>
      <c r="R15" s="381"/>
      <c r="S15" s="381"/>
      <c r="T15" s="381"/>
      <c r="U15" s="382"/>
      <c r="V15" s="398"/>
      <c r="W15" s="399"/>
      <c r="X15" s="399"/>
      <c r="Y15" s="399"/>
      <c r="Z15" s="399"/>
      <c r="AA15" s="400"/>
      <c r="AB15" s="398"/>
      <c r="AC15" s="399"/>
      <c r="AD15" s="399"/>
      <c r="AE15" s="399"/>
      <c r="AF15" s="399"/>
      <c r="AG15" s="400"/>
      <c r="AH15" s="389"/>
      <c r="AI15" s="390"/>
      <c r="AJ15" s="390"/>
      <c r="AK15" s="390"/>
      <c r="AL15" s="390"/>
      <c r="AM15" s="391"/>
      <c r="AN15" s="83"/>
      <c r="AO15" s="432"/>
      <c r="AP15" s="433"/>
      <c r="AQ15" s="433"/>
      <c r="AR15" s="433"/>
      <c r="AS15" s="433"/>
      <c r="AT15" s="434"/>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18"/>
      <c r="C16" s="418"/>
      <c r="D16" s="419"/>
      <c r="E16" s="411"/>
      <c r="F16" s="412"/>
      <c r="G16" s="412"/>
      <c r="H16" s="412"/>
      <c r="I16" s="412"/>
      <c r="J16" s="380" t="str">
        <f>IF(AND('Mapa final'!$H$34="Alta",'Mapa final'!$L$34="Leve"),CONCATENATE("R",'Mapa final'!$A$34),"")</f>
        <v/>
      </c>
      <c r="K16" s="381"/>
      <c r="L16" s="381" t="str">
        <f>IF(AND('Mapa final'!$H$36="Alta",'Mapa final'!$L$36="Leve"),CONCATENATE("R",'Mapa final'!$A$36),"")</f>
        <v/>
      </c>
      <c r="M16" s="381"/>
      <c r="N16" s="381" t="str">
        <f>IF(AND('Mapa final'!$H$37="Alta",'Mapa final'!$L$37="Leve"),CONCATENATE("R",'Mapa final'!$A$37),"")</f>
        <v/>
      </c>
      <c r="O16" s="382"/>
      <c r="P16" s="380" t="str">
        <f>IF(AND('Mapa final'!$H$34="Alta",'Mapa final'!$L$34="Menor"),CONCATENATE("R",'Mapa final'!$A$34),"")</f>
        <v/>
      </c>
      <c r="Q16" s="381"/>
      <c r="R16" s="381" t="str">
        <f>IF(AND('Mapa final'!$H$36="Alta",'Mapa final'!$L$36="Menor"),CONCATENATE("R",'Mapa final'!$A$36),"")</f>
        <v/>
      </c>
      <c r="S16" s="381"/>
      <c r="T16" s="381" t="str">
        <f>IF(AND('Mapa final'!$H$37="Alta",'Mapa final'!$L$37="Menor"),CONCATENATE("R",'Mapa final'!$A$37),"")</f>
        <v/>
      </c>
      <c r="U16" s="382"/>
      <c r="V16" s="398" t="str">
        <f>IF(AND('Mapa final'!$H$34="Alta",'Mapa final'!$L$34="Moderado"),CONCATENATE("R",'Mapa final'!$A$34),"")</f>
        <v/>
      </c>
      <c r="W16" s="399"/>
      <c r="X16" s="399" t="str">
        <f>IF(AND('Mapa final'!$H$36="Alta",'Mapa final'!$L$36="Moderado"),CONCATENATE("R",'Mapa final'!$A$36),"")</f>
        <v/>
      </c>
      <c r="Y16" s="399"/>
      <c r="Z16" s="399" t="str">
        <f>IF(AND('Mapa final'!$H$37="Alta",'Mapa final'!$L$37="Moderado"),CONCATENATE("R",'Mapa final'!$A$37),"")</f>
        <v/>
      </c>
      <c r="AA16" s="400"/>
      <c r="AB16" s="398" t="str">
        <f>IF(AND('Mapa final'!$H$34="Alta",'Mapa final'!$L$34="Mayor"),CONCATENATE("R",'Mapa final'!$A$34),"")</f>
        <v/>
      </c>
      <c r="AC16" s="399"/>
      <c r="AD16" s="399" t="str">
        <f>IF(AND('Mapa final'!$H$36="Alta",'Mapa final'!$L$36="Mayor"),CONCATENATE("R",'Mapa final'!$A$36),"")</f>
        <v/>
      </c>
      <c r="AE16" s="399"/>
      <c r="AF16" s="399" t="str">
        <f>IF(AND('Mapa final'!$H$37="Alta",'Mapa final'!$L$37="Mayor"),CONCATENATE("R",'Mapa final'!$A$37),"")</f>
        <v/>
      </c>
      <c r="AG16" s="400"/>
      <c r="AH16" s="389" t="str">
        <f>IF(AND('Mapa final'!$H$34="Alta",'Mapa final'!$L$34="Catastrófico"),CONCATENATE("R",'Mapa final'!$A$34),"")</f>
        <v/>
      </c>
      <c r="AI16" s="390"/>
      <c r="AJ16" s="390" t="str">
        <f>IF(AND('Mapa final'!$H$36="Alta",'Mapa final'!$L$36="Catastrófico"),CONCATENATE("R",'Mapa final'!$A$36),"")</f>
        <v/>
      </c>
      <c r="AK16" s="390"/>
      <c r="AL16" s="390" t="str">
        <f>IF(AND('Mapa final'!$H$37="Alta",'Mapa final'!$L$37="Catastrófico"),CONCATENATE("R",'Mapa final'!$A$37),"")</f>
        <v/>
      </c>
      <c r="AM16" s="391"/>
      <c r="AN16" s="83"/>
      <c r="AO16" s="432"/>
      <c r="AP16" s="433"/>
      <c r="AQ16" s="433"/>
      <c r="AR16" s="433"/>
      <c r="AS16" s="433"/>
      <c r="AT16" s="434"/>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18"/>
      <c r="C17" s="418"/>
      <c r="D17" s="419"/>
      <c r="E17" s="411"/>
      <c r="F17" s="412"/>
      <c r="G17" s="412"/>
      <c r="H17" s="412"/>
      <c r="I17" s="412"/>
      <c r="J17" s="380"/>
      <c r="K17" s="381"/>
      <c r="L17" s="381"/>
      <c r="M17" s="381"/>
      <c r="N17" s="381"/>
      <c r="O17" s="382"/>
      <c r="P17" s="380"/>
      <c r="Q17" s="381"/>
      <c r="R17" s="381"/>
      <c r="S17" s="381"/>
      <c r="T17" s="381"/>
      <c r="U17" s="382"/>
      <c r="V17" s="398"/>
      <c r="W17" s="399"/>
      <c r="X17" s="399"/>
      <c r="Y17" s="399"/>
      <c r="Z17" s="399"/>
      <c r="AA17" s="400"/>
      <c r="AB17" s="398"/>
      <c r="AC17" s="399"/>
      <c r="AD17" s="399"/>
      <c r="AE17" s="399"/>
      <c r="AF17" s="399"/>
      <c r="AG17" s="400"/>
      <c r="AH17" s="389"/>
      <c r="AI17" s="390"/>
      <c r="AJ17" s="390"/>
      <c r="AK17" s="390"/>
      <c r="AL17" s="390"/>
      <c r="AM17" s="391"/>
      <c r="AN17" s="83"/>
      <c r="AO17" s="432"/>
      <c r="AP17" s="433"/>
      <c r="AQ17" s="433"/>
      <c r="AR17" s="433"/>
      <c r="AS17" s="433"/>
      <c r="AT17" s="434"/>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18"/>
      <c r="C18" s="418"/>
      <c r="D18" s="419"/>
      <c r="E18" s="411"/>
      <c r="F18" s="412"/>
      <c r="G18" s="412"/>
      <c r="H18" s="412"/>
      <c r="I18" s="412"/>
      <c r="J18" s="380" t="e">
        <f>IF(AND('Mapa final'!#REF!="Alta",'Mapa final'!#REF!="Leve"),CONCATENATE("R",'Mapa final'!#REF!),"")</f>
        <v>#REF!</v>
      </c>
      <c r="K18" s="381"/>
      <c r="L18" s="381" t="str">
        <f>IF(AND('Mapa final'!$H$38="Alta",'Mapa final'!$L$38="Leve"),CONCATENATE("R",'Mapa final'!$A$38),"")</f>
        <v/>
      </c>
      <c r="M18" s="381"/>
      <c r="N18" s="381" t="str">
        <f>IF(AND('Mapa final'!$H$44="Alta",'Mapa final'!$L$44="Leve"),CONCATENATE("R",'Mapa final'!$A$44),"")</f>
        <v/>
      </c>
      <c r="O18" s="382"/>
      <c r="P18" s="380" t="e">
        <f>IF(AND('Mapa final'!#REF!="Alta",'Mapa final'!#REF!="Menor"),CONCATENATE("R",'Mapa final'!#REF!),"")</f>
        <v>#REF!</v>
      </c>
      <c r="Q18" s="381"/>
      <c r="R18" s="381" t="str">
        <f>IF(AND('Mapa final'!$H$38="Alta",'Mapa final'!$L$38="Menor"),CONCATENATE("R",'Mapa final'!$A$38),"")</f>
        <v/>
      </c>
      <c r="S18" s="381"/>
      <c r="T18" s="381" t="str">
        <f>IF(AND('Mapa final'!$H$44="Alta",'Mapa final'!$L$44="Menor"),CONCATENATE("R",'Mapa final'!$A$44),"")</f>
        <v/>
      </c>
      <c r="U18" s="382"/>
      <c r="V18" s="398" t="e">
        <f>IF(AND('Mapa final'!#REF!="Alta",'Mapa final'!#REF!="Moderado"),CONCATENATE("R",'Mapa final'!#REF!),"")</f>
        <v>#REF!</v>
      </c>
      <c r="W18" s="399"/>
      <c r="X18" s="399" t="str">
        <f>IF(AND('Mapa final'!$H$38="Alta",'Mapa final'!$L$38="Moderado"),CONCATENATE("R",'Mapa final'!$A$38),"")</f>
        <v/>
      </c>
      <c r="Y18" s="399"/>
      <c r="Z18" s="399" t="str">
        <f>IF(AND('Mapa final'!$H$44="Alta",'Mapa final'!$L$44="Moderado"),CONCATENATE("R",'Mapa final'!$A$44),"")</f>
        <v/>
      </c>
      <c r="AA18" s="400"/>
      <c r="AB18" s="398" t="e">
        <f>IF(AND('Mapa final'!#REF!="Alta",'Mapa final'!#REF!="Mayor"),CONCATENATE("R",'Mapa final'!#REF!),"")</f>
        <v>#REF!</v>
      </c>
      <c r="AC18" s="399"/>
      <c r="AD18" s="399" t="str">
        <f>IF(AND('Mapa final'!$H$38="Alta",'Mapa final'!$L$38="Mayor"),CONCATENATE("R",'Mapa final'!$A$38),"")</f>
        <v/>
      </c>
      <c r="AE18" s="399"/>
      <c r="AF18" s="399" t="str">
        <f>IF(AND('Mapa final'!$H$44="Alta",'Mapa final'!$L$44="Mayor"),CONCATENATE("R",'Mapa final'!$A$44),"")</f>
        <v/>
      </c>
      <c r="AG18" s="400"/>
      <c r="AH18" s="389" t="e">
        <f>IF(AND('Mapa final'!#REF!="Alta",'Mapa final'!#REF!="Catastrófico"),CONCATENATE("R",'Mapa final'!#REF!),"")</f>
        <v>#REF!</v>
      </c>
      <c r="AI18" s="390"/>
      <c r="AJ18" s="390" t="str">
        <f>IF(AND('Mapa final'!$H$38="Alta",'Mapa final'!$L$38="Catastrófico"),CONCATENATE("R",'Mapa final'!$A$38),"")</f>
        <v/>
      </c>
      <c r="AK18" s="390"/>
      <c r="AL18" s="390" t="str">
        <f>IF(AND('Mapa final'!$H$44="Alta",'Mapa final'!$L$44="Catastrófico"),CONCATENATE("R",'Mapa final'!$A$44),"")</f>
        <v/>
      </c>
      <c r="AM18" s="391"/>
      <c r="AN18" s="83"/>
      <c r="AO18" s="432"/>
      <c r="AP18" s="433"/>
      <c r="AQ18" s="433"/>
      <c r="AR18" s="433"/>
      <c r="AS18" s="433"/>
      <c r="AT18" s="434"/>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18"/>
      <c r="C19" s="418"/>
      <c r="D19" s="419"/>
      <c r="E19" s="411"/>
      <c r="F19" s="412"/>
      <c r="G19" s="412"/>
      <c r="H19" s="412"/>
      <c r="I19" s="412"/>
      <c r="J19" s="380"/>
      <c r="K19" s="381"/>
      <c r="L19" s="381"/>
      <c r="M19" s="381"/>
      <c r="N19" s="381"/>
      <c r="O19" s="382"/>
      <c r="P19" s="380"/>
      <c r="Q19" s="381"/>
      <c r="R19" s="381"/>
      <c r="S19" s="381"/>
      <c r="T19" s="381"/>
      <c r="U19" s="382"/>
      <c r="V19" s="398"/>
      <c r="W19" s="399"/>
      <c r="X19" s="399"/>
      <c r="Y19" s="399"/>
      <c r="Z19" s="399"/>
      <c r="AA19" s="400"/>
      <c r="AB19" s="398"/>
      <c r="AC19" s="399"/>
      <c r="AD19" s="399"/>
      <c r="AE19" s="399"/>
      <c r="AF19" s="399"/>
      <c r="AG19" s="400"/>
      <c r="AH19" s="389"/>
      <c r="AI19" s="390"/>
      <c r="AJ19" s="390"/>
      <c r="AK19" s="390"/>
      <c r="AL19" s="390"/>
      <c r="AM19" s="391"/>
      <c r="AN19" s="83"/>
      <c r="AO19" s="432"/>
      <c r="AP19" s="433"/>
      <c r="AQ19" s="433"/>
      <c r="AR19" s="433"/>
      <c r="AS19" s="433"/>
      <c r="AT19" s="434"/>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18"/>
      <c r="C20" s="418"/>
      <c r="D20" s="419"/>
      <c r="E20" s="411"/>
      <c r="F20" s="412"/>
      <c r="G20" s="412"/>
      <c r="H20" s="412"/>
      <c r="I20" s="412"/>
      <c r="J20" s="380" t="str">
        <f>IF(AND('Mapa final'!$H$50="Alta",'Mapa final'!$L$50="Leve"),CONCATENATE("R",'Mapa final'!$A$50),"")</f>
        <v/>
      </c>
      <c r="K20" s="381"/>
      <c r="L20" s="381" t="str">
        <f>IF(AND('Mapa final'!$H$56="Alta",'Mapa final'!$L$56="Leve"),CONCATENATE("R",'Mapa final'!$A$56),"")</f>
        <v/>
      </c>
      <c r="M20" s="381"/>
      <c r="N20" s="381" t="str">
        <f>IF(AND('Mapa final'!$H$62="Alta",'Mapa final'!$L$62="Leve"),CONCATENATE("R",'Mapa final'!$A$62),"")</f>
        <v/>
      </c>
      <c r="O20" s="382"/>
      <c r="P20" s="380" t="str">
        <f>IF(AND('Mapa final'!$H$50="Alta",'Mapa final'!$L$50="Menor"),CONCATENATE("R",'Mapa final'!$A$50),"")</f>
        <v/>
      </c>
      <c r="Q20" s="381"/>
      <c r="R20" s="381" t="str">
        <f>IF(AND('Mapa final'!$H$56="Alta",'Mapa final'!$L$56="Menor"),CONCATENATE("R",'Mapa final'!$A$56),"")</f>
        <v/>
      </c>
      <c r="S20" s="381"/>
      <c r="T20" s="381" t="str">
        <f>IF(AND('Mapa final'!$H$62="Alta",'Mapa final'!$L$62="Menor"),CONCATENATE("R",'Mapa final'!$A$62),"")</f>
        <v/>
      </c>
      <c r="U20" s="382"/>
      <c r="V20" s="398" t="str">
        <f>IF(AND('Mapa final'!$H$50="Alta",'Mapa final'!$L$50="Moderado"),CONCATENATE("R",'Mapa final'!$A$50),"")</f>
        <v/>
      </c>
      <c r="W20" s="399"/>
      <c r="X20" s="399" t="str">
        <f>IF(AND('Mapa final'!$H$56="Alta",'Mapa final'!$L$56="Moderado"),CONCATENATE("R",'Mapa final'!$A$56),"")</f>
        <v/>
      </c>
      <c r="Y20" s="399"/>
      <c r="Z20" s="399" t="str">
        <f>IF(AND('Mapa final'!$H$62="Alta",'Mapa final'!$L$62="Moderado"),CONCATENATE("R",'Mapa final'!$A$62),"")</f>
        <v/>
      </c>
      <c r="AA20" s="400"/>
      <c r="AB20" s="398" t="str">
        <f>IF(AND('Mapa final'!$H$50="Alta",'Mapa final'!$L$50="Mayor"),CONCATENATE("R",'Mapa final'!$A$50),"")</f>
        <v/>
      </c>
      <c r="AC20" s="399"/>
      <c r="AD20" s="399" t="str">
        <f>IF(AND('Mapa final'!$H$56="Alta",'Mapa final'!$L$56="Mayor"),CONCATENATE("R",'Mapa final'!$A$56),"")</f>
        <v/>
      </c>
      <c r="AE20" s="399"/>
      <c r="AF20" s="399" t="str">
        <f>IF(AND('Mapa final'!$H$62="Alta",'Mapa final'!$L$62="Mayor"),CONCATENATE("R",'Mapa final'!$A$62),"")</f>
        <v/>
      </c>
      <c r="AG20" s="400"/>
      <c r="AH20" s="389" t="str">
        <f>IF(AND('Mapa final'!$H$50="Alta",'Mapa final'!$L$50="Catastrófico"),CONCATENATE("R",'Mapa final'!$A$50),"")</f>
        <v/>
      </c>
      <c r="AI20" s="390"/>
      <c r="AJ20" s="390" t="str">
        <f>IF(AND('Mapa final'!$H$56="Alta",'Mapa final'!$L$56="Catastrófico"),CONCATENATE("R",'Mapa final'!$A$56),"")</f>
        <v/>
      </c>
      <c r="AK20" s="390"/>
      <c r="AL20" s="390" t="str">
        <f>IF(AND('Mapa final'!$H$62="Alta",'Mapa final'!$L$62="Catastrófico"),CONCATENATE("R",'Mapa final'!$A$62),"")</f>
        <v/>
      </c>
      <c r="AM20" s="391"/>
      <c r="AN20" s="83"/>
      <c r="AO20" s="432"/>
      <c r="AP20" s="433"/>
      <c r="AQ20" s="433"/>
      <c r="AR20" s="433"/>
      <c r="AS20" s="433"/>
      <c r="AT20" s="434"/>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18"/>
      <c r="C21" s="418"/>
      <c r="D21" s="419"/>
      <c r="E21" s="414"/>
      <c r="F21" s="415"/>
      <c r="G21" s="415"/>
      <c r="H21" s="415"/>
      <c r="I21" s="415"/>
      <c r="J21" s="383"/>
      <c r="K21" s="384"/>
      <c r="L21" s="384"/>
      <c r="M21" s="384"/>
      <c r="N21" s="384"/>
      <c r="O21" s="385"/>
      <c r="P21" s="383"/>
      <c r="Q21" s="384"/>
      <c r="R21" s="384"/>
      <c r="S21" s="384"/>
      <c r="T21" s="384"/>
      <c r="U21" s="385"/>
      <c r="V21" s="401"/>
      <c r="W21" s="402"/>
      <c r="X21" s="402"/>
      <c r="Y21" s="402"/>
      <c r="Z21" s="402"/>
      <c r="AA21" s="403"/>
      <c r="AB21" s="401"/>
      <c r="AC21" s="402"/>
      <c r="AD21" s="402"/>
      <c r="AE21" s="402"/>
      <c r="AF21" s="402"/>
      <c r="AG21" s="403"/>
      <c r="AH21" s="392"/>
      <c r="AI21" s="393"/>
      <c r="AJ21" s="393"/>
      <c r="AK21" s="393"/>
      <c r="AL21" s="393"/>
      <c r="AM21" s="394"/>
      <c r="AN21" s="83"/>
      <c r="AO21" s="435"/>
      <c r="AP21" s="436"/>
      <c r="AQ21" s="436"/>
      <c r="AR21" s="436"/>
      <c r="AS21" s="436"/>
      <c r="AT21" s="437"/>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18"/>
      <c r="C22" s="418"/>
      <c r="D22" s="419"/>
      <c r="E22" s="408" t="s">
        <v>186</v>
      </c>
      <c r="F22" s="409"/>
      <c r="G22" s="409"/>
      <c r="H22" s="409"/>
      <c r="I22" s="410"/>
      <c r="J22" s="386" t="str">
        <f>IF(AND('Mapa final'!$H$25="Media",'Mapa final'!$L$25="Leve"),CONCATENATE("R",'Mapa final'!$A$25),"")</f>
        <v/>
      </c>
      <c r="K22" s="387"/>
      <c r="L22" s="387" t="str">
        <f>IF(AND('Mapa final'!$H$31="Media",'Mapa final'!$L$31="Leve"),CONCATENATE("R",'Mapa final'!$A$31),"")</f>
        <v/>
      </c>
      <c r="M22" s="387"/>
      <c r="N22" s="387" t="str">
        <f>IF(AND('Mapa final'!$H$33="Media",'Mapa final'!$L$33="Leve"),CONCATENATE("R",'Mapa final'!$A$33),"")</f>
        <v/>
      </c>
      <c r="O22" s="388"/>
      <c r="P22" s="386" t="str">
        <f>IF(AND('Mapa final'!$H$25="Media",'Mapa final'!$L$25="Menor"),CONCATENATE("R",'Mapa final'!$A$25),"")</f>
        <v/>
      </c>
      <c r="Q22" s="387"/>
      <c r="R22" s="387" t="str">
        <f>IF(AND('Mapa final'!$H$31="Media",'Mapa final'!$L$31="Menor"),CONCATENATE("R",'Mapa final'!$A$31),"")</f>
        <v/>
      </c>
      <c r="S22" s="387"/>
      <c r="T22" s="387" t="str">
        <f>IF(AND('Mapa final'!$H$33="Media",'Mapa final'!$L$33="Menor"),CONCATENATE("R",'Mapa final'!$A$33),"")</f>
        <v>R3</v>
      </c>
      <c r="U22" s="388"/>
      <c r="V22" s="386" t="str">
        <f>IF(AND('Mapa final'!$H$25="Media",'Mapa final'!$L$25="Moderado"),CONCATENATE("R",'Mapa final'!$A$25),"")</f>
        <v/>
      </c>
      <c r="W22" s="387"/>
      <c r="X22" s="387" t="str">
        <f>IF(AND('Mapa final'!$H$31="Media",'Mapa final'!$L$31="Moderado"),CONCATENATE("R",'Mapa final'!$A$31),"")</f>
        <v/>
      </c>
      <c r="Y22" s="387"/>
      <c r="Z22" s="387" t="str">
        <f>IF(AND('Mapa final'!$H$33="Media",'Mapa final'!$L$33="Moderado"),CONCATENATE("R",'Mapa final'!$A$33),"")</f>
        <v/>
      </c>
      <c r="AA22" s="388"/>
      <c r="AB22" s="404" t="str">
        <f>IF(AND('Mapa final'!$H$25="Media",'Mapa final'!$L$25="Mayor"),CONCATENATE("R",'Mapa final'!$A$25),"")</f>
        <v/>
      </c>
      <c r="AC22" s="405"/>
      <c r="AD22" s="405" t="str">
        <f>IF(AND('Mapa final'!$H$31="Media",'Mapa final'!$L$31="Mayor"),CONCATENATE("R",'Mapa final'!$A$31),"")</f>
        <v/>
      </c>
      <c r="AE22" s="405"/>
      <c r="AF22" s="405" t="str">
        <f>IF(AND('Mapa final'!$H$33="Media",'Mapa final'!$L$33="Mayor"),CONCATENATE("R",'Mapa final'!$A$33),"")</f>
        <v/>
      </c>
      <c r="AG22" s="406"/>
      <c r="AH22" s="395" t="str">
        <f>IF(AND('Mapa final'!$H$25="Media",'Mapa final'!$L$25="Catastrófico"),CONCATENATE("R",'Mapa final'!$A$25),"")</f>
        <v/>
      </c>
      <c r="AI22" s="396"/>
      <c r="AJ22" s="396" t="str">
        <f>IF(AND('Mapa final'!$H$31="Media",'Mapa final'!$L$31="Catastrófico"),CONCATENATE("R",'Mapa final'!$A$31),"")</f>
        <v/>
      </c>
      <c r="AK22" s="396"/>
      <c r="AL22" s="396" t="str">
        <f>IF(AND('Mapa final'!$H$33="Media",'Mapa final'!$L$33="Catastrófico"),CONCATENATE("R",'Mapa final'!$A$33),"")</f>
        <v/>
      </c>
      <c r="AM22" s="397"/>
      <c r="AN22" s="83"/>
      <c r="AO22" s="438" t="s">
        <v>187</v>
      </c>
      <c r="AP22" s="439"/>
      <c r="AQ22" s="439"/>
      <c r="AR22" s="439"/>
      <c r="AS22" s="439"/>
      <c r="AT22" s="440"/>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18"/>
      <c r="C23" s="418"/>
      <c r="D23" s="419"/>
      <c r="E23" s="411"/>
      <c r="F23" s="412"/>
      <c r="G23" s="412"/>
      <c r="H23" s="412"/>
      <c r="I23" s="413"/>
      <c r="J23" s="380"/>
      <c r="K23" s="381"/>
      <c r="L23" s="381"/>
      <c r="M23" s="381"/>
      <c r="N23" s="381"/>
      <c r="O23" s="382"/>
      <c r="P23" s="380"/>
      <c r="Q23" s="381"/>
      <c r="R23" s="381"/>
      <c r="S23" s="381"/>
      <c r="T23" s="381"/>
      <c r="U23" s="382"/>
      <c r="V23" s="380"/>
      <c r="W23" s="381"/>
      <c r="X23" s="381"/>
      <c r="Y23" s="381"/>
      <c r="Z23" s="381"/>
      <c r="AA23" s="382"/>
      <c r="AB23" s="398"/>
      <c r="AC23" s="399"/>
      <c r="AD23" s="399"/>
      <c r="AE23" s="399"/>
      <c r="AF23" s="399"/>
      <c r="AG23" s="400"/>
      <c r="AH23" s="389"/>
      <c r="AI23" s="390"/>
      <c r="AJ23" s="390"/>
      <c r="AK23" s="390"/>
      <c r="AL23" s="390"/>
      <c r="AM23" s="391"/>
      <c r="AN23" s="83"/>
      <c r="AO23" s="441"/>
      <c r="AP23" s="442"/>
      <c r="AQ23" s="442"/>
      <c r="AR23" s="442"/>
      <c r="AS23" s="442"/>
      <c r="AT23" s="44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18"/>
      <c r="C24" s="418"/>
      <c r="D24" s="419"/>
      <c r="E24" s="411"/>
      <c r="F24" s="412"/>
      <c r="G24" s="412"/>
      <c r="H24" s="412"/>
      <c r="I24" s="413"/>
      <c r="J24" s="380" t="str">
        <f>IF(AND('Mapa final'!$H$34="Media",'Mapa final'!$L$34="Leve"),CONCATENATE("R",'Mapa final'!$A$34),"")</f>
        <v/>
      </c>
      <c r="K24" s="381"/>
      <c r="L24" s="381" t="str">
        <f>IF(AND('Mapa final'!$H$36="Media",'Mapa final'!$L$36="Leve"),CONCATENATE("R",'Mapa final'!$A$36),"")</f>
        <v/>
      </c>
      <c r="M24" s="381"/>
      <c r="N24" s="381" t="str">
        <f>IF(AND('Mapa final'!$H$37="Media",'Mapa final'!$L$37="Leve"),CONCATENATE("R",'Mapa final'!$A$37),"")</f>
        <v/>
      </c>
      <c r="O24" s="382"/>
      <c r="P24" s="380" t="str">
        <f>IF(AND('Mapa final'!$H$34="Media",'Mapa final'!$L$34="Menor"),CONCATENATE("R",'Mapa final'!$A$34),"")</f>
        <v/>
      </c>
      <c r="Q24" s="381"/>
      <c r="R24" s="381" t="str">
        <f>IF(AND('Mapa final'!$H$36="Media",'Mapa final'!$L$36="Menor"),CONCATENATE("R",'Mapa final'!$A$36),"")</f>
        <v/>
      </c>
      <c r="S24" s="381"/>
      <c r="T24" s="381" t="str">
        <f>IF(AND('Mapa final'!$H$37="Media",'Mapa final'!$L$37="Menor"),CONCATENATE("R",'Mapa final'!$A$37),"")</f>
        <v/>
      </c>
      <c r="U24" s="382"/>
      <c r="V24" s="380" t="str">
        <f>IF(AND('Mapa final'!$H$34="Media",'Mapa final'!$L$34="Moderado"),CONCATENATE("R",'Mapa final'!$A$34),"")</f>
        <v/>
      </c>
      <c r="W24" s="381"/>
      <c r="X24" s="381" t="str">
        <f>IF(AND('Mapa final'!$H$36="Media",'Mapa final'!$L$36="Moderado"),CONCATENATE("R",'Mapa final'!$A$36),"")</f>
        <v/>
      </c>
      <c r="Y24" s="381"/>
      <c r="Z24" s="381" t="str">
        <f>IF(AND('Mapa final'!$H$37="Media",'Mapa final'!$L$37="Moderado"),CONCATENATE("R",'Mapa final'!$A$37),"")</f>
        <v/>
      </c>
      <c r="AA24" s="382"/>
      <c r="AB24" s="398" t="str">
        <f>IF(AND('Mapa final'!$H$34="Media",'Mapa final'!$L$34="Mayor"),CONCATENATE("R",'Mapa final'!$A$34),"")</f>
        <v/>
      </c>
      <c r="AC24" s="399"/>
      <c r="AD24" s="399" t="str">
        <f>IF(AND('Mapa final'!$H$36="Media",'Mapa final'!$L$36="Mayor"),CONCATENATE("R",'Mapa final'!$A$36),"")</f>
        <v/>
      </c>
      <c r="AE24" s="399"/>
      <c r="AF24" s="399" t="str">
        <f>IF(AND('Mapa final'!$H$37="Media",'Mapa final'!$L$37="Mayor"),CONCATENATE("R",'Mapa final'!$A$37),"")</f>
        <v/>
      </c>
      <c r="AG24" s="400"/>
      <c r="AH24" s="389" t="str">
        <f>IF(AND('Mapa final'!$H$34="Media",'Mapa final'!$L$34="Catastrófico"),CONCATENATE("R",'Mapa final'!$A$34),"")</f>
        <v/>
      </c>
      <c r="AI24" s="390"/>
      <c r="AJ24" s="390" t="str">
        <f>IF(AND('Mapa final'!$H$36="Media",'Mapa final'!$L$36="Catastrófico"),CONCATENATE("R",'Mapa final'!$A$36),"")</f>
        <v/>
      </c>
      <c r="AK24" s="390"/>
      <c r="AL24" s="390" t="str">
        <f>IF(AND('Mapa final'!$H$37="Media",'Mapa final'!$L$37="Catastrófico"),CONCATENATE("R",'Mapa final'!$A$37),"")</f>
        <v/>
      </c>
      <c r="AM24" s="391"/>
      <c r="AN24" s="83"/>
      <c r="AO24" s="441"/>
      <c r="AP24" s="442"/>
      <c r="AQ24" s="442"/>
      <c r="AR24" s="442"/>
      <c r="AS24" s="442"/>
      <c r="AT24" s="44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18"/>
      <c r="C25" s="418"/>
      <c r="D25" s="419"/>
      <c r="E25" s="411"/>
      <c r="F25" s="412"/>
      <c r="G25" s="412"/>
      <c r="H25" s="412"/>
      <c r="I25" s="413"/>
      <c r="J25" s="380"/>
      <c r="K25" s="381"/>
      <c r="L25" s="381"/>
      <c r="M25" s="381"/>
      <c r="N25" s="381"/>
      <c r="O25" s="382"/>
      <c r="P25" s="380"/>
      <c r="Q25" s="381"/>
      <c r="R25" s="381"/>
      <c r="S25" s="381"/>
      <c r="T25" s="381"/>
      <c r="U25" s="382"/>
      <c r="V25" s="380"/>
      <c r="W25" s="381"/>
      <c r="X25" s="381"/>
      <c r="Y25" s="381"/>
      <c r="Z25" s="381"/>
      <c r="AA25" s="382"/>
      <c r="AB25" s="398"/>
      <c r="AC25" s="399"/>
      <c r="AD25" s="399"/>
      <c r="AE25" s="399"/>
      <c r="AF25" s="399"/>
      <c r="AG25" s="400"/>
      <c r="AH25" s="389"/>
      <c r="AI25" s="390"/>
      <c r="AJ25" s="390"/>
      <c r="AK25" s="390"/>
      <c r="AL25" s="390"/>
      <c r="AM25" s="391"/>
      <c r="AN25" s="83"/>
      <c r="AO25" s="441"/>
      <c r="AP25" s="442"/>
      <c r="AQ25" s="442"/>
      <c r="AR25" s="442"/>
      <c r="AS25" s="442"/>
      <c r="AT25" s="44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18"/>
      <c r="C26" s="418"/>
      <c r="D26" s="419"/>
      <c r="E26" s="411"/>
      <c r="F26" s="412"/>
      <c r="G26" s="412"/>
      <c r="H26" s="412"/>
      <c r="I26" s="413"/>
      <c r="J26" s="380" t="e">
        <f>IF(AND('Mapa final'!#REF!="Media",'Mapa final'!#REF!="Leve"),CONCATENATE("R",'Mapa final'!#REF!),"")</f>
        <v>#REF!</v>
      </c>
      <c r="K26" s="381"/>
      <c r="L26" s="381" t="str">
        <f>IF(AND('Mapa final'!$H$38="Media",'Mapa final'!$L$38="Leve"),CONCATENATE("R",'Mapa final'!$A$38),"")</f>
        <v/>
      </c>
      <c r="M26" s="381"/>
      <c r="N26" s="381" t="str">
        <f>IF(AND('Mapa final'!$H$44="Media",'Mapa final'!$L$44="Leve"),CONCATENATE("R",'Mapa final'!$A$44),"")</f>
        <v/>
      </c>
      <c r="O26" s="382"/>
      <c r="P26" s="380" t="e">
        <f>IF(AND('Mapa final'!#REF!="Media",'Mapa final'!#REF!="Menor"),CONCATENATE("R",'Mapa final'!#REF!),"")</f>
        <v>#REF!</v>
      </c>
      <c r="Q26" s="381"/>
      <c r="R26" s="381" t="str">
        <f>IF(AND('Mapa final'!$H$38="Media",'Mapa final'!$L$38="Menor"),CONCATENATE("R",'Mapa final'!$A$38),"")</f>
        <v>R7</v>
      </c>
      <c r="S26" s="381"/>
      <c r="T26" s="381" t="str">
        <f>IF(AND('Mapa final'!$H$44="Media",'Mapa final'!$L$44="Menor"),CONCATENATE("R",'Mapa final'!$A$44),"")</f>
        <v/>
      </c>
      <c r="U26" s="382"/>
      <c r="V26" s="380" t="e">
        <f>IF(AND('Mapa final'!#REF!="Media",'Mapa final'!#REF!="Moderado"),CONCATENATE("R",'Mapa final'!#REF!),"")</f>
        <v>#REF!</v>
      </c>
      <c r="W26" s="381"/>
      <c r="X26" s="381" t="str">
        <f>IF(AND('Mapa final'!$H$38="Media",'Mapa final'!$L$38="Moderado"),CONCATENATE("R",'Mapa final'!$A$38),"")</f>
        <v/>
      </c>
      <c r="Y26" s="381"/>
      <c r="Z26" s="381" t="str">
        <f>IF(AND('Mapa final'!$H$44="Media",'Mapa final'!$L$44="Moderado"),CONCATENATE("R",'Mapa final'!$A$44),"")</f>
        <v/>
      </c>
      <c r="AA26" s="382"/>
      <c r="AB26" s="398" t="e">
        <f>IF(AND('Mapa final'!#REF!="Media",'Mapa final'!#REF!="Mayor"),CONCATENATE("R",'Mapa final'!#REF!),"")</f>
        <v>#REF!</v>
      </c>
      <c r="AC26" s="399"/>
      <c r="AD26" s="399" t="str">
        <f>IF(AND('Mapa final'!$H$38="Media",'Mapa final'!$L$38="Mayor"),CONCATENATE("R",'Mapa final'!$A$38),"")</f>
        <v/>
      </c>
      <c r="AE26" s="399"/>
      <c r="AF26" s="399" t="str">
        <f>IF(AND('Mapa final'!$H$44="Media",'Mapa final'!$L$44="Mayor"),CONCATENATE("R",'Mapa final'!$A$44),"")</f>
        <v/>
      </c>
      <c r="AG26" s="400"/>
      <c r="AH26" s="389" t="e">
        <f>IF(AND('Mapa final'!#REF!="Media",'Mapa final'!#REF!="Catastrófico"),CONCATENATE("R",'Mapa final'!#REF!),"")</f>
        <v>#REF!</v>
      </c>
      <c r="AI26" s="390"/>
      <c r="AJ26" s="390" t="str">
        <f>IF(AND('Mapa final'!$H$38="Media",'Mapa final'!$L$38="Catastrófico"),CONCATENATE("R",'Mapa final'!$A$38),"")</f>
        <v/>
      </c>
      <c r="AK26" s="390"/>
      <c r="AL26" s="390" t="str">
        <f>IF(AND('Mapa final'!$H$44="Media",'Mapa final'!$L$44="Catastrófico"),CONCATENATE("R",'Mapa final'!$A$44),"")</f>
        <v/>
      </c>
      <c r="AM26" s="391"/>
      <c r="AN26" s="83"/>
      <c r="AO26" s="441"/>
      <c r="AP26" s="442"/>
      <c r="AQ26" s="442"/>
      <c r="AR26" s="442"/>
      <c r="AS26" s="442"/>
      <c r="AT26" s="44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18"/>
      <c r="C27" s="418"/>
      <c r="D27" s="419"/>
      <c r="E27" s="411"/>
      <c r="F27" s="412"/>
      <c r="G27" s="412"/>
      <c r="H27" s="412"/>
      <c r="I27" s="413"/>
      <c r="J27" s="380"/>
      <c r="K27" s="381"/>
      <c r="L27" s="381"/>
      <c r="M27" s="381"/>
      <c r="N27" s="381"/>
      <c r="O27" s="382"/>
      <c r="P27" s="380"/>
      <c r="Q27" s="381"/>
      <c r="R27" s="381"/>
      <c r="S27" s="381"/>
      <c r="T27" s="381"/>
      <c r="U27" s="382"/>
      <c r="V27" s="380"/>
      <c r="W27" s="381"/>
      <c r="X27" s="381"/>
      <c r="Y27" s="381"/>
      <c r="Z27" s="381"/>
      <c r="AA27" s="382"/>
      <c r="AB27" s="398"/>
      <c r="AC27" s="399"/>
      <c r="AD27" s="399"/>
      <c r="AE27" s="399"/>
      <c r="AF27" s="399"/>
      <c r="AG27" s="400"/>
      <c r="AH27" s="389"/>
      <c r="AI27" s="390"/>
      <c r="AJ27" s="390"/>
      <c r="AK27" s="390"/>
      <c r="AL27" s="390"/>
      <c r="AM27" s="391"/>
      <c r="AN27" s="83"/>
      <c r="AO27" s="441"/>
      <c r="AP27" s="442"/>
      <c r="AQ27" s="442"/>
      <c r="AR27" s="442"/>
      <c r="AS27" s="442"/>
      <c r="AT27" s="44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18"/>
      <c r="C28" s="418"/>
      <c r="D28" s="419"/>
      <c r="E28" s="411"/>
      <c r="F28" s="412"/>
      <c r="G28" s="412"/>
      <c r="H28" s="412"/>
      <c r="I28" s="413"/>
      <c r="J28" s="380" t="str">
        <f>IF(AND('Mapa final'!$H$50="Media",'Mapa final'!$L$50="Leve"),CONCATENATE("R",'Mapa final'!$A$50),"")</f>
        <v/>
      </c>
      <c r="K28" s="381"/>
      <c r="L28" s="381" t="str">
        <f>IF(AND('Mapa final'!$H$56="Media",'Mapa final'!$L$56="Leve"),CONCATENATE("R",'Mapa final'!$A$56),"")</f>
        <v/>
      </c>
      <c r="M28" s="381"/>
      <c r="N28" s="381" t="str">
        <f>IF(AND('Mapa final'!$H$62="Media",'Mapa final'!$L$62="Leve"),CONCATENATE("R",'Mapa final'!$A$62),"")</f>
        <v/>
      </c>
      <c r="O28" s="382"/>
      <c r="P28" s="380" t="str">
        <f>IF(AND('Mapa final'!$H$50="Media",'Mapa final'!$L$50="Menor"),CONCATENATE("R",'Mapa final'!$A$50),"")</f>
        <v/>
      </c>
      <c r="Q28" s="381"/>
      <c r="R28" s="381" t="str">
        <f>IF(AND('Mapa final'!$H$56="Media",'Mapa final'!$L$56="Menor"),CONCATENATE("R",'Mapa final'!$A$56),"")</f>
        <v/>
      </c>
      <c r="S28" s="381"/>
      <c r="T28" s="381" t="str">
        <f>IF(AND('Mapa final'!$H$62="Media",'Mapa final'!$L$62="Menor"),CONCATENATE("R",'Mapa final'!$A$62),"")</f>
        <v/>
      </c>
      <c r="U28" s="382"/>
      <c r="V28" s="380" t="str">
        <f>IF(AND('Mapa final'!$H$50="Media",'Mapa final'!$L$50="Moderado"),CONCATENATE("R",'Mapa final'!$A$50),"")</f>
        <v/>
      </c>
      <c r="W28" s="381"/>
      <c r="X28" s="381" t="str">
        <f>IF(AND('Mapa final'!$H$56="Media",'Mapa final'!$L$56="Moderado"),CONCATENATE("R",'Mapa final'!$A$56),"")</f>
        <v/>
      </c>
      <c r="Y28" s="381"/>
      <c r="Z28" s="381" t="str">
        <f>IF(AND('Mapa final'!$H$62="Media",'Mapa final'!$L$62="Moderado"),CONCATENATE("R",'Mapa final'!$A$62),"")</f>
        <v/>
      </c>
      <c r="AA28" s="382"/>
      <c r="AB28" s="398" t="str">
        <f>IF(AND('Mapa final'!$H$50="Media",'Mapa final'!$L$50="Mayor"),CONCATENATE("R",'Mapa final'!$A$50),"")</f>
        <v/>
      </c>
      <c r="AC28" s="399"/>
      <c r="AD28" s="399" t="str">
        <f>IF(AND('Mapa final'!$H$56="Media",'Mapa final'!$L$56="Mayor"),CONCATENATE("R",'Mapa final'!$A$56),"")</f>
        <v/>
      </c>
      <c r="AE28" s="399"/>
      <c r="AF28" s="399" t="str">
        <f>IF(AND('Mapa final'!$H$62="Media",'Mapa final'!$L$62="Mayor"),CONCATENATE("R",'Mapa final'!$A$62),"")</f>
        <v/>
      </c>
      <c r="AG28" s="400"/>
      <c r="AH28" s="389" t="str">
        <f>IF(AND('Mapa final'!$H$50="Media",'Mapa final'!$L$50="Catastrófico"),CONCATENATE("R",'Mapa final'!$A$50),"")</f>
        <v/>
      </c>
      <c r="AI28" s="390"/>
      <c r="AJ28" s="390" t="str">
        <f>IF(AND('Mapa final'!$H$56="Media",'Mapa final'!$L$56="Catastrófico"),CONCATENATE("R",'Mapa final'!$A$56),"")</f>
        <v/>
      </c>
      <c r="AK28" s="390"/>
      <c r="AL28" s="390" t="str">
        <f>IF(AND('Mapa final'!$H$62="Media",'Mapa final'!$L$62="Catastrófico"),CONCATENATE("R",'Mapa final'!$A$62),"")</f>
        <v/>
      </c>
      <c r="AM28" s="391"/>
      <c r="AN28" s="83"/>
      <c r="AO28" s="441"/>
      <c r="AP28" s="442"/>
      <c r="AQ28" s="442"/>
      <c r="AR28" s="442"/>
      <c r="AS28" s="442"/>
      <c r="AT28" s="44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18"/>
      <c r="C29" s="418"/>
      <c r="D29" s="419"/>
      <c r="E29" s="414"/>
      <c r="F29" s="415"/>
      <c r="G29" s="415"/>
      <c r="H29" s="415"/>
      <c r="I29" s="416"/>
      <c r="J29" s="380"/>
      <c r="K29" s="381"/>
      <c r="L29" s="381"/>
      <c r="M29" s="381"/>
      <c r="N29" s="381"/>
      <c r="O29" s="382"/>
      <c r="P29" s="383"/>
      <c r="Q29" s="384"/>
      <c r="R29" s="384"/>
      <c r="S29" s="384"/>
      <c r="T29" s="384"/>
      <c r="U29" s="385"/>
      <c r="V29" s="383"/>
      <c r="W29" s="384"/>
      <c r="X29" s="384"/>
      <c r="Y29" s="384"/>
      <c r="Z29" s="384"/>
      <c r="AA29" s="385"/>
      <c r="AB29" s="401"/>
      <c r="AC29" s="402"/>
      <c r="AD29" s="402"/>
      <c r="AE29" s="402"/>
      <c r="AF29" s="402"/>
      <c r="AG29" s="403"/>
      <c r="AH29" s="392"/>
      <c r="AI29" s="393"/>
      <c r="AJ29" s="393"/>
      <c r="AK29" s="393"/>
      <c r="AL29" s="393"/>
      <c r="AM29" s="394"/>
      <c r="AN29" s="83"/>
      <c r="AO29" s="444"/>
      <c r="AP29" s="445"/>
      <c r="AQ29" s="445"/>
      <c r="AR29" s="445"/>
      <c r="AS29" s="445"/>
      <c r="AT29" s="446"/>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18"/>
      <c r="C30" s="418"/>
      <c r="D30" s="419"/>
      <c r="E30" s="408" t="s">
        <v>188</v>
      </c>
      <c r="F30" s="409"/>
      <c r="G30" s="409"/>
      <c r="H30" s="409"/>
      <c r="I30" s="409"/>
      <c r="J30" s="377" t="str">
        <f>IF(AND('Mapa final'!$H$25="Baja",'Mapa final'!$L$25="Leve"),CONCATENATE("R",'Mapa final'!$A$25),"")</f>
        <v/>
      </c>
      <c r="K30" s="378"/>
      <c r="L30" s="378" t="str">
        <f>IF(AND('Mapa final'!$H$31="Baja",'Mapa final'!$L$31="Leve"),CONCATENATE("R",'Mapa final'!$A$31),"")</f>
        <v/>
      </c>
      <c r="M30" s="378"/>
      <c r="N30" s="378" t="str">
        <f>IF(AND('Mapa final'!$H$33="Baja",'Mapa final'!$L$33="Leve"),CONCATENATE("R",'Mapa final'!$A$33),"")</f>
        <v/>
      </c>
      <c r="O30" s="379"/>
      <c r="P30" s="387" t="str">
        <f>IF(AND('Mapa final'!$H$25="Baja",'Mapa final'!$L$25="Menor"),CONCATENATE("R",'Mapa final'!$A$25),"")</f>
        <v/>
      </c>
      <c r="Q30" s="387"/>
      <c r="R30" s="387" t="str">
        <f>IF(AND('Mapa final'!$H$31="Baja",'Mapa final'!$L$31="Menor"),CONCATENATE("R",'Mapa final'!$A$31),"")</f>
        <v/>
      </c>
      <c r="S30" s="387"/>
      <c r="T30" s="387" t="str">
        <f>IF(AND('Mapa final'!$H$33="Baja",'Mapa final'!$L$33="Menor"),CONCATENATE("R",'Mapa final'!$A$33),"")</f>
        <v/>
      </c>
      <c r="U30" s="388"/>
      <c r="V30" s="386" t="str">
        <f>IF(AND('Mapa final'!$H$25="Baja",'Mapa final'!$L$25="Moderado"),CONCATENATE("R",'Mapa final'!$A$25),"")</f>
        <v/>
      </c>
      <c r="W30" s="387"/>
      <c r="X30" s="387" t="str">
        <f>IF(AND('Mapa final'!$H$31="Baja",'Mapa final'!$L$31="Moderado"),CONCATENATE("R",'Mapa final'!$A$31),"")</f>
        <v/>
      </c>
      <c r="Y30" s="387"/>
      <c r="Z30" s="387" t="str">
        <f>IF(AND('Mapa final'!$H$33="Baja",'Mapa final'!$L$33="Moderado"),CONCATENATE("R",'Mapa final'!$A$33),"")</f>
        <v/>
      </c>
      <c r="AA30" s="388"/>
      <c r="AB30" s="404" t="str">
        <f>IF(AND('Mapa final'!$H$25="Baja",'Mapa final'!$L$25="Mayor"),CONCATENATE("R",'Mapa final'!$A$25),"")</f>
        <v/>
      </c>
      <c r="AC30" s="405"/>
      <c r="AD30" s="405" t="str">
        <f>IF(AND('Mapa final'!$H$31="Baja",'Mapa final'!$L$31="Mayor"),CONCATENATE("R",'Mapa final'!$A$31),"")</f>
        <v/>
      </c>
      <c r="AE30" s="405"/>
      <c r="AF30" s="405" t="str">
        <f>IF(AND('Mapa final'!$H$33="Baja",'Mapa final'!$L$33="Mayor"),CONCATENATE("R",'Mapa final'!$A$33),"")</f>
        <v/>
      </c>
      <c r="AG30" s="406"/>
      <c r="AH30" s="395" t="str">
        <f>IF(AND('Mapa final'!$H$25="Baja",'Mapa final'!$L$25="Catastrófico"),CONCATENATE("R",'Mapa final'!$A$25),"")</f>
        <v/>
      </c>
      <c r="AI30" s="396"/>
      <c r="AJ30" s="396" t="str">
        <f>IF(AND('Mapa final'!$H$31="Baja",'Mapa final'!$L$31="Catastrófico"),CONCATENATE("R",'Mapa final'!$A$31),"")</f>
        <v/>
      </c>
      <c r="AK30" s="396"/>
      <c r="AL30" s="396" t="str">
        <f>IF(AND('Mapa final'!$H$33="Baja",'Mapa final'!$L$33="Catastrófico"),CONCATENATE("R",'Mapa final'!$A$33),"")</f>
        <v/>
      </c>
      <c r="AM30" s="397"/>
      <c r="AN30" s="83"/>
      <c r="AO30" s="447" t="s">
        <v>189</v>
      </c>
      <c r="AP30" s="448"/>
      <c r="AQ30" s="448"/>
      <c r="AR30" s="448"/>
      <c r="AS30" s="448"/>
      <c r="AT30" s="449"/>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18"/>
      <c r="C31" s="418"/>
      <c r="D31" s="419"/>
      <c r="E31" s="411"/>
      <c r="F31" s="412"/>
      <c r="G31" s="412"/>
      <c r="H31" s="412"/>
      <c r="I31" s="412"/>
      <c r="J31" s="371"/>
      <c r="K31" s="372"/>
      <c r="L31" s="372"/>
      <c r="M31" s="372"/>
      <c r="N31" s="372"/>
      <c r="O31" s="373"/>
      <c r="P31" s="381"/>
      <c r="Q31" s="381"/>
      <c r="R31" s="381"/>
      <c r="S31" s="381"/>
      <c r="T31" s="381"/>
      <c r="U31" s="382"/>
      <c r="V31" s="380"/>
      <c r="W31" s="381"/>
      <c r="X31" s="381"/>
      <c r="Y31" s="381"/>
      <c r="Z31" s="381"/>
      <c r="AA31" s="382"/>
      <c r="AB31" s="398"/>
      <c r="AC31" s="399"/>
      <c r="AD31" s="399"/>
      <c r="AE31" s="399"/>
      <c r="AF31" s="399"/>
      <c r="AG31" s="400"/>
      <c r="AH31" s="389"/>
      <c r="AI31" s="390"/>
      <c r="AJ31" s="390"/>
      <c r="AK31" s="390"/>
      <c r="AL31" s="390"/>
      <c r="AM31" s="391"/>
      <c r="AN31" s="83"/>
      <c r="AO31" s="450"/>
      <c r="AP31" s="451"/>
      <c r="AQ31" s="451"/>
      <c r="AR31" s="451"/>
      <c r="AS31" s="451"/>
      <c r="AT31" s="452"/>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18"/>
      <c r="C32" s="418"/>
      <c r="D32" s="419"/>
      <c r="E32" s="411"/>
      <c r="F32" s="412"/>
      <c r="G32" s="412"/>
      <c r="H32" s="412"/>
      <c r="I32" s="412"/>
      <c r="J32" s="371" t="str">
        <f>IF(AND('Mapa final'!$H$34="Baja",'Mapa final'!$L$34="Leve"),CONCATENATE("R",'Mapa final'!$A$34),"")</f>
        <v/>
      </c>
      <c r="K32" s="372"/>
      <c r="L32" s="372" t="str">
        <f>IF(AND('Mapa final'!$H$36="Baja",'Mapa final'!$L$36="Leve"),CONCATENATE("R",'Mapa final'!$A$36),"")</f>
        <v>R5</v>
      </c>
      <c r="M32" s="372"/>
      <c r="N32" s="372" t="str">
        <f>IF(AND('Mapa final'!$H$37="Baja",'Mapa final'!$L$37="Leve"),CONCATENATE("R",'Mapa final'!$A$37),"")</f>
        <v/>
      </c>
      <c r="O32" s="373"/>
      <c r="P32" s="381" t="str">
        <f>IF(AND('Mapa final'!$H$34="Baja",'Mapa final'!$L$34="Menor"),CONCATENATE("R",'Mapa final'!$A$34),"")</f>
        <v/>
      </c>
      <c r="Q32" s="381"/>
      <c r="R32" s="381" t="str">
        <f>IF(AND('Mapa final'!$H$36="Baja",'Mapa final'!$L$36="Menor"),CONCATENATE("R",'Mapa final'!$A$36),"")</f>
        <v/>
      </c>
      <c r="S32" s="381"/>
      <c r="T32" s="381" t="str">
        <f>IF(AND('Mapa final'!$H$37="Baja",'Mapa final'!$L$37="Menor"),CONCATENATE("R",'Mapa final'!$A$37),"")</f>
        <v>R6</v>
      </c>
      <c r="U32" s="382"/>
      <c r="V32" s="380" t="str">
        <f>IF(AND('Mapa final'!$H$34="Baja",'Mapa final'!$L$34="Moderado"),CONCATENATE("R",'Mapa final'!$A$34),"")</f>
        <v/>
      </c>
      <c r="W32" s="381"/>
      <c r="X32" s="381" t="str">
        <f>IF(AND('Mapa final'!$H$36="Baja",'Mapa final'!$L$36="Moderado"),CONCATENATE("R",'Mapa final'!$A$36),"")</f>
        <v/>
      </c>
      <c r="Y32" s="381"/>
      <c r="Z32" s="381" t="str">
        <f>IF(AND('Mapa final'!$H$37="Baja",'Mapa final'!$L$37="Moderado"),CONCATENATE("R",'Mapa final'!$A$37),"")</f>
        <v/>
      </c>
      <c r="AA32" s="382"/>
      <c r="AB32" s="398" t="str">
        <f>IF(AND('Mapa final'!$H$34="Baja",'Mapa final'!$L$34="Mayor"),CONCATENATE("R",'Mapa final'!$A$34),"")</f>
        <v/>
      </c>
      <c r="AC32" s="399"/>
      <c r="AD32" s="399" t="str">
        <f>IF(AND('Mapa final'!$H$36="Baja",'Mapa final'!$L$36="Mayor"),CONCATENATE("R",'Mapa final'!$A$36),"")</f>
        <v/>
      </c>
      <c r="AE32" s="399"/>
      <c r="AF32" s="399" t="str">
        <f>IF(AND('Mapa final'!$H$37="Baja",'Mapa final'!$L$37="Mayor"),CONCATENATE("R",'Mapa final'!$A$37),"")</f>
        <v/>
      </c>
      <c r="AG32" s="400"/>
      <c r="AH32" s="389" t="str">
        <f>IF(AND('Mapa final'!$H$34="Baja",'Mapa final'!$L$34="Catastrófico"),CONCATENATE("R",'Mapa final'!$A$34),"")</f>
        <v/>
      </c>
      <c r="AI32" s="390"/>
      <c r="AJ32" s="390" t="str">
        <f>IF(AND('Mapa final'!$H$36="Baja",'Mapa final'!$L$36="Catastrófico"),CONCATENATE("R",'Mapa final'!$A$36),"")</f>
        <v/>
      </c>
      <c r="AK32" s="390"/>
      <c r="AL32" s="390" t="str">
        <f>IF(AND('Mapa final'!$H$37="Baja",'Mapa final'!$L$37="Catastrófico"),CONCATENATE("R",'Mapa final'!$A$37),"")</f>
        <v/>
      </c>
      <c r="AM32" s="391"/>
      <c r="AN32" s="83"/>
      <c r="AO32" s="450"/>
      <c r="AP32" s="451"/>
      <c r="AQ32" s="451"/>
      <c r="AR32" s="451"/>
      <c r="AS32" s="451"/>
      <c r="AT32" s="452"/>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18"/>
      <c r="C33" s="418"/>
      <c r="D33" s="419"/>
      <c r="E33" s="411"/>
      <c r="F33" s="412"/>
      <c r="G33" s="412"/>
      <c r="H33" s="412"/>
      <c r="I33" s="412"/>
      <c r="J33" s="371"/>
      <c r="K33" s="372"/>
      <c r="L33" s="372"/>
      <c r="M33" s="372"/>
      <c r="N33" s="372"/>
      <c r="O33" s="373"/>
      <c r="P33" s="381"/>
      <c r="Q33" s="381"/>
      <c r="R33" s="381"/>
      <c r="S33" s="381"/>
      <c r="T33" s="381"/>
      <c r="U33" s="382"/>
      <c r="V33" s="380"/>
      <c r="W33" s="381"/>
      <c r="X33" s="381"/>
      <c r="Y33" s="381"/>
      <c r="Z33" s="381"/>
      <c r="AA33" s="382"/>
      <c r="AB33" s="398"/>
      <c r="AC33" s="399"/>
      <c r="AD33" s="399"/>
      <c r="AE33" s="399"/>
      <c r="AF33" s="399"/>
      <c r="AG33" s="400"/>
      <c r="AH33" s="389"/>
      <c r="AI33" s="390"/>
      <c r="AJ33" s="390"/>
      <c r="AK33" s="390"/>
      <c r="AL33" s="390"/>
      <c r="AM33" s="391"/>
      <c r="AN33" s="83"/>
      <c r="AO33" s="450"/>
      <c r="AP33" s="451"/>
      <c r="AQ33" s="451"/>
      <c r="AR33" s="451"/>
      <c r="AS33" s="451"/>
      <c r="AT33" s="452"/>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18"/>
      <c r="C34" s="418"/>
      <c r="D34" s="419"/>
      <c r="E34" s="411"/>
      <c r="F34" s="412"/>
      <c r="G34" s="412"/>
      <c r="H34" s="412"/>
      <c r="I34" s="412"/>
      <c r="J34" s="371" t="e">
        <f>IF(AND('Mapa final'!#REF!="Baja",'Mapa final'!#REF!="Leve"),CONCATENATE("R",'Mapa final'!#REF!),"")</f>
        <v>#REF!</v>
      </c>
      <c r="K34" s="372"/>
      <c r="L34" s="372" t="str">
        <f>IF(AND('Mapa final'!$H$38="Baja",'Mapa final'!$L$38="Leve"),CONCATENATE("R",'Mapa final'!$A$38),"")</f>
        <v/>
      </c>
      <c r="M34" s="372"/>
      <c r="N34" s="372" t="str">
        <f>IF(AND('Mapa final'!$H$44="Baja",'Mapa final'!$L$44="Leve"),CONCATENATE("R",'Mapa final'!$A$44),"")</f>
        <v/>
      </c>
      <c r="O34" s="373"/>
      <c r="P34" s="381" t="e">
        <f>IF(AND('Mapa final'!#REF!="Baja",'Mapa final'!#REF!="Menor"),CONCATENATE("R",'Mapa final'!#REF!),"")</f>
        <v>#REF!</v>
      </c>
      <c r="Q34" s="381"/>
      <c r="R34" s="381" t="str">
        <f>IF(AND('Mapa final'!$H$38="Baja",'Mapa final'!$L$38="Menor"),CONCATENATE("R",'Mapa final'!$A$38),"")</f>
        <v/>
      </c>
      <c r="S34" s="381"/>
      <c r="T34" s="381" t="str">
        <f>IF(AND('Mapa final'!$H$44="Baja",'Mapa final'!$L$44="Menor"),CONCATENATE("R",'Mapa final'!$A$44),"")</f>
        <v/>
      </c>
      <c r="U34" s="382"/>
      <c r="V34" s="380" t="e">
        <f>IF(AND('Mapa final'!#REF!="Baja",'Mapa final'!#REF!="Moderado"),CONCATENATE("R",'Mapa final'!#REF!),"")</f>
        <v>#REF!</v>
      </c>
      <c r="W34" s="381"/>
      <c r="X34" s="381" t="str">
        <f>IF(AND('Mapa final'!$H$38="Baja",'Mapa final'!$L$38="Moderado"),CONCATENATE("R",'Mapa final'!$A$38),"")</f>
        <v/>
      </c>
      <c r="Y34" s="381"/>
      <c r="Z34" s="381" t="str">
        <f>IF(AND('Mapa final'!$H$44="Baja",'Mapa final'!$L$44="Moderado"),CONCATENATE("R",'Mapa final'!$A$44),"")</f>
        <v/>
      </c>
      <c r="AA34" s="382"/>
      <c r="AB34" s="398" t="e">
        <f>IF(AND('Mapa final'!#REF!="Baja",'Mapa final'!#REF!="Mayor"),CONCATENATE("R",'Mapa final'!#REF!),"")</f>
        <v>#REF!</v>
      </c>
      <c r="AC34" s="399"/>
      <c r="AD34" s="399" t="str">
        <f>IF(AND('Mapa final'!$H$38="Baja",'Mapa final'!$L$38="Mayor"),CONCATENATE("R",'Mapa final'!$A$38),"")</f>
        <v/>
      </c>
      <c r="AE34" s="399"/>
      <c r="AF34" s="399" t="str">
        <f>IF(AND('Mapa final'!$H$44="Baja",'Mapa final'!$L$44="Mayor"),CONCATENATE("R",'Mapa final'!$A$44),"")</f>
        <v/>
      </c>
      <c r="AG34" s="400"/>
      <c r="AH34" s="389" t="e">
        <f>IF(AND('Mapa final'!#REF!="Baja",'Mapa final'!#REF!="Catastrófico"),CONCATENATE("R",'Mapa final'!#REF!),"")</f>
        <v>#REF!</v>
      </c>
      <c r="AI34" s="390"/>
      <c r="AJ34" s="390" t="str">
        <f>IF(AND('Mapa final'!$H$38="Baja",'Mapa final'!$L$38="Catastrófico"),CONCATENATE("R",'Mapa final'!$A$38),"")</f>
        <v/>
      </c>
      <c r="AK34" s="390"/>
      <c r="AL34" s="390" t="str">
        <f>IF(AND('Mapa final'!$H$44="Baja",'Mapa final'!$L$44="Catastrófico"),CONCATENATE("R",'Mapa final'!$A$44),"")</f>
        <v/>
      </c>
      <c r="AM34" s="391"/>
      <c r="AN34" s="83"/>
      <c r="AO34" s="450"/>
      <c r="AP34" s="451"/>
      <c r="AQ34" s="451"/>
      <c r="AR34" s="451"/>
      <c r="AS34" s="451"/>
      <c r="AT34" s="452"/>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18"/>
      <c r="C35" s="418"/>
      <c r="D35" s="419"/>
      <c r="E35" s="411"/>
      <c r="F35" s="412"/>
      <c r="G35" s="412"/>
      <c r="H35" s="412"/>
      <c r="I35" s="412"/>
      <c r="J35" s="371"/>
      <c r="K35" s="372"/>
      <c r="L35" s="372"/>
      <c r="M35" s="372"/>
      <c r="N35" s="372"/>
      <c r="O35" s="373"/>
      <c r="P35" s="381"/>
      <c r="Q35" s="381"/>
      <c r="R35" s="381"/>
      <c r="S35" s="381"/>
      <c r="T35" s="381"/>
      <c r="U35" s="382"/>
      <c r="V35" s="380"/>
      <c r="W35" s="381"/>
      <c r="X35" s="381"/>
      <c r="Y35" s="381"/>
      <c r="Z35" s="381"/>
      <c r="AA35" s="382"/>
      <c r="AB35" s="398"/>
      <c r="AC35" s="399"/>
      <c r="AD35" s="399"/>
      <c r="AE35" s="399"/>
      <c r="AF35" s="399"/>
      <c r="AG35" s="400"/>
      <c r="AH35" s="389"/>
      <c r="AI35" s="390"/>
      <c r="AJ35" s="390"/>
      <c r="AK35" s="390"/>
      <c r="AL35" s="390"/>
      <c r="AM35" s="391"/>
      <c r="AN35" s="83"/>
      <c r="AO35" s="450"/>
      <c r="AP35" s="451"/>
      <c r="AQ35" s="451"/>
      <c r="AR35" s="451"/>
      <c r="AS35" s="451"/>
      <c r="AT35" s="452"/>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18"/>
      <c r="C36" s="418"/>
      <c r="D36" s="419"/>
      <c r="E36" s="411"/>
      <c r="F36" s="412"/>
      <c r="G36" s="412"/>
      <c r="H36" s="412"/>
      <c r="I36" s="412"/>
      <c r="J36" s="371" t="str">
        <f>IF(AND('Mapa final'!$H$50="Baja",'Mapa final'!$L$50="Leve"),CONCATENATE("R",'Mapa final'!$A$50),"")</f>
        <v/>
      </c>
      <c r="K36" s="372"/>
      <c r="L36" s="372" t="str">
        <f>IF(AND('Mapa final'!$H$56="Baja",'Mapa final'!$L$56="Leve"),CONCATENATE("R",'Mapa final'!$A$56),"")</f>
        <v/>
      </c>
      <c r="M36" s="372"/>
      <c r="N36" s="372" t="str">
        <f>IF(AND('Mapa final'!$H$62="Baja",'Mapa final'!$L$62="Leve"),CONCATENATE("R",'Mapa final'!$A$62),"")</f>
        <v/>
      </c>
      <c r="O36" s="373"/>
      <c r="P36" s="381" t="str">
        <f>IF(AND('Mapa final'!$H$50="Baja",'Mapa final'!$L$50="Menor"),CONCATENATE("R",'Mapa final'!$A$50),"")</f>
        <v/>
      </c>
      <c r="Q36" s="381"/>
      <c r="R36" s="381" t="str">
        <f>IF(AND('Mapa final'!$H$56="Baja",'Mapa final'!$L$56="Menor"),CONCATENATE("R",'Mapa final'!$A$56),"")</f>
        <v/>
      </c>
      <c r="S36" s="381"/>
      <c r="T36" s="381" t="str">
        <f>IF(AND('Mapa final'!$H$62="Baja",'Mapa final'!$L$62="Menor"),CONCATENATE("R",'Mapa final'!$A$62),"")</f>
        <v/>
      </c>
      <c r="U36" s="382"/>
      <c r="V36" s="380" t="str">
        <f>IF(AND('Mapa final'!$H$50="Baja",'Mapa final'!$L$50="Moderado"),CONCATENATE("R",'Mapa final'!$A$50),"")</f>
        <v/>
      </c>
      <c r="W36" s="381"/>
      <c r="X36" s="381" t="str">
        <f>IF(AND('Mapa final'!$H$56="Baja",'Mapa final'!$L$56="Moderado"),CONCATENATE("R",'Mapa final'!$A$56),"")</f>
        <v/>
      </c>
      <c r="Y36" s="381"/>
      <c r="Z36" s="381" t="str">
        <f>IF(AND('Mapa final'!$H$62="Baja",'Mapa final'!$L$62="Moderado"),CONCATENATE("R",'Mapa final'!$A$62),"")</f>
        <v/>
      </c>
      <c r="AA36" s="382"/>
      <c r="AB36" s="398" t="str">
        <f>IF(AND('Mapa final'!$H$50="Baja",'Mapa final'!$L$50="Mayor"),CONCATENATE("R",'Mapa final'!$A$50),"")</f>
        <v/>
      </c>
      <c r="AC36" s="399"/>
      <c r="AD36" s="399" t="str">
        <f>IF(AND('Mapa final'!$H$56="Baja",'Mapa final'!$L$56="Mayor"),CONCATENATE("R",'Mapa final'!$A$56),"")</f>
        <v/>
      </c>
      <c r="AE36" s="399"/>
      <c r="AF36" s="399" t="str">
        <f>IF(AND('Mapa final'!$H$62="Baja",'Mapa final'!$L$62="Mayor"),CONCATENATE("R",'Mapa final'!$A$62),"")</f>
        <v/>
      </c>
      <c r="AG36" s="400"/>
      <c r="AH36" s="389" t="str">
        <f>IF(AND('Mapa final'!$H$50="Baja",'Mapa final'!$L$50="Catastrófico"),CONCATENATE("R",'Mapa final'!$A$50),"")</f>
        <v/>
      </c>
      <c r="AI36" s="390"/>
      <c r="AJ36" s="390" t="str">
        <f>IF(AND('Mapa final'!$H$56="Baja",'Mapa final'!$L$56="Catastrófico"),CONCATENATE("R",'Mapa final'!$A$56),"")</f>
        <v/>
      </c>
      <c r="AK36" s="390"/>
      <c r="AL36" s="390" t="str">
        <f>IF(AND('Mapa final'!$H$62="Baja",'Mapa final'!$L$62="Catastrófico"),CONCATENATE("R",'Mapa final'!$A$62),"")</f>
        <v/>
      </c>
      <c r="AM36" s="391"/>
      <c r="AN36" s="83"/>
      <c r="AO36" s="450"/>
      <c r="AP36" s="451"/>
      <c r="AQ36" s="451"/>
      <c r="AR36" s="451"/>
      <c r="AS36" s="451"/>
      <c r="AT36" s="452"/>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18"/>
      <c r="C37" s="418"/>
      <c r="D37" s="419"/>
      <c r="E37" s="414"/>
      <c r="F37" s="415"/>
      <c r="G37" s="415"/>
      <c r="H37" s="415"/>
      <c r="I37" s="415"/>
      <c r="J37" s="374"/>
      <c r="K37" s="375"/>
      <c r="L37" s="375"/>
      <c r="M37" s="375"/>
      <c r="N37" s="375"/>
      <c r="O37" s="376"/>
      <c r="P37" s="384"/>
      <c r="Q37" s="384"/>
      <c r="R37" s="384"/>
      <c r="S37" s="384"/>
      <c r="T37" s="384"/>
      <c r="U37" s="385"/>
      <c r="V37" s="383"/>
      <c r="W37" s="384"/>
      <c r="X37" s="384"/>
      <c r="Y37" s="384"/>
      <c r="Z37" s="384"/>
      <c r="AA37" s="385"/>
      <c r="AB37" s="401"/>
      <c r="AC37" s="402"/>
      <c r="AD37" s="402"/>
      <c r="AE37" s="402"/>
      <c r="AF37" s="402"/>
      <c r="AG37" s="403"/>
      <c r="AH37" s="392"/>
      <c r="AI37" s="393"/>
      <c r="AJ37" s="393"/>
      <c r="AK37" s="393"/>
      <c r="AL37" s="393"/>
      <c r="AM37" s="394"/>
      <c r="AN37" s="83"/>
      <c r="AO37" s="453"/>
      <c r="AP37" s="454"/>
      <c r="AQ37" s="454"/>
      <c r="AR37" s="454"/>
      <c r="AS37" s="454"/>
      <c r="AT37" s="455"/>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18"/>
      <c r="C38" s="418"/>
      <c r="D38" s="419"/>
      <c r="E38" s="408" t="s">
        <v>190</v>
      </c>
      <c r="F38" s="409"/>
      <c r="G38" s="409"/>
      <c r="H38" s="409"/>
      <c r="I38" s="410"/>
      <c r="J38" s="377" t="str">
        <f>IF(AND('Mapa final'!$H$25="Muy Baja",'Mapa final'!$L$25="Leve"),CONCATENATE("R",'Mapa final'!$A$25),"")</f>
        <v/>
      </c>
      <c r="K38" s="378"/>
      <c r="L38" s="378" t="str">
        <f>IF(AND('Mapa final'!$H$31="Muy Baja",'Mapa final'!$L$31="Leve"),CONCATENATE("R",'Mapa final'!$A$31),"")</f>
        <v/>
      </c>
      <c r="M38" s="378"/>
      <c r="N38" s="378" t="str">
        <f>IF(AND('Mapa final'!$H$33="Muy Baja",'Mapa final'!$L$33="Leve"),CONCATENATE("R",'Mapa final'!$A$33),"")</f>
        <v/>
      </c>
      <c r="O38" s="379"/>
      <c r="P38" s="377" t="str">
        <f>IF(AND('Mapa final'!$H$25="Muy Baja",'Mapa final'!$L$25="Menor"),CONCATENATE("R",'Mapa final'!$A$25),"")</f>
        <v>R1</v>
      </c>
      <c r="Q38" s="378"/>
      <c r="R38" s="378" t="str">
        <f>IF(AND('Mapa final'!$H$31="Muy Baja",'Mapa final'!$L$31="Menor"),CONCATENATE("R",'Mapa final'!$A$31),"")</f>
        <v/>
      </c>
      <c r="S38" s="378"/>
      <c r="T38" s="378" t="str">
        <f>IF(AND('Mapa final'!$H$33="Muy Baja",'Mapa final'!$L$33="Menor"),CONCATENATE("R",'Mapa final'!$A$33),"")</f>
        <v/>
      </c>
      <c r="U38" s="379"/>
      <c r="V38" s="386" t="str">
        <f>IF(AND('Mapa final'!$H$25="Muy Baja",'Mapa final'!$L$25="Moderado"),CONCATENATE("R",'Mapa final'!$A$25),"")</f>
        <v/>
      </c>
      <c r="W38" s="387"/>
      <c r="X38" s="387" t="str">
        <f>IF(AND('Mapa final'!$H$31="Muy Baja",'Mapa final'!$L$31="Moderado"),CONCATENATE("R",'Mapa final'!$A$31),"")</f>
        <v>R2</v>
      </c>
      <c r="Y38" s="387"/>
      <c r="Z38" s="387" t="str">
        <f>IF(AND('Mapa final'!$H$33="Muy Baja",'Mapa final'!$L$33="Moderado"),CONCATENATE("R",'Mapa final'!$A$33),"")</f>
        <v/>
      </c>
      <c r="AA38" s="388"/>
      <c r="AB38" s="404" t="str">
        <f>IF(AND('Mapa final'!$H$25="Muy Baja",'Mapa final'!$L$25="Mayor"),CONCATENATE("R",'Mapa final'!$A$25),"")</f>
        <v/>
      </c>
      <c r="AC38" s="405"/>
      <c r="AD38" s="405" t="str">
        <f>IF(AND('Mapa final'!$H$31="Muy Baja",'Mapa final'!$L$31="Mayor"),CONCATENATE("R",'Mapa final'!$A$31),"")</f>
        <v/>
      </c>
      <c r="AE38" s="405"/>
      <c r="AF38" s="405" t="str">
        <f>IF(AND('Mapa final'!$H$33="Muy Baja",'Mapa final'!$L$33="Mayor"),CONCATENATE("R",'Mapa final'!$A$33),"")</f>
        <v/>
      </c>
      <c r="AG38" s="406"/>
      <c r="AH38" s="395" t="str">
        <f>IF(AND('Mapa final'!$H$25="Muy Baja",'Mapa final'!$L$25="Catastrófico"),CONCATENATE("R",'Mapa final'!$A$25),"")</f>
        <v/>
      </c>
      <c r="AI38" s="396"/>
      <c r="AJ38" s="396" t="str">
        <f>IF(AND('Mapa final'!$H$31="Muy Baja",'Mapa final'!$L$31="Catastrófico"),CONCATENATE("R",'Mapa final'!$A$31),"")</f>
        <v/>
      </c>
      <c r="AK38" s="396"/>
      <c r="AL38" s="396" t="str">
        <f>IF(AND('Mapa final'!$H$33="Muy Baja",'Mapa final'!$L$33="Catastrófico"),CONCATENATE("R",'Mapa final'!$A$33),"")</f>
        <v/>
      </c>
      <c r="AM38" s="397"/>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18"/>
      <c r="C39" s="418"/>
      <c r="D39" s="419"/>
      <c r="E39" s="411"/>
      <c r="F39" s="412"/>
      <c r="G39" s="412"/>
      <c r="H39" s="412"/>
      <c r="I39" s="413"/>
      <c r="J39" s="371"/>
      <c r="K39" s="372"/>
      <c r="L39" s="372"/>
      <c r="M39" s="372"/>
      <c r="N39" s="372"/>
      <c r="O39" s="373"/>
      <c r="P39" s="371"/>
      <c r="Q39" s="372"/>
      <c r="R39" s="372"/>
      <c r="S39" s="372"/>
      <c r="T39" s="372"/>
      <c r="U39" s="373"/>
      <c r="V39" s="380"/>
      <c r="W39" s="381"/>
      <c r="X39" s="381"/>
      <c r="Y39" s="381"/>
      <c r="Z39" s="381"/>
      <c r="AA39" s="382"/>
      <c r="AB39" s="398"/>
      <c r="AC39" s="399"/>
      <c r="AD39" s="399"/>
      <c r="AE39" s="399"/>
      <c r="AF39" s="399"/>
      <c r="AG39" s="400"/>
      <c r="AH39" s="389"/>
      <c r="AI39" s="390"/>
      <c r="AJ39" s="390"/>
      <c r="AK39" s="390"/>
      <c r="AL39" s="390"/>
      <c r="AM39" s="391"/>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18"/>
      <c r="C40" s="418"/>
      <c r="D40" s="419"/>
      <c r="E40" s="411"/>
      <c r="F40" s="412"/>
      <c r="G40" s="412"/>
      <c r="H40" s="412"/>
      <c r="I40" s="413"/>
      <c r="J40" s="371" t="str">
        <f>IF(AND('Mapa final'!$H$34="Muy Baja",'Mapa final'!$L$34="Leve"),CONCATENATE("R",'Mapa final'!$A$34),"")</f>
        <v>R4</v>
      </c>
      <c r="K40" s="372"/>
      <c r="L40" s="372" t="str">
        <f>IF(AND('Mapa final'!$H$36="Muy Baja",'Mapa final'!$L$36="Leve"),CONCATENATE("R",'Mapa final'!$A$36),"")</f>
        <v/>
      </c>
      <c r="M40" s="372"/>
      <c r="N40" s="372" t="str">
        <f>IF(AND('Mapa final'!$H$37="Muy Baja",'Mapa final'!$L$37="Leve"),CONCATENATE("R",'Mapa final'!$A$37),"")</f>
        <v/>
      </c>
      <c r="O40" s="373"/>
      <c r="P40" s="371" t="str">
        <f>IF(AND('Mapa final'!$H$34="Muy Baja",'Mapa final'!$L$34="Menor"),CONCATENATE("R",'Mapa final'!$A$34),"")</f>
        <v/>
      </c>
      <c r="Q40" s="372"/>
      <c r="R40" s="372" t="str">
        <f>IF(AND('Mapa final'!$H$36="Muy Baja",'Mapa final'!$L$36="Menor"),CONCATENATE("R",'Mapa final'!$A$36),"")</f>
        <v/>
      </c>
      <c r="S40" s="372"/>
      <c r="T40" s="372" t="str">
        <f>IF(AND('Mapa final'!$H$37="Muy Baja",'Mapa final'!$L$37="Menor"),CONCATENATE("R",'Mapa final'!$A$37),"")</f>
        <v/>
      </c>
      <c r="U40" s="373"/>
      <c r="V40" s="380" t="str">
        <f>IF(AND('Mapa final'!$H$34="Muy Baja",'Mapa final'!$L$34="Moderado"),CONCATENATE("R",'Mapa final'!$A$34),"")</f>
        <v/>
      </c>
      <c r="W40" s="381"/>
      <c r="X40" s="381" t="str">
        <f>IF(AND('Mapa final'!$H$36="Muy Baja",'Mapa final'!$L$36="Moderado"),CONCATENATE("R",'Mapa final'!$A$36),"")</f>
        <v/>
      </c>
      <c r="Y40" s="381"/>
      <c r="Z40" s="381" t="str">
        <f>IF(AND('Mapa final'!$H$37="Muy Baja",'Mapa final'!$L$37="Moderado"),CONCATENATE("R",'Mapa final'!$A$37),"")</f>
        <v/>
      </c>
      <c r="AA40" s="382"/>
      <c r="AB40" s="398" t="str">
        <f>IF(AND('Mapa final'!$H$34="Muy Baja",'Mapa final'!$L$34="Mayor"),CONCATENATE("R",'Mapa final'!$A$34),"")</f>
        <v/>
      </c>
      <c r="AC40" s="399"/>
      <c r="AD40" s="399" t="str">
        <f>IF(AND('Mapa final'!$H$36="Muy Baja",'Mapa final'!$L$36="Mayor"),CONCATENATE("R",'Mapa final'!$A$36),"")</f>
        <v/>
      </c>
      <c r="AE40" s="399"/>
      <c r="AF40" s="399" t="str">
        <f>IF(AND('Mapa final'!$H$37="Muy Baja",'Mapa final'!$L$37="Mayor"),CONCATENATE("R",'Mapa final'!$A$37),"")</f>
        <v/>
      </c>
      <c r="AG40" s="400"/>
      <c r="AH40" s="389" t="str">
        <f>IF(AND('Mapa final'!$H$34="Muy Baja",'Mapa final'!$L$34="Catastrófico"),CONCATENATE("R",'Mapa final'!$A$34),"")</f>
        <v/>
      </c>
      <c r="AI40" s="390"/>
      <c r="AJ40" s="390" t="str">
        <f>IF(AND('Mapa final'!$H$36="Muy Baja",'Mapa final'!$L$36="Catastrófico"),CONCATENATE("R",'Mapa final'!$A$36),"")</f>
        <v/>
      </c>
      <c r="AK40" s="390"/>
      <c r="AL40" s="390" t="str">
        <f>IF(AND('Mapa final'!$H$37="Muy Baja",'Mapa final'!$L$37="Catastrófico"),CONCATENATE("R",'Mapa final'!$A$37),"")</f>
        <v/>
      </c>
      <c r="AM40" s="391"/>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18"/>
      <c r="C41" s="418"/>
      <c r="D41" s="419"/>
      <c r="E41" s="411"/>
      <c r="F41" s="412"/>
      <c r="G41" s="412"/>
      <c r="H41" s="412"/>
      <c r="I41" s="413"/>
      <c r="J41" s="371"/>
      <c r="K41" s="372"/>
      <c r="L41" s="372"/>
      <c r="M41" s="372"/>
      <c r="N41" s="372"/>
      <c r="O41" s="373"/>
      <c r="P41" s="371"/>
      <c r="Q41" s="372"/>
      <c r="R41" s="372"/>
      <c r="S41" s="372"/>
      <c r="T41" s="372"/>
      <c r="U41" s="373"/>
      <c r="V41" s="380"/>
      <c r="W41" s="381"/>
      <c r="X41" s="381"/>
      <c r="Y41" s="381"/>
      <c r="Z41" s="381"/>
      <c r="AA41" s="382"/>
      <c r="AB41" s="398"/>
      <c r="AC41" s="399"/>
      <c r="AD41" s="399"/>
      <c r="AE41" s="399"/>
      <c r="AF41" s="399"/>
      <c r="AG41" s="400"/>
      <c r="AH41" s="389"/>
      <c r="AI41" s="390"/>
      <c r="AJ41" s="390"/>
      <c r="AK41" s="390"/>
      <c r="AL41" s="390"/>
      <c r="AM41" s="391"/>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18"/>
      <c r="C42" s="418"/>
      <c r="D42" s="419"/>
      <c r="E42" s="411"/>
      <c r="F42" s="412"/>
      <c r="G42" s="412"/>
      <c r="H42" s="412"/>
      <c r="I42" s="413"/>
      <c r="J42" s="371" t="e">
        <f>IF(AND('Mapa final'!#REF!="Muy Baja",'Mapa final'!#REF!="Leve"),CONCATENATE("R",'Mapa final'!#REF!),"")</f>
        <v>#REF!</v>
      </c>
      <c r="K42" s="372"/>
      <c r="L42" s="372" t="str">
        <f>IF(AND('Mapa final'!$H$38="Muy Baja",'Mapa final'!$L$38="Leve"),CONCATENATE("R",'Mapa final'!$A$38),"")</f>
        <v/>
      </c>
      <c r="M42" s="372"/>
      <c r="N42" s="372" t="str">
        <f>IF(AND('Mapa final'!$H$44="Muy Baja",'Mapa final'!$L$44="Leve"),CONCATENATE("R",'Mapa final'!$A$44),"")</f>
        <v/>
      </c>
      <c r="O42" s="373"/>
      <c r="P42" s="371" t="e">
        <f>IF(AND('Mapa final'!#REF!="Muy Baja",'Mapa final'!#REF!="Menor"),CONCATENATE("R",'Mapa final'!#REF!),"")</f>
        <v>#REF!</v>
      </c>
      <c r="Q42" s="372"/>
      <c r="R42" s="372" t="str">
        <f>IF(AND('Mapa final'!$H$38="Muy Baja",'Mapa final'!$L$38="Menor"),CONCATENATE("R",'Mapa final'!$A$38),"")</f>
        <v/>
      </c>
      <c r="S42" s="372"/>
      <c r="T42" s="372" t="str">
        <f>IF(AND('Mapa final'!$H$44="Muy Baja",'Mapa final'!$L$44="Menor"),CONCATENATE("R",'Mapa final'!$A$44),"")</f>
        <v/>
      </c>
      <c r="U42" s="373"/>
      <c r="V42" s="380" t="e">
        <f>IF(AND('Mapa final'!#REF!="Muy Baja",'Mapa final'!#REF!="Moderado"),CONCATENATE("R",'Mapa final'!#REF!),"")</f>
        <v>#REF!</v>
      </c>
      <c r="W42" s="381"/>
      <c r="X42" s="381" t="str">
        <f>IF(AND('Mapa final'!$H$38="Muy Baja",'Mapa final'!$L$38="Moderado"),CONCATENATE("R",'Mapa final'!$A$38),"")</f>
        <v/>
      </c>
      <c r="Y42" s="381"/>
      <c r="Z42" s="381" t="str">
        <f>IF(AND('Mapa final'!$H$44="Muy Baja",'Mapa final'!$L$44="Moderado"),CONCATENATE("R",'Mapa final'!$A$44),"")</f>
        <v/>
      </c>
      <c r="AA42" s="382"/>
      <c r="AB42" s="398" t="e">
        <f>IF(AND('Mapa final'!#REF!="Muy Baja",'Mapa final'!#REF!="Mayor"),CONCATENATE("R",'Mapa final'!#REF!),"")</f>
        <v>#REF!</v>
      </c>
      <c r="AC42" s="399"/>
      <c r="AD42" s="399" t="str">
        <f>IF(AND('Mapa final'!$H$38="Muy Baja",'Mapa final'!$L$38="Mayor"),CONCATENATE("R",'Mapa final'!$A$38),"")</f>
        <v/>
      </c>
      <c r="AE42" s="399"/>
      <c r="AF42" s="399" t="str">
        <f>IF(AND('Mapa final'!$H$44="Muy Baja",'Mapa final'!$L$44="Mayor"),CONCATENATE("R",'Mapa final'!$A$44),"")</f>
        <v/>
      </c>
      <c r="AG42" s="400"/>
      <c r="AH42" s="389" t="e">
        <f>IF(AND('Mapa final'!#REF!="Muy Baja",'Mapa final'!#REF!="Catastrófico"),CONCATENATE("R",'Mapa final'!#REF!),"")</f>
        <v>#REF!</v>
      </c>
      <c r="AI42" s="390"/>
      <c r="AJ42" s="390" t="str">
        <f>IF(AND('Mapa final'!$H$38="Muy Baja",'Mapa final'!$L$38="Catastrófico"),CONCATENATE("R",'Mapa final'!$A$38),"")</f>
        <v/>
      </c>
      <c r="AK42" s="390"/>
      <c r="AL42" s="390" t="str">
        <f>IF(AND('Mapa final'!$H$44="Muy Baja",'Mapa final'!$L$44="Catastrófico"),CONCATENATE("R",'Mapa final'!$A$44),"")</f>
        <v/>
      </c>
      <c r="AM42" s="391"/>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18"/>
      <c r="C43" s="418"/>
      <c r="D43" s="419"/>
      <c r="E43" s="411"/>
      <c r="F43" s="412"/>
      <c r="G43" s="412"/>
      <c r="H43" s="412"/>
      <c r="I43" s="413"/>
      <c r="J43" s="371"/>
      <c r="K43" s="372"/>
      <c r="L43" s="372"/>
      <c r="M43" s="372"/>
      <c r="N43" s="372"/>
      <c r="O43" s="373"/>
      <c r="P43" s="371"/>
      <c r="Q43" s="372"/>
      <c r="R43" s="372"/>
      <c r="S43" s="372"/>
      <c r="T43" s="372"/>
      <c r="U43" s="373"/>
      <c r="V43" s="380"/>
      <c r="W43" s="381"/>
      <c r="X43" s="381"/>
      <c r="Y43" s="381"/>
      <c r="Z43" s="381"/>
      <c r="AA43" s="382"/>
      <c r="AB43" s="398"/>
      <c r="AC43" s="399"/>
      <c r="AD43" s="399"/>
      <c r="AE43" s="399"/>
      <c r="AF43" s="399"/>
      <c r="AG43" s="400"/>
      <c r="AH43" s="389"/>
      <c r="AI43" s="390"/>
      <c r="AJ43" s="390"/>
      <c r="AK43" s="390"/>
      <c r="AL43" s="390"/>
      <c r="AM43" s="391"/>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18"/>
      <c r="C44" s="418"/>
      <c r="D44" s="419"/>
      <c r="E44" s="411"/>
      <c r="F44" s="412"/>
      <c r="G44" s="412"/>
      <c r="H44" s="412"/>
      <c r="I44" s="413"/>
      <c r="J44" s="371" t="str">
        <f>IF(AND('Mapa final'!$H$50="Muy Baja",'Mapa final'!$L$50="Leve"),CONCATENATE("R",'Mapa final'!$A$50),"")</f>
        <v/>
      </c>
      <c r="K44" s="372"/>
      <c r="L44" s="372" t="str">
        <f>IF(AND('Mapa final'!$H$56="Muy Baja",'Mapa final'!$L$56="Leve"),CONCATENATE("R",'Mapa final'!$A$56),"")</f>
        <v/>
      </c>
      <c r="M44" s="372"/>
      <c r="N44" s="372" t="str">
        <f>IF(AND('Mapa final'!$H$62="Muy Baja",'Mapa final'!$L$62="Leve"),CONCATENATE("R",'Mapa final'!$A$62),"")</f>
        <v/>
      </c>
      <c r="O44" s="373"/>
      <c r="P44" s="371" t="str">
        <f>IF(AND('Mapa final'!$H$50="Muy Baja",'Mapa final'!$L$50="Menor"),CONCATENATE("R",'Mapa final'!$A$50),"")</f>
        <v/>
      </c>
      <c r="Q44" s="372"/>
      <c r="R44" s="372" t="str">
        <f>IF(AND('Mapa final'!$H$56="Muy Baja",'Mapa final'!$L$56="Menor"),CONCATENATE("R",'Mapa final'!$A$56),"")</f>
        <v/>
      </c>
      <c r="S44" s="372"/>
      <c r="T44" s="372" t="str">
        <f>IF(AND('Mapa final'!$H$62="Muy Baja",'Mapa final'!$L$62="Menor"),CONCATENATE("R",'Mapa final'!$A$62),"")</f>
        <v/>
      </c>
      <c r="U44" s="373"/>
      <c r="V44" s="380" t="str">
        <f>IF(AND('Mapa final'!$H$50="Muy Baja",'Mapa final'!$L$50="Moderado"),CONCATENATE("R",'Mapa final'!$A$50),"")</f>
        <v/>
      </c>
      <c r="W44" s="381"/>
      <c r="X44" s="381" t="str">
        <f>IF(AND('Mapa final'!$H$56="Muy Baja",'Mapa final'!$L$56="Moderado"),CONCATENATE("R",'Mapa final'!$A$56),"")</f>
        <v/>
      </c>
      <c r="Y44" s="381"/>
      <c r="Z44" s="381" t="str">
        <f>IF(AND('Mapa final'!$H$62="Muy Baja",'Mapa final'!$L$62="Moderado"),CONCATENATE("R",'Mapa final'!$A$62),"")</f>
        <v/>
      </c>
      <c r="AA44" s="382"/>
      <c r="AB44" s="398" t="str">
        <f>IF(AND('Mapa final'!$H$50="Muy Baja",'Mapa final'!$L$50="Mayor"),CONCATENATE("R",'Mapa final'!$A$50),"")</f>
        <v/>
      </c>
      <c r="AC44" s="399"/>
      <c r="AD44" s="399" t="str">
        <f>IF(AND('Mapa final'!$H$56="Muy Baja",'Mapa final'!$L$56="Mayor"),CONCATENATE("R",'Mapa final'!$A$56),"")</f>
        <v/>
      </c>
      <c r="AE44" s="399"/>
      <c r="AF44" s="399" t="str">
        <f>IF(AND('Mapa final'!$H$62="Muy Baja",'Mapa final'!$L$62="Mayor"),CONCATENATE("R",'Mapa final'!$A$62),"")</f>
        <v/>
      </c>
      <c r="AG44" s="400"/>
      <c r="AH44" s="389" t="str">
        <f>IF(AND('Mapa final'!$H$50="Muy Baja",'Mapa final'!$L$50="Catastrófico"),CONCATENATE("R",'Mapa final'!$A$50),"")</f>
        <v/>
      </c>
      <c r="AI44" s="390"/>
      <c r="AJ44" s="390" t="str">
        <f>IF(AND('Mapa final'!$H$56="Muy Baja",'Mapa final'!$L$56="Catastrófico"),CONCATENATE("R",'Mapa final'!$A$56),"")</f>
        <v/>
      </c>
      <c r="AK44" s="390"/>
      <c r="AL44" s="390" t="str">
        <f>IF(AND('Mapa final'!$H$62="Muy Baja",'Mapa final'!$L$62="Catastrófico"),CONCATENATE("R",'Mapa final'!$A$62),"")</f>
        <v/>
      </c>
      <c r="AM44" s="391"/>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18"/>
      <c r="C45" s="418"/>
      <c r="D45" s="419"/>
      <c r="E45" s="414"/>
      <c r="F45" s="415"/>
      <c r="G45" s="415"/>
      <c r="H45" s="415"/>
      <c r="I45" s="416"/>
      <c r="J45" s="374"/>
      <c r="K45" s="375"/>
      <c r="L45" s="375"/>
      <c r="M45" s="375"/>
      <c r="N45" s="375"/>
      <c r="O45" s="376"/>
      <c r="P45" s="374"/>
      <c r="Q45" s="375"/>
      <c r="R45" s="375"/>
      <c r="S45" s="375"/>
      <c r="T45" s="375"/>
      <c r="U45" s="376"/>
      <c r="V45" s="383"/>
      <c r="W45" s="384"/>
      <c r="X45" s="384"/>
      <c r="Y45" s="384"/>
      <c r="Z45" s="384"/>
      <c r="AA45" s="385"/>
      <c r="AB45" s="401"/>
      <c r="AC45" s="402"/>
      <c r="AD45" s="402"/>
      <c r="AE45" s="402"/>
      <c r="AF45" s="402"/>
      <c r="AG45" s="403"/>
      <c r="AH45" s="392"/>
      <c r="AI45" s="393"/>
      <c r="AJ45" s="393"/>
      <c r="AK45" s="393"/>
      <c r="AL45" s="393"/>
      <c r="AM45" s="394"/>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08" t="s">
        <v>191</v>
      </c>
      <c r="K46" s="409"/>
      <c r="L46" s="409"/>
      <c r="M46" s="409"/>
      <c r="N46" s="409"/>
      <c r="O46" s="410"/>
      <c r="P46" s="408" t="s">
        <v>192</v>
      </c>
      <c r="Q46" s="409"/>
      <c r="R46" s="409"/>
      <c r="S46" s="409"/>
      <c r="T46" s="409"/>
      <c r="U46" s="410"/>
      <c r="V46" s="408" t="s">
        <v>193</v>
      </c>
      <c r="W46" s="409"/>
      <c r="X46" s="409"/>
      <c r="Y46" s="409"/>
      <c r="Z46" s="409"/>
      <c r="AA46" s="410"/>
      <c r="AB46" s="408" t="s">
        <v>194</v>
      </c>
      <c r="AC46" s="417"/>
      <c r="AD46" s="409"/>
      <c r="AE46" s="409"/>
      <c r="AF46" s="409"/>
      <c r="AG46" s="410"/>
      <c r="AH46" s="408" t="s">
        <v>195</v>
      </c>
      <c r="AI46" s="409"/>
      <c r="AJ46" s="409"/>
      <c r="AK46" s="409"/>
      <c r="AL46" s="409"/>
      <c r="AM46" s="410"/>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11"/>
      <c r="K47" s="412"/>
      <c r="L47" s="412"/>
      <c r="M47" s="412"/>
      <c r="N47" s="412"/>
      <c r="O47" s="413"/>
      <c r="P47" s="411"/>
      <c r="Q47" s="412"/>
      <c r="R47" s="412"/>
      <c r="S47" s="412"/>
      <c r="T47" s="412"/>
      <c r="U47" s="413"/>
      <c r="V47" s="411"/>
      <c r="W47" s="412"/>
      <c r="X47" s="412"/>
      <c r="Y47" s="412"/>
      <c r="Z47" s="412"/>
      <c r="AA47" s="413"/>
      <c r="AB47" s="411"/>
      <c r="AC47" s="412"/>
      <c r="AD47" s="412"/>
      <c r="AE47" s="412"/>
      <c r="AF47" s="412"/>
      <c r="AG47" s="413"/>
      <c r="AH47" s="411"/>
      <c r="AI47" s="412"/>
      <c r="AJ47" s="412"/>
      <c r="AK47" s="412"/>
      <c r="AL47" s="412"/>
      <c r="AM47" s="41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11"/>
      <c r="K48" s="412"/>
      <c r="L48" s="412"/>
      <c r="M48" s="412"/>
      <c r="N48" s="412"/>
      <c r="O48" s="413"/>
      <c r="P48" s="411"/>
      <c r="Q48" s="412"/>
      <c r="R48" s="412"/>
      <c r="S48" s="412"/>
      <c r="T48" s="412"/>
      <c r="U48" s="413"/>
      <c r="V48" s="411"/>
      <c r="W48" s="412"/>
      <c r="X48" s="412"/>
      <c r="Y48" s="412"/>
      <c r="Z48" s="412"/>
      <c r="AA48" s="413"/>
      <c r="AB48" s="411"/>
      <c r="AC48" s="412"/>
      <c r="AD48" s="412"/>
      <c r="AE48" s="412"/>
      <c r="AF48" s="412"/>
      <c r="AG48" s="413"/>
      <c r="AH48" s="411"/>
      <c r="AI48" s="412"/>
      <c r="AJ48" s="412"/>
      <c r="AK48" s="412"/>
      <c r="AL48" s="412"/>
      <c r="AM48" s="41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11"/>
      <c r="K49" s="412"/>
      <c r="L49" s="412"/>
      <c r="M49" s="412"/>
      <c r="N49" s="412"/>
      <c r="O49" s="413"/>
      <c r="P49" s="411"/>
      <c r="Q49" s="412"/>
      <c r="R49" s="412"/>
      <c r="S49" s="412"/>
      <c r="T49" s="412"/>
      <c r="U49" s="413"/>
      <c r="V49" s="411"/>
      <c r="W49" s="412"/>
      <c r="X49" s="412"/>
      <c r="Y49" s="412"/>
      <c r="Z49" s="412"/>
      <c r="AA49" s="413"/>
      <c r="AB49" s="411"/>
      <c r="AC49" s="412"/>
      <c r="AD49" s="412"/>
      <c r="AE49" s="412"/>
      <c r="AF49" s="412"/>
      <c r="AG49" s="413"/>
      <c r="AH49" s="411"/>
      <c r="AI49" s="412"/>
      <c r="AJ49" s="412"/>
      <c r="AK49" s="412"/>
      <c r="AL49" s="412"/>
      <c r="AM49" s="41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11"/>
      <c r="K50" s="412"/>
      <c r="L50" s="412"/>
      <c r="M50" s="412"/>
      <c r="N50" s="412"/>
      <c r="O50" s="413"/>
      <c r="P50" s="411"/>
      <c r="Q50" s="412"/>
      <c r="R50" s="412"/>
      <c r="S50" s="412"/>
      <c r="T50" s="412"/>
      <c r="U50" s="413"/>
      <c r="V50" s="411"/>
      <c r="W50" s="412"/>
      <c r="X50" s="412"/>
      <c r="Y50" s="412"/>
      <c r="Z50" s="412"/>
      <c r="AA50" s="413"/>
      <c r="AB50" s="411"/>
      <c r="AC50" s="412"/>
      <c r="AD50" s="412"/>
      <c r="AE50" s="412"/>
      <c r="AF50" s="412"/>
      <c r="AG50" s="413"/>
      <c r="AH50" s="411"/>
      <c r="AI50" s="412"/>
      <c r="AJ50" s="412"/>
      <c r="AK50" s="412"/>
      <c r="AL50" s="412"/>
      <c r="AM50" s="41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14"/>
      <c r="K51" s="415"/>
      <c r="L51" s="415"/>
      <c r="M51" s="415"/>
      <c r="N51" s="415"/>
      <c r="O51" s="416"/>
      <c r="P51" s="414"/>
      <c r="Q51" s="415"/>
      <c r="R51" s="415"/>
      <c r="S51" s="415"/>
      <c r="T51" s="415"/>
      <c r="U51" s="416"/>
      <c r="V51" s="414"/>
      <c r="W51" s="415"/>
      <c r="X51" s="415"/>
      <c r="Y51" s="415"/>
      <c r="Z51" s="415"/>
      <c r="AA51" s="416"/>
      <c r="AB51" s="414"/>
      <c r="AC51" s="415"/>
      <c r="AD51" s="415"/>
      <c r="AE51" s="415"/>
      <c r="AF51" s="415"/>
      <c r="AG51" s="416"/>
      <c r="AH51" s="414"/>
      <c r="AI51" s="415"/>
      <c r="AJ51" s="415"/>
      <c r="AK51" s="415"/>
      <c r="AL51" s="415"/>
      <c r="AM51" s="416"/>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topLeftCell="A31" zoomScale="50" zoomScaleNormal="50" workbookViewId="0">
      <selection activeCell="A63" sqref="A63"/>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485" t="s">
        <v>196</v>
      </c>
      <c r="C2" s="486"/>
      <c r="D2" s="486"/>
      <c r="E2" s="486"/>
      <c r="F2" s="486"/>
      <c r="G2" s="486"/>
      <c r="H2" s="486"/>
      <c r="I2" s="486"/>
      <c r="J2" s="407" t="s">
        <v>15</v>
      </c>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486"/>
      <c r="C3" s="486"/>
      <c r="D3" s="486"/>
      <c r="E3" s="486"/>
      <c r="F3" s="486"/>
      <c r="G3" s="486"/>
      <c r="H3" s="486"/>
      <c r="I3" s="486"/>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486"/>
      <c r="C4" s="486"/>
      <c r="D4" s="486"/>
      <c r="E4" s="486"/>
      <c r="F4" s="486"/>
      <c r="G4" s="486"/>
      <c r="H4" s="486"/>
      <c r="I4" s="486"/>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18" t="s">
        <v>181</v>
      </c>
      <c r="C6" s="418"/>
      <c r="D6" s="419"/>
      <c r="E6" s="456" t="s">
        <v>182</v>
      </c>
      <c r="F6" s="457"/>
      <c r="G6" s="457"/>
      <c r="H6" s="457"/>
      <c r="I6" s="458"/>
      <c r="J6" s="46" t="str">
        <f>IF(AND('Mapa final'!$Y$25="Muy Alta",'Mapa final'!$AA$25="Leve"),CONCATENATE("R1C",'Mapa final'!$O$25),"")</f>
        <v/>
      </c>
      <c r="K6" s="47" t="str">
        <f>IF(AND('Mapa final'!$Y$26="Muy Alta",'Mapa final'!$AA$26="Leve"),CONCATENATE("R1C",'Mapa final'!$O$26),"")</f>
        <v/>
      </c>
      <c r="L6" s="47" t="str">
        <f>IF(AND('Mapa final'!$Y$27="Muy Alta",'Mapa final'!$AA$27="Leve"),CONCATENATE("R1C",'Mapa final'!$O$27),"")</f>
        <v/>
      </c>
      <c r="M6" s="47" t="str">
        <f>IF(AND('Mapa final'!$Y$28="Muy Alta",'Mapa final'!$AA$28="Leve"),CONCATENATE("R1C",'Mapa final'!$O$28),"")</f>
        <v/>
      </c>
      <c r="N6" s="47" t="str">
        <f>IF(AND('Mapa final'!$Y$29="Muy Alta",'Mapa final'!$AA$29="Leve"),CONCATENATE("R1C",'Mapa final'!$O$29),"")</f>
        <v/>
      </c>
      <c r="O6" s="48" t="str">
        <f>IF(AND('Mapa final'!$Y$30="Muy Alta",'Mapa final'!$AA$30="Leve"),CONCATENATE("R1C",'Mapa final'!$O$30),"")</f>
        <v/>
      </c>
      <c r="P6" s="46" t="str">
        <f>IF(AND('Mapa final'!$Y$25="Muy Alta",'Mapa final'!$AA$25="Menor"),CONCATENATE("R1C",'Mapa final'!$O$25),"")</f>
        <v/>
      </c>
      <c r="Q6" s="47" t="str">
        <f>IF(AND('Mapa final'!$Y$26="Muy Alta",'Mapa final'!$AA$26="Menor"),CONCATENATE("R1C",'Mapa final'!$O$26),"")</f>
        <v/>
      </c>
      <c r="R6" s="47" t="str">
        <f>IF(AND('Mapa final'!$Y$27="Muy Alta",'Mapa final'!$AA$27="Menor"),CONCATENATE("R1C",'Mapa final'!$O$27),"")</f>
        <v/>
      </c>
      <c r="S6" s="47" t="str">
        <f>IF(AND('Mapa final'!$Y$28="Muy Alta",'Mapa final'!$AA$28="Menor"),CONCATENATE("R1C",'Mapa final'!$O$28),"")</f>
        <v/>
      </c>
      <c r="T6" s="47" t="str">
        <f>IF(AND('Mapa final'!$Y$29="Muy Alta",'Mapa final'!$AA$29="Menor"),CONCATENATE("R1C",'Mapa final'!$O$29),"")</f>
        <v/>
      </c>
      <c r="U6" s="48" t="str">
        <f>IF(AND('Mapa final'!$Y$30="Muy Alta",'Mapa final'!$AA$30="Menor"),CONCATENATE("R1C",'Mapa final'!$O$30),"")</f>
        <v/>
      </c>
      <c r="V6" s="46" t="str">
        <f>IF(AND('Mapa final'!$Y$25="Muy Alta",'Mapa final'!$AA$25="Moderado"),CONCATENATE("R1C",'Mapa final'!$O$25),"")</f>
        <v/>
      </c>
      <c r="W6" s="47" t="str">
        <f>IF(AND('Mapa final'!$Y$26="Muy Alta",'Mapa final'!$AA$26="Moderado"),CONCATENATE("R1C",'Mapa final'!$O$26),"")</f>
        <v/>
      </c>
      <c r="X6" s="47" t="str">
        <f>IF(AND('Mapa final'!$Y$27="Muy Alta",'Mapa final'!$AA$27="Moderado"),CONCATENATE("R1C",'Mapa final'!$O$27),"")</f>
        <v/>
      </c>
      <c r="Y6" s="47" t="str">
        <f>IF(AND('Mapa final'!$Y$28="Muy Alta",'Mapa final'!$AA$28="Moderado"),CONCATENATE("R1C",'Mapa final'!$O$28),"")</f>
        <v/>
      </c>
      <c r="Z6" s="47" t="str">
        <f>IF(AND('Mapa final'!$Y$29="Muy Alta",'Mapa final'!$AA$29="Moderado"),CONCATENATE("R1C",'Mapa final'!$O$29),"")</f>
        <v/>
      </c>
      <c r="AA6" s="48" t="str">
        <f>IF(AND('Mapa final'!$Y$30="Muy Alta",'Mapa final'!$AA$30="Moderado"),CONCATENATE("R1C",'Mapa final'!$O$30),"")</f>
        <v/>
      </c>
      <c r="AB6" s="46" t="str">
        <f>IF(AND('Mapa final'!$Y$25="Muy Alta",'Mapa final'!$AA$25="Mayor"),CONCATENATE("R1C",'Mapa final'!$O$25),"")</f>
        <v/>
      </c>
      <c r="AC6" s="47" t="str">
        <f>IF(AND('Mapa final'!$Y$26="Muy Alta",'Mapa final'!$AA$26="Mayor"),CONCATENATE("R1C",'Mapa final'!$O$26),"")</f>
        <v/>
      </c>
      <c r="AD6" s="47" t="str">
        <f>IF(AND('Mapa final'!$Y$27="Muy Alta",'Mapa final'!$AA$27="Mayor"),CONCATENATE("R1C",'Mapa final'!$O$27),"")</f>
        <v/>
      </c>
      <c r="AE6" s="47" t="str">
        <f>IF(AND('Mapa final'!$Y$28="Muy Alta",'Mapa final'!$AA$28="Mayor"),CONCATENATE("R1C",'Mapa final'!$O$28),"")</f>
        <v/>
      </c>
      <c r="AF6" s="47" t="str">
        <f>IF(AND('Mapa final'!$Y$29="Muy Alta",'Mapa final'!$AA$29="Mayor"),CONCATENATE("R1C",'Mapa final'!$O$29),"")</f>
        <v/>
      </c>
      <c r="AG6" s="48" t="str">
        <f>IF(AND('Mapa final'!$Y$30="Muy Alta",'Mapa final'!$AA$30="Mayor"),CONCATENATE("R1C",'Mapa final'!$O$30),"")</f>
        <v/>
      </c>
      <c r="AH6" s="49" t="str">
        <f>IF(AND('Mapa final'!$Y$25="Muy Alta",'Mapa final'!$AA$25="Catastrófico"),CONCATENATE("R1C",'Mapa final'!$O$25),"")</f>
        <v/>
      </c>
      <c r="AI6" s="50" t="str">
        <f>IF(AND('Mapa final'!$Y$26="Muy Alta",'Mapa final'!$AA$26="Catastrófico"),CONCATENATE("R1C",'Mapa final'!$O$26),"")</f>
        <v/>
      </c>
      <c r="AJ6" s="50" t="str">
        <f>IF(AND('Mapa final'!$Y$27="Muy Alta",'Mapa final'!$AA$27="Catastrófico"),CONCATENATE("R1C",'Mapa final'!$O$27),"")</f>
        <v/>
      </c>
      <c r="AK6" s="50" t="str">
        <f>IF(AND('Mapa final'!$Y$28="Muy Alta",'Mapa final'!$AA$28="Catastrófico"),CONCATENATE("R1C",'Mapa final'!$O$28),"")</f>
        <v/>
      </c>
      <c r="AL6" s="50" t="str">
        <f>IF(AND('Mapa final'!$Y$29="Muy Alta",'Mapa final'!$AA$29="Catastrófico"),CONCATENATE("R1C",'Mapa final'!$O$29),"")</f>
        <v/>
      </c>
      <c r="AM6" s="51" t="str">
        <f>IF(AND('Mapa final'!$Y$30="Muy Alta",'Mapa final'!$AA$30="Catastrófico"),CONCATENATE("R1C",'Mapa final'!$O$30),"")</f>
        <v/>
      </c>
      <c r="AN6" s="83"/>
      <c r="AO6" s="476" t="s">
        <v>183</v>
      </c>
      <c r="AP6" s="477"/>
      <c r="AQ6" s="477"/>
      <c r="AR6" s="477"/>
      <c r="AS6" s="477"/>
      <c r="AT6" s="478"/>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18"/>
      <c r="C7" s="418"/>
      <c r="D7" s="419"/>
      <c r="E7" s="459"/>
      <c r="F7" s="460"/>
      <c r="G7" s="460"/>
      <c r="H7" s="460"/>
      <c r="I7" s="461"/>
      <c r="J7" s="52" t="str">
        <f>IF(AND('Mapa final'!$Y$31="Muy Alta",'Mapa final'!$AA$31="Leve"),CONCATENATE("R2C",'Mapa final'!$O$31),"")</f>
        <v/>
      </c>
      <c r="K7" s="53" t="str">
        <f>IF(AND('Mapa final'!$Y$32="Muy Alta",'Mapa final'!$AA$32="Leve"),CONCATENATE("R2C",'Mapa final'!$O$32),"")</f>
        <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final'!$Y$31="Muy Alta",'Mapa final'!$AA$31="Menor"),CONCATENATE("R2C",'Mapa final'!$O$31),"")</f>
        <v/>
      </c>
      <c r="Q7" s="53" t="str">
        <f>IF(AND('Mapa final'!$Y$32="Muy Alta",'Mapa final'!$AA$32="Menor"),CONCATENATE("R2C",'Mapa final'!$O$32),"")</f>
        <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final'!$Y$31="Muy Alta",'Mapa final'!$AA$31="Moderado"),CONCATENATE("R2C",'Mapa final'!$O$31),"")</f>
        <v/>
      </c>
      <c r="W7" s="53" t="str">
        <f>IF(AND('Mapa final'!$Y$32="Muy Alta",'Mapa final'!$AA$32="Moderado"),CONCATENATE("R2C",'Mapa final'!$O$32),"")</f>
        <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final'!$Y$31="Muy Alta",'Mapa final'!$AA$31="Mayor"),CONCATENATE("R2C",'Mapa final'!$O$31),"")</f>
        <v/>
      </c>
      <c r="AC7" s="53" t="str">
        <f>IF(AND('Mapa final'!$Y$32="Muy Alta",'Mapa final'!$AA$32="Mayor"),CONCATENATE("R2C",'Mapa final'!$O$32),"")</f>
        <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final'!$Y$31="Muy Alta",'Mapa final'!$AA$31="Catastrófico"),CONCATENATE("R2C",'Mapa final'!$O$31),"")</f>
        <v/>
      </c>
      <c r="AI7" s="56" t="str">
        <f>IF(AND('Mapa final'!$Y$32="Muy Alta",'Mapa final'!$AA$32="Catastrófico"),CONCATENATE("R2C",'Mapa final'!$O$32),"")</f>
        <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3"/>
      <c r="AO7" s="479"/>
      <c r="AP7" s="480"/>
      <c r="AQ7" s="480"/>
      <c r="AR7" s="480"/>
      <c r="AS7" s="480"/>
      <c r="AT7" s="481"/>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18"/>
      <c r="C8" s="418"/>
      <c r="D8" s="419"/>
      <c r="E8" s="459"/>
      <c r="F8" s="460"/>
      <c r="G8" s="460"/>
      <c r="H8" s="460"/>
      <c r="I8" s="461"/>
      <c r="J8" s="52" t="str">
        <f>IF(AND('Mapa final'!$Y$33="Muy Alta",'Mapa final'!$AA$33="Leve"),CONCATENATE("R3C",'Mapa final'!$O$33),"")</f>
        <v/>
      </c>
      <c r="K8" s="53" t="e">
        <f>IF(AND('Mapa final'!#REF!="Muy Alta",'Mapa final'!#REF!="Leve"),CONCATENATE("R3C",'Mapa final'!#REF!),"")</f>
        <v>#REF!</v>
      </c>
      <c r="L8" s="53" t="e">
        <f>IF(AND('Mapa final'!#REF!="Muy Alta",'Mapa final'!#REF!="Leve"),CONCATENATE("R3C",'Mapa final'!#REF!),"")</f>
        <v>#REF!</v>
      </c>
      <c r="M8" s="53" t="e">
        <f>IF(AND('Mapa final'!#REF!="Muy Alta",'Mapa final'!#REF!="Leve"),CONCATENATE("R3C",'Mapa final'!#REF!),"")</f>
        <v>#REF!</v>
      </c>
      <c r="N8" s="53" t="e">
        <f>IF(AND('Mapa final'!#REF!="Muy Alta",'Mapa final'!#REF!="Leve"),CONCATENATE("R3C",'Mapa final'!#REF!),"")</f>
        <v>#REF!</v>
      </c>
      <c r="O8" s="54" t="e">
        <f>IF(AND('Mapa final'!#REF!="Muy Alta",'Mapa final'!#REF!="Leve"),CONCATENATE("R3C",'Mapa final'!#REF!),"")</f>
        <v>#REF!</v>
      </c>
      <c r="P8" s="52" t="str">
        <f>IF(AND('Mapa final'!$Y$33="Muy Alta",'Mapa final'!$AA$33="Menor"),CONCATENATE("R3C",'Mapa final'!$O$33),"")</f>
        <v/>
      </c>
      <c r="Q8" s="53" t="e">
        <f>IF(AND('Mapa final'!#REF!="Muy Alta",'Mapa final'!#REF!="Menor"),CONCATENATE("R3C",'Mapa final'!#REF!),"")</f>
        <v>#REF!</v>
      </c>
      <c r="R8" s="53" t="e">
        <f>IF(AND('Mapa final'!#REF!="Muy Alta",'Mapa final'!#REF!="Menor"),CONCATENATE("R3C",'Mapa final'!#REF!),"")</f>
        <v>#REF!</v>
      </c>
      <c r="S8" s="53" t="e">
        <f>IF(AND('Mapa final'!#REF!="Muy Alta",'Mapa final'!#REF!="Menor"),CONCATENATE("R3C",'Mapa final'!#REF!),"")</f>
        <v>#REF!</v>
      </c>
      <c r="T8" s="53" t="e">
        <f>IF(AND('Mapa final'!#REF!="Muy Alta",'Mapa final'!#REF!="Menor"),CONCATENATE("R3C",'Mapa final'!#REF!),"")</f>
        <v>#REF!</v>
      </c>
      <c r="U8" s="54" t="e">
        <f>IF(AND('Mapa final'!#REF!="Muy Alta",'Mapa final'!#REF!="Menor"),CONCATENATE("R3C",'Mapa final'!#REF!),"")</f>
        <v>#REF!</v>
      </c>
      <c r="V8" s="52" t="str">
        <f>IF(AND('Mapa final'!$Y$33="Muy Alta",'Mapa final'!$AA$33="Moderado"),CONCATENATE("R3C",'Mapa final'!$O$33),"")</f>
        <v/>
      </c>
      <c r="W8" s="53" t="e">
        <f>IF(AND('Mapa final'!#REF!="Muy Alta",'Mapa final'!#REF!="Moderado"),CONCATENATE("R3C",'Mapa final'!#REF!),"")</f>
        <v>#REF!</v>
      </c>
      <c r="X8" s="53" t="e">
        <f>IF(AND('Mapa final'!#REF!="Muy Alta",'Mapa final'!#REF!="Moderado"),CONCATENATE("R3C",'Mapa final'!#REF!),"")</f>
        <v>#REF!</v>
      </c>
      <c r="Y8" s="53" t="e">
        <f>IF(AND('Mapa final'!#REF!="Muy Alta",'Mapa final'!#REF!="Moderado"),CONCATENATE("R3C",'Mapa final'!#REF!),"")</f>
        <v>#REF!</v>
      </c>
      <c r="Z8" s="53" t="e">
        <f>IF(AND('Mapa final'!#REF!="Muy Alta",'Mapa final'!#REF!="Moderado"),CONCATENATE("R3C",'Mapa final'!#REF!),"")</f>
        <v>#REF!</v>
      </c>
      <c r="AA8" s="54" t="e">
        <f>IF(AND('Mapa final'!#REF!="Muy Alta",'Mapa final'!#REF!="Moderado"),CONCATENATE("R3C",'Mapa final'!#REF!),"")</f>
        <v>#REF!</v>
      </c>
      <c r="AB8" s="52" t="str">
        <f>IF(AND('Mapa final'!$Y$33="Muy Alta",'Mapa final'!$AA$33="Mayor"),CONCATENATE("R3C",'Mapa final'!$O$33),"")</f>
        <v/>
      </c>
      <c r="AC8" s="53" t="e">
        <f>IF(AND('Mapa final'!#REF!="Muy Alta",'Mapa final'!#REF!="Mayor"),CONCATENATE("R3C",'Mapa final'!#REF!),"")</f>
        <v>#REF!</v>
      </c>
      <c r="AD8" s="53" t="e">
        <f>IF(AND('Mapa final'!#REF!="Muy Alta",'Mapa final'!#REF!="Mayor"),CONCATENATE("R3C",'Mapa final'!#REF!),"")</f>
        <v>#REF!</v>
      </c>
      <c r="AE8" s="53" t="e">
        <f>IF(AND('Mapa final'!#REF!="Muy Alta",'Mapa final'!#REF!="Mayor"),CONCATENATE("R3C",'Mapa final'!#REF!),"")</f>
        <v>#REF!</v>
      </c>
      <c r="AF8" s="53" t="e">
        <f>IF(AND('Mapa final'!#REF!="Muy Alta",'Mapa final'!#REF!="Mayor"),CONCATENATE("R3C",'Mapa final'!#REF!),"")</f>
        <v>#REF!</v>
      </c>
      <c r="AG8" s="54" t="e">
        <f>IF(AND('Mapa final'!#REF!="Muy Alta",'Mapa final'!#REF!="Mayor"),CONCATENATE("R3C",'Mapa final'!#REF!),"")</f>
        <v>#REF!</v>
      </c>
      <c r="AH8" s="55" t="str">
        <f>IF(AND('Mapa final'!$Y$33="Muy Alta",'Mapa final'!$AA$33="Catastrófico"),CONCATENATE("R3C",'Mapa final'!$O$33),"")</f>
        <v/>
      </c>
      <c r="AI8" s="56" t="e">
        <f>IF(AND('Mapa final'!#REF!="Muy Alta",'Mapa final'!#REF!="Catastrófico"),CONCATENATE("R3C",'Mapa final'!#REF!),"")</f>
        <v>#REF!</v>
      </c>
      <c r="AJ8" s="56" t="e">
        <f>IF(AND('Mapa final'!#REF!="Muy Alta",'Mapa final'!#REF!="Catastrófico"),CONCATENATE("R3C",'Mapa final'!#REF!),"")</f>
        <v>#REF!</v>
      </c>
      <c r="AK8" s="56" t="e">
        <f>IF(AND('Mapa final'!#REF!="Muy Alta",'Mapa final'!#REF!="Catastrófico"),CONCATENATE("R3C",'Mapa final'!#REF!),"")</f>
        <v>#REF!</v>
      </c>
      <c r="AL8" s="56" t="e">
        <f>IF(AND('Mapa final'!#REF!="Muy Alta",'Mapa final'!#REF!="Catastrófico"),CONCATENATE("R3C",'Mapa final'!#REF!),"")</f>
        <v>#REF!</v>
      </c>
      <c r="AM8" s="57" t="e">
        <f>IF(AND('Mapa final'!#REF!="Muy Alta",'Mapa final'!#REF!="Catastrófico"),CONCATENATE("R3C",'Mapa final'!#REF!),"")</f>
        <v>#REF!</v>
      </c>
      <c r="AN8" s="83"/>
      <c r="AO8" s="479"/>
      <c r="AP8" s="480"/>
      <c r="AQ8" s="480"/>
      <c r="AR8" s="480"/>
      <c r="AS8" s="480"/>
      <c r="AT8" s="481"/>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18"/>
      <c r="C9" s="418"/>
      <c r="D9" s="419"/>
      <c r="E9" s="459"/>
      <c r="F9" s="460"/>
      <c r="G9" s="460"/>
      <c r="H9" s="460"/>
      <c r="I9" s="461"/>
      <c r="J9" s="52" t="str">
        <f>IF(AND('Mapa final'!$Y$34="Muy Alta",'Mapa final'!$AA$34="Leve"),CONCATENATE("R4C",'Mapa final'!$O$34),"")</f>
        <v/>
      </c>
      <c r="K9" s="53" t="e">
        <f>IF(AND('Mapa final'!#REF!="Muy Alta",'Mapa final'!#REF!="Leve"),CONCATENATE("R4C",'Mapa final'!#REF!),"")</f>
        <v>#REF!</v>
      </c>
      <c r="L9" s="53" t="e">
        <f>IF(AND('Mapa final'!#REF!="Muy Alta",'Mapa final'!#REF!="Leve"),CONCATENATE("R4C",'Mapa final'!#REF!),"")</f>
        <v>#REF!</v>
      </c>
      <c r="M9" s="53" t="e">
        <f>IF(AND('Mapa final'!#REF!="Muy Alta",'Mapa final'!#REF!="Leve"),CONCATENATE("R4C",'Mapa final'!#REF!),"")</f>
        <v>#REF!</v>
      </c>
      <c r="N9" s="53" t="e">
        <f>IF(AND('Mapa final'!#REF!="Muy Alta",'Mapa final'!#REF!="Leve"),CONCATENATE("R4C",'Mapa final'!#REF!),"")</f>
        <v>#REF!</v>
      </c>
      <c r="O9" s="54" t="e">
        <f>IF(AND('Mapa final'!#REF!="Muy Alta",'Mapa final'!#REF!="Leve"),CONCATENATE("R4C",'Mapa final'!#REF!),"")</f>
        <v>#REF!</v>
      </c>
      <c r="P9" s="52" t="str">
        <f>IF(AND('Mapa final'!$Y$34="Muy Alta",'Mapa final'!$AA$34="Menor"),CONCATENATE("R4C",'Mapa final'!$O$34),"")</f>
        <v/>
      </c>
      <c r="Q9" s="53" t="e">
        <f>IF(AND('Mapa final'!#REF!="Muy Alta",'Mapa final'!#REF!="Menor"),CONCATENATE("R4C",'Mapa final'!#REF!),"")</f>
        <v>#REF!</v>
      </c>
      <c r="R9" s="53" t="e">
        <f>IF(AND('Mapa final'!#REF!="Muy Alta",'Mapa final'!#REF!="Menor"),CONCATENATE("R4C",'Mapa final'!#REF!),"")</f>
        <v>#REF!</v>
      </c>
      <c r="S9" s="53" t="e">
        <f>IF(AND('Mapa final'!#REF!="Muy Alta",'Mapa final'!#REF!="Menor"),CONCATENATE("R4C",'Mapa final'!#REF!),"")</f>
        <v>#REF!</v>
      </c>
      <c r="T9" s="53" t="e">
        <f>IF(AND('Mapa final'!#REF!="Muy Alta",'Mapa final'!#REF!="Menor"),CONCATENATE("R4C",'Mapa final'!#REF!),"")</f>
        <v>#REF!</v>
      </c>
      <c r="U9" s="54" t="e">
        <f>IF(AND('Mapa final'!#REF!="Muy Alta",'Mapa final'!#REF!="Menor"),CONCATENATE("R4C",'Mapa final'!#REF!),"")</f>
        <v>#REF!</v>
      </c>
      <c r="V9" s="52" t="str">
        <f>IF(AND('Mapa final'!$Y$34="Muy Alta",'Mapa final'!$AA$34="Moderado"),CONCATENATE("R4C",'Mapa final'!$O$34),"")</f>
        <v/>
      </c>
      <c r="W9" s="53" t="e">
        <f>IF(AND('Mapa final'!#REF!="Muy Alta",'Mapa final'!#REF!="Moderado"),CONCATENATE("R4C",'Mapa final'!#REF!),"")</f>
        <v>#REF!</v>
      </c>
      <c r="X9" s="53" t="e">
        <f>IF(AND('Mapa final'!#REF!="Muy Alta",'Mapa final'!#REF!="Moderado"),CONCATENATE("R4C",'Mapa final'!#REF!),"")</f>
        <v>#REF!</v>
      </c>
      <c r="Y9" s="53" t="e">
        <f>IF(AND('Mapa final'!#REF!="Muy Alta",'Mapa final'!#REF!="Moderado"),CONCATENATE("R4C",'Mapa final'!#REF!),"")</f>
        <v>#REF!</v>
      </c>
      <c r="Z9" s="53" t="e">
        <f>IF(AND('Mapa final'!#REF!="Muy Alta",'Mapa final'!#REF!="Moderado"),CONCATENATE("R4C",'Mapa final'!#REF!),"")</f>
        <v>#REF!</v>
      </c>
      <c r="AA9" s="54" t="e">
        <f>IF(AND('Mapa final'!#REF!="Muy Alta",'Mapa final'!#REF!="Moderado"),CONCATENATE("R4C",'Mapa final'!#REF!),"")</f>
        <v>#REF!</v>
      </c>
      <c r="AB9" s="52" t="str">
        <f>IF(AND('Mapa final'!$Y$34="Muy Alta",'Mapa final'!$AA$34="Mayor"),CONCATENATE("R4C",'Mapa final'!$O$34),"")</f>
        <v/>
      </c>
      <c r="AC9" s="53" t="e">
        <f>IF(AND('Mapa final'!#REF!="Muy Alta",'Mapa final'!#REF!="Mayor"),CONCATENATE("R4C",'Mapa final'!#REF!),"")</f>
        <v>#REF!</v>
      </c>
      <c r="AD9" s="53" t="e">
        <f>IF(AND('Mapa final'!#REF!="Muy Alta",'Mapa final'!#REF!="Mayor"),CONCATENATE("R4C",'Mapa final'!#REF!),"")</f>
        <v>#REF!</v>
      </c>
      <c r="AE9" s="53" t="e">
        <f>IF(AND('Mapa final'!#REF!="Muy Alta",'Mapa final'!#REF!="Mayor"),CONCATENATE("R4C",'Mapa final'!#REF!),"")</f>
        <v>#REF!</v>
      </c>
      <c r="AF9" s="53" t="e">
        <f>IF(AND('Mapa final'!#REF!="Muy Alta",'Mapa final'!#REF!="Mayor"),CONCATENATE("R4C",'Mapa final'!#REF!),"")</f>
        <v>#REF!</v>
      </c>
      <c r="AG9" s="54" t="e">
        <f>IF(AND('Mapa final'!#REF!="Muy Alta",'Mapa final'!#REF!="Mayor"),CONCATENATE("R4C",'Mapa final'!#REF!),"")</f>
        <v>#REF!</v>
      </c>
      <c r="AH9" s="55" t="str">
        <f>IF(AND('Mapa final'!$Y$34="Muy Alta",'Mapa final'!$AA$34="Catastrófico"),CONCATENATE("R4C",'Mapa final'!$O$34),"")</f>
        <v/>
      </c>
      <c r="AI9" s="56" t="e">
        <f>IF(AND('Mapa final'!#REF!="Muy Alta",'Mapa final'!#REF!="Catastrófico"),CONCATENATE("R4C",'Mapa final'!#REF!),"")</f>
        <v>#REF!</v>
      </c>
      <c r="AJ9" s="56" t="e">
        <f>IF(AND('Mapa final'!#REF!="Muy Alta",'Mapa final'!#REF!="Catastrófico"),CONCATENATE("R4C",'Mapa final'!#REF!),"")</f>
        <v>#REF!</v>
      </c>
      <c r="AK9" s="56" t="e">
        <f>IF(AND('Mapa final'!#REF!="Muy Alta",'Mapa final'!#REF!="Catastrófico"),CONCATENATE("R4C",'Mapa final'!#REF!),"")</f>
        <v>#REF!</v>
      </c>
      <c r="AL9" s="56" t="e">
        <f>IF(AND('Mapa final'!#REF!="Muy Alta",'Mapa final'!#REF!="Catastrófico"),CONCATENATE("R4C",'Mapa final'!#REF!),"")</f>
        <v>#REF!</v>
      </c>
      <c r="AM9" s="57" t="e">
        <f>IF(AND('Mapa final'!#REF!="Muy Alta",'Mapa final'!#REF!="Catastrófico"),CONCATENATE("R4C",'Mapa final'!#REF!),"")</f>
        <v>#REF!</v>
      </c>
      <c r="AN9" s="83"/>
      <c r="AO9" s="479"/>
      <c r="AP9" s="480"/>
      <c r="AQ9" s="480"/>
      <c r="AR9" s="480"/>
      <c r="AS9" s="480"/>
      <c r="AT9" s="481"/>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18"/>
      <c r="C10" s="418"/>
      <c r="D10" s="419"/>
      <c r="E10" s="459"/>
      <c r="F10" s="460"/>
      <c r="G10" s="460"/>
      <c r="H10" s="460"/>
      <c r="I10" s="461"/>
      <c r="J10" s="52" t="str">
        <f>IF(AND('Mapa final'!$Y$36="Muy Alta",'Mapa final'!$AA$36="Leve"),CONCATENATE("R5C",'Mapa final'!$O$36),"")</f>
        <v/>
      </c>
      <c r="K10" s="53" t="e">
        <f>IF(AND('Mapa final'!#REF!="Muy Alta",'Mapa final'!#REF!="Leve"),CONCATENATE("R5C",'Mapa final'!#REF!),"")</f>
        <v>#REF!</v>
      </c>
      <c r="L10" s="53" t="e">
        <f>IF(AND('Mapa final'!#REF!="Muy Alta",'Mapa final'!#REF!="Leve"),CONCATENATE("R5C",'Mapa final'!#REF!),"")</f>
        <v>#REF!</v>
      </c>
      <c r="M10" s="53" t="e">
        <f>IF(AND('Mapa final'!#REF!="Muy Alta",'Mapa final'!#REF!="Leve"),CONCATENATE("R5C",'Mapa final'!#REF!),"")</f>
        <v>#REF!</v>
      </c>
      <c r="N10" s="53" t="e">
        <f>IF(AND('Mapa final'!#REF!="Muy Alta",'Mapa final'!#REF!="Leve"),CONCATENATE("R5C",'Mapa final'!#REF!),"")</f>
        <v>#REF!</v>
      </c>
      <c r="O10" s="54" t="e">
        <f>IF(AND('Mapa final'!#REF!="Muy Alta",'Mapa final'!#REF!="Leve"),CONCATENATE("R5C",'Mapa final'!#REF!),"")</f>
        <v>#REF!</v>
      </c>
      <c r="P10" s="52" t="str">
        <f>IF(AND('Mapa final'!$Y$36="Muy Alta",'Mapa final'!$AA$36="Menor"),CONCATENATE("R5C",'Mapa final'!$O$36),"")</f>
        <v/>
      </c>
      <c r="Q10" s="53" t="e">
        <f>IF(AND('Mapa final'!#REF!="Muy Alta",'Mapa final'!#REF!="Menor"),CONCATENATE("R5C",'Mapa final'!#REF!),"")</f>
        <v>#REF!</v>
      </c>
      <c r="R10" s="53" t="e">
        <f>IF(AND('Mapa final'!#REF!="Muy Alta",'Mapa final'!#REF!="Menor"),CONCATENATE("R5C",'Mapa final'!#REF!),"")</f>
        <v>#REF!</v>
      </c>
      <c r="S10" s="53" t="e">
        <f>IF(AND('Mapa final'!#REF!="Muy Alta",'Mapa final'!#REF!="Menor"),CONCATENATE("R5C",'Mapa final'!#REF!),"")</f>
        <v>#REF!</v>
      </c>
      <c r="T10" s="53" t="e">
        <f>IF(AND('Mapa final'!#REF!="Muy Alta",'Mapa final'!#REF!="Menor"),CONCATENATE("R5C",'Mapa final'!#REF!),"")</f>
        <v>#REF!</v>
      </c>
      <c r="U10" s="54" t="e">
        <f>IF(AND('Mapa final'!#REF!="Muy Alta",'Mapa final'!#REF!="Menor"),CONCATENATE("R5C",'Mapa final'!#REF!),"")</f>
        <v>#REF!</v>
      </c>
      <c r="V10" s="52" t="str">
        <f>IF(AND('Mapa final'!$Y$36="Muy Alta",'Mapa final'!$AA$36="Moderado"),CONCATENATE("R5C",'Mapa final'!$O$36),"")</f>
        <v/>
      </c>
      <c r="W10" s="53" t="e">
        <f>IF(AND('Mapa final'!#REF!="Muy Alta",'Mapa final'!#REF!="Moderado"),CONCATENATE("R5C",'Mapa final'!#REF!),"")</f>
        <v>#REF!</v>
      </c>
      <c r="X10" s="53" t="e">
        <f>IF(AND('Mapa final'!#REF!="Muy Alta",'Mapa final'!#REF!="Moderado"),CONCATENATE("R5C",'Mapa final'!#REF!),"")</f>
        <v>#REF!</v>
      </c>
      <c r="Y10" s="53" t="e">
        <f>IF(AND('Mapa final'!#REF!="Muy Alta",'Mapa final'!#REF!="Moderado"),CONCATENATE("R5C",'Mapa final'!#REF!),"")</f>
        <v>#REF!</v>
      </c>
      <c r="Z10" s="53" t="e">
        <f>IF(AND('Mapa final'!#REF!="Muy Alta",'Mapa final'!#REF!="Moderado"),CONCATENATE("R5C",'Mapa final'!#REF!),"")</f>
        <v>#REF!</v>
      </c>
      <c r="AA10" s="54" t="e">
        <f>IF(AND('Mapa final'!#REF!="Muy Alta",'Mapa final'!#REF!="Moderado"),CONCATENATE("R5C",'Mapa final'!#REF!),"")</f>
        <v>#REF!</v>
      </c>
      <c r="AB10" s="52" t="str">
        <f>IF(AND('Mapa final'!$Y$36="Muy Alta",'Mapa final'!$AA$36="Mayor"),CONCATENATE("R5C",'Mapa final'!$O$36),"")</f>
        <v/>
      </c>
      <c r="AC10" s="53" t="e">
        <f>IF(AND('Mapa final'!#REF!="Muy Alta",'Mapa final'!#REF!="Mayor"),CONCATENATE("R5C",'Mapa final'!#REF!),"")</f>
        <v>#REF!</v>
      </c>
      <c r="AD10" s="53" t="e">
        <f>IF(AND('Mapa final'!#REF!="Muy Alta",'Mapa final'!#REF!="Mayor"),CONCATENATE("R5C",'Mapa final'!#REF!),"")</f>
        <v>#REF!</v>
      </c>
      <c r="AE10" s="53" t="e">
        <f>IF(AND('Mapa final'!#REF!="Muy Alta",'Mapa final'!#REF!="Mayor"),CONCATENATE("R5C",'Mapa final'!#REF!),"")</f>
        <v>#REF!</v>
      </c>
      <c r="AF10" s="53" t="e">
        <f>IF(AND('Mapa final'!#REF!="Muy Alta",'Mapa final'!#REF!="Mayor"),CONCATENATE("R5C",'Mapa final'!#REF!),"")</f>
        <v>#REF!</v>
      </c>
      <c r="AG10" s="54" t="e">
        <f>IF(AND('Mapa final'!#REF!="Muy Alta",'Mapa final'!#REF!="Mayor"),CONCATENATE("R5C",'Mapa final'!#REF!),"")</f>
        <v>#REF!</v>
      </c>
      <c r="AH10" s="55" t="str">
        <f>IF(AND('Mapa final'!$Y$36="Muy Alta",'Mapa final'!$AA$36="Catastrófico"),CONCATENATE("R5C",'Mapa final'!$O$36),"")</f>
        <v/>
      </c>
      <c r="AI10" s="56" t="e">
        <f>IF(AND('Mapa final'!#REF!="Muy Alta",'Mapa final'!#REF!="Catastrófico"),CONCATENATE("R5C",'Mapa final'!#REF!),"")</f>
        <v>#REF!</v>
      </c>
      <c r="AJ10" s="56" t="e">
        <f>IF(AND('Mapa final'!#REF!="Muy Alta",'Mapa final'!#REF!="Catastrófico"),CONCATENATE("R5C",'Mapa final'!#REF!),"")</f>
        <v>#REF!</v>
      </c>
      <c r="AK10" s="56" t="e">
        <f>IF(AND('Mapa final'!#REF!="Muy Alta",'Mapa final'!#REF!="Catastrófico"),CONCATENATE("R5C",'Mapa final'!#REF!),"")</f>
        <v>#REF!</v>
      </c>
      <c r="AL10" s="56" t="e">
        <f>IF(AND('Mapa final'!#REF!="Muy Alta",'Mapa final'!#REF!="Catastrófico"),CONCATENATE("R5C",'Mapa final'!#REF!),"")</f>
        <v>#REF!</v>
      </c>
      <c r="AM10" s="57" t="e">
        <f>IF(AND('Mapa final'!#REF!="Muy Alta",'Mapa final'!#REF!="Catastrófico"),CONCATENATE("R5C",'Mapa final'!#REF!),"")</f>
        <v>#REF!</v>
      </c>
      <c r="AN10" s="83"/>
      <c r="AO10" s="479"/>
      <c r="AP10" s="480"/>
      <c r="AQ10" s="480"/>
      <c r="AR10" s="480"/>
      <c r="AS10" s="480"/>
      <c r="AT10" s="481"/>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18"/>
      <c r="C11" s="418"/>
      <c r="D11" s="419"/>
      <c r="E11" s="459"/>
      <c r="F11" s="460"/>
      <c r="G11" s="460"/>
      <c r="H11" s="460"/>
      <c r="I11" s="461"/>
      <c r="J11" s="52" t="str">
        <f>IF(AND('Mapa final'!$Y$37="Muy Alta",'Mapa final'!$AA$37="Leve"),CONCATENATE("R6C",'Mapa final'!$O$37),"")</f>
        <v/>
      </c>
      <c r="K11" s="53" t="e">
        <f>IF(AND('Mapa final'!#REF!="Muy Alta",'Mapa final'!#REF!="Leve"),CONCATENATE("R6C",'Mapa final'!#REF!),"")</f>
        <v>#REF!</v>
      </c>
      <c r="L11" s="53" t="e">
        <f>IF(AND('Mapa final'!#REF!="Muy Alta",'Mapa final'!#REF!="Leve"),CONCATENATE("R6C",'Mapa final'!#REF!),"")</f>
        <v>#REF!</v>
      </c>
      <c r="M11" s="53" t="e">
        <f>IF(AND('Mapa final'!#REF!="Muy Alta",'Mapa final'!#REF!="Leve"),CONCATENATE("R6C",'Mapa final'!#REF!),"")</f>
        <v>#REF!</v>
      </c>
      <c r="N11" s="53" t="e">
        <f>IF(AND('Mapa final'!#REF!="Muy Alta",'Mapa final'!#REF!="Leve"),CONCATENATE("R6C",'Mapa final'!#REF!),"")</f>
        <v>#REF!</v>
      </c>
      <c r="O11" s="54" t="e">
        <f>IF(AND('Mapa final'!#REF!="Muy Alta",'Mapa final'!#REF!="Leve"),CONCATENATE("R6C",'Mapa final'!#REF!),"")</f>
        <v>#REF!</v>
      </c>
      <c r="P11" s="52" t="str">
        <f>IF(AND('Mapa final'!$Y$37="Muy Alta",'Mapa final'!$AA$37="Menor"),CONCATENATE("R6C",'Mapa final'!$O$37),"")</f>
        <v/>
      </c>
      <c r="Q11" s="53" t="e">
        <f>IF(AND('Mapa final'!#REF!="Muy Alta",'Mapa final'!#REF!="Menor"),CONCATENATE("R6C",'Mapa final'!#REF!),"")</f>
        <v>#REF!</v>
      </c>
      <c r="R11" s="53" t="e">
        <f>IF(AND('Mapa final'!#REF!="Muy Alta",'Mapa final'!#REF!="Menor"),CONCATENATE("R6C",'Mapa final'!#REF!),"")</f>
        <v>#REF!</v>
      </c>
      <c r="S11" s="53" t="e">
        <f>IF(AND('Mapa final'!#REF!="Muy Alta",'Mapa final'!#REF!="Menor"),CONCATENATE("R6C",'Mapa final'!#REF!),"")</f>
        <v>#REF!</v>
      </c>
      <c r="T11" s="53" t="e">
        <f>IF(AND('Mapa final'!#REF!="Muy Alta",'Mapa final'!#REF!="Menor"),CONCATENATE("R6C",'Mapa final'!#REF!),"")</f>
        <v>#REF!</v>
      </c>
      <c r="U11" s="54" t="e">
        <f>IF(AND('Mapa final'!#REF!="Muy Alta",'Mapa final'!#REF!="Menor"),CONCATENATE("R6C",'Mapa final'!#REF!),"")</f>
        <v>#REF!</v>
      </c>
      <c r="V11" s="52" t="str">
        <f>IF(AND('Mapa final'!$Y$37="Muy Alta",'Mapa final'!$AA$37="Moderado"),CONCATENATE("R6C",'Mapa final'!$O$37),"")</f>
        <v/>
      </c>
      <c r="W11" s="53" t="e">
        <f>IF(AND('Mapa final'!#REF!="Muy Alta",'Mapa final'!#REF!="Moderado"),CONCATENATE("R6C",'Mapa final'!#REF!),"")</f>
        <v>#REF!</v>
      </c>
      <c r="X11" s="53" t="e">
        <f>IF(AND('Mapa final'!#REF!="Muy Alta",'Mapa final'!#REF!="Moderado"),CONCATENATE("R6C",'Mapa final'!#REF!),"")</f>
        <v>#REF!</v>
      </c>
      <c r="Y11" s="53" t="e">
        <f>IF(AND('Mapa final'!#REF!="Muy Alta",'Mapa final'!#REF!="Moderado"),CONCATENATE("R6C",'Mapa final'!#REF!),"")</f>
        <v>#REF!</v>
      </c>
      <c r="Z11" s="53" t="e">
        <f>IF(AND('Mapa final'!#REF!="Muy Alta",'Mapa final'!#REF!="Moderado"),CONCATENATE("R6C",'Mapa final'!#REF!),"")</f>
        <v>#REF!</v>
      </c>
      <c r="AA11" s="54" t="e">
        <f>IF(AND('Mapa final'!#REF!="Muy Alta",'Mapa final'!#REF!="Moderado"),CONCATENATE("R6C",'Mapa final'!#REF!),"")</f>
        <v>#REF!</v>
      </c>
      <c r="AB11" s="52" t="str">
        <f>IF(AND('Mapa final'!$Y$37="Muy Alta",'Mapa final'!$AA$37="Mayor"),CONCATENATE("R6C",'Mapa final'!$O$37),"")</f>
        <v/>
      </c>
      <c r="AC11" s="53" t="e">
        <f>IF(AND('Mapa final'!#REF!="Muy Alta",'Mapa final'!#REF!="Mayor"),CONCATENATE("R6C",'Mapa final'!#REF!),"")</f>
        <v>#REF!</v>
      </c>
      <c r="AD11" s="53" t="e">
        <f>IF(AND('Mapa final'!#REF!="Muy Alta",'Mapa final'!#REF!="Mayor"),CONCATENATE("R6C",'Mapa final'!#REF!),"")</f>
        <v>#REF!</v>
      </c>
      <c r="AE11" s="53" t="e">
        <f>IF(AND('Mapa final'!#REF!="Muy Alta",'Mapa final'!#REF!="Mayor"),CONCATENATE("R6C",'Mapa final'!#REF!),"")</f>
        <v>#REF!</v>
      </c>
      <c r="AF11" s="53" t="e">
        <f>IF(AND('Mapa final'!#REF!="Muy Alta",'Mapa final'!#REF!="Mayor"),CONCATENATE("R6C",'Mapa final'!#REF!),"")</f>
        <v>#REF!</v>
      </c>
      <c r="AG11" s="54" t="e">
        <f>IF(AND('Mapa final'!#REF!="Muy Alta",'Mapa final'!#REF!="Mayor"),CONCATENATE("R6C",'Mapa final'!#REF!),"")</f>
        <v>#REF!</v>
      </c>
      <c r="AH11" s="55" t="str">
        <f>IF(AND('Mapa final'!$Y$37="Muy Alta",'Mapa final'!$AA$37="Catastrófico"),CONCATENATE("R6C",'Mapa final'!$O$37),"")</f>
        <v/>
      </c>
      <c r="AI11" s="56" t="e">
        <f>IF(AND('Mapa final'!#REF!="Muy Alta",'Mapa final'!#REF!="Catastrófico"),CONCATENATE("R6C",'Mapa final'!#REF!),"")</f>
        <v>#REF!</v>
      </c>
      <c r="AJ11" s="56" t="e">
        <f>IF(AND('Mapa final'!#REF!="Muy Alta",'Mapa final'!#REF!="Catastrófico"),CONCATENATE("R6C",'Mapa final'!#REF!),"")</f>
        <v>#REF!</v>
      </c>
      <c r="AK11" s="56" t="e">
        <f>IF(AND('Mapa final'!#REF!="Muy Alta",'Mapa final'!#REF!="Catastrófico"),CONCATENATE("R6C",'Mapa final'!#REF!),"")</f>
        <v>#REF!</v>
      </c>
      <c r="AL11" s="56" t="e">
        <f>IF(AND('Mapa final'!#REF!="Muy Alta",'Mapa final'!#REF!="Catastrófico"),CONCATENATE("R6C",'Mapa final'!#REF!),"")</f>
        <v>#REF!</v>
      </c>
      <c r="AM11" s="57" t="e">
        <f>IF(AND('Mapa final'!#REF!="Muy Alta",'Mapa final'!#REF!="Catastrófico"),CONCATENATE("R6C",'Mapa final'!#REF!),"")</f>
        <v>#REF!</v>
      </c>
      <c r="AN11" s="83"/>
      <c r="AO11" s="479"/>
      <c r="AP11" s="480"/>
      <c r="AQ11" s="480"/>
      <c r="AR11" s="480"/>
      <c r="AS11" s="480"/>
      <c r="AT11" s="481"/>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18"/>
      <c r="C12" s="418"/>
      <c r="D12" s="419"/>
      <c r="E12" s="459"/>
      <c r="F12" s="460"/>
      <c r="G12" s="460"/>
      <c r="H12" s="460"/>
      <c r="I12" s="461"/>
      <c r="J12" s="52" t="e">
        <f>IF(AND('Mapa final'!#REF!="Muy Alta",'Mapa final'!#REF!="Leve"),CONCATENATE("R7C",'Mapa final'!#REF!),"")</f>
        <v>#REF!</v>
      </c>
      <c r="K12" s="53" t="e">
        <f>IF(AND('Mapa final'!#REF!="Muy Alta",'Mapa final'!#REF!="Leve"),CONCATENATE("R7C",'Mapa final'!#REF!),"")</f>
        <v>#REF!</v>
      </c>
      <c r="L12" s="53" t="e">
        <f>IF(AND('Mapa final'!#REF!="Muy Alta",'Mapa final'!#REF!="Leve"),CONCATENATE("R7C",'Mapa final'!#REF!),"")</f>
        <v>#REF!</v>
      </c>
      <c r="M12" s="53" t="e">
        <f>IF(AND('Mapa final'!#REF!="Muy Alta",'Mapa final'!#REF!="Leve"),CONCATENATE("R7C",'Mapa final'!#REF!),"")</f>
        <v>#REF!</v>
      </c>
      <c r="N12" s="53" t="e">
        <f>IF(AND('Mapa final'!#REF!="Muy Alta",'Mapa final'!#REF!="Leve"),CONCATENATE("R7C",'Mapa final'!#REF!),"")</f>
        <v>#REF!</v>
      </c>
      <c r="O12" s="54" t="e">
        <f>IF(AND('Mapa final'!#REF!="Muy Alta",'Mapa final'!#REF!="Leve"),CONCATENATE("R7C",'Mapa final'!#REF!),"")</f>
        <v>#REF!</v>
      </c>
      <c r="P12" s="52" t="e">
        <f>IF(AND('Mapa final'!#REF!="Muy Alta",'Mapa final'!#REF!="Menor"),CONCATENATE("R7C",'Mapa final'!#REF!),"")</f>
        <v>#REF!</v>
      </c>
      <c r="Q12" s="53" t="e">
        <f>IF(AND('Mapa final'!#REF!="Muy Alta",'Mapa final'!#REF!="Menor"),CONCATENATE("R7C",'Mapa final'!#REF!),"")</f>
        <v>#REF!</v>
      </c>
      <c r="R12" s="53" t="e">
        <f>IF(AND('Mapa final'!#REF!="Muy Alta",'Mapa final'!#REF!="Menor"),CONCATENATE("R7C",'Mapa final'!#REF!),"")</f>
        <v>#REF!</v>
      </c>
      <c r="S12" s="53" t="e">
        <f>IF(AND('Mapa final'!#REF!="Muy Alta",'Mapa final'!#REF!="Menor"),CONCATENATE("R7C",'Mapa final'!#REF!),"")</f>
        <v>#REF!</v>
      </c>
      <c r="T12" s="53" t="e">
        <f>IF(AND('Mapa final'!#REF!="Muy Alta",'Mapa final'!#REF!="Menor"),CONCATENATE("R7C",'Mapa final'!#REF!),"")</f>
        <v>#REF!</v>
      </c>
      <c r="U12" s="54" t="e">
        <f>IF(AND('Mapa final'!#REF!="Muy Alta",'Mapa final'!#REF!="Menor"),CONCATENATE("R7C",'Mapa final'!#REF!),"")</f>
        <v>#REF!</v>
      </c>
      <c r="V12" s="52" t="e">
        <f>IF(AND('Mapa final'!#REF!="Muy Alta",'Mapa final'!#REF!="Moderado"),CONCATENATE("R7C",'Mapa final'!#REF!),"")</f>
        <v>#REF!</v>
      </c>
      <c r="W12" s="53" t="e">
        <f>IF(AND('Mapa final'!#REF!="Muy Alta",'Mapa final'!#REF!="Moderado"),CONCATENATE("R7C",'Mapa final'!#REF!),"")</f>
        <v>#REF!</v>
      </c>
      <c r="X12" s="53" t="e">
        <f>IF(AND('Mapa final'!#REF!="Muy Alta",'Mapa final'!#REF!="Moderado"),CONCATENATE("R7C",'Mapa final'!#REF!),"")</f>
        <v>#REF!</v>
      </c>
      <c r="Y12" s="53" t="e">
        <f>IF(AND('Mapa final'!#REF!="Muy Alta",'Mapa final'!#REF!="Moderado"),CONCATENATE("R7C",'Mapa final'!#REF!),"")</f>
        <v>#REF!</v>
      </c>
      <c r="Z12" s="53" t="e">
        <f>IF(AND('Mapa final'!#REF!="Muy Alta",'Mapa final'!#REF!="Moderado"),CONCATENATE("R7C",'Mapa final'!#REF!),"")</f>
        <v>#REF!</v>
      </c>
      <c r="AA12" s="54" t="e">
        <f>IF(AND('Mapa final'!#REF!="Muy Alta",'Mapa final'!#REF!="Moderado"),CONCATENATE("R7C",'Mapa final'!#REF!),"")</f>
        <v>#REF!</v>
      </c>
      <c r="AB12" s="52" t="e">
        <f>IF(AND('Mapa final'!#REF!="Muy Alta",'Mapa final'!#REF!="Mayor"),CONCATENATE("R7C",'Mapa final'!#REF!),"")</f>
        <v>#REF!</v>
      </c>
      <c r="AC12" s="53" t="e">
        <f>IF(AND('Mapa final'!#REF!="Muy Alta",'Mapa final'!#REF!="Mayor"),CONCATENATE("R7C",'Mapa final'!#REF!),"")</f>
        <v>#REF!</v>
      </c>
      <c r="AD12" s="53" t="e">
        <f>IF(AND('Mapa final'!#REF!="Muy Alta",'Mapa final'!#REF!="Mayor"),CONCATENATE("R7C",'Mapa final'!#REF!),"")</f>
        <v>#REF!</v>
      </c>
      <c r="AE12" s="53" t="e">
        <f>IF(AND('Mapa final'!#REF!="Muy Alta",'Mapa final'!#REF!="Mayor"),CONCATENATE("R7C",'Mapa final'!#REF!),"")</f>
        <v>#REF!</v>
      </c>
      <c r="AF12" s="53" t="e">
        <f>IF(AND('Mapa final'!#REF!="Muy Alta",'Mapa final'!#REF!="Mayor"),CONCATENATE("R7C",'Mapa final'!#REF!),"")</f>
        <v>#REF!</v>
      </c>
      <c r="AG12" s="54" t="e">
        <f>IF(AND('Mapa final'!#REF!="Muy Alta",'Mapa final'!#REF!="Mayor"),CONCATENATE("R7C",'Mapa final'!#REF!),"")</f>
        <v>#REF!</v>
      </c>
      <c r="AH12" s="55" t="e">
        <f>IF(AND('Mapa final'!#REF!="Muy Alta",'Mapa final'!#REF!="Catastrófico"),CONCATENATE("R7C",'Mapa final'!#REF!),"")</f>
        <v>#REF!</v>
      </c>
      <c r="AI12" s="56" t="e">
        <f>IF(AND('Mapa final'!#REF!="Muy Alta",'Mapa final'!#REF!="Catastrófico"),CONCATENATE("R7C",'Mapa final'!#REF!),"")</f>
        <v>#REF!</v>
      </c>
      <c r="AJ12" s="56" t="e">
        <f>IF(AND('Mapa final'!#REF!="Muy Alta",'Mapa final'!#REF!="Catastrófico"),CONCATENATE("R7C",'Mapa final'!#REF!),"")</f>
        <v>#REF!</v>
      </c>
      <c r="AK12" s="56" t="e">
        <f>IF(AND('Mapa final'!#REF!="Muy Alta",'Mapa final'!#REF!="Catastrófico"),CONCATENATE("R7C",'Mapa final'!#REF!),"")</f>
        <v>#REF!</v>
      </c>
      <c r="AL12" s="56" t="e">
        <f>IF(AND('Mapa final'!#REF!="Muy Alta",'Mapa final'!#REF!="Catastrófico"),CONCATENATE("R7C",'Mapa final'!#REF!),"")</f>
        <v>#REF!</v>
      </c>
      <c r="AM12" s="57" t="e">
        <f>IF(AND('Mapa final'!#REF!="Muy Alta",'Mapa final'!#REF!="Catastrófico"),CONCATENATE("R7C",'Mapa final'!#REF!),"")</f>
        <v>#REF!</v>
      </c>
      <c r="AN12" s="83"/>
      <c r="AO12" s="479"/>
      <c r="AP12" s="480"/>
      <c r="AQ12" s="480"/>
      <c r="AR12" s="480"/>
      <c r="AS12" s="480"/>
      <c r="AT12" s="481"/>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18"/>
      <c r="C13" s="418"/>
      <c r="D13" s="419"/>
      <c r="E13" s="459"/>
      <c r="F13" s="460"/>
      <c r="G13" s="460"/>
      <c r="H13" s="460"/>
      <c r="I13" s="461"/>
      <c r="J13" s="52" t="str">
        <f>IF(AND('Mapa final'!$Y$38="Muy Alta",'Mapa final'!$AA$38="Leve"),CONCATENATE("R8C",'Mapa final'!$O$38),"")</f>
        <v/>
      </c>
      <c r="K13" s="53" t="str">
        <f>IF(AND('Mapa final'!$Y$39="Muy Alta",'Mapa final'!$AA$39="Leve"),CONCATENATE("R8C",'Mapa final'!$O$39),"")</f>
        <v/>
      </c>
      <c r="L13" s="53" t="str">
        <f>IF(AND('Mapa final'!$Y$40="Muy Alta",'Mapa final'!$AA$40="Leve"),CONCATENATE("R8C",'Mapa final'!$O$40),"")</f>
        <v/>
      </c>
      <c r="M13" s="53" t="str">
        <f>IF(AND('Mapa final'!$Y$41="Muy Alta",'Mapa final'!$AA$41="Leve"),CONCATENATE("R8C",'Mapa final'!$O$41),"")</f>
        <v/>
      </c>
      <c r="N13" s="53" t="str">
        <f>IF(AND('Mapa final'!$Y$42="Muy Alta",'Mapa final'!$AA$42="Leve"),CONCATENATE("R8C",'Mapa final'!$O$42),"")</f>
        <v/>
      </c>
      <c r="O13" s="54" t="str">
        <f>IF(AND('Mapa final'!$Y$43="Muy Alta",'Mapa final'!$AA$43="Leve"),CONCATENATE("R8C",'Mapa final'!$O$43),"")</f>
        <v/>
      </c>
      <c r="P13" s="52" t="str">
        <f>IF(AND('Mapa final'!$Y$38="Muy Alta",'Mapa final'!$AA$38="Menor"),CONCATENATE("R8C",'Mapa final'!$O$38),"")</f>
        <v/>
      </c>
      <c r="Q13" s="53" t="str">
        <f>IF(AND('Mapa final'!$Y$39="Muy Alta",'Mapa final'!$AA$39="Menor"),CONCATENATE("R8C",'Mapa final'!$O$39),"")</f>
        <v/>
      </c>
      <c r="R13" s="53" t="str">
        <f>IF(AND('Mapa final'!$Y$40="Muy Alta",'Mapa final'!$AA$40="Menor"),CONCATENATE("R8C",'Mapa final'!$O$40),"")</f>
        <v/>
      </c>
      <c r="S13" s="53" t="str">
        <f>IF(AND('Mapa final'!$Y$41="Muy Alta",'Mapa final'!$AA$41="Menor"),CONCATENATE("R8C",'Mapa final'!$O$41),"")</f>
        <v/>
      </c>
      <c r="T13" s="53" t="str">
        <f>IF(AND('Mapa final'!$Y$42="Muy Alta",'Mapa final'!$AA$42="Menor"),CONCATENATE("R8C",'Mapa final'!$O$42),"")</f>
        <v/>
      </c>
      <c r="U13" s="54" t="str">
        <f>IF(AND('Mapa final'!$Y$43="Muy Alta",'Mapa final'!$AA$43="Menor"),CONCATENATE("R8C",'Mapa final'!$O$43),"")</f>
        <v/>
      </c>
      <c r="V13" s="52" t="str">
        <f>IF(AND('Mapa final'!$Y$38="Muy Alta",'Mapa final'!$AA$38="Moderado"),CONCATENATE("R8C",'Mapa final'!$O$38),"")</f>
        <v/>
      </c>
      <c r="W13" s="53" t="str">
        <f>IF(AND('Mapa final'!$Y$39="Muy Alta",'Mapa final'!$AA$39="Moderado"),CONCATENATE("R8C",'Mapa final'!$O$39),"")</f>
        <v/>
      </c>
      <c r="X13" s="53" t="str">
        <f>IF(AND('Mapa final'!$Y$40="Muy Alta",'Mapa final'!$AA$40="Moderado"),CONCATENATE("R8C",'Mapa final'!$O$40),"")</f>
        <v/>
      </c>
      <c r="Y13" s="53" t="str">
        <f>IF(AND('Mapa final'!$Y$41="Muy Alta",'Mapa final'!$AA$41="Moderado"),CONCATENATE("R8C",'Mapa final'!$O$41),"")</f>
        <v/>
      </c>
      <c r="Z13" s="53" t="str">
        <f>IF(AND('Mapa final'!$Y$42="Muy Alta",'Mapa final'!$AA$42="Moderado"),CONCATENATE("R8C",'Mapa final'!$O$42),"")</f>
        <v/>
      </c>
      <c r="AA13" s="54" t="str">
        <f>IF(AND('Mapa final'!$Y$43="Muy Alta",'Mapa final'!$AA$43="Moderado"),CONCATENATE("R8C",'Mapa final'!$O$43),"")</f>
        <v/>
      </c>
      <c r="AB13" s="52" t="str">
        <f>IF(AND('Mapa final'!$Y$38="Muy Alta",'Mapa final'!$AA$38="Mayor"),CONCATENATE("R8C",'Mapa final'!$O$38),"")</f>
        <v/>
      </c>
      <c r="AC13" s="53" t="str">
        <f>IF(AND('Mapa final'!$Y$39="Muy Alta",'Mapa final'!$AA$39="Mayor"),CONCATENATE("R8C",'Mapa final'!$O$39),"")</f>
        <v/>
      </c>
      <c r="AD13" s="53" t="str">
        <f>IF(AND('Mapa final'!$Y$40="Muy Alta",'Mapa final'!$AA$40="Mayor"),CONCATENATE("R8C",'Mapa final'!$O$40),"")</f>
        <v/>
      </c>
      <c r="AE13" s="53" t="str">
        <f>IF(AND('Mapa final'!$Y$41="Muy Alta",'Mapa final'!$AA$41="Mayor"),CONCATENATE("R8C",'Mapa final'!$O$41),"")</f>
        <v/>
      </c>
      <c r="AF13" s="53" t="str">
        <f>IF(AND('Mapa final'!$Y$42="Muy Alta",'Mapa final'!$AA$42="Mayor"),CONCATENATE("R8C",'Mapa final'!$O$42),"")</f>
        <v/>
      </c>
      <c r="AG13" s="54" t="str">
        <f>IF(AND('Mapa final'!$Y$43="Muy Alta",'Mapa final'!$AA$43="Mayor"),CONCATENATE("R8C",'Mapa final'!$O$43),"")</f>
        <v/>
      </c>
      <c r="AH13" s="55" t="str">
        <f>IF(AND('Mapa final'!$Y$38="Muy Alta",'Mapa final'!$AA$38="Catastrófico"),CONCATENATE("R8C",'Mapa final'!$O$38),"")</f>
        <v/>
      </c>
      <c r="AI13" s="56" t="str">
        <f>IF(AND('Mapa final'!$Y$39="Muy Alta",'Mapa final'!$AA$39="Catastrófico"),CONCATENATE("R8C",'Mapa final'!$O$39),"")</f>
        <v/>
      </c>
      <c r="AJ13" s="56" t="str">
        <f>IF(AND('Mapa final'!$Y$40="Muy Alta",'Mapa final'!$AA$40="Catastrófico"),CONCATENATE("R8C",'Mapa final'!$O$40),"")</f>
        <v/>
      </c>
      <c r="AK13" s="56" t="str">
        <f>IF(AND('Mapa final'!$Y$41="Muy Alta",'Mapa final'!$AA$41="Catastrófico"),CONCATENATE("R8C",'Mapa final'!$O$41),"")</f>
        <v/>
      </c>
      <c r="AL13" s="56" t="str">
        <f>IF(AND('Mapa final'!$Y$42="Muy Alta",'Mapa final'!$AA$42="Catastrófico"),CONCATENATE("R8C",'Mapa final'!$O$42),"")</f>
        <v/>
      </c>
      <c r="AM13" s="57" t="str">
        <f>IF(AND('Mapa final'!$Y$43="Muy Alta",'Mapa final'!$AA$43="Catastrófico"),CONCATENATE("R8C",'Mapa final'!$O$43),"")</f>
        <v/>
      </c>
      <c r="AN13" s="83"/>
      <c r="AO13" s="479"/>
      <c r="AP13" s="480"/>
      <c r="AQ13" s="480"/>
      <c r="AR13" s="480"/>
      <c r="AS13" s="480"/>
      <c r="AT13" s="481"/>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18"/>
      <c r="C14" s="418"/>
      <c r="D14" s="419"/>
      <c r="E14" s="459"/>
      <c r="F14" s="460"/>
      <c r="G14" s="460"/>
      <c r="H14" s="460"/>
      <c r="I14" s="461"/>
      <c r="J14" s="52" t="str">
        <f>IF(AND('Mapa final'!$Y$44="Muy Alta",'Mapa final'!$AA$44="Leve"),CONCATENATE("R9C",'Mapa final'!$O$44),"")</f>
        <v/>
      </c>
      <c r="K14" s="53" t="str">
        <f>IF(AND('Mapa final'!$Y$45="Muy Alta",'Mapa final'!$AA$45="Leve"),CONCATENATE("R9C",'Mapa final'!$O$45),"")</f>
        <v/>
      </c>
      <c r="L14" s="53" t="str">
        <f>IF(AND('Mapa final'!$Y$46="Muy Alta",'Mapa final'!$AA$46="Leve"),CONCATENATE("R9C",'Mapa final'!$O$46),"")</f>
        <v/>
      </c>
      <c r="M14" s="53" t="str">
        <f>IF(AND('Mapa final'!$Y$47="Muy Alta",'Mapa final'!$AA$47="Leve"),CONCATENATE("R9C",'Mapa final'!$O$47),"")</f>
        <v/>
      </c>
      <c r="N14" s="53" t="str">
        <f>IF(AND('Mapa final'!$Y$48="Muy Alta",'Mapa final'!$AA$48="Leve"),CONCATENATE("R9C",'Mapa final'!$O$48),"")</f>
        <v/>
      </c>
      <c r="O14" s="54" t="str">
        <f>IF(AND('Mapa final'!$Y$49="Muy Alta",'Mapa final'!$AA$49="Leve"),CONCATENATE("R9C",'Mapa final'!$O$49),"")</f>
        <v/>
      </c>
      <c r="P14" s="52" t="str">
        <f>IF(AND('Mapa final'!$Y$44="Muy Alta",'Mapa final'!$AA$44="Menor"),CONCATENATE("R9C",'Mapa final'!$O$44),"")</f>
        <v/>
      </c>
      <c r="Q14" s="53" t="str">
        <f>IF(AND('Mapa final'!$Y$45="Muy Alta",'Mapa final'!$AA$45="Menor"),CONCATENATE("R9C",'Mapa final'!$O$45),"")</f>
        <v/>
      </c>
      <c r="R14" s="53" t="str">
        <f>IF(AND('Mapa final'!$Y$46="Muy Alta",'Mapa final'!$AA$46="Menor"),CONCATENATE("R9C",'Mapa final'!$O$46),"")</f>
        <v/>
      </c>
      <c r="S14" s="53" t="str">
        <f>IF(AND('Mapa final'!$Y$47="Muy Alta",'Mapa final'!$AA$47="Menor"),CONCATENATE("R9C",'Mapa final'!$O$47),"")</f>
        <v/>
      </c>
      <c r="T14" s="53" t="str">
        <f>IF(AND('Mapa final'!$Y$48="Muy Alta",'Mapa final'!$AA$48="Menor"),CONCATENATE("R9C",'Mapa final'!$O$48),"")</f>
        <v/>
      </c>
      <c r="U14" s="54" t="str">
        <f>IF(AND('Mapa final'!$Y$49="Muy Alta",'Mapa final'!$AA$49="Menor"),CONCATENATE("R9C",'Mapa final'!$O$49),"")</f>
        <v/>
      </c>
      <c r="V14" s="52" t="str">
        <f>IF(AND('Mapa final'!$Y$44="Muy Alta",'Mapa final'!$AA$44="Moderado"),CONCATENATE("R9C",'Mapa final'!$O$44),"")</f>
        <v/>
      </c>
      <c r="W14" s="53" t="str">
        <f>IF(AND('Mapa final'!$Y$45="Muy Alta",'Mapa final'!$AA$45="Moderado"),CONCATENATE("R9C",'Mapa final'!$O$45),"")</f>
        <v/>
      </c>
      <c r="X14" s="53" t="str">
        <f>IF(AND('Mapa final'!$Y$46="Muy Alta",'Mapa final'!$AA$46="Moderado"),CONCATENATE("R9C",'Mapa final'!$O$46),"")</f>
        <v/>
      </c>
      <c r="Y14" s="53" t="str">
        <f>IF(AND('Mapa final'!$Y$47="Muy Alta",'Mapa final'!$AA$47="Moderado"),CONCATENATE("R9C",'Mapa final'!$O$47),"")</f>
        <v/>
      </c>
      <c r="Z14" s="53" t="str">
        <f>IF(AND('Mapa final'!$Y$48="Muy Alta",'Mapa final'!$AA$48="Moderado"),CONCATENATE("R9C",'Mapa final'!$O$48),"")</f>
        <v/>
      </c>
      <c r="AA14" s="54" t="str">
        <f>IF(AND('Mapa final'!$Y$49="Muy Alta",'Mapa final'!$AA$49="Moderado"),CONCATENATE("R9C",'Mapa final'!$O$49),"")</f>
        <v/>
      </c>
      <c r="AB14" s="52" t="str">
        <f>IF(AND('Mapa final'!$Y$44="Muy Alta",'Mapa final'!$AA$44="Mayor"),CONCATENATE("R9C",'Mapa final'!$O$44),"")</f>
        <v/>
      </c>
      <c r="AC14" s="53" t="str">
        <f>IF(AND('Mapa final'!$Y$45="Muy Alta",'Mapa final'!$AA$45="Mayor"),CONCATENATE("R9C",'Mapa final'!$O$45),"")</f>
        <v/>
      </c>
      <c r="AD14" s="53" t="str">
        <f>IF(AND('Mapa final'!$Y$46="Muy Alta",'Mapa final'!$AA$46="Mayor"),CONCATENATE("R9C",'Mapa final'!$O$46),"")</f>
        <v/>
      </c>
      <c r="AE14" s="53" t="str">
        <f>IF(AND('Mapa final'!$Y$47="Muy Alta",'Mapa final'!$AA$47="Mayor"),CONCATENATE("R9C",'Mapa final'!$O$47),"")</f>
        <v/>
      </c>
      <c r="AF14" s="53" t="str">
        <f>IF(AND('Mapa final'!$Y$48="Muy Alta",'Mapa final'!$AA$48="Mayor"),CONCATENATE("R9C",'Mapa final'!$O$48),"")</f>
        <v/>
      </c>
      <c r="AG14" s="54" t="str">
        <f>IF(AND('Mapa final'!$Y$49="Muy Alta",'Mapa final'!$AA$49="Mayor"),CONCATENATE("R9C",'Mapa final'!$O$49),"")</f>
        <v/>
      </c>
      <c r="AH14" s="55" t="str">
        <f>IF(AND('Mapa final'!$Y$44="Muy Alta",'Mapa final'!$AA$44="Catastrófico"),CONCATENATE("R9C",'Mapa final'!$O$44),"")</f>
        <v/>
      </c>
      <c r="AI14" s="56" t="str">
        <f>IF(AND('Mapa final'!$Y$45="Muy Alta",'Mapa final'!$AA$45="Catastrófico"),CONCATENATE("R9C",'Mapa final'!$O$45),"")</f>
        <v/>
      </c>
      <c r="AJ14" s="56" t="str">
        <f>IF(AND('Mapa final'!$Y$46="Muy Alta",'Mapa final'!$AA$46="Catastrófico"),CONCATENATE("R9C",'Mapa final'!$O$46),"")</f>
        <v/>
      </c>
      <c r="AK14" s="56" t="str">
        <f>IF(AND('Mapa final'!$Y$47="Muy Alta",'Mapa final'!$AA$47="Catastrófico"),CONCATENATE("R9C",'Mapa final'!$O$47),"")</f>
        <v/>
      </c>
      <c r="AL14" s="56" t="str">
        <f>IF(AND('Mapa final'!$Y$48="Muy Alta",'Mapa final'!$AA$48="Catastrófico"),CONCATENATE("R9C",'Mapa final'!$O$48),"")</f>
        <v/>
      </c>
      <c r="AM14" s="57" t="str">
        <f>IF(AND('Mapa final'!$Y$49="Muy Alta",'Mapa final'!$AA$49="Catastrófico"),CONCATENATE("R9C",'Mapa final'!$O$49),"")</f>
        <v/>
      </c>
      <c r="AN14" s="83"/>
      <c r="AO14" s="479"/>
      <c r="AP14" s="480"/>
      <c r="AQ14" s="480"/>
      <c r="AR14" s="480"/>
      <c r="AS14" s="480"/>
      <c r="AT14" s="481"/>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18"/>
      <c r="C15" s="418"/>
      <c r="D15" s="419"/>
      <c r="E15" s="462"/>
      <c r="F15" s="463"/>
      <c r="G15" s="463"/>
      <c r="H15" s="463"/>
      <c r="I15" s="464"/>
      <c r="J15" s="58" t="str">
        <f>IF(AND('Mapa final'!$Y$50="Muy Alta",'Mapa final'!$AA$50="Leve"),CONCATENATE("R10C",'Mapa final'!$O$50),"")</f>
        <v/>
      </c>
      <c r="K15" s="59" t="str">
        <f>IF(AND('Mapa final'!$Y$51="Muy Alta",'Mapa final'!$AA$51="Leve"),CONCATENATE("R10C",'Mapa final'!$O$51),"")</f>
        <v/>
      </c>
      <c r="L15" s="59" t="str">
        <f>IF(AND('Mapa final'!$Y$52="Muy Alta",'Mapa final'!$AA$52="Leve"),CONCATENATE("R10C",'Mapa final'!$O$52),"")</f>
        <v/>
      </c>
      <c r="M15" s="59" t="str">
        <f>IF(AND('Mapa final'!$Y$53="Muy Alta",'Mapa final'!$AA$53="Leve"),CONCATENATE("R10C",'Mapa final'!$O$53),"")</f>
        <v/>
      </c>
      <c r="N15" s="59" t="str">
        <f>IF(AND('Mapa final'!$Y$54="Muy Alta",'Mapa final'!$AA$54="Leve"),CONCATENATE("R10C",'Mapa final'!$O$54),"")</f>
        <v/>
      </c>
      <c r="O15" s="60" t="str">
        <f>IF(AND('Mapa final'!$Y$55="Muy Alta",'Mapa final'!$AA$55="Leve"),CONCATENATE("R10C",'Mapa final'!$O$55),"")</f>
        <v/>
      </c>
      <c r="P15" s="52" t="str">
        <f>IF(AND('Mapa final'!$Y$50="Muy Alta",'Mapa final'!$AA$50="Menor"),CONCATENATE("R10C",'Mapa final'!$O$50),"")</f>
        <v/>
      </c>
      <c r="Q15" s="53" t="str">
        <f>IF(AND('Mapa final'!$Y$51="Muy Alta",'Mapa final'!$AA$51="Menor"),CONCATENATE("R10C",'Mapa final'!$O$51),"")</f>
        <v/>
      </c>
      <c r="R15" s="53" t="str">
        <f>IF(AND('Mapa final'!$Y$52="Muy Alta",'Mapa final'!$AA$52="Menor"),CONCATENATE("R10C",'Mapa final'!$O$52),"")</f>
        <v/>
      </c>
      <c r="S15" s="53" t="str">
        <f>IF(AND('Mapa final'!$Y$53="Muy Alta",'Mapa final'!$AA$53="Menor"),CONCATENATE("R10C",'Mapa final'!$O$53),"")</f>
        <v/>
      </c>
      <c r="T15" s="53" t="str">
        <f>IF(AND('Mapa final'!$Y$54="Muy Alta",'Mapa final'!$AA$54="Menor"),CONCATENATE("R10C",'Mapa final'!$O$54),"")</f>
        <v/>
      </c>
      <c r="U15" s="54" t="str">
        <f>IF(AND('Mapa final'!$Y$55="Muy Alta",'Mapa final'!$AA$55="Menor"),CONCATENATE("R10C",'Mapa final'!$O$55),"")</f>
        <v/>
      </c>
      <c r="V15" s="58" t="str">
        <f>IF(AND('Mapa final'!$Y$50="Muy Alta",'Mapa final'!$AA$50="Moderado"),CONCATENATE("R10C",'Mapa final'!$O$50),"")</f>
        <v/>
      </c>
      <c r="W15" s="59" t="str">
        <f>IF(AND('Mapa final'!$Y$51="Muy Alta",'Mapa final'!$AA$51="Moderado"),CONCATENATE("R10C",'Mapa final'!$O$51),"")</f>
        <v/>
      </c>
      <c r="X15" s="59" t="str">
        <f>IF(AND('Mapa final'!$Y$52="Muy Alta",'Mapa final'!$AA$52="Moderado"),CONCATENATE("R10C",'Mapa final'!$O$52),"")</f>
        <v/>
      </c>
      <c r="Y15" s="59" t="str">
        <f>IF(AND('Mapa final'!$Y$53="Muy Alta",'Mapa final'!$AA$53="Moderado"),CONCATENATE("R10C",'Mapa final'!$O$53),"")</f>
        <v/>
      </c>
      <c r="Z15" s="59" t="str">
        <f>IF(AND('Mapa final'!$Y$54="Muy Alta",'Mapa final'!$AA$54="Moderado"),CONCATENATE("R10C",'Mapa final'!$O$54),"")</f>
        <v/>
      </c>
      <c r="AA15" s="60" t="str">
        <f>IF(AND('Mapa final'!$Y$55="Muy Alta",'Mapa final'!$AA$55="Moderado"),CONCATENATE("R10C",'Mapa final'!$O$55),"")</f>
        <v/>
      </c>
      <c r="AB15" s="52" t="str">
        <f>IF(AND('Mapa final'!$Y$50="Muy Alta",'Mapa final'!$AA$50="Mayor"),CONCATENATE("R10C",'Mapa final'!$O$50),"")</f>
        <v/>
      </c>
      <c r="AC15" s="53" t="str">
        <f>IF(AND('Mapa final'!$Y$51="Muy Alta",'Mapa final'!$AA$51="Mayor"),CONCATENATE("R10C",'Mapa final'!$O$51),"")</f>
        <v/>
      </c>
      <c r="AD15" s="53" t="str">
        <f>IF(AND('Mapa final'!$Y$52="Muy Alta",'Mapa final'!$AA$52="Mayor"),CONCATENATE("R10C",'Mapa final'!$O$52),"")</f>
        <v/>
      </c>
      <c r="AE15" s="53" t="str">
        <f>IF(AND('Mapa final'!$Y$53="Muy Alta",'Mapa final'!$AA$53="Mayor"),CONCATENATE("R10C",'Mapa final'!$O$53),"")</f>
        <v/>
      </c>
      <c r="AF15" s="53" t="str">
        <f>IF(AND('Mapa final'!$Y$54="Muy Alta",'Mapa final'!$AA$54="Mayor"),CONCATENATE("R10C",'Mapa final'!$O$54),"")</f>
        <v/>
      </c>
      <c r="AG15" s="54" t="str">
        <f>IF(AND('Mapa final'!$Y$55="Muy Alta",'Mapa final'!$AA$55="Mayor"),CONCATENATE("R10C",'Mapa final'!$O$55),"")</f>
        <v/>
      </c>
      <c r="AH15" s="61" t="str">
        <f>IF(AND('Mapa final'!$Y$50="Muy Alta",'Mapa final'!$AA$50="Catastrófico"),CONCATENATE("R10C",'Mapa final'!$O$50),"")</f>
        <v/>
      </c>
      <c r="AI15" s="62" t="str">
        <f>IF(AND('Mapa final'!$Y$51="Muy Alta",'Mapa final'!$AA$51="Catastrófico"),CONCATENATE("R10C",'Mapa final'!$O$51),"")</f>
        <v/>
      </c>
      <c r="AJ15" s="62" t="str">
        <f>IF(AND('Mapa final'!$Y$52="Muy Alta",'Mapa final'!$AA$52="Catastrófico"),CONCATENATE("R10C",'Mapa final'!$O$52),"")</f>
        <v/>
      </c>
      <c r="AK15" s="62" t="str">
        <f>IF(AND('Mapa final'!$Y$53="Muy Alta",'Mapa final'!$AA$53="Catastrófico"),CONCATENATE("R10C",'Mapa final'!$O$53),"")</f>
        <v/>
      </c>
      <c r="AL15" s="62" t="str">
        <f>IF(AND('Mapa final'!$Y$54="Muy Alta",'Mapa final'!$AA$54="Catastrófico"),CONCATENATE("R10C",'Mapa final'!$O$54),"")</f>
        <v/>
      </c>
      <c r="AM15" s="63" t="str">
        <f>IF(AND('Mapa final'!$Y$55="Muy Alta",'Mapa final'!$AA$55="Catastrófico"),CONCATENATE("R10C",'Mapa final'!$O$55),"")</f>
        <v/>
      </c>
      <c r="AN15" s="83"/>
      <c r="AO15" s="482"/>
      <c r="AP15" s="483"/>
      <c r="AQ15" s="483"/>
      <c r="AR15" s="483"/>
      <c r="AS15" s="483"/>
      <c r="AT15" s="484"/>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18"/>
      <c r="C16" s="418"/>
      <c r="D16" s="419"/>
      <c r="E16" s="456" t="s">
        <v>184</v>
      </c>
      <c r="F16" s="457"/>
      <c r="G16" s="457"/>
      <c r="H16" s="457"/>
      <c r="I16" s="457"/>
      <c r="J16" s="64" t="str">
        <f>IF(AND('Mapa final'!$Y$25="Alta",'Mapa final'!$AA$25="Leve"),CONCATENATE("R1C",'Mapa final'!$O$25),"")</f>
        <v/>
      </c>
      <c r="K16" s="65" t="str">
        <f>IF(AND('Mapa final'!$Y$26="Alta",'Mapa final'!$AA$26="Leve"),CONCATENATE("R1C",'Mapa final'!$O$26),"")</f>
        <v/>
      </c>
      <c r="L16" s="65" t="str">
        <f>IF(AND('Mapa final'!$Y$27="Alta",'Mapa final'!$AA$27="Leve"),CONCATENATE("R1C",'Mapa final'!$O$27),"")</f>
        <v/>
      </c>
      <c r="M16" s="65" t="str">
        <f>IF(AND('Mapa final'!$Y$28="Alta",'Mapa final'!$AA$28="Leve"),CONCATENATE("R1C",'Mapa final'!$O$28),"")</f>
        <v/>
      </c>
      <c r="N16" s="65" t="str">
        <f>IF(AND('Mapa final'!$Y$29="Alta",'Mapa final'!$AA$29="Leve"),CONCATENATE("R1C",'Mapa final'!$O$29),"")</f>
        <v/>
      </c>
      <c r="O16" s="66" t="str">
        <f>IF(AND('Mapa final'!$Y$30="Alta",'Mapa final'!$AA$30="Leve"),CONCATENATE("R1C",'Mapa final'!$O$30),"")</f>
        <v/>
      </c>
      <c r="P16" s="64" t="str">
        <f>IF(AND('Mapa final'!$Y$25="Alta",'Mapa final'!$AA$25="Menor"),CONCATENATE("R1C",'Mapa final'!$O$25),"")</f>
        <v/>
      </c>
      <c r="Q16" s="65" t="str">
        <f>IF(AND('Mapa final'!$Y$26="Alta",'Mapa final'!$AA$26="Menor"),CONCATENATE("R1C",'Mapa final'!$O$26),"")</f>
        <v/>
      </c>
      <c r="R16" s="65" t="str">
        <f>IF(AND('Mapa final'!$Y$27="Alta",'Mapa final'!$AA$27="Menor"),CONCATENATE("R1C",'Mapa final'!$O$27),"")</f>
        <v/>
      </c>
      <c r="S16" s="65" t="str">
        <f>IF(AND('Mapa final'!$Y$28="Alta",'Mapa final'!$AA$28="Menor"),CONCATENATE("R1C",'Mapa final'!$O$28),"")</f>
        <v/>
      </c>
      <c r="T16" s="65" t="str">
        <f>IF(AND('Mapa final'!$Y$29="Alta",'Mapa final'!$AA$29="Menor"),CONCATENATE("R1C",'Mapa final'!$O$29),"")</f>
        <v/>
      </c>
      <c r="U16" s="66" t="str">
        <f>IF(AND('Mapa final'!$Y$30="Alta",'Mapa final'!$AA$30="Menor"),CONCATENATE("R1C",'Mapa final'!$O$30),"")</f>
        <v/>
      </c>
      <c r="V16" s="46" t="str">
        <f>IF(AND('Mapa final'!$Y$25="Alta",'Mapa final'!$AA$25="Moderado"),CONCATENATE("R1C",'Mapa final'!$O$25),"")</f>
        <v/>
      </c>
      <c r="W16" s="47" t="str">
        <f>IF(AND('Mapa final'!$Y$26="Alta",'Mapa final'!$AA$26="Moderado"),CONCATENATE("R1C",'Mapa final'!$O$26),"")</f>
        <v/>
      </c>
      <c r="X16" s="47" t="str">
        <f>IF(AND('Mapa final'!$Y$27="Alta",'Mapa final'!$AA$27="Moderado"),CONCATENATE("R1C",'Mapa final'!$O$27),"")</f>
        <v/>
      </c>
      <c r="Y16" s="47" t="str">
        <f>IF(AND('Mapa final'!$Y$28="Alta",'Mapa final'!$AA$28="Moderado"),CONCATENATE("R1C",'Mapa final'!$O$28),"")</f>
        <v/>
      </c>
      <c r="Z16" s="47" t="str">
        <f>IF(AND('Mapa final'!$Y$29="Alta",'Mapa final'!$AA$29="Moderado"),CONCATENATE("R1C",'Mapa final'!$O$29),"")</f>
        <v/>
      </c>
      <c r="AA16" s="48" t="str">
        <f>IF(AND('Mapa final'!$Y$30="Alta",'Mapa final'!$AA$30="Moderado"),CONCATENATE("R1C",'Mapa final'!$O$30),"")</f>
        <v/>
      </c>
      <c r="AB16" s="46" t="str">
        <f>IF(AND('Mapa final'!$Y$25="Alta",'Mapa final'!$AA$25="Mayor"),CONCATENATE("R1C",'Mapa final'!$O$25),"")</f>
        <v/>
      </c>
      <c r="AC16" s="47" t="str">
        <f>IF(AND('Mapa final'!$Y$26="Alta",'Mapa final'!$AA$26="Mayor"),CONCATENATE("R1C",'Mapa final'!$O$26),"")</f>
        <v/>
      </c>
      <c r="AD16" s="47" t="str">
        <f>IF(AND('Mapa final'!$Y$27="Alta",'Mapa final'!$AA$27="Mayor"),CONCATENATE("R1C",'Mapa final'!$O$27),"")</f>
        <v/>
      </c>
      <c r="AE16" s="47" t="str">
        <f>IF(AND('Mapa final'!$Y$28="Alta",'Mapa final'!$AA$28="Mayor"),CONCATENATE("R1C",'Mapa final'!$O$28),"")</f>
        <v/>
      </c>
      <c r="AF16" s="47" t="str">
        <f>IF(AND('Mapa final'!$Y$29="Alta",'Mapa final'!$AA$29="Mayor"),CONCATENATE("R1C",'Mapa final'!$O$29),"")</f>
        <v/>
      </c>
      <c r="AG16" s="48" t="str">
        <f>IF(AND('Mapa final'!$Y$30="Alta",'Mapa final'!$AA$30="Mayor"),CONCATENATE("R1C",'Mapa final'!$O$30),"")</f>
        <v/>
      </c>
      <c r="AH16" s="49" t="str">
        <f>IF(AND('Mapa final'!$Y$25="Alta",'Mapa final'!$AA$25="Catastrófico"),CONCATENATE("R1C",'Mapa final'!$O$25),"")</f>
        <v/>
      </c>
      <c r="AI16" s="50" t="str">
        <f>IF(AND('Mapa final'!$Y$26="Alta",'Mapa final'!$AA$26="Catastrófico"),CONCATENATE("R1C",'Mapa final'!$O$26),"")</f>
        <v/>
      </c>
      <c r="AJ16" s="50" t="str">
        <f>IF(AND('Mapa final'!$Y$27="Alta",'Mapa final'!$AA$27="Catastrófico"),CONCATENATE("R1C",'Mapa final'!$O$27),"")</f>
        <v/>
      </c>
      <c r="AK16" s="50" t="str">
        <f>IF(AND('Mapa final'!$Y$28="Alta",'Mapa final'!$AA$28="Catastrófico"),CONCATENATE("R1C",'Mapa final'!$O$28),"")</f>
        <v/>
      </c>
      <c r="AL16" s="50" t="str">
        <f>IF(AND('Mapa final'!$Y$29="Alta",'Mapa final'!$AA$29="Catastrófico"),CONCATENATE("R1C",'Mapa final'!$O$29),"")</f>
        <v/>
      </c>
      <c r="AM16" s="51" t="str">
        <f>IF(AND('Mapa final'!$Y$30="Alta",'Mapa final'!$AA$30="Catastrófico"),CONCATENATE("R1C",'Mapa final'!$O$30),"")</f>
        <v/>
      </c>
      <c r="AN16" s="83"/>
      <c r="AO16" s="466" t="s">
        <v>185</v>
      </c>
      <c r="AP16" s="467"/>
      <c r="AQ16" s="467"/>
      <c r="AR16" s="467"/>
      <c r="AS16" s="467"/>
      <c r="AT16" s="468"/>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18"/>
      <c r="C17" s="418"/>
      <c r="D17" s="419"/>
      <c r="E17" s="475"/>
      <c r="F17" s="460"/>
      <c r="G17" s="460"/>
      <c r="H17" s="460"/>
      <c r="I17" s="460"/>
      <c r="J17" s="67" t="str">
        <f>IF(AND('Mapa final'!$Y$31="Alta",'Mapa final'!$AA$31="Leve"),CONCATENATE("R2C",'Mapa final'!$O$31),"")</f>
        <v/>
      </c>
      <c r="K17" s="68" t="str">
        <f>IF(AND('Mapa final'!$Y$32="Alta",'Mapa final'!$AA$32="Leve"),CONCATENATE("R2C",'Mapa final'!$O$32),"")</f>
        <v/>
      </c>
      <c r="L17" s="68" t="e">
        <f>IF(AND('Mapa final'!#REF!="Alta",'Mapa final'!#REF!="Leve"),CONCATENATE("R2C",'Mapa final'!#REF!),"")</f>
        <v>#REF!</v>
      </c>
      <c r="M17" s="68" t="e">
        <f>IF(AND('Mapa final'!#REF!="Alta",'Mapa final'!#REF!="Leve"),CONCATENATE("R2C",'Mapa final'!#REF!),"")</f>
        <v>#REF!</v>
      </c>
      <c r="N17" s="68" t="e">
        <f>IF(AND('Mapa final'!#REF!="Alta",'Mapa final'!#REF!="Leve"),CONCATENATE("R2C",'Mapa final'!#REF!),"")</f>
        <v>#REF!</v>
      </c>
      <c r="O17" s="69" t="e">
        <f>IF(AND('Mapa final'!#REF!="Alta",'Mapa final'!#REF!="Leve"),CONCATENATE("R2C",'Mapa final'!#REF!),"")</f>
        <v>#REF!</v>
      </c>
      <c r="P17" s="67" t="str">
        <f>IF(AND('Mapa final'!$Y$31="Alta",'Mapa final'!$AA$31="Menor"),CONCATENATE("R2C",'Mapa final'!$O$31),"")</f>
        <v/>
      </c>
      <c r="Q17" s="68" t="str">
        <f>IF(AND('Mapa final'!$Y$32="Alta",'Mapa final'!$AA$32="Menor"),CONCATENATE("R2C",'Mapa final'!$O$32),"")</f>
        <v/>
      </c>
      <c r="R17" s="68" t="e">
        <f>IF(AND('Mapa final'!#REF!="Alta",'Mapa final'!#REF!="Menor"),CONCATENATE("R2C",'Mapa final'!#REF!),"")</f>
        <v>#REF!</v>
      </c>
      <c r="S17" s="68" t="e">
        <f>IF(AND('Mapa final'!#REF!="Alta",'Mapa final'!#REF!="Menor"),CONCATENATE("R2C",'Mapa final'!#REF!),"")</f>
        <v>#REF!</v>
      </c>
      <c r="T17" s="68" t="e">
        <f>IF(AND('Mapa final'!#REF!="Alta",'Mapa final'!#REF!="Menor"),CONCATENATE("R2C",'Mapa final'!#REF!),"")</f>
        <v>#REF!</v>
      </c>
      <c r="U17" s="69" t="e">
        <f>IF(AND('Mapa final'!#REF!="Alta",'Mapa final'!#REF!="Menor"),CONCATENATE("R2C",'Mapa final'!#REF!),"")</f>
        <v>#REF!</v>
      </c>
      <c r="V17" s="52" t="str">
        <f>IF(AND('Mapa final'!$Y$31="Alta",'Mapa final'!$AA$31="Moderado"),CONCATENATE("R2C",'Mapa final'!$O$31),"")</f>
        <v/>
      </c>
      <c r="W17" s="53" t="str">
        <f>IF(AND('Mapa final'!$Y$32="Alta",'Mapa final'!$AA$32="Moderado"),CONCATENATE("R2C",'Mapa final'!$O$32),"")</f>
        <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final'!$Y$31="Alta",'Mapa final'!$AA$31="Mayor"),CONCATENATE("R2C",'Mapa final'!$O$31),"")</f>
        <v/>
      </c>
      <c r="AC17" s="53" t="str">
        <f>IF(AND('Mapa final'!$Y$32="Alta",'Mapa final'!$AA$32="Mayor"),CONCATENATE("R2C",'Mapa final'!$O$32),"")</f>
        <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final'!$Y$31="Alta",'Mapa final'!$AA$31="Catastrófico"),CONCATENATE("R2C",'Mapa final'!$O$31),"")</f>
        <v/>
      </c>
      <c r="AI17" s="56" t="str">
        <f>IF(AND('Mapa final'!$Y$32="Alta",'Mapa final'!$AA$32="Catastrófico"),CONCATENATE("R2C",'Mapa final'!$O$32),"")</f>
        <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3"/>
      <c r="AO17" s="469"/>
      <c r="AP17" s="470"/>
      <c r="AQ17" s="470"/>
      <c r="AR17" s="470"/>
      <c r="AS17" s="470"/>
      <c r="AT17" s="471"/>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18"/>
      <c r="C18" s="418"/>
      <c r="D18" s="419"/>
      <c r="E18" s="459"/>
      <c r="F18" s="460"/>
      <c r="G18" s="460"/>
      <c r="H18" s="460"/>
      <c r="I18" s="460"/>
      <c r="J18" s="67" t="str">
        <f>IF(AND('Mapa final'!$Y$33="Alta",'Mapa final'!$AA$33="Leve"),CONCATENATE("R3C",'Mapa final'!$O$33),"")</f>
        <v/>
      </c>
      <c r="K18" s="68" t="e">
        <f>IF(AND('Mapa final'!#REF!="Alta",'Mapa final'!#REF!="Leve"),CONCATENATE("R3C",'Mapa final'!#REF!),"")</f>
        <v>#REF!</v>
      </c>
      <c r="L18" s="68" t="e">
        <f>IF(AND('Mapa final'!#REF!="Alta",'Mapa final'!#REF!="Leve"),CONCATENATE("R3C",'Mapa final'!#REF!),"")</f>
        <v>#REF!</v>
      </c>
      <c r="M18" s="68" t="e">
        <f>IF(AND('Mapa final'!#REF!="Alta",'Mapa final'!#REF!="Leve"),CONCATENATE("R3C",'Mapa final'!#REF!),"")</f>
        <v>#REF!</v>
      </c>
      <c r="N18" s="68" t="e">
        <f>IF(AND('Mapa final'!#REF!="Alta",'Mapa final'!#REF!="Leve"),CONCATENATE("R3C",'Mapa final'!#REF!),"")</f>
        <v>#REF!</v>
      </c>
      <c r="O18" s="69" t="e">
        <f>IF(AND('Mapa final'!#REF!="Alta",'Mapa final'!#REF!="Leve"),CONCATENATE("R3C",'Mapa final'!#REF!),"")</f>
        <v>#REF!</v>
      </c>
      <c r="P18" s="67" t="str">
        <f>IF(AND('Mapa final'!$Y$33="Alta",'Mapa final'!$AA$33="Menor"),CONCATENATE("R3C",'Mapa final'!$O$33),"")</f>
        <v/>
      </c>
      <c r="Q18" s="68" t="e">
        <f>IF(AND('Mapa final'!#REF!="Alta",'Mapa final'!#REF!="Menor"),CONCATENATE("R3C",'Mapa final'!#REF!),"")</f>
        <v>#REF!</v>
      </c>
      <c r="R18" s="68" t="e">
        <f>IF(AND('Mapa final'!#REF!="Alta",'Mapa final'!#REF!="Menor"),CONCATENATE("R3C",'Mapa final'!#REF!),"")</f>
        <v>#REF!</v>
      </c>
      <c r="S18" s="68" t="e">
        <f>IF(AND('Mapa final'!#REF!="Alta",'Mapa final'!#REF!="Menor"),CONCATENATE("R3C",'Mapa final'!#REF!),"")</f>
        <v>#REF!</v>
      </c>
      <c r="T18" s="68" t="e">
        <f>IF(AND('Mapa final'!#REF!="Alta",'Mapa final'!#REF!="Menor"),CONCATENATE("R3C",'Mapa final'!#REF!),"")</f>
        <v>#REF!</v>
      </c>
      <c r="U18" s="69" t="e">
        <f>IF(AND('Mapa final'!#REF!="Alta",'Mapa final'!#REF!="Menor"),CONCATENATE("R3C",'Mapa final'!#REF!),"")</f>
        <v>#REF!</v>
      </c>
      <c r="V18" s="52" t="str">
        <f>IF(AND('Mapa final'!$Y$33="Alta",'Mapa final'!$AA$33="Moderado"),CONCATENATE("R3C",'Mapa final'!$O$33),"")</f>
        <v/>
      </c>
      <c r="W18" s="53" t="e">
        <f>IF(AND('Mapa final'!#REF!="Alta",'Mapa final'!#REF!="Moderado"),CONCATENATE("R3C",'Mapa final'!#REF!),"")</f>
        <v>#REF!</v>
      </c>
      <c r="X18" s="53" t="e">
        <f>IF(AND('Mapa final'!#REF!="Alta",'Mapa final'!#REF!="Moderado"),CONCATENATE("R3C",'Mapa final'!#REF!),"")</f>
        <v>#REF!</v>
      </c>
      <c r="Y18" s="53" t="e">
        <f>IF(AND('Mapa final'!#REF!="Alta",'Mapa final'!#REF!="Moderado"),CONCATENATE("R3C",'Mapa final'!#REF!),"")</f>
        <v>#REF!</v>
      </c>
      <c r="Z18" s="53" t="e">
        <f>IF(AND('Mapa final'!#REF!="Alta",'Mapa final'!#REF!="Moderado"),CONCATENATE("R3C",'Mapa final'!#REF!),"")</f>
        <v>#REF!</v>
      </c>
      <c r="AA18" s="54" t="e">
        <f>IF(AND('Mapa final'!#REF!="Alta",'Mapa final'!#REF!="Moderado"),CONCATENATE("R3C",'Mapa final'!#REF!),"")</f>
        <v>#REF!</v>
      </c>
      <c r="AB18" s="52" t="str">
        <f>IF(AND('Mapa final'!$Y$33="Alta",'Mapa final'!$AA$33="Mayor"),CONCATENATE("R3C",'Mapa final'!$O$33),"")</f>
        <v/>
      </c>
      <c r="AC18" s="53" t="e">
        <f>IF(AND('Mapa final'!#REF!="Alta",'Mapa final'!#REF!="Mayor"),CONCATENATE("R3C",'Mapa final'!#REF!),"")</f>
        <v>#REF!</v>
      </c>
      <c r="AD18" s="53" t="e">
        <f>IF(AND('Mapa final'!#REF!="Alta",'Mapa final'!#REF!="Mayor"),CONCATENATE("R3C",'Mapa final'!#REF!),"")</f>
        <v>#REF!</v>
      </c>
      <c r="AE18" s="53" t="e">
        <f>IF(AND('Mapa final'!#REF!="Alta",'Mapa final'!#REF!="Mayor"),CONCATENATE("R3C",'Mapa final'!#REF!),"")</f>
        <v>#REF!</v>
      </c>
      <c r="AF18" s="53" t="e">
        <f>IF(AND('Mapa final'!#REF!="Alta",'Mapa final'!#REF!="Mayor"),CONCATENATE("R3C",'Mapa final'!#REF!),"")</f>
        <v>#REF!</v>
      </c>
      <c r="AG18" s="54" t="e">
        <f>IF(AND('Mapa final'!#REF!="Alta",'Mapa final'!#REF!="Mayor"),CONCATENATE("R3C",'Mapa final'!#REF!),"")</f>
        <v>#REF!</v>
      </c>
      <c r="AH18" s="55" t="str">
        <f>IF(AND('Mapa final'!$Y$33="Alta",'Mapa final'!$AA$33="Catastrófico"),CONCATENATE("R3C",'Mapa final'!$O$33),"")</f>
        <v/>
      </c>
      <c r="AI18" s="56" t="e">
        <f>IF(AND('Mapa final'!#REF!="Alta",'Mapa final'!#REF!="Catastrófico"),CONCATENATE("R3C",'Mapa final'!#REF!),"")</f>
        <v>#REF!</v>
      </c>
      <c r="AJ18" s="56" t="e">
        <f>IF(AND('Mapa final'!#REF!="Alta",'Mapa final'!#REF!="Catastrófico"),CONCATENATE("R3C",'Mapa final'!#REF!),"")</f>
        <v>#REF!</v>
      </c>
      <c r="AK18" s="56" t="e">
        <f>IF(AND('Mapa final'!#REF!="Alta",'Mapa final'!#REF!="Catastrófico"),CONCATENATE("R3C",'Mapa final'!#REF!),"")</f>
        <v>#REF!</v>
      </c>
      <c r="AL18" s="56" t="e">
        <f>IF(AND('Mapa final'!#REF!="Alta",'Mapa final'!#REF!="Catastrófico"),CONCATENATE("R3C",'Mapa final'!#REF!),"")</f>
        <v>#REF!</v>
      </c>
      <c r="AM18" s="57" t="e">
        <f>IF(AND('Mapa final'!#REF!="Alta",'Mapa final'!#REF!="Catastrófico"),CONCATENATE("R3C",'Mapa final'!#REF!),"")</f>
        <v>#REF!</v>
      </c>
      <c r="AN18" s="83"/>
      <c r="AO18" s="469"/>
      <c r="AP18" s="470"/>
      <c r="AQ18" s="470"/>
      <c r="AR18" s="470"/>
      <c r="AS18" s="470"/>
      <c r="AT18" s="471"/>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18"/>
      <c r="C19" s="418"/>
      <c r="D19" s="419"/>
      <c r="E19" s="459"/>
      <c r="F19" s="460"/>
      <c r="G19" s="460"/>
      <c r="H19" s="460"/>
      <c r="I19" s="460"/>
      <c r="J19" s="67" t="str">
        <f>IF(AND('Mapa final'!$Y$34="Alta",'Mapa final'!$AA$34="Leve"),CONCATENATE("R4C",'Mapa final'!$O$34),"")</f>
        <v/>
      </c>
      <c r="K19" s="68" t="e">
        <f>IF(AND('Mapa final'!#REF!="Alta",'Mapa final'!#REF!="Leve"),CONCATENATE("R4C",'Mapa final'!#REF!),"")</f>
        <v>#REF!</v>
      </c>
      <c r="L19" s="68" t="e">
        <f>IF(AND('Mapa final'!#REF!="Alta",'Mapa final'!#REF!="Leve"),CONCATENATE("R4C",'Mapa final'!#REF!),"")</f>
        <v>#REF!</v>
      </c>
      <c r="M19" s="68" t="e">
        <f>IF(AND('Mapa final'!#REF!="Alta",'Mapa final'!#REF!="Leve"),CONCATENATE("R4C",'Mapa final'!#REF!),"")</f>
        <v>#REF!</v>
      </c>
      <c r="N19" s="68" t="e">
        <f>IF(AND('Mapa final'!#REF!="Alta",'Mapa final'!#REF!="Leve"),CONCATENATE("R4C",'Mapa final'!#REF!),"")</f>
        <v>#REF!</v>
      </c>
      <c r="O19" s="69" t="e">
        <f>IF(AND('Mapa final'!#REF!="Alta",'Mapa final'!#REF!="Leve"),CONCATENATE("R4C",'Mapa final'!#REF!),"")</f>
        <v>#REF!</v>
      </c>
      <c r="P19" s="67" t="str">
        <f>IF(AND('Mapa final'!$Y$34="Alta",'Mapa final'!$AA$34="Menor"),CONCATENATE("R4C",'Mapa final'!$O$34),"")</f>
        <v/>
      </c>
      <c r="Q19" s="68" t="e">
        <f>IF(AND('Mapa final'!#REF!="Alta",'Mapa final'!#REF!="Menor"),CONCATENATE("R4C",'Mapa final'!#REF!),"")</f>
        <v>#REF!</v>
      </c>
      <c r="R19" s="68" t="e">
        <f>IF(AND('Mapa final'!#REF!="Alta",'Mapa final'!#REF!="Menor"),CONCATENATE("R4C",'Mapa final'!#REF!),"")</f>
        <v>#REF!</v>
      </c>
      <c r="S19" s="68" t="e">
        <f>IF(AND('Mapa final'!#REF!="Alta",'Mapa final'!#REF!="Menor"),CONCATENATE("R4C",'Mapa final'!#REF!),"")</f>
        <v>#REF!</v>
      </c>
      <c r="T19" s="68" t="e">
        <f>IF(AND('Mapa final'!#REF!="Alta",'Mapa final'!#REF!="Menor"),CONCATENATE("R4C",'Mapa final'!#REF!),"")</f>
        <v>#REF!</v>
      </c>
      <c r="U19" s="69" t="e">
        <f>IF(AND('Mapa final'!#REF!="Alta",'Mapa final'!#REF!="Menor"),CONCATENATE("R4C",'Mapa final'!#REF!),"")</f>
        <v>#REF!</v>
      </c>
      <c r="V19" s="52" t="str">
        <f>IF(AND('Mapa final'!$Y$34="Alta",'Mapa final'!$AA$34="Moderado"),CONCATENATE("R4C",'Mapa final'!$O$34),"")</f>
        <v/>
      </c>
      <c r="W19" s="53" t="e">
        <f>IF(AND('Mapa final'!#REF!="Alta",'Mapa final'!#REF!="Moderado"),CONCATENATE("R4C",'Mapa final'!#REF!),"")</f>
        <v>#REF!</v>
      </c>
      <c r="X19" s="53" t="e">
        <f>IF(AND('Mapa final'!#REF!="Alta",'Mapa final'!#REF!="Moderado"),CONCATENATE("R4C",'Mapa final'!#REF!),"")</f>
        <v>#REF!</v>
      </c>
      <c r="Y19" s="53" t="e">
        <f>IF(AND('Mapa final'!#REF!="Alta",'Mapa final'!#REF!="Moderado"),CONCATENATE("R4C",'Mapa final'!#REF!),"")</f>
        <v>#REF!</v>
      </c>
      <c r="Z19" s="53" t="e">
        <f>IF(AND('Mapa final'!#REF!="Alta",'Mapa final'!#REF!="Moderado"),CONCATENATE("R4C",'Mapa final'!#REF!),"")</f>
        <v>#REF!</v>
      </c>
      <c r="AA19" s="54" t="e">
        <f>IF(AND('Mapa final'!#REF!="Alta",'Mapa final'!#REF!="Moderado"),CONCATENATE("R4C",'Mapa final'!#REF!),"")</f>
        <v>#REF!</v>
      </c>
      <c r="AB19" s="52" t="str">
        <f>IF(AND('Mapa final'!$Y$34="Alta",'Mapa final'!$AA$34="Mayor"),CONCATENATE("R4C",'Mapa final'!$O$34),"")</f>
        <v/>
      </c>
      <c r="AC19" s="53" t="e">
        <f>IF(AND('Mapa final'!#REF!="Alta",'Mapa final'!#REF!="Mayor"),CONCATENATE("R4C",'Mapa final'!#REF!),"")</f>
        <v>#REF!</v>
      </c>
      <c r="AD19" s="53" t="e">
        <f>IF(AND('Mapa final'!#REF!="Alta",'Mapa final'!#REF!="Mayor"),CONCATENATE("R4C",'Mapa final'!#REF!),"")</f>
        <v>#REF!</v>
      </c>
      <c r="AE19" s="53" t="e">
        <f>IF(AND('Mapa final'!#REF!="Alta",'Mapa final'!#REF!="Mayor"),CONCATENATE("R4C",'Mapa final'!#REF!),"")</f>
        <v>#REF!</v>
      </c>
      <c r="AF19" s="53" t="e">
        <f>IF(AND('Mapa final'!#REF!="Alta",'Mapa final'!#REF!="Mayor"),CONCATENATE("R4C",'Mapa final'!#REF!),"")</f>
        <v>#REF!</v>
      </c>
      <c r="AG19" s="54" t="e">
        <f>IF(AND('Mapa final'!#REF!="Alta",'Mapa final'!#REF!="Mayor"),CONCATENATE("R4C",'Mapa final'!#REF!),"")</f>
        <v>#REF!</v>
      </c>
      <c r="AH19" s="55" t="str">
        <f>IF(AND('Mapa final'!$Y$34="Alta",'Mapa final'!$AA$34="Catastrófico"),CONCATENATE("R4C",'Mapa final'!$O$34),"")</f>
        <v/>
      </c>
      <c r="AI19" s="56" t="e">
        <f>IF(AND('Mapa final'!#REF!="Alta",'Mapa final'!#REF!="Catastrófico"),CONCATENATE("R4C",'Mapa final'!#REF!),"")</f>
        <v>#REF!</v>
      </c>
      <c r="AJ19" s="56" t="e">
        <f>IF(AND('Mapa final'!#REF!="Alta",'Mapa final'!#REF!="Catastrófico"),CONCATENATE("R4C",'Mapa final'!#REF!),"")</f>
        <v>#REF!</v>
      </c>
      <c r="AK19" s="56" t="e">
        <f>IF(AND('Mapa final'!#REF!="Alta",'Mapa final'!#REF!="Catastrófico"),CONCATENATE("R4C",'Mapa final'!#REF!),"")</f>
        <v>#REF!</v>
      </c>
      <c r="AL19" s="56" t="e">
        <f>IF(AND('Mapa final'!#REF!="Alta",'Mapa final'!#REF!="Catastrófico"),CONCATENATE("R4C",'Mapa final'!#REF!),"")</f>
        <v>#REF!</v>
      </c>
      <c r="AM19" s="57" t="e">
        <f>IF(AND('Mapa final'!#REF!="Alta",'Mapa final'!#REF!="Catastrófico"),CONCATENATE("R4C",'Mapa final'!#REF!),"")</f>
        <v>#REF!</v>
      </c>
      <c r="AN19" s="83"/>
      <c r="AO19" s="469"/>
      <c r="AP19" s="470"/>
      <c r="AQ19" s="470"/>
      <c r="AR19" s="470"/>
      <c r="AS19" s="470"/>
      <c r="AT19" s="471"/>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18"/>
      <c r="C20" s="418"/>
      <c r="D20" s="419"/>
      <c r="E20" s="459"/>
      <c r="F20" s="460"/>
      <c r="G20" s="460"/>
      <c r="H20" s="460"/>
      <c r="I20" s="460"/>
      <c r="J20" s="67" t="str">
        <f>IF(AND('Mapa final'!$Y$36="Alta",'Mapa final'!$AA$36="Leve"),CONCATENATE("R5C",'Mapa final'!$O$36),"")</f>
        <v/>
      </c>
      <c r="K20" s="68" t="e">
        <f>IF(AND('Mapa final'!#REF!="Alta",'Mapa final'!#REF!="Leve"),CONCATENATE("R5C",'Mapa final'!#REF!),"")</f>
        <v>#REF!</v>
      </c>
      <c r="L20" s="68" t="e">
        <f>IF(AND('Mapa final'!#REF!="Alta",'Mapa final'!#REF!="Leve"),CONCATENATE("R5C",'Mapa final'!#REF!),"")</f>
        <v>#REF!</v>
      </c>
      <c r="M20" s="68" t="e">
        <f>IF(AND('Mapa final'!#REF!="Alta",'Mapa final'!#REF!="Leve"),CONCATENATE("R5C",'Mapa final'!#REF!),"")</f>
        <v>#REF!</v>
      </c>
      <c r="N20" s="68" t="e">
        <f>IF(AND('Mapa final'!#REF!="Alta",'Mapa final'!#REF!="Leve"),CONCATENATE("R5C",'Mapa final'!#REF!),"")</f>
        <v>#REF!</v>
      </c>
      <c r="O20" s="69" t="e">
        <f>IF(AND('Mapa final'!#REF!="Alta",'Mapa final'!#REF!="Leve"),CONCATENATE("R5C",'Mapa final'!#REF!),"")</f>
        <v>#REF!</v>
      </c>
      <c r="P20" s="67" t="str">
        <f>IF(AND('Mapa final'!$Y$36="Alta",'Mapa final'!$AA$36="Menor"),CONCATENATE("R5C",'Mapa final'!$O$36),"")</f>
        <v/>
      </c>
      <c r="Q20" s="68" t="e">
        <f>IF(AND('Mapa final'!#REF!="Alta",'Mapa final'!#REF!="Menor"),CONCATENATE("R5C",'Mapa final'!#REF!),"")</f>
        <v>#REF!</v>
      </c>
      <c r="R20" s="68" t="e">
        <f>IF(AND('Mapa final'!#REF!="Alta",'Mapa final'!#REF!="Menor"),CONCATENATE("R5C",'Mapa final'!#REF!),"")</f>
        <v>#REF!</v>
      </c>
      <c r="S20" s="68" t="e">
        <f>IF(AND('Mapa final'!#REF!="Alta",'Mapa final'!#REF!="Menor"),CONCATENATE("R5C",'Mapa final'!#REF!),"")</f>
        <v>#REF!</v>
      </c>
      <c r="T20" s="68" t="e">
        <f>IF(AND('Mapa final'!#REF!="Alta",'Mapa final'!#REF!="Menor"),CONCATENATE("R5C",'Mapa final'!#REF!),"")</f>
        <v>#REF!</v>
      </c>
      <c r="U20" s="69" t="e">
        <f>IF(AND('Mapa final'!#REF!="Alta",'Mapa final'!#REF!="Menor"),CONCATENATE("R5C",'Mapa final'!#REF!),"")</f>
        <v>#REF!</v>
      </c>
      <c r="V20" s="52" t="str">
        <f>IF(AND('Mapa final'!$Y$36="Alta",'Mapa final'!$AA$36="Moderado"),CONCATENATE("R5C",'Mapa final'!$O$36),"")</f>
        <v/>
      </c>
      <c r="W20" s="53" t="e">
        <f>IF(AND('Mapa final'!#REF!="Alta",'Mapa final'!#REF!="Moderado"),CONCATENATE("R5C",'Mapa final'!#REF!),"")</f>
        <v>#REF!</v>
      </c>
      <c r="X20" s="53" t="e">
        <f>IF(AND('Mapa final'!#REF!="Alta",'Mapa final'!#REF!="Moderado"),CONCATENATE("R5C",'Mapa final'!#REF!),"")</f>
        <v>#REF!</v>
      </c>
      <c r="Y20" s="53" t="e">
        <f>IF(AND('Mapa final'!#REF!="Alta",'Mapa final'!#REF!="Moderado"),CONCATENATE("R5C",'Mapa final'!#REF!),"")</f>
        <v>#REF!</v>
      </c>
      <c r="Z20" s="53" t="e">
        <f>IF(AND('Mapa final'!#REF!="Alta",'Mapa final'!#REF!="Moderado"),CONCATENATE("R5C",'Mapa final'!#REF!),"")</f>
        <v>#REF!</v>
      </c>
      <c r="AA20" s="54" t="e">
        <f>IF(AND('Mapa final'!#REF!="Alta",'Mapa final'!#REF!="Moderado"),CONCATENATE("R5C",'Mapa final'!#REF!),"")</f>
        <v>#REF!</v>
      </c>
      <c r="AB20" s="52" t="str">
        <f>IF(AND('Mapa final'!$Y$36="Alta",'Mapa final'!$AA$36="Mayor"),CONCATENATE("R5C",'Mapa final'!$O$36),"")</f>
        <v/>
      </c>
      <c r="AC20" s="53" t="e">
        <f>IF(AND('Mapa final'!#REF!="Alta",'Mapa final'!#REF!="Mayor"),CONCATENATE("R5C",'Mapa final'!#REF!),"")</f>
        <v>#REF!</v>
      </c>
      <c r="AD20" s="53" t="e">
        <f>IF(AND('Mapa final'!#REF!="Alta",'Mapa final'!#REF!="Mayor"),CONCATENATE("R5C",'Mapa final'!#REF!),"")</f>
        <v>#REF!</v>
      </c>
      <c r="AE20" s="53" t="e">
        <f>IF(AND('Mapa final'!#REF!="Alta",'Mapa final'!#REF!="Mayor"),CONCATENATE("R5C",'Mapa final'!#REF!),"")</f>
        <v>#REF!</v>
      </c>
      <c r="AF20" s="53" t="e">
        <f>IF(AND('Mapa final'!#REF!="Alta",'Mapa final'!#REF!="Mayor"),CONCATENATE("R5C",'Mapa final'!#REF!),"")</f>
        <v>#REF!</v>
      </c>
      <c r="AG20" s="54" t="e">
        <f>IF(AND('Mapa final'!#REF!="Alta",'Mapa final'!#REF!="Mayor"),CONCATENATE("R5C",'Mapa final'!#REF!),"")</f>
        <v>#REF!</v>
      </c>
      <c r="AH20" s="55" t="str">
        <f>IF(AND('Mapa final'!$Y$36="Alta",'Mapa final'!$AA$36="Catastrófico"),CONCATENATE("R5C",'Mapa final'!$O$36),"")</f>
        <v/>
      </c>
      <c r="AI20" s="56" t="e">
        <f>IF(AND('Mapa final'!#REF!="Alta",'Mapa final'!#REF!="Catastrófico"),CONCATENATE("R5C",'Mapa final'!#REF!),"")</f>
        <v>#REF!</v>
      </c>
      <c r="AJ20" s="56" t="e">
        <f>IF(AND('Mapa final'!#REF!="Alta",'Mapa final'!#REF!="Catastrófico"),CONCATENATE("R5C",'Mapa final'!#REF!),"")</f>
        <v>#REF!</v>
      </c>
      <c r="AK20" s="56" t="e">
        <f>IF(AND('Mapa final'!#REF!="Alta",'Mapa final'!#REF!="Catastrófico"),CONCATENATE("R5C",'Mapa final'!#REF!),"")</f>
        <v>#REF!</v>
      </c>
      <c r="AL20" s="56" t="e">
        <f>IF(AND('Mapa final'!#REF!="Alta",'Mapa final'!#REF!="Catastrófico"),CONCATENATE("R5C",'Mapa final'!#REF!),"")</f>
        <v>#REF!</v>
      </c>
      <c r="AM20" s="57" t="e">
        <f>IF(AND('Mapa final'!#REF!="Alta",'Mapa final'!#REF!="Catastrófico"),CONCATENATE("R5C",'Mapa final'!#REF!),"")</f>
        <v>#REF!</v>
      </c>
      <c r="AN20" s="83"/>
      <c r="AO20" s="469"/>
      <c r="AP20" s="470"/>
      <c r="AQ20" s="470"/>
      <c r="AR20" s="470"/>
      <c r="AS20" s="470"/>
      <c r="AT20" s="471"/>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18"/>
      <c r="C21" s="418"/>
      <c r="D21" s="419"/>
      <c r="E21" s="459"/>
      <c r="F21" s="460"/>
      <c r="G21" s="460"/>
      <c r="H21" s="460"/>
      <c r="I21" s="460"/>
      <c r="J21" s="67" t="str">
        <f>IF(AND('Mapa final'!$Y$37="Alta",'Mapa final'!$AA$37="Leve"),CONCATENATE("R6C",'Mapa final'!$O$37),"")</f>
        <v/>
      </c>
      <c r="K21" s="68" t="e">
        <f>IF(AND('Mapa final'!#REF!="Alta",'Mapa final'!#REF!="Leve"),CONCATENATE("R6C",'Mapa final'!#REF!),"")</f>
        <v>#REF!</v>
      </c>
      <c r="L21" s="68" t="e">
        <f>IF(AND('Mapa final'!#REF!="Alta",'Mapa final'!#REF!="Leve"),CONCATENATE("R6C",'Mapa final'!#REF!),"")</f>
        <v>#REF!</v>
      </c>
      <c r="M21" s="68" t="e">
        <f>IF(AND('Mapa final'!#REF!="Alta",'Mapa final'!#REF!="Leve"),CONCATENATE("R6C",'Mapa final'!#REF!),"")</f>
        <v>#REF!</v>
      </c>
      <c r="N21" s="68" t="e">
        <f>IF(AND('Mapa final'!#REF!="Alta",'Mapa final'!#REF!="Leve"),CONCATENATE("R6C",'Mapa final'!#REF!),"")</f>
        <v>#REF!</v>
      </c>
      <c r="O21" s="69" t="e">
        <f>IF(AND('Mapa final'!#REF!="Alta",'Mapa final'!#REF!="Leve"),CONCATENATE("R6C",'Mapa final'!#REF!),"")</f>
        <v>#REF!</v>
      </c>
      <c r="P21" s="67" t="str">
        <f>IF(AND('Mapa final'!$Y$37="Alta",'Mapa final'!$AA$37="Menor"),CONCATENATE("R6C",'Mapa final'!$O$37),"")</f>
        <v/>
      </c>
      <c r="Q21" s="68" t="e">
        <f>IF(AND('Mapa final'!#REF!="Alta",'Mapa final'!#REF!="Menor"),CONCATENATE("R6C",'Mapa final'!#REF!),"")</f>
        <v>#REF!</v>
      </c>
      <c r="R21" s="68" t="e">
        <f>IF(AND('Mapa final'!#REF!="Alta",'Mapa final'!#REF!="Menor"),CONCATENATE("R6C",'Mapa final'!#REF!),"")</f>
        <v>#REF!</v>
      </c>
      <c r="S21" s="68" t="e">
        <f>IF(AND('Mapa final'!#REF!="Alta",'Mapa final'!#REF!="Menor"),CONCATENATE("R6C",'Mapa final'!#REF!),"")</f>
        <v>#REF!</v>
      </c>
      <c r="T21" s="68" t="e">
        <f>IF(AND('Mapa final'!#REF!="Alta",'Mapa final'!#REF!="Menor"),CONCATENATE("R6C",'Mapa final'!#REF!),"")</f>
        <v>#REF!</v>
      </c>
      <c r="U21" s="69" t="e">
        <f>IF(AND('Mapa final'!#REF!="Alta",'Mapa final'!#REF!="Menor"),CONCATENATE("R6C",'Mapa final'!#REF!),"")</f>
        <v>#REF!</v>
      </c>
      <c r="V21" s="52" t="str">
        <f>IF(AND('Mapa final'!$Y$37="Alta",'Mapa final'!$AA$37="Moderado"),CONCATENATE("R6C",'Mapa final'!$O$37),"")</f>
        <v/>
      </c>
      <c r="W21" s="53" t="e">
        <f>IF(AND('Mapa final'!#REF!="Alta",'Mapa final'!#REF!="Moderado"),CONCATENATE("R6C",'Mapa final'!#REF!),"")</f>
        <v>#REF!</v>
      </c>
      <c r="X21" s="53" t="e">
        <f>IF(AND('Mapa final'!#REF!="Alta",'Mapa final'!#REF!="Moderado"),CONCATENATE("R6C",'Mapa final'!#REF!),"")</f>
        <v>#REF!</v>
      </c>
      <c r="Y21" s="53" t="e">
        <f>IF(AND('Mapa final'!#REF!="Alta",'Mapa final'!#REF!="Moderado"),CONCATENATE("R6C",'Mapa final'!#REF!),"")</f>
        <v>#REF!</v>
      </c>
      <c r="Z21" s="53" t="e">
        <f>IF(AND('Mapa final'!#REF!="Alta",'Mapa final'!#REF!="Moderado"),CONCATENATE("R6C",'Mapa final'!#REF!),"")</f>
        <v>#REF!</v>
      </c>
      <c r="AA21" s="54" t="e">
        <f>IF(AND('Mapa final'!#REF!="Alta",'Mapa final'!#REF!="Moderado"),CONCATENATE("R6C",'Mapa final'!#REF!),"")</f>
        <v>#REF!</v>
      </c>
      <c r="AB21" s="52" t="str">
        <f>IF(AND('Mapa final'!$Y$37="Alta",'Mapa final'!$AA$37="Mayor"),CONCATENATE("R6C",'Mapa final'!$O$37),"")</f>
        <v/>
      </c>
      <c r="AC21" s="53" t="e">
        <f>IF(AND('Mapa final'!#REF!="Alta",'Mapa final'!#REF!="Mayor"),CONCATENATE("R6C",'Mapa final'!#REF!),"")</f>
        <v>#REF!</v>
      </c>
      <c r="AD21" s="53" t="e">
        <f>IF(AND('Mapa final'!#REF!="Alta",'Mapa final'!#REF!="Mayor"),CONCATENATE("R6C",'Mapa final'!#REF!),"")</f>
        <v>#REF!</v>
      </c>
      <c r="AE21" s="53" t="e">
        <f>IF(AND('Mapa final'!#REF!="Alta",'Mapa final'!#REF!="Mayor"),CONCATENATE("R6C",'Mapa final'!#REF!),"")</f>
        <v>#REF!</v>
      </c>
      <c r="AF21" s="53" t="e">
        <f>IF(AND('Mapa final'!#REF!="Alta",'Mapa final'!#REF!="Mayor"),CONCATENATE("R6C",'Mapa final'!#REF!),"")</f>
        <v>#REF!</v>
      </c>
      <c r="AG21" s="54" t="e">
        <f>IF(AND('Mapa final'!#REF!="Alta",'Mapa final'!#REF!="Mayor"),CONCATENATE("R6C",'Mapa final'!#REF!),"")</f>
        <v>#REF!</v>
      </c>
      <c r="AH21" s="55" t="str">
        <f>IF(AND('Mapa final'!$Y$37="Alta",'Mapa final'!$AA$37="Catastrófico"),CONCATENATE("R6C",'Mapa final'!$O$37),"")</f>
        <v/>
      </c>
      <c r="AI21" s="56" t="e">
        <f>IF(AND('Mapa final'!#REF!="Alta",'Mapa final'!#REF!="Catastrófico"),CONCATENATE("R6C",'Mapa final'!#REF!),"")</f>
        <v>#REF!</v>
      </c>
      <c r="AJ21" s="56" t="e">
        <f>IF(AND('Mapa final'!#REF!="Alta",'Mapa final'!#REF!="Catastrófico"),CONCATENATE("R6C",'Mapa final'!#REF!),"")</f>
        <v>#REF!</v>
      </c>
      <c r="AK21" s="56" t="e">
        <f>IF(AND('Mapa final'!#REF!="Alta",'Mapa final'!#REF!="Catastrófico"),CONCATENATE("R6C",'Mapa final'!#REF!),"")</f>
        <v>#REF!</v>
      </c>
      <c r="AL21" s="56" t="e">
        <f>IF(AND('Mapa final'!#REF!="Alta",'Mapa final'!#REF!="Catastrófico"),CONCATENATE("R6C",'Mapa final'!#REF!),"")</f>
        <v>#REF!</v>
      </c>
      <c r="AM21" s="57" t="e">
        <f>IF(AND('Mapa final'!#REF!="Alta",'Mapa final'!#REF!="Catastrófico"),CONCATENATE("R6C",'Mapa final'!#REF!),"")</f>
        <v>#REF!</v>
      </c>
      <c r="AN21" s="83"/>
      <c r="AO21" s="469"/>
      <c r="AP21" s="470"/>
      <c r="AQ21" s="470"/>
      <c r="AR21" s="470"/>
      <c r="AS21" s="470"/>
      <c r="AT21" s="471"/>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18"/>
      <c r="C22" s="418"/>
      <c r="D22" s="419"/>
      <c r="E22" s="459"/>
      <c r="F22" s="460"/>
      <c r="G22" s="460"/>
      <c r="H22" s="460"/>
      <c r="I22" s="460"/>
      <c r="J22" s="67" t="e">
        <f>IF(AND('Mapa final'!#REF!="Alta",'Mapa final'!#REF!="Leve"),CONCATENATE("R7C",'Mapa final'!#REF!),"")</f>
        <v>#REF!</v>
      </c>
      <c r="K22" s="68" t="e">
        <f>IF(AND('Mapa final'!#REF!="Alta",'Mapa final'!#REF!="Leve"),CONCATENATE("R7C",'Mapa final'!#REF!),"")</f>
        <v>#REF!</v>
      </c>
      <c r="L22" s="68" t="e">
        <f>IF(AND('Mapa final'!#REF!="Alta",'Mapa final'!#REF!="Leve"),CONCATENATE("R7C",'Mapa final'!#REF!),"")</f>
        <v>#REF!</v>
      </c>
      <c r="M22" s="68" t="e">
        <f>IF(AND('Mapa final'!#REF!="Alta",'Mapa final'!#REF!="Leve"),CONCATENATE("R7C",'Mapa final'!#REF!),"")</f>
        <v>#REF!</v>
      </c>
      <c r="N22" s="68" t="e">
        <f>IF(AND('Mapa final'!#REF!="Alta",'Mapa final'!#REF!="Leve"),CONCATENATE("R7C",'Mapa final'!#REF!),"")</f>
        <v>#REF!</v>
      </c>
      <c r="O22" s="69" t="e">
        <f>IF(AND('Mapa final'!#REF!="Alta",'Mapa final'!#REF!="Leve"),CONCATENATE("R7C",'Mapa final'!#REF!),"")</f>
        <v>#REF!</v>
      </c>
      <c r="P22" s="67" t="e">
        <f>IF(AND('Mapa final'!#REF!="Alta",'Mapa final'!#REF!="Menor"),CONCATENATE("R7C",'Mapa final'!#REF!),"")</f>
        <v>#REF!</v>
      </c>
      <c r="Q22" s="68" t="e">
        <f>IF(AND('Mapa final'!#REF!="Alta",'Mapa final'!#REF!="Menor"),CONCATENATE("R7C",'Mapa final'!#REF!),"")</f>
        <v>#REF!</v>
      </c>
      <c r="R22" s="68" t="e">
        <f>IF(AND('Mapa final'!#REF!="Alta",'Mapa final'!#REF!="Menor"),CONCATENATE("R7C",'Mapa final'!#REF!),"")</f>
        <v>#REF!</v>
      </c>
      <c r="S22" s="68" t="e">
        <f>IF(AND('Mapa final'!#REF!="Alta",'Mapa final'!#REF!="Menor"),CONCATENATE("R7C",'Mapa final'!#REF!),"")</f>
        <v>#REF!</v>
      </c>
      <c r="T22" s="68" t="e">
        <f>IF(AND('Mapa final'!#REF!="Alta",'Mapa final'!#REF!="Menor"),CONCATENATE("R7C",'Mapa final'!#REF!),"")</f>
        <v>#REF!</v>
      </c>
      <c r="U22" s="69" t="e">
        <f>IF(AND('Mapa final'!#REF!="Alta",'Mapa final'!#REF!="Menor"),CONCATENATE("R7C",'Mapa final'!#REF!),"")</f>
        <v>#REF!</v>
      </c>
      <c r="V22" s="52" t="e">
        <f>IF(AND('Mapa final'!#REF!="Alta",'Mapa final'!#REF!="Moderado"),CONCATENATE("R7C",'Mapa final'!#REF!),"")</f>
        <v>#REF!</v>
      </c>
      <c r="W22" s="53" t="e">
        <f>IF(AND('Mapa final'!#REF!="Alta",'Mapa final'!#REF!="Moderado"),CONCATENATE("R7C",'Mapa final'!#REF!),"")</f>
        <v>#REF!</v>
      </c>
      <c r="X22" s="53" t="e">
        <f>IF(AND('Mapa final'!#REF!="Alta",'Mapa final'!#REF!="Moderado"),CONCATENATE("R7C",'Mapa final'!#REF!),"")</f>
        <v>#REF!</v>
      </c>
      <c r="Y22" s="53" t="e">
        <f>IF(AND('Mapa final'!#REF!="Alta",'Mapa final'!#REF!="Moderado"),CONCATENATE("R7C",'Mapa final'!#REF!),"")</f>
        <v>#REF!</v>
      </c>
      <c r="Z22" s="53" t="e">
        <f>IF(AND('Mapa final'!#REF!="Alta",'Mapa final'!#REF!="Moderado"),CONCATENATE("R7C",'Mapa final'!#REF!),"")</f>
        <v>#REF!</v>
      </c>
      <c r="AA22" s="54" t="e">
        <f>IF(AND('Mapa final'!#REF!="Alta",'Mapa final'!#REF!="Moderado"),CONCATENATE("R7C",'Mapa final'!#REF!),"")</f>
        <v>#REF!</v>
      </c>
      <c r="AB22" s="52" t="e">
        <f>IF(AND('Mapa final'!#REF!="Alta",'Mapa final'!#REF!="Mayor"),CONCATENATE("R7C",'Mapa final'!#REF!),"")</f>
        <v>#REF!</v>
      </c>
      <c r="AC22" s="53" t="e">
        <f>IF(AND('Mapa final'!#REF!="Alta",'Mapa final'!#REF!="Mayor"),CONCATENATE("R7C",'Mapa final'!#REF!),"")</f>
        <v>#REF!</v>
      </c>
      <c r="AD22" s="53" t="e">
        <f>IF(AND('Mapa final'!#REF!="Alta",'Mapa final'!#REF!="Mayor"),CONCATENATE("R7C",'Mapa final'!#REF!),"")</f>
        <v>#REF!</v>
      </c>
      <c r="AE22" s="53" t="e">
        <f>IF(AND('Mapa final'!#REF!="Alta",'Mapa final'!#REF!="Mayor"),CONCATENATE("R7C",'Mapa final'!#REF!),"")</f>
        <v>#REF!</v>
      </c>
      <c r="AF22" s="53" t="e">
        <f>IF(AND('Mapa final'!#REF!="Alta",'Mapa final'!#REF!="Mayor"),CONCATENATE("R7C",'Mapa final'!#REF!),"")</f>
        <v>#REF!</v>
      </c>
      <c r="AG22" s="54" t="e">
        <f>IF(AND('Mapa final'!#REF!="Alta",'Mapa final'!#REF!="Mayor"),CONCATENATE("R7C",'Mapa final'!#REF!),"")</f>
        <v>#REF!</v>
      </c>
      <c r="AH22" s="55" t="e">
        <f>IF(AND('Mapa final'!#REF!="Alta",'Mapa final'!#REF!="Catastrófico"),CONCATENATE("R7C",'Mapa final'!#REF!),"")</f>
        <v>#REF!</v>
      </c>
      <c r="AI22" s="56" t="e">
        <f>IF(AND('Mapa final'!#REF!="Alta",'Mapa final'!#REF!="Catastrófico"),CONCATENATE("R7C",'Mapa final'!#REF!),"")</f>
        <v>#REF!</v>
      </c>
      <c r="AJ22" s="56" t="e">
        <f>IF(AND('Mapa final'!#REF!="Alta",'Mapa final'!#REF!="Catastrófico"),CONCATENATE("R7C",'Mapa final'!#REF!),"")</f>
        <v>#REF!</v>
      </c>
      <c r="AK22" s="56" t="e">
        <f>IF(AND('Mapa final'!#REF!="Alta",'Mapa final'!#REF!="Catastrófico"),CONCATENATE("R7C",'Mapa final'!#REF!),"")</f>
        <v>#REF!</v>
      </c>
      <c r="AL22" s="56" t="e">
        <f>IF(AND('Mapa final'!#REF!="Alta",'Mapa final'!#REF!="Catastrófico"),CONCATENATE("R7C",'Mapa final'!#REF!),"")</f>
        <v>#REF!</v>
      </c>
      <c r="AM22" s="57" t="e">
        <f>IF(AND('Mapa final'!#REF!="Alta",'Mapa final'!#REF!="Catastrófico"),CONCATENATE("R7C",'Mapa final'!#REF!),"")</f>
        <v>#REF!</v>
      </c>
      <c r="AN22" s="83"/>
      <c r="AO22" s="469"/>
      <c r="AP22" s="470"/>
      <c r="AQ22" s="470"/>
      <c r="AR22" s="470"/>
      <c r="AS22" s="470"/>
      <c r="AT22" s="471"/>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18"/>
      <c r="C23" s="418"/>
      <c r="D23" s="419"/>
      <c r="E23" s="459"/>
      <c r="F23" s="460"/>
      <c r="G23" s="460"/>
      <c r="H23" s="460"/>
      <c r="I23" s="460"/>
      <c r="J23" s="67" t="str">
        <f>IF(AND('Mapa final'!$Y$38="Alta",'Mapa final'!$AA$38="Leve"),CONCATENATE("R8C",'Mapa final'!$O$38),"")</f>
        <v/>
      </c>
      <c r="K23" s="68" t="str">
        <f>IF(AND('Mapa final'!$Y$39="Alta",'Mapa final'!$AA$39="Leve"),CONCATENATE("R8C",'Mapa final'!$O$39),"")</f>
        <v/>
      </c>
      <c r="L23" s="68" t="str">
        <f>IF(AND('Mapa final'!$Y$40="Alta",'Mapa final'!$AA$40="Leve"),CONCATENATE("R8C",'Mapa final'!$O$40),"")</f>
        <v/>
      </c>
      <c r="M23" s="68" t="str">
        <f>IF(AND('Mapa final'!$Y$41="Alta",'Mapa final'!$AA$41="Leve"),CONCATENATE("R8C",'Mapa final'!$O$41),"")</f>
        <v/>
      </c>
      <c r="N23" s="68" t="str">
        <f>IF(AND('Mapa final'!$Y$42="Alta",'Mapa final'!$AA$42="Leve"),CONCATENATE("R8C",'Mapa final'!$O$42),"")</f>
        <v/>
      </c>
      <c r="O23" s="69" t="str">
        <f>IF(AND('Mapa final'!$Y$43="Alta",'Mapa final'!$AA$43="Leve"),CONCATENATE("R8C",'Mapa final'!$O$43),"")</f>
        <v/>
      </c>
      <c r="P23" s="67" t="str">
        <f>IF(AND('Mapa final'!$Y$38="Alta",'Mapa final'!$AA$38="Menor"),CONCATENATE("R8C",'Mapa final'!$O$38),"")</f>
        <v/>
      </c>
      <c r="Q23" s="68" t="str">
        <f>IF(AND('Mapa final'!$Y$39="Alta",'Mapa final'!$AA$39="Menor"),CONCATENATE("R8C",'Mapa final'!$O$39),"")</f>
        <v/>
      </c>
      <c r="R23" s="68" t="str">
        <f>IF(AND('Mapa final'!$Y$40="Alta",'Mapa final'!$AA$40="Menor"),CONCATENATE("R8C",'Mapa final'!$O$40),"")</f>
        <v/>
      </c>
      <c r="S23" s="68" t="str">
        <f>IF(AND('Mapa final'!$Y$41="Alta",'Mapa final'!$AA$41="Menor"),CONCATENATE("R8C",'Mapa final'!$O$41),"")</f>
        <v/>
      </c>
      <c r="T23" s="68" t="str">
        <f>IF(AND('Mapa final'!$Y$42="Alta",'Mapa final'!$AA$42="Menor"),CONCATENATE("R8C",'Mapa final'!$O$42),"")</f>
        <v/>
      </c>
      <c r="U23" s="69" t="str">
        <f>IF(AND('Mapa final'!$Y$43="Alta",'Mapa final'!$AA$43="Menor"),CONCATENATE("R8C",'Mapa final'!$O$43),"")</f>
        <v/>
      </c>
      <c r="V23" s="52" t="str">
        <f>IF(AND('Mapa final'!$Y$38="Alta",'Mapa final'!$AA$38="Moderado"),CONCATENATE("R8C",'Mapa final'!$O$38),"")</f>
        <v/>
      </c>
      <c r="W23" s="53" t="str">
        <f>IF(AND('Mapa final'!$Y$39="Alta",'Mapa final'!$AA$39="Moderado"),CONCATENATE("R8C",'Mapa final'!$O$39),"")</f>
        <v/>
      </c>
      <c r="X23" s="53" t="str">
        <f>IF(AND('Mapa final'!$Y$40="Alta",'Mapa final'!$AA$40="Moderado"),CONCATENATE("R8C",'Mapa final'!$O$40),"")</f>
        <v/>
      </c>
      <c r="Y23" s="53" t="str">
        <f>IF(AND('Mapa final'!$Y$41="Alta",'Mapa final'!$AA$41="Moderado"),CONCATENATE("R8C",'Mapa final'!$O$41),"")</f>
        <v/>
      </c>
      <c r="Z23" s="53" t="str">
        <f>IF(AND('Mapa final'!$Y$42="Alta",'Mapa final'!$AA$42="Moderado"),CONCATENATE("R8C",'Mapa final'!$O$42),"")</f>
        <v/>
      </c>
      <c r="AA23" s="54" t="str">
        <f>IF(AND('Mapa final'!$Y$43="Alta",'Mapa final'!$AA$43="Moderado"),CONCATENATE("R8C",'Mapa final'!$O$43),"")</f>
        <v/>
      </c>
      <c r="AB23" s="52" t="str">
        <f>IF(AND('Mapa final'!$Y$38="Alta",'Mapa final'!$AA$38="Mayor"),CONCATENATE("R8C",'Mapa final'!$O$38),"")</f>
        <v/>
      </c>
      <c r="AC23" s="53" t="str">
        <f>IF(AND('Mapa final'!$Y$39="Alta",'Mapa final'!$AA$39="Mayor"),CONCATENATE("R8C",'Mapa final'!$O$39),"")</f>
        <v/>
      </c>
      <c r="AD23" s="53" t="str">
        <f>IF(AND('Mapa final'!$Y$40="Alta",'Mapa final'!$AA$40="Mayor"),CONCATENATE("R8C",'Mapa final'!$O$40),"")</f>
        <v/>
      </c>
      <c r="AE23" s="53" t="str">
        <f>IF(AND('Mapa final'!$Y$41="Alta",'Mapa final'!$AA$41="Mayor"),CONCATENATE("R8C",'Mapa final'!$O$41),"")</f>
        <v/>
      </c>
      <c r="AF23" s="53" t="str">
        <f>IF(AND('Mapa final'!$Y$42="Alta",'Mapa final'!$AA$42="Mayor"),CONCATENATE("R8C",'Mapa final'!$O$42),"")</f>
        <v/>
      </c>
      <c r="AG23" s="54" t="str">
        <f>IF(AND('Mapa final'!$Y$43="Alta",'Mapa final'!$AA$43="Mayor"),CONCATENATE("R8C",'Mapa final'!$O$43),"")</f>
        <v/>
      </c>
      <c r="AH23" s="55" t="str">
        <f>IF(AND('Mapa final'!$Y$38="Alta",'Mapa final'!$AA$38="Catastrófico"),CONCATENATE("R8C",'Mapa final'!$O$38),"")</f>
        <v/>
      </c>
      <c r="AI23" s="56" t="str">
        <f>IF(AND('Mapa final'!$Y$39="Alta",'Mapa final'!$AA$39="Catastrófico"),CONCATENATE("R8C",'Mapa final'!$O$39),"")</f>
        <v/>
      </c>
      <c r="AJ23" s="56" t="str">
        <f>IF(AND('Mapa final'!$Y$40="Alta",'Mapa final'!$AA$40="Catastrófico"),CONCATENATE("R8C",'Mapa final'!$O$40),"")</f>
        <v/>
      </c>
      <c r="AK23" s="56" t="str">
        <f>IF(AND('Mapa final'!$Y$41="Alta",'Mapa final'!$AA$41="Catastrófico"),CONCATENATE("R8C",'Mapa final'!$O$41),"")</f>
        <v/>
      </c>
      <c r="AL23" s="56" t="str">
        <f>IF(AND('Mapa final'!$Y$42="Alta",'Mapa final'!$AA$42="Catastrófico"),CONCATENATE("R8C",'Mapa final'!$O$42),"")</f>
        <v/>
      </c>
      <c r="AM23" s="57" t="str">
        <f>IF(AND('Mapa final'!$Y$43="Alta",'Mapa final'!$AA$43="Catastrófico"),CONCATENATE("R8C",'Mapa final'!$O$43),"")</f>
        <v/>
      </c>
      <c r="AN23" s="83"/>
      <c r="AO23" s="469"/>
      <c r="AP23" s="470"/>
      <c r="AQ23" s="470"/>
      <c r="AR23" s="470"/>
      <c r="AS23" s="470"/>
      <c r="AT23" s="471"/>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18"/>
      <c r="C24" s="418"/>
      <c r="D24" s="419"/>
      <c r="E24" s="459"/>
      <c r="F24" s="460"/>
      <c r="G24" s="460"/>
      <c r="H24" s="460"/>
      <c r="I24" s="460"/>
      <c r="J24" s="67" t="str">
        <f>IF(AND('Mapa final'!$Y$44="Alta",'Mapa final'!$AA$44="Leve"),CONCATENATE("R9C",'Mapa final'!$O$44),"")</f>
        <v/>
      </c>
      <c r="K24" s="68" t="str">
        <f>IF(AND('Mapa final'!$Y$45="Alta",'Mapa final'!$AA$45="Leve"),CONCATENATE("R9C",'Mapa final'!$O$45),"")</f>
        <v/>
      </c>
      <c r="L24" s="68" t="str">
        <f>IF(AND('Mapa final'!$Y$46="Alta",'Mapa final'!$AA$46="Leve"),CONCATENATE("R9C",'Mapa final'!$O$46),"")</f>
        <v/>
      </c>
      <c r="M24" s="68" t="str">
        <f>IF(AND('Mapa final'!$Y$47="Alta",'Mapa final'!$AA$47="Leve"),CONCATENATE("R9C",'Mapa final'!$O$47),"")</f>
        <v/>
      </c>
      <c r="N24" s="68" t="str">
        <f>IF(AND('Mapa final'!$Y$48="Alta",'Mapa final'!$AA$48="Leve"),CONCATENATE("R9C",'Mapa final'!$O$48),"")</f>
        <v/>
      </c>
      <c r="O24" s="69" t="str">
        <f>IF(AND('Mapa final'!$Y$49="Alta",'Mapa final'!$AA$49="Leve"),CONCATENATE("R9C",'Mapa final'!$O$49),"")</f>
        <v/>
      </c>
      <c r="P24" s="67" t="str">
        <f>IF(AND('Mapa final'!$Y$44="Alta",'Mapa final'!$AA$44="Menor"),CONCATENATE("R9C",'Mapa final'!$O$44),"")</f>
        <v/>
      </c>
      <c r="Q24" s="68" t="str">
        <f>IF(AND('Mapa final'!$Y$45="Alta",'Mapa final'!$AA$45="Menor"),CONCATENATE("R9C",'Mapa final'!$O$45),"")</f>
        <v/>
      </c>
      <c r="R24" s="68" t="str">
        <f>IF(AND('Mapa final'!$Y$46="Alta",'Mapa final'!$AA$46="Menor"),CONCATENATE("R9C",'Mapa final'!$O$46),"")</f>
        <v/>
      </c>
      <c r="S24" s="68" t="str">
        <f>IF(AND('Mapa final'!$Y$47="Alta",'Mapa final'!$AA$47="Menor"),CONCATENATE("R9C",'Mapa final'!$O$47),"")</f>
        <v/>
      </c>
      <c r="T24" s="68" t="str">
        <f>IF(AND('Mapa final'!$Y$48="Alta",'Mapa final'!$AA$48="Menor"),CONCATENATE("R9C",'Mapa final'!$O$48),"")</f>
        <v/>
      </c>
      <c r="U24" s="69" t="str">
        <f>IF(AND('Mapa final'!$Y$49="Alta",'Mapa final'!$AA$49="Menor"),CONCATENATE("R9C",'Mapa final'!$O$49),"")</f>
        <v/>
      </c>
      <c r="V24" s="52" t="str">
        <f>IF(AND('Mapa final'!$Y$44="Alta",'Mapa final'!$AA$44="Moderado"),CONCATENATE("R9C",'Mapa final'!$O$44),"")</f>
        <v/>
      </c>
      <c r="W24" s="53" t="str">
        <f>IF(AND('Mapa final'!$Y$45="Alta",'Mapa final'!$AA$45="Moderado"),CONCATENATE("R9C",'Mapa final'!$O$45),"")</f>
        <v/>
      </c>
      <c r="X24" s="53" t="str">
        <f>IF(AND('Mapa final'!$Y$46="Alta",'Mapa final'!$AA$46="Moderado"),CONCATENATE("R9C",'Mapa final'!$O$46),"")</f>
        <v/>
      </c>
      <c r="Y24" s="53" t="str">
        <f>IF(AND('Mapa final'!$Y$47="Alta",'Mapa final'!$AA$47="Moderado"),CONCATENATE("R9C",'Mapa final'!$O$47),"")</f>
        <v/>
      </c>
      <c r="Z24" s="53" t="str">
        <f>IF(AND('Mapa final'!$Y$48="Alta",'Mapa final'!$AA$48="Moderado"),CONCATENATE("R9C",'Mapa final'!$O$48),"")</f>
        <v/>
      </c>
      <c r="AA24" s="54" t="str">
        <f>IF(AND('Mapa final'!$Y$49="Alta",'Mapa final'!$AA$49="Moderado"),CONCATENATE("R9C",'Mapa final'!$O$49),"")</f>
        <v/>
      </c>
      <c r="AB24" s="52" t="str">
        <f>IF(AND('Mapa final'!$Y$44="Alta",'Mapa final'!$AA$44="Mayor"),CONCATENATE("R9C",'Mapa final'!$O$44),"")</f>
        <v/>
      </c>
      <c r="AC24" s="53" t="str">
        <f>IF(AND('Mapa final'!$Y$45="Alta",'Mapa final'!$AA$45="Mayor"),CONCATENATE("R9C",'Mapa final'!$O$45),"")</f>
        <v/>
      </c>
      <c r="AD24" s="53" t="str">
        <f>IF(AND('Mapa final'!$Y$46="Alta",'Mapa final'!$AA$46="Mayor"),CONCATENATE("R9C",'Mapa final'!$O$46),"")</f>
        <v/>
      </c>
      <c r="AE24" s="53" t="str">
        <f>IF(AND('Mapa final'!$Y$47="Alta",'Mapa final'!$AA$47="Mayor"),CONCATENATE("R9C",'Mapa final'!$O$47),"")</f>
        <v/>
      </c>
      <c r="AF24" s="53" t="str">
        <f>IF(AND('Mapa final'!$Y$48="Alta",'Mapa final'!$AA$48="Mayor"),CONCATENATE("R9C",'Mapa final'!$O$48),"")</f>
        <v/>
      </c>
      <c r="AG24" s="54" t="str">
        <f>IF(AND('Mapa final'!$Y$49="Alta",'Mapa final'!$AA$49="Mayor"),CONCATENATE("R9C",'Mapa final'!$O$49),"")</f>
        <v/>
      </c>
      <c r="AH24" s="55" t="str">
        <f>IF(AND('Mapa final'!$Y$44="Alta",'Mapa final'!$AA$44="Catastrófico"),CONCATENATE("R9C",'Mapa final'!$O$44),"")</f>
        <v/>
      </c>
      <c r="AI24" s="56" t="str">
        <f>IF(AND('Mapa final'!$Y$45="Alta",'Mapa final'!$AA$45="Catastrófico"),CONCATENATE("R9C",'Mapa final'!$O$45),"")</f>
        <v/>
      </c>
      <c r="AJ24" s="56" t="str">
        <f>IF(AND('Mapa final'!$Y$46="Alta",'Mapa final'!$AA$46="Catastrófico"),CONCATENATE("R9C",'Mapa final'!$O$46),"")</f>
        <v/>
      </c>
      <c r="AK24" s="56" t="str">
        <f>IF(AND('Mapa final'!$Y$47="Alta",'Mapa final'!$AA$47="Catastrófico"),CONCATENATE("R9C",'Mapa final'!$O$47),"")</f>
        <v/>
      </c>
      <c r="AL24" s="56" t="str">
        <f>IF(AND('Mapa final'!$Y$48="Alta",'Mapa final'!$AA$48="Catastrófico"),CONCATENATE("R9C",'Mapa final'!$O$48),"")</f>
        <v/>
      </c>
      <c r="AM24" s="57" t="str">
        <f>IF(AND('Mapa final'!$Y$49="Alta",'Mapa final'!$AA$49="Catastrófico"),CONCATENATE("R9C",'Mapa final'!$O$49),"")</f>
        <v/>
      </c>
      <c r="AN24" s="83"/>
      <c r="AO24" s="469"/>
      <c r="AP24" s="470"/>
      <c r="AQ24" s="470"/>
      <c r="AR24" s="470"/>
      <c r="AS24" s="470"/>
      <c r="AT24" s="471"/>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18"/>
      <c r="C25" s="418"/>
      <c r="D25" s="419"/>
      <c r="E25" s="462"/>
      <c r="F25" s="463"/>
      <c r="G25" s="463"/>
      <c r="H25" s="463"/>
      <c r="I25" s="463"/>
      <c r="J25" s="70" t="str">
        <f>IF(AND('Mapa final'!$Y$50="Alta",'Mapa final'!$AA$50="Leve"),CONCATENATE("R10C",'Mapa final'!$O$50),"")</f>
        <v/>
      </c>
      <c r="K25" s="71" t="str">
        <f>IF(AND('Mapa final'!$Y$51="Alta",'Mapa final'!$AA$51="Leve"),CONCATENATE("R10C",'Mapa final'!$O$51),"")</f>
        <v/>
      </c>
      <c r="L25" s="71" t="str">
        <f>IF(AND('Mapa final'!$Y$52="Alta",'Mapa final'!$AA$52="Leve"),CONCATENATE("R10C",'Mapa final'!$O$52),"")</f>
        <v/>
      </c>
      <c r="M25" s="71" t="str">
        <f>IF(AND('Mapa final'!$Y$53="Alta",'Mapa final'!$AA$53="Leve"),CONCATENATE("R10C",'Mapa final'!$O$53),"")</f>
        <v/>
      </c>
      <c r="N25" s="71" t="str">
        <f>IF(AND('Mapa final'!$Y$54="Alta",'Mapa final'!$AA$54="Leve"),CONCATENATE("R10C",'Mapa final'!$O$54),"")</f>
        <v/>
      </c>
      <c r="O25" s="72" t="str">
        <f>IF(AND('Mapa final'!$Y$55="Alta",'Mapa final'!$AA$55="Leve"),CONCATENATE("R10C",'Mapa final'!$O$55),"")</f>
        <v/>
      </c>
      <c r="P25" s="70" t="str">
        <f>IF(AND('Mapa final'!$Y$50="Alta",'Mapa final'!$AA$50="Menor"),CONCATENATE("R10C",'Mapa final'!$O$50),"")</f>
        <v/>
      </c>
      <c r="Q25" s="71" t="str">
        <f>IF(AND('Mapa final'!$Y$51="Alta",'Mapa final'!$AA$51="Menor"),CONCATENATE("R10C",'Mapa final'!$O$51),"")</f>
        <v/>
      </c>
      <c r="R25" s="71" t="str">
        <f>IF(AND('Mapa final'!$Y$52="Alta",'Mapa final'!$AA$52="Menor"),CONCATENATE("R10C",'Mapa final'!$O$52),"")</f>
        <v/>
      </c>
      <c r="S25" s="71" t="str">
        <f>IF(AND('Mapa final'!$Y$53="Alta",'Mapa final'!$AA$53="Menor"),CONCATENATE("R10C",'Mapa final'!$O$53),"")</f>
        <v/>
      </c>
      <c r="T25" s="71" t="str">
        <f>IF(AND('Mapa final'!$Y$54="Alta",'Mapa final'!$AA$54="Menor"),CONCATENATE("R10C",'Mapa final'!$O$54),"")</f>
        <v/>
      </c>
      <c r="U25" s="72" t="str">
        <f>IF(AND('Mapa final'!$Y$55="Alta",'Mapa final'!$AA$55="Menor"),CONCATENATE("R10C",'Mapa final'!$O$55),"")</f>
        <v/>
      </c>
      <c r="V25" s="58" t="str">
        <f>IF(AND('Mapa final'!$Y$50="Alta",'Mapa final'!$AA$50="Moderado"),CONCATENATE("R10C",'Mapa final'!$O$50),"")</f>
        <v/>
      </c>
      <c r="W25" s="59" t="str">
        <f>IF(AND('Mapa final'!$Y$51="Alta",'Mapa final'!$AA$51="Moderado"),CONCATENATE("R10C",'Mapa final'!$O$51),"")</f>
        <v/>
      </c>
      <c r="X25" s="59" t="str">
        <f>IF(AND('Mapa final'!$Y$52="Alta",'Mapa final'!$AA$52="Moderado"),CONCATENATE("R10C",'Mapa final'!$O$52),"")</f>
        <v/>
      </c>
      <c r="Y25" s="59" t="str">
        <f>IF(AND('Mapa final'!$Y$53="Alta",'Mapa final'!$AA$53="Moderado"),CONCATENATE("R10C",'Mapa final'!$O$53),"")</f>
        <v/>
      </c>
      <c r="Z25" s="59" t="str">
        <f>IF(AND('Mapa final'!$Y$54="Alta",'Mapa final'!$AA$54="Moderado"),CONCATENATE("R10C",'Mapa final'!$O$54),"")</f>
        <v/>
      </c>
      <c r="AA25" s="60" t="str">
        <f>IF(AND('Mapa final'!$Y$55="Alta",'Mapa final'!$AA$55="Moderado"),CONCATENATE("R10C",'Mapa final'!$O$55),"")</f>
        <v/>
      </c>
      <c r="AB25" s="58" t="str">
        <f>IF(AND('Mapa final'!$Y$50="Alta",'Mapa final'!$AA$50="Mayor"),CONCATENATE("R10C",'Mapa final'!$O$50),"")</f>
        <v/>
      </c>
      <c r="AC25" s="59" t="str">
        <f>IF(AND('Mapa final'!$Y$51="Alta",'Mapa final'!$AA$51="Mayor"),CONCATENATE("R10C",'Mapa final'!$O$51),"")</f>
        <v/>
      </c>
      <c r="AD25" s="59" t="str">
        <f>IF(AND('Mapa final'!$Y$52="Alta",'Mapa final'!$AA$52="Mayor"),CONCATENATE("R10C",'Mapa final'!$O$52),"")</f>
        <v/>
      </c>
      <c r="AE25" s="59" t="str">
        <f>IF(AND('Mapa final'!$Y$53="Alta",'Mapa final'!$AA$53="Mayor"),CONCATENATE("R10C",'Mapa final'!$O$53),"")</f>
        <v/>
      </c>
      <c r="AF25" s="59" t="str">
        <f>IF(AND('Mapa final'!$Y$54="Alta",'Mapa final'!$AA$54="Mayor"),CONCATENATE("R10C",'Mapa final'!$O$54),"")</f>
        <v/>
      </c>
      <c r="AG25" s="60" t="str">
        <f>IF(AND('Mapa final'!$Y$55="Alta",'Mapa final'!$AA$55="Mayor"),CONCATENATE("R10C",'Mapa final'!$O$55),"")</f>
        <v/>
      </c>
      <c r="AH25" s="61" t="str">
        <f>IF(AND('Mapa final'!$Y$50="Alta",'Mapa final'!$AA$50="Catastrófico"),CONCATENATE("R10C",'Mapa final'!$O$50),"")</f>
        <v/>
      </c>
      <c r="AI25" s="62" t="str">
        <f>IF(AND('Mapa final'!$Y$51="Alta",'Mapa final'!$AA$51="Catastrófico"),CONCATENATE("R10C",'Mapa final'!$O$51),"")</f>
        <v/>
      </c>
      <c r="AJ25" s="62" t="str">
        <f>IF(AND('Mapa final'!$Y$52="Alta",'Mapa final'!$AA$52="Catastrófico"),CONCATENATE("R10C",'Mapa final'!$O$52),"")</f>
        <v/>
      </c>
      <c r="AK25" s="62" t="str">
        <f>IF(AND('Mapa final'!$Y$53="Alta",'Mapa final'!$AA$53="Catastrófico"),CONCATENATE("R10C",'Mapa final'!$O$53),"")</f>
        <v/>
      </c>
      <c r="AL25" s="62" t="str">
        <f>IF(AND('Mapa final'!$Y$54="Alta",'Mapa final'!$AA$54="Catastrófico"),CONCATENATE("R10C",'Mapa final'!$O$54),"")</f>
        <v/>
      </c>
      <c r="AM25" s="63" t="str">
        <f>IF(AND('Mapa final'!$Y$55="Alta",'Mapa final'!$AA$55="Catastrófico"),CONCATENATE("R10C",'Mapa final'!$O$55),"")</f>
        <v/>
      </c>
      <c r="AN25" s="83"/>
      <c r="AO25" s="472"/>
      <c r="AP25" s="473"/>
      <c r="AQ25" s="473"/>
      <c r="AR25" s="473"/>
      <c r="AS25" s="473"/>
      <c r="AT25" s="474"/>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18"/>
      <c r="C26" s="418"/>
      <c r="D26" s="419"/>
      <c r="E26" s="456" t="s">
        <v>186</v>
      </c>
      <c r="F26" s="457"/>
      <c r="G26" s="457"/>
      <c r="H26" s="457"/>
      <c r="I26" s="458"/>
      <c r="J26" s="64" t="str">
        <f>IF(AND('Mapa final'!$Y$25="Media",'Mapa final'!$AA$25="Leve"),CONCATENATE("R1C",'Mapa final'!$O$25),"")</f>
        <v/>
      </c>
      <c r="K26" s="65" t="str">
        <f>IF(AND('Mapa final'!$Y$26="Media",'Mapa final'!$AA$26="Leve"),CONCATENATE("R1C",'Mapa final'!$O$26),"")</f>
        <v/>
      </c>
      <c r="L26" s="65" t="str">
        <f>IF(AND('Mapa final'!$Y$27="Media",'Mapa final'!$AA$27="Leve"),CONCATENATE("R1C",'Mapa final'!$O$27),"")</f>
        <v/>
      </c>
      <c r="M26" s="65" t="str">
        <f>IF(AND('Mapa final'!$Y$28="Media",'Mapa final'!$AA$28="Leve"),CONCATENATE("R1C",'Mapa final'!$O$28),"")</f>
        <v/>
      </c>
      <c r="N26" s="65" t="str">
        <f>IF(AND('Mapa final'!$Y$29="Media",'Mapa final'!$AA$29="Leve"),CONCATENATE("R1C",'Mapa final'!$O$29),"")</f>
        <v/>
      </c>
      <c r="O26" s="66" t="str">
        <f>IF(AND('Mapa final'!$Y$30="Media",'Mapa final'!$AA$30="Leve"),CONCATENATE("R1C",'Mapa final'!$O$30),"")</f>
        <v/>
      </c>
      <c r="P26" s="64" t="str">
        <f>IF(AND('Mapa final'!$Y$25="Media",'Mapa final'!$AA$25="Menor"),CONCATENATE("R1C",'Mapa final'!$O$25),"")</f>
        <v/>
      </c>
      <c r="Q26" s="65" t="str">
        <f>IF(AND('Mapa final'!$Y$26="Media",'Mapa final'!$AA$26="Menor"),CONCATENATE("R1C",'Mapa final'!$O$26),"")</f>
        <v/>
      </c>
      <c r="R26" s="65" t="str">
        <f>IF(AND('Mapa final'!$Y$27="Media",'Mapa final'!$AA$27="Menor"),CONCATENATE("R1C",'Mapa final'!$O$27),"")</f>
        <v/>
      </c>
      <c r="S26" s="65" t="str">
        <f>IF(AND('Mapa final'!$Y$28="Media",'Mapa final'!$AA$28="Menor"),CONCATENATE("R1C",'Mapa final'!$O$28),"")</f>
        <v/>
      </c>
      <c r="T26" s="65" t="str">
        <f>IF(AND('Mapa final'!$Y$29="Media",'Mapa final'!$AA$29="Menor"),CONCATENATE("R1C",'Mapa final'!$O$29),"")</f>
        <v/>
      </c>
      <c r="U26" s="66" t="str">
        <f>IF(AND('Mapa final'!$Y$30="Media",'Mapa final'!$AA$30="Menor"),CONCATENATE("R1C",'Mapa final'!$O$30),"")</f>
        <v/>
      </c>
      <c r="V26" s="64" t="str">
        <f>IF(AND('Mapa final'!$Y$25="Media",'Mapa final'!$AA$25="Moderado"),CONCATENATE("R1C",'Mapa final'!$O$25),"")</f>
        <v/>
      </c>
      <c r="W26" s="65" t="str">
        <f>IF(AND('Mapa final'!$Y$26="Media",'Mapa final'!$AA$26="Moderado"),CONCATENATE("R1C",'Mapa final'!$O$26),"")</f>
        <v/>
      </c>
      <c r="X26" s="65" t="str">
        <f>IF(AND('Mapa final'!$Y$27="Media",'Mapa final'!$AA$27="Moderado"),CONCATENATE("R1C",'Mapa final'!$O$27),"")</f>
        <v/>
      </c>
      <c r="Y26" s="65" t="str">
        <f>IF(AND('Mapa final'!$Y$28="Media",'Mapa final'!$AA$28="Moderado"),CONCATENATE("R1C",'Mapa final'!$O$28),"")</f>
        <v/>
      </c>
      <c r="Z26" s="65" t="str">
        <f>IF(AND('Mapa final'!$Y$29="Media",'Mapa final'!$AA$29="Moderado"),CONCATENATE("R1C",'Mapa final'!$O$29),"")</f>
        <v/>
      </c>
      <c r="AA26" s="66" t="str">
        <f>IF(AND('Mapa final'!$Y$30="Media",'Mapa final'!$AA$30="Moderado"),CONCATENATE("R1C",'Mapa final'!$O$30),"")</f>
        <v/>
      </c>
      <c r="AB26" s="46" t="str">
        <f>IF(AND('Mapa final'!$Y$25="Media",'Mapa final'!$AA$25="Mayor"),CONCATENATE("R1C",'Mapa final'!$O$25),"")</f>
        <v/>
      </c>
      <c r="AC26" s="47" t="str">
        <f>IF(AND('Mapa final'!$Y$26="Media",'Mapa final'!$AA$26="Mayor"),CONCATENATE("R1C",'Mapa final'!$O$26),"")</f>
        <v/>
      </c>
      <c r="AD26" s="47" t="str">
        <f>IF(AND('Mapa final'!$Y$27="Media",'Mapa final'!$AA$27="Mayor"),CONCATENATE("R1C",'Mapa final'!$O$27),"")</f>
        <v/>
      </c>
      <c r="AE26" s="47" t="str">
        <f>IF(AND('Mapa final'!$Y$28="Media",'Mapa final'!$AA$28="Mayor"),CONCATENATE("R1C",'Mapa final'!$O$28),"")</f>
        <v/>
      </c>
      <c r="AF26" s="47" t="str">
        <f>IF(AND('Mapa final'!$Y$29="Media",'Mapa final'!$AA$29="Mayor"),CONCATENATE("R1C",'Mapa final'!$O$29),"")</f>
        <v/>
      </c>
      <c r="AG26" s="48" t="str">
        <f>IF(AND('Mapa final'!$Y$30="Media",'Mapa final'!$AA$30="Mayor"),CONCATENATE("R1C",'Mapa final'!$O$30),"")</f>
        <v/>
      </c>
      <c r="AH26" s="49" t="str">
        <f>IF(AND('Mapa final'!$Y$25="Media",'Mapa final'!$AA$25="Catastrófico"),CONCATENATE("R1C",'Mapa final'!$O$25),"")</f>
        <v/>
      </c>
      <c r="AI26" s="50" t="str">
        <f>IF(AND('Mapa final'!$Y$26="Media",'Mapa final'!$AA$26="Catastrófico"),CONCATENATE("R1C",'Mapa final'!$O$26),"")</f>
        <v/>
      </c>
      <c r="AJ26" s="50" t="str">
        <f>IF(AND('Mapa final'!$Y$27="Media",'Mapa final'!$AA$27="Catastrófico"),CONCATENATE("R1C",'Mapa final'!$O$27),"")</f>
        <v/>
      </c>
      <c r="AK26" s="50" t="str">
        <f>IF(AND('Mapa final'!$Y$28="Media",'Mapa final'!$AA$28="Catastrófico"),CONCATENATE("R1C",'Mapa final'!$O$28),"")</f>
        <v/>
      </c>
      <c r="AL26" s="50" t="str">
        <f>IF(AND('Mapa final'!$Y$29="Media",'Mapa final'!$AA$29="Catastrófico"),CONCATENATE("R1C",'Mapa final'!$O$29),"")</f>
        <v/>
      </c>
      <c r="AM26" s="51" t="str">
        <f>IF(AND('Mapa final'!$Y$30="Media",'Mapa final'!$AA$30="Catastrófico"),CONCATENATE("R1C",'Mapa final'!$O$30),"")</f>
        <v/>
      </c>
      <c r="AN26" s="83"/>
      <c r="AO26" s="496" t="s">
        <v>187</v>
      </c>
      <c r="AP26" s="497"/>
      <c r="AQ26" s="497"/>
      <c r="AR26" s="497"/>
      <c r="AS26" s="497"/>
      <c r="AT26" s="498"/>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18"/>
      <c r="C27" s="418"/>
      <c r="D27" s="419"/>
      <c r="E27" s="475"/>
      <c r="F27" s="460"/>
      <c r="G27" s="460"/>
      <c r="H27" s="460"/>
      <c r="I27" s="461"/>
      <c r="J27" s="67" t="str">
        <f>IF(AND('Mapa final'!$Y$31="Media",'Mapa final'!$AA$31="Leve"),CONCATENATE("R2C",'Mapa final'!$O$31),"")</f>
        <v/>
      </c>
      <c r="K27" s="68" t="str">
        <f>IF(AND('Mapa final'!$Y$32="Media",'Mapa final'!$AA$32="Leve"),CONCATENATE("R2C",'Mapa final'!$O$32),"")</f>
        <v/>
      </c>
      <c r="L27" s="68" t="e">
        <f>IF(AND('Mapa final'!#REF!="Media",'Mapa final'!#REF!="Leve"),CONCATENATE("R2C",'Mapa final'!#REF!),"")</f>
        <v>#REF!</v>
      </c>
      <c r="M27" s="68" t="e">
        <f>IF(AND('Mapa final'!#REF!="Media",'Mapa final'!#REF!="Leve"),CONCATENATE("R2C",'Mapa final'!#REF!),"")</f>
        <v>#REF!</v>
      </c>
      <c r="N27" s="68" t="e">
        <f>IF(AND('Mapa final'!#REF!="Media",'Mapa final'!#REF!="Leve"),CONCATENATE("R2C",'Mapa final'!#REF!),"")</f>
        <v>#REF!</v>
      </c>
      <c r="O27" s="69" t="e">
        <f>IF(AND('Mapa final'!#REF!="Media",'Mapa final'!#REF!="Leve"),CONCATENATE("R2C",'Mapa final'!#REF!),"")</f>
        <v>#REF!</v>
      </c>
      <c r="P27" s="67" t="str">
        <f>IF(AND('Mapa final'!$Y$31="Media",'Mapa final'!$AA$31="Menor"),CONCATENATE("R2C",'Mapa final'!$O$31),"")</f>
        <v/>
      </c>
      <c r="Q27" s="68" t="str">
        <f>IF(AND('Mapa final'!$Y$32="Media",'Mapa final'!$AA$32="Menor"),CONCATENATE("R2C",'Mapa final'!$O$32),"")</f>
        <v/>
      </c>
      <c r="R27" s="68" t="e">
        <f>IF(AND('Mapa final'!#REF!="Media",'Mapa final'!#REF!="Menor"),CONCATENATE("R2C",'Mapa final'!#REF!),"")</f>
        <v>#REF!</v>
      </c>
      <c r="S27" s="68" t="e">
        <f>IF(AND('Mapa final'!#REF!="Media",'Mapa final'!#REF!="Menor"),CONCATENATE("R2C",'Mapa final'!#REF!),"")</f>
        <v>#REF!</v>
      </c>
      <c r="T27" s="68" t="e">
        <f>IF(AND('Mapa final'!#REF!="Media",'Mapa final'!#REF!="Menor"),CONCATENATE("R2C",'Mapa final'!#REF!),"")</f>
        <v>#REF!</v>
      </c>
      <c r="U27" s="69" t="e">
        <f>IF(AND('Mapa final'!#REF!="Media",'Mapa final'!#REF!="Menor"),CONCATENATE("R2C",'Mapa final'!#REF!),"")</f>
        <v>#REF!</v>
      </c>
      <c r="V27" s="67" t="str">
        <f>IF(AND('Mapa final'!$Y$31="Media",'Mapa final'!$AA$31="Moderado"),CONCATENATE("R2C",'Mapa final'!$O$31),"")</f>
        <v/>
      </c>
      <c r="W27" s="68" t="str">
        <f>IF(AND('Mapa final'!$Y$32="Media",'Mapa final'!$AA$32="Moderado"),CONCATENATE("R2C",'Mapa final'!$O$32),"")</f>
        <v/>
      </c>
      <c r="X27" s="68" t="e">
        <f>IF(AND('Mapa final'!#REF!="Media",'Mapa final'!#REF!="Moderado"),CONCATENATE("R2C",'Mapa final'!#REF!),"")</f>
        <v>#REF!</v>
      </c>
      <c r="Y27" s="68" t="e">
        <f>IF(AND('Mapa final'!#REF!="Media",'Mapa final'!#REF!="Moderado"),CONCATENATE("R2C",'Mapa final'!#REF!),"")</f>
        <v>#REF!</v>
      </c>
      <c r="Z27" s="68" t="e">
        <f>IF(AND('Mapa final'!#REF!="Media",'Mapa final'!#REF!="Moderado"),CONCATENATE("R2C",'Mapa final'!#REF!),"")</f>
        <v>#REF!</v>
      </c>
      <c r="AA27" s="69" t="e">
        <f>IF(AND('Mapa final'!#REF!="Media",'Mapa final'!#REF!="Moderado"),CONCATENATE("R2C",'Mapa final'!#REF!),"")</f>
        <v>#REF!</v>
      </c>
      <c r="AB27" s="52" t="str">
        <f>IF(AND('Mapa final'!$Y$31="Media",'Mapa final'!$AA$31="Mayor"),CONCATENATE("R2C",'Mapa final'!$O$31),"")</f>
        <v/>
      </c>
      <c r="AC27" s="53" t="str">
        <f>IF(AND('Mapa final'!$Y$32="Media",'Mapa final'!$AA$32="Mayor"),CONCATENATE("R2C",'Mapa final'!$O$32),"")</f>
        <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final'!$Y$31="Media",'Mapa final'!$AA$31="Catastrófico"),CONCATENATE("R2C",'Mapa final'!$O$31),"")</f>
        <v/>
      </c>
      <c r="AI27" s="56" t="str">
        <f>IF(AND('Mapa final'!$Y$32="Media",'Mapa final'!$AA$32="Catastrófico"),CONCATENATE("R2C",'Mapa final'!$O$32),"")</f>
        <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3"/>
      <c r="AO27" s="499"/>
      <c r="AP27" s="500"/>
      <c r="AQ27" s="500"/>
      <c r="AR27" s="500"/>
      <c r="AS27" s="500"/>
      <c r="AT27" s="501"/>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18"/>
      <c r="C28" s="418"/>
      <c r="D28" s="419"/>
      <c r="E28" s="459"/>
      <c r="F28" s="460"/>
      <c r="G28" s="460"/>
      <c r="H28" s="460"/>
      <c r="I28" s="461"/>
      <c r="J28" s="67" t="str">
        <f>IF(AND('Mapa final'!$Y$33="Media",'Mapa final'!$AA$33="Leve"),CONCATENATE("R3C",'Mapa final'!$O$33),"")</f>
        <v/>
      </c>
      <c r="K28" s="68" t="e">
        <f>IF(AND('Mapa final'!#REF!="Media",'Mapa final'!#REF!="Leve"),CONCATENATE("R3C",'Mapa final'!#REF!),"")</f>
        <v>#REF!</v>
      </c>
      <c r="L28" s="68" t="e">
        <f>IF(AND('Mapa final'!#REF!="Media",'Mapa final'!#REF!="Leve"),CONCATENATE("R3C",'Mapa final'!#REF!),"")</f>
        <v>#REF!</v>
      </c>
      <c r="M28" s="68" t="e">
        <f>IF(AND('Mapa final'!#REF!="Media",'Mapa final'!#REF!="Leve"),CONCATENATE("R3C",'Mapa final'!#REF!),"")</f>
        <v>#REF!</v>
      </c>
      <c r="N28" s="68" t="e">
        <f>IF(AND('Mapa final'!#REF!="Media",'Mapa final'!#REF!="Leve"),CONCATENATE("R3C",'Mapa final'!#REF!),"")</f>
        <v>#REF!</v>
      </c>
      <c r="O28" s="69" t="e">
        <f>IF(AND('Mapa final'!#REF!="Media",'Mapa final'!#REF!="Leve"),CONCATENATE("R3C",'Mapa final'!#REF!),"")</f>
        <v>#REF!</v>
      </c>
      <c r="P28" s="67" t="str">
        <f>IF(AND('Mapa final'!$Y$33="Media",'Mapa final'!$AA$33="Menor"),CONCATENATE("R3C",'Mapa final'!$O$33),"")</f>
        <v/>
      </c>
      <c r="Q28" s="68" t="e">
        <f>IF(AND('Mapa final'!#REF!="Media",'Mapa final'!#REF!="Menor"),CONCATENATE("R3C",'Mapa final'!#REF!),"")</f>
        <v>#REF!</v>
      </c>
      <c r="R28" s="68" t="e">
        <f>IF(AND('Mapa final'!#REF!="Media",'Mapa final'!#REF!="Menor"),CONCATENATE("R3C",'Mapa final'!#REF!),"")</f>
        <v>#REF!</v>
      </c>
      <c r="S28" s="68" t="e">
        <f>IF(AND('Mapa final'!#REF!="Media",'Mapa final'!#REF!="Menor"),CONCATENATE("R3C",'Mapa final'!#REF!),"")</f>
        <v>#REF!</v>
      </c>
      <c r="T28" s="68" t="e">
        <f>IF(AND('Mapa final'!#REF!="Media",'Mapa final'!#REF!="Menor"),CONCATENATE("R3C",'Mapa final'!#REF!),"")</f>
        <v>#REF!</v>
      </c>
      <c r="U28" s="69" t="e">
        <f>IF(AND('Mapa final'!#REF!="Media",'Mapa final'!#REF!="Menor"),CONCATENATE("R3C",'Mapa final'!#REF!),"")</f>
        <v>#REF!</v>
      </c>
      <c r="V28" s="67" t="str">
        <f>IF(AND('Mapa final'!$Y$33="Media",'Mapa final'!$AA$33="Moderado"),CONCATENATE("R3C",'Mapa final'!$O$33),"")</f>
        <v/>
      </c>
      <c r="W28" s="68" t="e">
        <f>IF(AND('Mapa final'!#REF!="Media",'Mapa final'!#REF!="Moderado"),CONCATENATE("R3C",'Mapa final'!#REF!),"")</f>
        <v>#REF!</v>
      </c>
      <c r="X28" s="68" t="e">
        <f>IF(AND('Mapa final'!#REF!="Media",'Mapa final'!#REF!="Moderado"),CONCATENATE("R3C",'Mapa final'!#REF!),"")</f>
        <v>#REF!</v>
      </c>
      <c r="Y28" s="68" t="e">
        <f>IF(AND('Mapa final'!#REF!="Media",'Mapa final'!#REF!="Moderado"),CONCATENATE("R3C",'Mapa final'!#REF!),"")</f>
        <v>#REF!</v>
      </c>
      <c r="Z28" s="68" t="e">
        <f>IF(AND('Mapa final'!#REF!="Media",'Mapa final'!#REF!="Moderado"),CONCATENATE("R3C",'Mapa final'!#REF!),"")</f>
        <v>#REF!</v>
      </c>
      <c r="AA28" s="69" t="e">
        <f>IF(AND('Mapa final'!#REF!="Media",'Mapa final'!#REF!="Moderado"),CONCATENATE("R3C",'Mapa final'!#REF!),"")</f>
        <v>#REF!</v>
      </c>
      <c r="AB28" s="52" t="str">
        <f>IF(AND('Mapa final'!$Y$33="Media",'Mapa final'!$AA$33="Mayor"),CONCATENATE("R3C",'Mapa final'!$O$33),"")</f>
        <v/>
      </c>
      <c r="AC28" s="53" t="e">
        <f>IF(AND('Mapa final'!#REF!="Media",'Mapa final'!#REF!="Mayor"),CONCATENATE("R3C",'Mapa final'!#REF!),"")</f>
        <v>#REF!</v>
      </c>
      <c r="AD28" s="53" t="e">
        <f>IF(AND('Mapa final'!#REF!="Media",'Mapa final'!#REF!="Mayor"),CONCATENATE("R3C",'Mapa final'!#REF!),"")</f>
        <v>#REF!</v>
      </c>
      <c r="AE28" s="53" t="e">
        <f>IF(AND('Mapa final'!#REF!="Media",'Mapa final'!#REF!="Mayor"),CONCATENATE("R3C",'Mapa final'!#REF!),"")</f>
        <v>#REF!</v>
      </c>
      <c r="AF28" s="53" t="e">
        <f>IF(AND('Mapa final'!#REF!="Media",'Mapa final'!#REF!="Mayor"),CONCATENATE("R3C",'Mapa final'!#REF!),"")</f>
        <v>#REF!</v>
      </c>
      <c r="AG28" s="54" t="e">
        <f>IF(AND('Mapa final'!#REF!="Media",'Mapa final'!#REF!="Mayor"),CONCATENATE("R3C",'Mapa final'!#REF!),"")</f>
        <v>#REF!</v>
      </c>
      <c r="AH28" s="55" t="str">
        <f>IF(AND('Mapa final'!$Y$33="Media",'Mapa final'!$AA$33="Catastrófico"),CONCATENATE("R3C",'Mapa final'!$O$33),"")</f>
        <v/>
      </c>
      <c r="AI28" s="56" t="e">
        <f>IF(AND('Mapa final'!#REF!="Media",'Mapa final'!#REF!="Catastrófico"),CONCATENATE("R3C",'Mapa final'!#REF!),"")</f>
        <v>#REF!</v>
      </c>
      <c r="AJ28" s="56" t="e">
        <f>IF(AND('Mapa final'!#REF!="Media",'Mapa final'!#REF!="Catastrófico"),CONCATENATE("R3C",'Mapa final'!#REF!),"")</f>
        <v>#REF!</v>
      </c>
      <c r="AK28" s="56" t="e">
        <f>IF(AND('Mapa final'!#REF!="Media",'Mapa final'!#REF!="Catastrófico"),CONCATENATE("R3C",'Mapa final'!#REF!),"")</f>
        <v>#REF!</v>
      </c>
      <c r="AL28" s="56" t="e">
        <f>IF(AND('Mapa final'!#REF!="Media",'Mapa final'!#REF!="Catastrófico"),CONCATENATE("R3C",'Mapa final'!#REF!),"")</f>
        <v>#REF!</v>
      </c>
      <c r="AM28" s="57" t="e">
        <f>IF(AND('Mapa final'!#REF!="Media",'Mapa final'!#REF!="Catastrófico"),CONCATENATE("R3C",'Mapa final'!#REF!),"")</f>
        <v>#REF!</v>
      </c>
      <c r="AN28" s="83"/>
      <c r="AO28" s="499"/>
      <c r="AP28" s="500"/>
      <c r="AQ28" s="500"/>
      <c r="AR28" s="500"/>
      <c r="AS28" s="500"/>
      <c r="AT28" s="501"/>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18"/>
      <c r="C29" s="418"/>
      <c r="D29" s="419"/>
      <c r="E29" s="459"/>
      <c r="F29" s="460"/>
      <c r="G29" s="460"/>
      <c r="H29" s="460"/>
      <c r="I29" s="461"/>
      <c r="J29" s="67" t="str">
        <f>IF(AND('Mapa final'!$Y$34="Media",'Mapa final'!$AA$34="Leve"),CONCATENATE("R4C",'Mapa final'!$O$34),"")</f>
        <v/>
      </c>
      <c r="K29" s="68" t="e">
        <f>IF(AND('Mapa final'!#REF!="Media",'Mapa final'!#REF!="Leve"),CONCATENATE("R4C",'Mapa final'!#REF!),"")</f>
        <v>#REF!</v>
      </c>
      <c r="L29" s="68" t="e">
        <f>IF(AND('Mapa final'!#REF!="Media",'Mapa final'!#REF!="Leve"),CONCATENATE("R4C",'Mapa final'!#REF!),"")</f>
        <v>#REF!</v>
      </c>
      <c r="M29" s="68" t="e">
        <f>IF(AND('Mapa final'!#REF!="Media",'Mapa final'!#REF!="Leve"),CONCATENATE("R4C",'Mapa final'!#REF!),"")</f>
        <v>#REF!</v>
      </c>
      <c r="N29" s="68" t="e">
        <f>IF(AND('Mapa final'!#REF!="Media",'Mapa final'!#REF!="Leve"),CONCATENATE("R4C",'Mapa final'!#REF!),"")</f>
        <v>#REF!</v>
      </c>
      <c r="O29" s="69" t="e">
        <f>IF(AND('Mapa final'!#REF!="Media",'Mapa final'!#REF!="Leve"),CONCATENATE("R4C",'Mapa final'!#REF!),"")</f>
        <v>#REF!</v>
      </c>
      <c r="P29" s="67" t="str">
        <f>IF(AND('Mapa final'!$Y$34="Media",'Mapa final'!$AA$34="Menor"),CONCATENATE("R4C",'Mapa final'!$O$34),"")</f>
        <v/>
      </c>
      <c r="Q29" s="68" t="e">
        <f>IF(AND('Mapa final'!#REF!="Media",'Mapa final'!#REF!="Menor"),CONCATENATE("R4C",'Mapa final'!#REF!),"")</f>
        <v>#REF!</v>
      </c>
      <c r="R29" s="68" t="e">
        <f>IF(AND('Mapa final'!#REF!="Media",'Mapa final'!#REF!="Menor"),CONCATENATE("R4C",'Mapa final'!#REF!),"")</f>
        <v>#REF!</v>
      </c>
      <c r="S29" s="68" t="e">
        <f>IF(AND('Mapa final'!#REF!="Media",'Mapa final'!#REF!="Menor"),CONCATENATE("R4C",'Mapa final'!#REF!),"")</f>
        <v>#REF!</v>
      </c>
      <c r="T29" s="68" t="e">
        <f>IF(AND('Mapa final'!#REF!="Media",'Mapa final'!#REF!="Menor"),CONCATENATE("R4C",'Mapa final'!#REF!),"")</f>
        <v>#REF!</v>
      </c>
      <c r="U29" s="69" t="e">
        <f>IF(AND('Mapa final'!#REF!="Media",'Mapa final'!#REF!="Menor"),CONCATENATE("R4C",'Mapa final'!#REF!),"")</f>
        <v>#REF!</v>
      </c>
      <c r="V29" s="67" t="str">
        <f>IF(AND('Mapa final'!$Y$34="Media",'Mapa final'!$AA$34="Moderado"),CONCATENATE("R4C",'Mapa final'!$O$34),"")</f>
        <v/>
      </c>
      <c r="W29" s="68" t="e">
        <f>IF(AND('Mapa final'!#REF!="Media",'Mapa final'!#REF!="Moderado"),CONCATENATE("R4C",'Mapa final'!#REF!),"")</f>
        <v>#REF!</v>
      </c>
      <c r="X29" s="68" t="e">
        <f>IF(AND('Mapa final'!#REF!="Media",'Mapa final'!#REF!="Moderado"),CONCATENATE("R4C",'Mapa final'!#REF!),"")</f>
        <v>#REF!</v>
      </c>
      <c r="Y29" s="68" t="e">
        <f>IF(AND('Mapa final'!#REF!="Media",'Mapa final'!#REF!="Moderado"),CONCATENATE("R4C",'Mapa final'!#REF!),"")</f>
        <v>#REF!</v>
      </c>
      <c r="Z29" s="68" t="e">
        <f>IF(AND('Mapa final'!#REF!="Media",'Mapa final'!#REF!="Moderado"),CONCATENATE("R4C",'Mapa final'!#REF!),"")</f>
        <v>#REF!</v>
      </c>
      <c r="AA29" s="69" t="e">
        <f>IF(AND('Mapa final'!#REF!="Media",'Mapa final'!#REF!="Moderado"),CONCATENATE("R4C",'Mapa final'!#REF!),"")</f>
        <v>#REF!</v>
      </c>
      <c r="AB29" s="52" t="str">
        <f>IF(AND('Mapa final'!$Y$34="Media",'Mapa final'!$AA$34="Mayor"),CONCATENATE("R4C",'Mapa final'!$O$34),"")</f>
        <v/>
      </c>
      <c r="AC29" s="53" t="e">
        <f>IF(AND('Mapa final'!#REF!="Media",'Mapa final'!#REF!="Mayor"),CONCATENATE("R4C",'Mapa final'!#REF!),"")</f>
        <v>#REF!</v>
      </c>
      <c r="AD29" s="53" t="e">
        <f>IF(AND('Mapa final'!#REF!="Media",'Mapa final'!#REF!="Mayor"),CONCATENATE("R4C",'Mapa final'!#REF!),"")</f>
        <v>#REF!</v>
      </c>
      <c r="AE29" s="53" t="e">
        <f>IF(AND('Mapa final'!#REF!="Media",'Mapa final'!#REF!="Mayor"),CONCATENATE("R4C",'Mapa final'!#REF!),"")</f>
        <v>#REF!</v>
      </c>
      <c r="AF29" s="53" t="e">
        <f>IF(AND('Mapa final'!#REF!="Media",'Mapa final'!#REF!="Mayor"),CONCATENATE("R4C",'Mapa final'!#REF!),"")</f>
        <v>#REF!</v>
      </c>
      <c r="AG29" s="54" t="e">
        <f>IF(AND('Mapa final'!#REF!="Media",'Mapa final'!#REF!="Mayor"),CONCATENATE("R4C",'Mapa final'!#REF!),"")</f>
        <v>#REF!</v>
      </c>
      <c r="AH29" s="55" t="str">
        <f>IF(AND('Mapa final'!$Y$34="Media",'Mapa final'!$AA$34="Catastrófico"),CONCATENATE("R4C",'Mapa final'!$O$34),"")</f>
        <v/>
      </c>
      <c r="AI29" s="56" t="e">
        <f>IF(AND('Mapa final'!#REF!="Media",'Mapa final'!#REF!="Catastrófico"),CONCATENATE("R4C",'Mapa final'!#REF!),"")</f>
        <v>#REF!</v>
      </c>
      <c r="AJ29" s="56" t="e">
        <f>IF(AND('Mapa final'!#REF!="Media",'Mapa final'!#REF!="Catastrófico"),CONCATENATE("R4C",'Mapa final'!#REF!),"")</f>
        <v>#REF!</v>
      </c>
      <c r="AK29" s="56" t="e">
        <f>IF(AND('Mapa final'!#REF!="Media",'Mapa final'!#REF!="Catastrófico"),CONCATENATE("R4C",'Mapa final'!#REF!),"")</f>
        <v>#REF!</v>
      </c>
      <c r="AL29" s="56" t="e">
        <f>IF(AND('Mapa final'!#REF!="Media",'Mapa final'!#REF!="Catastrófico"),CONCATENATE("R4C",'Mapa final'!#REF!),"")</f>
        <v>#REF!</v>
      </c>
      <c r="AM29" s="57" t="e">
        <f>IF(AND('Mapa final'!#REF!="Media",'Mapa final'!#REF!="Catastrófico"),CONCATENATE("R4C",'Mapa final'!#REF!),"")</f>
        <v>#REF!</v>
      </c>
      <c r="AN29" s="83"/>
      <c r="AO29" s="499"/>
      <c r="AP29" s="500"/>
      <c r="AQ29" s="500"/>
      <c r="AR29" s="500"/>
      <c r="AS29" s="500"/>
      <c r="AT29" s="501"/>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18"/>
      <c r="C30" s="418"/>
      <c r="D30" s="419"/>
      <c r="E30" s="459"/>
      <c r="F30" s="460"/>
      <c r="G30" s="460"/>
      <c r="H30" s="460"/>
      <c r="I30" s="461"/>
      <c r="J30" s="67" t="str">
        <f>IF(AND('Mapa final'!$Y$36="Media",'Mapa final'!$AA$36="Leve"),CONCATENATE("R5C",'Mapa final'!$O$36),"")</f>
        <v/>
      </c>
      <c r="K30" s="68" t="e">
        <f>IF(AND('Mapa final'!#REF!="Media",'Mapa final'!#REF!="Leve"),CONCATENATE("R5C",'Mapa final'!#REF!),"")</f>
        <v>#REF!</v>
      </c>
      <c r="L30" s="68" t="e">
        <f>IF(AND('Mapa final'!#REF!="Media",'Mapa final'!#REF!="Leve"),CONCATENATE("R5C",'Mapa final'!#REF!),"")</f>
        <v>#REF!</v>
      </c>
      <c r="M30" s="68" t="e">
        <f>IF(AND('Mapa final'!#REF!="Media",'Mapa final'!#REF!="Leve"),CONCATENATE("R5C",'Mapa final'!#REF!),"")</f>
        <v>#REF!</v>
      </c>
      <c r="N30" s="68" t="e">
        <f>IF(AND('Mapa final'!#REF!="Media",'Mapa final'!#REF!="Leve"),CONCATENATE("R5C",'Mapa final'!#REF!),"")</f>
        <v>#REF!</v>
      </c>
      <c r="O30" s="69" t="e">
        <f>IF(AND('Mapa final'!#REF!="Media",'Mapa final'!#REF!="Leve"),CONCATENATE("R5C",'Mapa final'!#REF!),"")</f>
        <v>#REF!</v>
      </c>
      <c r="P30" s="67" t="str">
        <f>IF(AND('Mapa final'!$Y$36="Media",'Mapa final'!$AA$36="Menor"),CONCATENATE("R5C",'Mapa final'!$O$36),"")</f>
        <v/>
      </c>
      <c r="Q30" s="68" t="e">
        <f>IF(AND('Mapa final'!#REF!="Media",'Mapa final'!#REF!="Menor"),CONCATENATE("R5C",'Mapa final'!#REF!),"")</f>
        <v>#REF!</v>
      </c>
      <c r="R30" s="68" t="e">
        <f>IF(AND('Mapa final'!#REF!="Media",'Mapa final'!#REF!="Menor"),CONCATENATE("R5C",'Mapa final'!#REF!),"")</f>
        <v>#REF!</v>
      </c>
      <c r="S30" s="68" t="e">
        <f>IF(AND('Mapa final'!#REF!="Media",'Mapa final'!#REF!="Menor"),CONCATENATE("R5C",'Mapa final'!#REF!),"")</f>
        <v>#REF!</v>
      </c>
      <c r="T30" s="68" t="e">
        <f>IF(AND('Mapa final'!#REF!="Media",'Mapa final'!#REF!="Menor"),CONCATENATE("R5C",'Mapa final'!#REF!),"")</f>
        <v>#REF!</v>
      </c>
      <c r="U30" s="69" t="e">
        <f>IF(AND('Mapa final'!#REF!="Media",'Mapa final'!#REF!="Menor"),CONCATENATE("R5C",'Mapa final'!#REF!),"")</f>
        <v>#REF!</v>
      </c>
      <c r="V30" s="67" t="str">
        <f>IF(AND('Mapa final'!$Y$36="Media",'Mapa final'!$AA$36="Moderado"),CONCATENATE("R5C",'Mapa final'!$O$36),"")</f>
        <v/>
      </c>
      <c r="W30" s="68" t="e">
        <f>IF(AND('Mapa final'!#REF!="Media",'Mapa final'!#REF!="Moderado"),CONCATENATE("R5C",'Mapa final'!#REF!),"")</f>
        <v>#REF!</v>
      </c>
      <c r="X30" s="68" t="e">
        <f>IF(AND('Mapa final'!#REF!="Media",'Mapa final'!#REF!="Moderado"),CONCATENATE("R5C",'Mapa final'!#REF!),"")</f>
        <v>#REF!</v>
      </c>
      <c r="Y30" s="68" t="e">
        <f>IF(AND('Mapa final'!#REF!="Media",'Mapa final'!#REF!="Moderado"),CONCATENATE("R5C",'Mapa final'!#REF!),"")</f>
        <v>#REF!</v>
      </c>
      <c r="Z30" s="68" t="e">
        <f>IF(AND('Mapa final'!#REF!="Media",'Mapa final'!#REF!="Moderado"),CONCATENATE("R5C",'Mapa final'!#REF!),"")</f>
        <v>#REF!</v>
      </c>
      <c r="AA30" s="69" t="e">
        <f>IF(AND('Mapa final'!#REF!="Media",'Mapa final'!#REF!="Moderado"),CONCATENATE("R5C",'Mapa final'!#REF!),"")</f>
        <v>#REF!</v>
      </c>
      <c r="AB30" s="52" t="str">
        <f>IF(AND('Mapa final'!$Y$36="Media",'Mapa final'!$AA$36="Mayor"),CONCATENATE("R5C",'Mapa final'!$O$36),"")</f>
        <v/>
      </c>
      <c r="AC30" s="53" t="e">
        <f>IF(AND('Mapa final'!#REF!="Media",'Mapa final'!#REF!="Mayor"),CONCATENATE("R5C",'Mapa final'!#REF!),"")</f>
        <v>#REF!</v>
      </c>
      <c r="AD30" s="53" t="e">
        <f>IF(AND('Mapa final'!#REF!="Media",'Mapa final'!#REF!="Mayor"),CONCATENATE("R5C",'Mapa final'!#REF!),"")</f>
        <v>#REF!</v>
      </c>
      <c r="AE30" s="53" t="e">
        <f>IF(AND('Mapa final'!#REF!="Media",'Mapa final'!#REF!="Mayor"),CONCATENATE("R5C",'Mapa final'!#REF!),"")</f>
        <v>#REF!</v>
      </c>
      <c r="AF30" s="53" t="e">
        <f>IF(AND('Mapa final'!#REF!="Media",'Mapa final'!#REF!="Mayor"),CONCATENATE("R5C",'Mapa final'!#REF!),"")</f>
        <v>#REF!</v>
      </c>
      <c r="AG30" s="54" t="e">
        <f>IF(AND('Mapa final'!#REF!="Media",'Mapa final'!#REF!="Mayor"),CONCATENATE("R5C",'Mapa final'!#REF!),"")</f>
        <v>#REF!</v>
      </c>
      <c r="AH30" s="55" t="str">
        <f>IF(AND('Mapa final'!$Y$36="Media",'Mapa final'!$AA$36="Catastrófico"),CONCATENATE("R5C",'Mapa final'!$O$36),"")</f>
        <v/>
      </c>
      <c r="AI30" s="56" t="e">
        <f>IF(AND('Mapa final'!#REF!="Media",'Mapa final'!#REF!="Catastrófico"),CONCATENATE("R5C",'Mapa final'!#REF!),"")</f>
        <v>#REF!</v>
      </c>
      <c r="AJ30" s="56" t="e">
        <f>IF(AND('Mapa final'!#REF!="Media",'Mapa final'!#REF!="Catastrófico"),CONCATENATE("R5C",'Mapa final'!#REF!),"")</f>
        <v>#REF!</v>
      </c>
      <c r="AK30" s="56" t="e">
        <f>IF(AND('Mapa final'!#REF!="Media",'Mapa final'!#REF!="Catastrófico"),CONCATENATE("R5C",'Mapa final'!#REF!),"")</f>
        <v>#REF!</v>
      </c>
      <c r="AL30" s="56" t="e">
        <f>IF(AND('Mapa final'!#REF!="Media",'Mapa final'!#REF!="Catastrófico"),CONCATENATE("R5C",'Mapa final'!#REF!),"")</f>
        <v>#REF!</v>
      </c>
      <c r="AM30" s="57" t="e">
        <f>IF(AND('Mapa final'!#REF!="Media",'Mapa final'!#REF!="Catastrófico"),CONCATENATE("R5C",'Mapa final'!#REF!),"")</f>
        <v>#REF!</v>
      </c>
      <c r="AN30" s="83"/>
      <c r="AO30" s="499"/>
      <c r="AP30" s="500"/>
      <c r="AQ30" s="500"/>
      <c r="AR30" s="500"/>
      <c r="AS30" s="500"/>
      <c r="AT30" s="501"/>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18"/>
      <c r="C31" s="418"/>
      <c r="D31" s="419"/>
      <c r="E31" s="459"/>
      <c r="F31" s="460"/>
      <c r="G31" s="460"/>
      <c r="H31" s="460"/>
      <c r="I31" s="461"/>
      <c r="J31" s="67" t="str">
        <f>IF(AND('Mapa final'!$Y$37="Media",'Mapa final'!$AA$37="Leve"),CONCATENATE("R6C",'Mapa final'!$O$37),"")</f>
        <v/>
      </c>
      <c r="K31" s="68" t="e">
        <f>IF(AND('Mapa final'!#REF!="Media",'Mapa final'!#REF!="Leve"),CONCATENATE("R6C",'Mapa final'!#REF!),"")</f>
        <v>#REF!</v>
      </c>
      <c r="L31" s="68" t="e">
        <f>IF(AND('Mapa final'!#REF!="Media",'Mapa final'!#REF!="Leve"),CONCATENATE("R6C",'Mapa final'!#REF!),"")</f>
        <v>#REF!</v>
      </c>
      <c r="M31" s="68" t="e">
        <f>IF(AND('Mapa final'!#REF!="Media",'Mapa final'!#REF!="Leve"),CONCATENATE("R6C",'Mapa final'!#REF!),"")</f>
        <v>#REF!</v>
      </c>
      <c r="N31" s="68" t="e">
        <f>IF(AND('Mapa final'!#REF!="Media",'Mapa final'!#REF!="Leve"),CONCATENATE("R6C",'Mapa final'!#REF!),"")</f>
        <v>#REF!</v>
      </c>
      <c r="O31" s="69" t="e">
        <f>IF(AND('Mapa final'!#REF!="Media",'Mapa final'!#REF!="Leve"),CONCATENATE("R6C",'Mapa final'!#REF!),"")</f>
        <v>#REF!</v>
      </c>
      <c r="P31" s="67" t="str">
        <f>IF(AND('Mapa final'!$Y$37="Media",'Mapa final'!$AA$37="Menor"),CONCATENATE("R6C",'Mapa final'!$O$37),"")</f>
        <v/>
      </c>
      <c r="Q31" s="68" t="e">
        <f>IF(AND('Mapa final'!#REF!="Media",'Mapa final'!#REF!="Menor"),CONCATENATE("R6C",'Mapa final'!#REF!),"")</f>
        <v>#REF!</v>
      </c>
      <c r="R31" s="68" t="e">
        <f>IF(AND('Mapa final'!#REF!="Media",'Mapa final'!#REF!="Menor"),CONCATENATE("R6C",'Mapa final'!#REF!),"")</f>
        <v>#REF!</v>
      </c>
      <c r="S31" s="68" t="e">
        <f>IF(AND('Mapa final'!#REF!="Media",'Mapa final'!#REF!="Menor"),CONCATENATE("R6C",'Mapa final'!#REF!),"")</f>
        <v>#REF!</v>
      </c>
      <c r="T31" s="68" t="e">
        <f>IF(AND('Mapa final'!#REF!="Media",'Mapa final'!#REF!="Menor"),CONCATENATE("R6C",'Mapa final'!#REF!),"")</f>
        <v>#REF!</v>
      </c>
      <c r="U31" s="69" t="e">
        <f>IF(AND('Mapa final'!#REF!="Media",'Mapa final'!#REF!="Menor"),CONCATENATE("R6C",'Mapa final'!#REF!),"")</f>
        <v>#REF!</v>
      </c>
      <c r="V31" s="67" t="str">
        <f>IF(AND('Mapa final'!$Y$37="Media",'Mapa final'!$AA$37="Moderado"),CONCATENATE("R6C",'Mapa final'!$O$37),"")</f>
        <v/>
      </c>
      <c r="W31" s="68" t="e">
        <f>IF(AND('Mapa final'!#REF!="Media",'Mapa final'!#REF!="Moderado"),CONCATENATE("R6C",'Mapa final'!#REF!),"")</f>
        <v>#REF!</v>
      </c>
      <c r="X31" s="68" t="e">
        <f>IF(AND('Mapa final'!#REF!="Media",'Mapa final'!#REF!="Moderado"),CONCATENATE("R6C",'Mapa final'!#REF!),"")</f>
        <v>#REF!</v>
      </c>
      <c r="Y31" s="68" t="e">
        <f>IF(AND('Mapa final'!#REF!="Media",'Mapa final'!#REF!="Moderado"),CONCATENATE("R6C",'Mapa final'!#REF!),"")</f>
        <v>#REF!</v>
      </c>
      <c r="Z31" s="68" t="e">
        <f>IF(AND('Mapa final'!#REF!="Media",'Mapa final'!#REF!="Moderado"),CONCATENATE("R6C",'Mapa final'!#REF!),"")</f>
        <v>#REF!</v>
      </c>
      <c r="AA31" s="69" t="e">
        <f>IF(AND('Mapa final'!#REF!="Media",'Mapa final'!#REF!="Moderado"),CONCATENATE("R6C",'Mapa final'!#REF!),"")</f>
        <v>#REF!</v>
      </c>
      <c r="AB31" s="52" t="str">
        <f>IF(AND('Mapa final'!$Y$37="Media",'Mapa final'!$AA$37="Mayor"),CONCATENATE("R6C",'Mapa final'!$O$37),"")</f>
        <v/>
      </c>
      <c r="AC31" s="53" t="e">
        <f>IF(AND('Mapa final'!#REF!="Media",'Mapa final'!#REF!="Mayor"),CONCATENATE("R6C",'Mapa final'!#REF!),"")</f>
        <v>#REF!</v>
      </c>
      <c r="AD31" s="53" t="e">
        <f>IF(AND('Mapa final'!#REF!="Media",'Mapa final'!#REF!="Mayor"),CONCATENATE("R6C",'Mapa final'!#REF!),"")</f>
        <v>#REF!</v>
      </c>
      <c r="AE31" s="53" t="e">
        <f>IF(AND('Mapa final'!#REF!="Media",'Mapa final'!#REF!="Mayor"),CONCATENATE("R6C",'Mapa final'!#REF!),"")</f>
        <v>#REF!</v>
      </c>
      <c r="AF31" s="53" t="e">
        <f>IF(AND('Mapa final'!#REF!="Media",'Mapa final'!#REF!="Mayor"),CONCATENATE("R6C",'Mapa final'!#REF!),"")</f>
        <v>#REF!</v>
      </c>
      <c r="AG31" s="54" t="e">
        <f>IF(AND('Mapa final'!#REF!="Media",'Mapa final'!#REF!="Mayor"),CONCATENATE("R6C",'Mapa final'!#REF!),"")</f>
        <v>#REF!</v>
      </c>
      <c r="AH31" s="55" t="str">
        <f>IF(AND('Mapa final'!$Y$37="Media",'Mapa final'!$AA$37="Catastrófico"),CONCATENATE("R6C",'Mapa final'!$O$37),"")</f>
        <v/>
      </c>
      <c r="AI31" s="56" t="e">
        <f>IF(AND('Mapa final'!#REF!="Media",'Mapa final'!#REF!="Catastrófico"),CONCATENATE("R6C",'Mapa final'!#REF!),"")</f>
        <v>#REF!</v>
      </c>
      <c r="AJ31" s="56" t="e">
        <f>IF(AND('Mapa final'!#REF!="Media",'Mapa final'!#REF!="Catastrófico"),CONCATENATE("R6C",'Mapa final'!#REF!),"")</f>
        <v>#REF!</v>
      </c>
      <c r="AK31" s="56" t="e">
        <f>IF(AND('Mapa final'!#REF!="Media",'Mapa final'!#REF!="Catastrófico"),CONCATENATE("R6C",'Mapa final'!#REF!),"")</f>
        <v>#REF!</v>
      </c>
      <c r="AL31" s="56" t="e">
        <f>IF(AND('Mapa final'!#REF!="Media",'Mapa final'!#REF!="Catastrófico"),CONCATENATE("R6C",'Mapa final'!#REF!),"")</f>
        <v>#REF!</v>
      </c>
      <c r="AM31" s="57" t="e">
        <f>IF(AND('Mapa final'!#REF!="Media",'Mapa final'!#REF!="Catastrófico"),CONCATENATE("R6C",'Mapa final'!#REF!),"")</f>
        <v>#REF!</v>
      </c>
      <c r="AN31" s="83"/>
      <c r="AO31" s="499"/>
      <c r="AP31" s="500"/>
      <c r="AQ31" s="500"/>
      <c r="AR31" s="500"/>
      <c r="AS31" s="500"/>
      <c r="AT31" s="501"/>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18"/>
      <c r="C32" s="418"/>
      <c r="D32" s="419"/>
      <c r="E32" s="459"/>
      <c r="F32" s="460"/>
      <c r="G32" s="460"/>
      <c r="H32" s="460"/>
      <c r="I32" s="461"/>
      <c r="J32" s="67" t="e">
        <f>IF(AND('Mapa final'!#REF!="Media",'Mapa final'!#REF!="Leve"),CONCATENATE("R7C",'Mapa final'!#REF!),"")</f>
        <v>#REF!</v>
      </c>
      <c r="K32" s="68" t="e">
        <f>IF(AND('Mapa final'!#REF!="Media",'Mapa final'!#REF!="Leve"),CONCATENATE("R7C",'Mapa final'!#REF!),"")</f>
        <v>#REF!</v>
      </c>
      <c r="L32" s="68" t="e">
        <f>IF(AND('Mapa final'!#REF!="Media",'Mapa final'!#REF!="Leve"),CONCATENATE("R7C",'Mapa final'!#REF!),"")</f>
        <v>#REF!</v>
      </c>
      <c r="M32" s="68" t="e">
        <f>IF(AND('Mapa final'!#REF!="Media",'Mapa final'!#REF!="Leve"),CONCATENATE("R7C",'Mapa final'!#REF!),"")</f>
        <v>#REF!</v>
      </c>
      <c r="N32" s="68" t="e">
        <f>IF(AND('Mapa final'!#REF!="Media",'Mapa final'!#REF!="Leve"),CONCATENATE("R7C",'Mapa final'!#REF!),"")</f>
        <v>#REF!</v>
      </c>
      <c r="O32" s="69" t="e">
        <f>IF(AND('Mapa final'!#REF!="Media",'Mapa final'!#REF!="Leve"),CONCATENATE("R7C",'Mapa final'!#REF!),"")</f>
        <v>#REF!</v>
      </c>
      <c r="P32" s="67" t="e">
        <f>IF(AND('Mapa final'!#REF!="Media",'Mapa final'!#REF!="Menor"),CONCATENATE("R7C",'Mapa final'!#REF!),"")</f>
        <v>#REF!</v>
      </c>
      <c r="Q32" s="68" t="e">
        <f>IF(AND('Mapa final'!#REF!="Media",'Mapa final'!#REF!="Menor"),CONCATENATE("R7C",'Mapa final'!#REF!),"")</f>
        <v>#REF!</v>
      </c>
      <c r="R32" s="68" t="e">
        <f>IF(AND('Mapa final'!#REF!="Media",'Mapa final'!#REF!="Menor"),CONCATENATE("R7C",'Mapa final'!#REF!),"")</f>
        <v>#REF!</v>
      </c>
      <c r="S32" s="68" t="e">
        <f>IF(AND('Mapa final'!#REF!="Media",'Mapa final'!#REF!="Menor"),CONCATENATE("R7C",'Mapa final'!#REF!),"")</f>
        <v>#REF!</v>
      </c>
      <c r="T32" s="68" t="e">
        <f>IF(AND('Mapa final'!#REF!="Media",'Mapa final'!#REF!="Menor"),CONCATENATE("R7C",'Mapa final'!#REF!),"")</f>
        <v>#REF!</v>
      </c>
      <c r="U32" s="69" t="e">
        <f>IF(AND('Mapa final'!#REF!="Media",'Mapa final'!#REF!="Menor"),CONCATENATE("R7C",'Mapa final'!#REF!),"")</f>
        <v>#REF!</v>
      </c>
      <c r="V32" s="67" t="e">
        <f>IF(AND('Mapa final'!#REF!="Media",'Mapa final'!#REF!="Moderado"),CONCATENATE("R7C",'Mapa final'!#REF!),"")</f>
        <v>#REF!</v>
      </c>
      <c r="W32" s="68" t="e">
        <f>IF(AND('Mapa final'!#REF!="Media",'Mapa final'!#REF!="Moderado"),CONCATENATE("R7C",'Mapa final'!#REF!),"")</f>
        <v>#REF!</v>
      </c>
      <c r="X32" s="68" t="e">
        <f>IF(AND('Mapa final'!#REF!="Media",'Mapa final'!#REF!="Moderado"),CONCATENATE("R7C",'Mapa final'!#REF!),"")</f>
        <v>#REF!</v>
      </c>
      <c r="Y32" s="68" t="e">
        <f>IF(AND('Mapa final'!#REF!="Media",'Mapa final'!#REF!="Moderado"),CONCATENATE("R7C",'Mapa final'!#REF!),"")</f>
        <v>#REF!</v>
      </c>
      <c r="Z32" s="68" t="e">
        <f>IF(AND('Mapa final'!#REF!="Media",'Mapa final'!#REF!="Moderado"),CONCATENATE("R7C",'Mapa final'!#REF!),"")</f>
        <v>#REF!</v>
      </c>
      <c r="AA32" s="69" t="e">
        <f>IF(AND('Mapa final'!#REF!="Media",'Mapa final'!#REF!="Moderado"),CONCATENATE("R7C",'Mapa final'!#REF!),"")</f>
        <v>#REF!</v>
      </c>
      <c r="AB32" s="52" t="e">
        <f>IF(AND('Mapa final'!#REF!="Media",'Mapa final'!#REF!="Mayor"),CONCATENATE("R7C",'Mapa final'!#REF!),"")</f>
        <v>#REF!</v>
      </c>
      <c r="AC32" s="53" t="e">
        <f>IF(AND('Mapa final'!#REF!="Media",'Mapa final'!#REF!="Mayor"),CONCATENATE("R7C",'Mapa final'!#REF!),"")</f>
        <v>#REF!</v>
      </c>
      <c r="AD32" s="53" t="e">
        <f>IF(AND('Mapa final'!#REF!="Media",'Mapa final'!#REF!="Mayor"),CONCATENATE("R7C",'Mapa final'!#REF!),"")</f>
        <v>#REF!</v>
      </c>
      <c r="AE32" s="53" t="e">
        <f>IF(AND('Mapa final'!#REF!="Media",'Mapa final'!#REF!="Mayor"),CONCATENATE("R7C",'Mapa final'!#REF!),"")</f>
        <v>#REF!</v>
      </c>
      <c r="AF32" s="53" t="e">
        <f>IF(AND('Mapa final'!#REF!="Media",'Mapa final'!#REF!="Mayor"),CONCATENATE("R7C",'Mapa final'!#REF!),"")</f>
        <v>#REF!</v>
      </c>
      <c r="AG32" s="54" t="e">
        <f>IF(AND('Mapa final'!#REF!="Media",'Mapa final'!#REF!="Mayor"),CONCATENATE("R7C",'Mapa final'!#REF!),"")</f>
        <v>#REF!</v>
      </c>
      <c r="AH32" s="55" t="e">
        <f>IF(AND('Mapa final'!#REF!="Media",'Mapa final'!#REF!="Catastrófico"),CONCATENATE("R7C",'Mapa final'!#REF!),"")</f>
        <v>#REF!</v>
      </c>
      <c r="AI32" s="56" t="e">
        <f>IF(AND('Mapa final'!#REF!="Media",'Mapa final'!#REF!="Catastrófico"),CONCATENATE("R7C",'Mapa final'!#REF!),"")</f>
        <v>#REF!</v>
      </c>
      <c r="AJ32" s="56" t="e">
        <f>IF(AND('Mapa final'!#REF!="Media",'Mapa final'!#REF!="Catastrófico"),CONCATENATE("R7C",'Mapa final'!#REF!),"")</f>
        <v>#REF!</v>
      </c>
      <c r="AK32" s="56" t="e">
        <f>IF(AND('Mapa final'!#REF!="Media",'Mapa final'!#REF!="Catastrófico"),CONCATENATE("R7C",'Mapa final'!#REF!),"")</f>
        <v>#REF!</v>
      </c>
      <c r="AL32" s="56" t="e">
        <f>IF(AND('Mapa final'!#REF!="Media",'Mapa final'!#REF!="Catastrófico"),CONCATENATE("R7C",'Mapa final'!#REF!),"")</f>
        <v>#REF!</v>
      </c>
      <c r="AM32" s="57" t="e">
        <f>IF(AND('Mapa final'!#REF!="Media",'Mapa final'!#REF!="Catastrófico"),CONCATENATE("R7C",'Mapa final'!#REF!),"")</f>
        <v>#REF!</v>
      </c>
      <c r="AN32" s="83"/>
      <c r="AO32" s="499"/>
      <c r="AP32" s="500"/>
      <c r="AQ32" s="500"/>
      <c r="AR32" s="500"/>
      <c r="AS32" s="500"/>
      <c r="AT32" s="501"/>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18"/>
      <c r="C33" s="418"/>
      <c r="D33" s="419"/>
      <c r="E33" s="459"/>
      <c r="F33" s="460"/>
      <c r="G33" s="460"/>
      <c r="H33" s="460"/>
      <c r="I33" s="461"/>
      <c r="J33" s="67" t="str">
        <f>IF(AND('Mapa final'!$Y$38="Media",'Mapa final'!$AA$38="Leve"),CONCATENATE("R8C",'Mapa final'!$O$38),"")</f>
        <v/>
      </c>
      <c r="K33" s="68" t="str">
        <f>IF(AND('Mapa final'!$Y$39="Media",'Mapa final'!$AA$39="Leve"),CONCATENATE("R8C",'Mapa final'!$O$39),"")</f>
        <v/>
      </c>
      <c r="L33" s="68" t="str">
        <f>IF(AND('Mapa final'!$Y$40="Media",'Mapa final'!$AA$40="Leve"),CONCATENATE("R8C",'Mapa final'!$O$40),"")</f>
        <v/>
      </c>
      <c r="M33" s="68" t="str">
        <f>IF(AND('Mapa final'!$Y$41="Media",'Mapa final'!$AA$41="Leve"),CONCATENATE("R8C",'Mapa final'!$O$41),"")</f>
        <v/>
      </c>
      <c r="N33" s="68" t="str">
        <f>IF(AND('Mapa final'!$Y$42="Media",'Mapa final'!$AA$42="Leve"),CONCATENATE("R8C",'Mapa final'!$O$42),"")</f>
        <v/>
      </c>
      <c r="O33" s="69" t="str">
        <f>IF(AND('Mapa final'!$Y$43="Media",'Mapa final'!$AA$43="Leve"),CONCATENATE("R8C",'Mapa final'!$O$43),"")</f>
        <v/>
      </c>
      <c r="P33" s="67" t="str">
        <f>IF(AND('Mapa final'!$Y$38="Media",'Mapa final'!$AA$38="Menor"),CONCATENATE("R8C",'Mapa final'!$O$38),"")</f>
        <v>R8C1</v>
      </c>
      <c r="Q33" s="68" t="str">
        <f>IF(AND('Mapa final'!$Y$39="Media",'Mapa final'!$AA$39="Menor"),CONCATENATE("R8C",'Mapa final'!$O$39),"")</f>
        <v/>
      </c>
      <c r="R33" s="68" t="str">
        <f>IF(AND('Mapa final'!$Y$40="Media",'Mapa final'!$AA$40="Menor"),CONCATENATE("R8C",'Mapa final'!$O$40),"")</f>
        <v/>
      </c>
      <c r="S33" s="68" t="str">
        <f>IF(AND('Mapa final'!$Y$41="Media",'Mapa final'!$AA$41="Menor"),CONCATENATE("R8C",'Mapa final'!$O$41),"")</f>
        <v/>
      </c>
      <c r="T33" s="68" t="str">
        <f>IF(AND('Mapa final'!$Y$42="Media",'Mapa final'!$AA$42="Menor"),CONCATENATE("R8C",'Mapa final'!$O$42),"")</f>
        <v/>
      </c>
      <c r="U33" s="69" t="str">
        <f>IF(AND('Mapa final'!$Y$43="Media",'Mapa final'!$AA$43="Menor"),CONCATENATE("R8C",'Mapa final'!$O$43),"")</f>
        <v/>
      </c>
      <c r="V33" s="67" t="str">
        <f>IF(AND('Mapa final'!$Y$38="Media",'Mapa final'!$AA$38="Moderado"),CONCATENATE("R8C",'Mapa final'!$O$38),"")</f>
        <v/>
      </c>
      <c r="W33" s="68" t="str">
        <f>IF(AND('Mapa final'!$Y$39="Media",'Mapa final'!$AA$39="Moderado"),CONCATENATE("R8C",'Mapa final'!$O$39),"")</f>
        <v/>
      </c>
      <c r="X33" s="68" t="str">
        <f>IF(AND('Mapa final'!$Y$40="Media",'Mapa final'!$AA$40="Moderado"),CONCATENATE("R8C",'Mapa final'!$O$40),"")</f>
        <v/>
      </c>
      <c r="Y33" s="68" t="str">
        <f>IF(AND('Mapa final'!$Y$41="Media",'Mapa final'!$AA$41="Moderado"),CONCATENATE("R8C",'Mapa final'!$O$41),"")</f>
        <v/>
      </c>
      <c r="Z33" s="68" t="str">
        <f>IF(AND('Mapa final'!$Y$42="Media",'Mapa final'!$AA$42="Moderado"),CONCATENATE("R8C",'Mapa final'!$O$42),"")</f>
        <v/>
      </c>
      <c r="AA33" s="69" t="str">
        <f>IF(AND('Mapa final'!$Y$43="Media",'Mapa final'!$AA$43="Moderado"),CONCATENATE("R8C",'Mapa final'!$O$43),"")</f>
        <v/>
      </c>
      <c r="AB33" s="52" t="str">
        <f>IF(AND('Mapa final'!$Y$38="Media",'Mapa final'!$AA$38="Mayor"),CONCATENATE("R8C",'Mapa final'!$O$38),"")</f>
        <v/>
      </c>
      <c r="AC33" s="53" t="str">
        <f>IF(AND('Mapa final'!$Y$39="Media",'Mapa final'!$AA$39="Mayor"),CONCATENATE("R8C",'Mapa final'!$O$39),"")</f>
        <v/>
      </c>
      <c r="AD33" s="53" t="str">
        <f>IF(AND('Mapa final'!$Y$40="Media",'Mapa final'!$AA$40="Mayor"),CONCATENATE("R8C",'Mapa final'!$O$40),"")</f>
        <v/>
      </c>
      <c r="AE33" s="53" t="str">
        <f>IF(AND('Mapa final'!$Y$41="Media",'Mapa final'!$AA$41="Mayor"),CONCATENATE("R8C",'Mapa final'!$O$41),"")</f>
        <v/>
      </c>
      <c r="AF33" s="53" t="str">
        <f>IF(AND('Mapa final'!$Y$42="Media",'Mapa final'!$AA$42="Mayor"),CONCATENATE("R8C",'Mapa final'!$O$42),"")</f>
        <v/>
      </c>
      <c r="AG33" s="54" t="str">
        <f>IF(AND('Mapa final'!$Y$43="Media",'Mapa final'!$AA$43="Mayor"),CONCATENATE("R8C",'Mapa final'!$O$43),"")</f>
        <v/>
      </c>
      <c r="AH33" s="55" t="str">
        <f>IF(AND('Mapa final'!$Y$38="Media",'Mapa final'!$AA$38="Catastrófico"),CONCATENATE("R8C",'Mapa final'!$O$38),"")</f>
        <v/>
      </c>
      <c r="AI33" s="56" t="str">
        <f>IF(AND('Mapa final'!$Y$39="Media",'Mapa final'!$AA$39="Catastrófico"),CONCATENATE("R8C",'Mapa final'!$O$39),"")</f>
        <v/>
      </c>
      <c r="AJ33" s="56" t="str">
        <f>IF(AND('Mapa final'!$Y$40="Media",'Mapa final'!$AA$40="Catastrófico"),CONCATENATE("R8C",'Mapa final'!$O$40),"")</f>
        <v/>
      </c>
      <c r="AK33" s="56" t="str">
        <f>IF(AND('Mapa final'!$Y$41="Media",'Mapa final'!$AA$41="Catastrófico"),CONCATENATE("R8C",'Mapa final'!$O$41),"")</f>
        <v/>
      </c>
      <c r="AL33" s="56" t="str">
        <f>IF(AND('Mapa final'!$Y$42="Media",'Mapa final'!$AA$42="Catastrófico"),CONCATENATE("R8C",'Mapa final'!$O$42),"")</f>
        <v/>
      </c>
      <c r="AM33" s="57" t="str">
        <f>IF(AND('Mapa final'!$Y$43="Media",'Mapa final'!$AA$43="Catastrófico"),CONCATENATE("R8C",'Mapa final'!$O$43),"")</f>
        <v/>
      </c>
      <c r="AN33" s="83"/>
      <c r="AO33" s="499"/>
      <c r="AP33" s="500"/>
      <c r="AQ33" s="500"/>
      <c r="AR33" s="500"/>
      <c r="AS33" s="500"/>
      <c r="AT33" s="501"/>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18"/>
      <c r="C34" s="418"/>
      <c r="D34" s="419"/>
      <c r="E34" s="459"/>
      <c r="F34" s="460"/>
      <c r="G34" s="460"/>
      <c r="H34" s="460"/>
      <c r="I34" s="461"/>
      <c r="J34" s="67" t="str">
        <f>IF(AND('Mapa final'!$Y$44="Media",'Mapa final'!$AA$44="Leve"),CONCATENATE("R9C",'Mapa final'!$O$44),"")</f>
        <v/>
      </c>
      <c r="K34" s="68" t="str">
        <f>IF(AND('Mapa final'!$Y$45="Media",'Mapa final'!$AA$45="Leve"),CONCATENATE("R9C",'Mapa final'!$O$45),"")</f>
        <v/>
      </c>
      <c r="L34" s="68" t="str">
        <f>IF(AND('Mapa final'!$Y$46="Media",'Mapa final'!$AA$46="Leve"),CONCATENATE("R9C",'Mapa final'!$O$46),"")</f>
        <v/>
      </c>
      <c r="M34" s="68" t="str">
        <f>IF(AND('Mapa final'!$Y$47="Media",'Mapa final'!$AA$47="Leve"),CONCATENATE("R9C",'Mapa final'!$O$47),"")</f>
        <v/>
      </c>
      <c r="N34" s="68" t="str">
        <f>IF(AND('Mapa final'!$Y$48="Media",'Mapa final'!$AA$48="Leve"),CONCATENATE("R9C",'Mapa final'!$O$48),"")</f>
        <v/>
      </c>
      <c r="O34" s="69" t="str">
        <f>IF(AND('Mapa final'!$Y$49="Media",'Mapa final'!$AA$49="Leve"),CONCATENATE("R9C",'Mapa final'!$O$49),"")</f>
        <v/>
      </c>
      <c r="P34" s="67" t="str">
        <f>IF(AND('Mapa final'!$Y$44="Media",'Mapa final'!$AA$44="Menor"),CONCATENATE("R9C",'Mapa final'!$O$44),"")</f>
        <v/>
      </c>
      <c r="Q34" s="68" t="str">
        <f>IF(AND('Mapa final'!$Y$45="Media",'Mapa final'!$AA$45="Menor"),CONCATENATE("R9C",'Mapa final'!$O$45),"")</f>
        <v/>
      </c>
      <c r="R34" s="68" t="str">
        <f>IF(AND('Mapa final'!$Y$46="Media",'Mapa final'!$AA$46="Menor"),CONCATENATE("R9C",'Mapa final'!$O$46),"")</f>
        <v/>
      </c>
      <c r="S34" s="68" t="str">
        <f>IF(AND('Mapa final'!$Y$47="Media",'Mapa final'!$AA$47="Menor"),CONCATENATE("R9C",'Mapa final'!$O$47),"")</f>
        <v/>
      </c>
      <c r="T34" s="68" t="str">
        <f>IF(AND('Mapa final'!$Y$48="Media",'Mapa final'!$AA$48="Menor"),CONCATENATE("R9C",'Mapa final'!$O$48),"")</f>
        <v/>
      </c>
      <c r="U34" s="69" t="str">
        <f>IF(AND('Mapa final'!$Y$49="Media",'Mapa final'!$AA$49="Menor"),CONCATENATE("R9C",'Mapa final'!$O$49),"")</f>
        <v/>
      </c>
      <c r="V34" s="67" t="str">
        <f>IF(AND('Mapa final'!$Y$44="Media",'Mapa final'!$AA$44="Moderado"),CONCATENATE("R9C",'Mapa final'!$O$44),"")</f>
        <v/>
      </c>
      <c r="W34" s="68" t="str">
        <f>IF(AND('Mapa final'!$Y$45="Media",'Mapa final'!$AA$45="Moderado"),CONCATENATE("R9C",'Mapa final'!$O$45),"")</f>
        <v/>
      </c>
      <c r="X34" s="68" t="str">
        <f>IF(AND('Mapa final'!$Y$46="Media",'Mapa final'!$AA$46="Moderado"),CONCATENATE("R9C",'Mapa final'!$O$46),"")</f>
        <v/>
      </c>
      <c r="Y34" s="68" t="str">
        <f>IF(AND('Mapa final'!$Y$47="Media",'Mapa final'!$AA$47="Moderado"),CONCATENATE("R9C",'Mapa final'!$O$47),"")</f>
        <v/>
      </c>
      <c r="Z34" s="68" t="str">
        <f>IF(AND('Mapa final'!$Y$48="Media",'Mapa final'!$AA$48="Moderado"),CONCATENATE("R9C",'Mapa final'!$O$48),"")</f>
        <v/>
      </c>
      <c r="AA34" s="69" t="str">
        <f>IF(AND('Mapa final'!$Y$49="Media",'Mapa final'!$AA$49="Moderado"),CONCATENATE("R9C",'Mapa final'!$O$49),"")</f>
        <v/>
      </c>
      <c r="AB34" s="52" t="str">
        <f>IF(AND('Mapa final'!$Y$44="Media",'Mapa final'!$AA$44="Mayor"),CONCATENATE("R9C",'Mapa final'!$O$44),"")</f>
        <v/>
      </c>
      <c r="AC34" s="53" t="str">
        <f>IF(AND('Mapa final'!$Y$45="Media",'Mapa final'!$AA$45="Mayor"),CONCATENATE("R9C",'Mapa final'!$O$45),"")</f>
        <v/>
      </c>
      <c r="AD34" s="53" t="str">
        <f>IF(AND('Mapa final'!$Y$46="Media",'Mapa final'!$AA$46="Mayor"),CONCATENATE("R9C",'Mapa final'!$O$46),"")</f>
        <v/>
      </c>
      <c r="AE34" s="53" t="str">
        <f>IF(AND('Mapa final'!$Y$47="Media",'Mapa final'!$AA$47="Mayor"),CONCATENATE("R9C",'Mapa final'!$O$47),"")</f>
        <v/>
      </c>
      <c r="AF34" s="53" t="str">
        <f>IF(AND('Mapa final'!$Y$48="Media",'Mapa final'!$AA$48="Mayor"),CONCATENATE("R9C",'Mapa final'!$O$48),"")</f>
        <v/>
      </c>
      <c r="AG34" s="54" t="str">
        <f>IF(AND('Mapa final'!$Y$49="Media",'Mapa final'!$AA$49="Mayor"),CONCATENATE("R9C",'Mapa final'!$O$49),"")</f>
        <v/>
      </c>
      <c r="AH34" s="55" t="str">
        <f>IF(AND('Mapa final'!$Y$44="Media",'Mapa final'!$AA$44="Catastrófico"),CONCATENATE("R9C",'Mapa final'!$O$44),"")</f>
        <v/>
      </c>
      <c r="AI34" s="56" t="str">
        <f>IF(AND('Mapa final'!$Y$45="Media",'Mapa final'!$AA$45="Catastrófico"),CONCATENATE("R9C",'Mapa final'!$O$45),"")</f>
        <v/>
      </c>
      <c r="AJ34" s="56" t="str">
        <f>IF(AND('Mapa final'!$Y$46="Media",'Mapa final'!$AA$46="Catastrófico"),CONCATENATE("R9C",'Mapa final'!$O$46),"")</f>
        <v/>
      </c>
      <c r="AK34" s="56" t="str">
        <f>IF(AND('Mapa final'!$Y$47="Media",'Mapa final'!$AA$47="Catastrófico"),CONCATENATE("R9C",'Mapa final'!$O$47),"")</f>
        <v/>
      </c>
      <c r="AL34" s="56" t="str">
        <f>IF(AND('Mapa final'!$Y$48="Media",'Mapa final'!$AA$48="Catastrófico"),CONCATENATE("R9C",'Mapa final'!$O$48),"")</f>
        <v/>
      </c>
      <c r="AM34" s="57" t="str">
        <f>IF(AND('Mapa final'!$Y$49="Media",'Mapa final'!$AA$49="Catastrófico"),CONCATENATE("R9C",'Mapa final'!$O$49),"")</f>
        <v/>
      </c>
      <c r="AN34" s="83"/>
      <c r="AO34" s="499"/>
      <c r="AP34" s="500"/>
      <c r="AQ34" s="500"/>
      <c r="AR34" s="500"/>
      <c r="AS34" s="500"/>
      <c r="AT34" s="501"/>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18"/>
      <c r="C35" s="418"/>
      <c r="D35" s="419"/>
      <c r="E35" s="462"/>
      <c r="F35" s="463"/>
      <c r="G35" s="463"/>
      <c r="H35" s="463"/>
      <c r="I35" s="464"/>
      <c r="J35" s="67" t="str">
        <f>IF(AND('Mapa final'!$Y$50="Media",'Mapa final'!$AA$50="Leve"),CONCATENATE("R10C",'Mapa final'!$O$50),"")</f>
        <v/>
      </c>
      <c r="K35" s="68" t="str">
        <f>IF(AND('Mapa final'!$Y$51="Media",'Mapa final'!$AA$51="Leve"),CONCATENATE("R10C",'Mapa final'!$O$51),"")</f>
        <v/>
      </c>
      <c r="L35" s="68" t="str">
        <f>IF(AND('Mapa final'!$Y$52="Media",'Mapa final'!$AA$52="Leve"),CONCATENATE("R10C",'Mapa final'!$O$52),"")</f>
        <v/>
      </c>
      <c r="M35" s="68" t="str">
        <f>IF(AND('Mapa final'!$Y$53="Media",'Mapa final'!$AA$53="Leve"),CONCATENATE("R10C",'Mapa final'!$O$53),"")</f>
        <v/>
      </c>
      <c r="N35" s="68" t="str">
        <f>IF(AND('Mapa final'!$Y$54="Media",'Mapa final'!$AA$54="Leve"),CONCATENATE("R10C",'Mapa final'!$O$54),"")</f>
        <v/>
      </c>
      <c r="O35" s="69" t="str">
        <f>IF(AND('Mapa final'!$Y$55="Media",'Mapa final'!$AA$55="Leve"),CONCATENATE("R10C",'Mapa final'!$O$55),"")</f>
        <v/>
      </c>
      <c r="P35" s="67" t="str">
        <f>IF(AND('Mapa final'!$Y$50="Media",'Mapa final'!$AA$50="Menor"),CONCATENATE("R10C",'Mapa final'!$O$50),"")</f>
        <v/>
      </c>
      <c r="Q35" s="68" t="str">
        <f>IF(AND('Mapa final'!$Y$51="Media",'Mapa final'!$AA$51="Menor"),CONCATENATE("R10C",'Mapa final'!$O$51),"")</f>
        <v/>
      </c>
      <c r="R35" s="68" t="str">
        <f>IF(AND('Mapa final'!$Y$52="Media",'Mapa final'!$AA$52="Menor"),CONCATENATE("R10C",'Mapa final'!$O$52),"")</f>
        <v/>
      </c>
      <c r="S35" s="68" t="str">
        <f>IF(AND('Mapa final'!$Y$53="Media",'Mapa final'!$AA$53="Menor"),CONCATENATE("R10C",'Mapa final'!$O$53),"")</f>
        <v/>
      </c>
      <c r="T35" s="68" t="str">
        <f>IF(AND('Mapa final'!$Y$54="Media",'Mapa final'!$AA$54="Menor"),CONCATENATE("R10C",'Mapa final'!$O$54),"")</f>
        <v/>
      </c>
      <c r="U35" s="69" t="str">
        <f>IF(AND('Mapa final'!$Y$55="Media",'Mapa final'!$AA$55="Menor"),CONCATENATE("R10C",'Mapa final'!$O$55),"")</f>
        <v/>
      </c>
      <c r="V35" s="67" t="str">
        <f>IF(AND('Mapa final'!$Y$50="Media",'Mapa final'!$AA$50="Moderado"),CONCATENATE("R10C",'Mapa final'!$O$50),"")</f>
        <v/>
      </c>
      <c r="W35" s="68" t="str">
        <f>IF(AND('Mapa final'!$Y$51="Media",'Mapa final'!$AA$51="Moderado"),CONCATENATE("R10C",'Mapa final'!$O$51),"")</f>
        <v/>
      </c>
      <c r="X35" s="68" t="str">
        <f>IF(AND('Mapa final'!$Y$52="Media",'Mapa final'!$AA$52="Moderado"),CONCATENATE("R10C",'Mapa final'!$O$52),"")</f>
        <v/>
      </c>
      <c r="Y35" s="68" t="str">
        <f>IF(AND('Mapa final'!$Y$53="Media",'Mapa final'!$AA$53="Moderado"),CONCATENATE("R10C",'Mapa final'!$O$53),"")</f>
        <v/>
      </c>
      <c r="Z35" s="68" t="str">
        <f>IF(AND('Mapa final'!$Y$54="Media",'Mapa final'!$AA$54="Moderado"),CONCATENATE("R10C",'Mapa final'!$O$54),"")</f>
        <v/>
      </c>
      <c r="AA35" s="69" t="str">
        <f>IF(AND('Mapa final'!$Y$55="Media",'Mapa final'!$AA$55="Moderado"),CONCATENATE("R10C",'Mapa final'!$O$55),"")</f>
        <v/>
      </c>
      <c r="AB35" s="58" t="str">
        <f>IF(AND('Mapa final'!$Y$50="Media",'Mapa final'!$AA$50="Mayor"),CONCATENATE("R10C",'Mapa final'!$O$50),"")</f>
        <v/>
      </c>
      <c r="AC35" s="59" t="str">
        <f>IF(AND('Mapa final'!$Y$51="Media",'Mapa final'!$AA$51="Mayor"),CONCATENATE("R10C",'Mapa final'!$O$51),"")</f>
        <v/>
      </c>
      <c r="AD35" s="59" t="str">
        <f>IF(AND('Mapa final'!$Y$52="Media",'Mapa final'!$AA$52="Mayor"),CONCATENATE("R10C",'Mapa final'!$O$52),"")</f>
        <v/>
      </c>
      <c r="AE35" s="59" t="str">
        <f>IF(AND('Mapa final'!$Y$53="Media",'Mapa final'!$AA$53="Mayor"),CONCATENATE("R10C",'Mapa final'!$O$53),"")</f>
        <v/>
      </c>
      <c r="AF35" s="59" t="str">
        <f>IF(AND('Mapa final'!$Y$54="Media",'Mapa final'!$AA$54="Mayor"),CONCATENATE("R10C",'Mapa final'!$O$54),"")</f>
        <v/>
      </c>
      <c r="AG35" s="60" t="str">
        <f>IF(AND('Mapa final'!$Y$55="Media",'Mapa final'!$AA$55="Mayor"),CONCATENATE("R10C",'Mapa final'!$O$55),"")</f>
        <v/>
      </c>
      <c r="AH35" s="61" t="str">
        <f>IF(AND('Mapa final'!$Y$50="Media",'Mapa final'!$AA$50="Catastrófico"),CONCATENATE("R10C",'Mapa final'!$O$50),"")</f>
        <v/>
      </c>
      <c r="AI35" s="62" t="str">
        <f>IF(AND('Mapa final'!$Y$51="Media",'Mapa final'!$AA$51="Catastrófico"),CONCATENATE("R10C",'Mapa final'!$O$51),"")</f>
        <v/>
      </c>
      <c r="AJ35" s="62" t="str">
        <f>IF(AND('Mapa final'!$Y$52="Media",'Mapa final'!$AA$52="Catastrófico"),CONCATENATE("R10C",'Mapa final'!$O$52),"")</f>
        <v/>
      </c>
      <c r="AK35" s="62" t="str">
        <f>IF(AND('Mapa final'!$Y$53="Media",'Mapa final'!$AA$53="Catastrófico"),CONCATENATE("R10C",'Mapa final'!$O$53),"")</f>
        <v/>
      </c>
      <c r="AL35" s="62" t="str">
        <f>IF(AND('Mapa final'!$Y$54="Media",'Mapa final'!$AA$54="Catastrófico"),CONCATENATE("R10C",'Mapa final'!$O$54),"")</f>
        <v/>
      </c>
      <c r="AM35" s="63" t="str">
        <f>IF(AND('Mapa final'!$Y$55="Media",'Mapa final'!$AA$55="Catastrófico"),CONCATENATE("R10C",'Mapa final'!$O$55),"")</f>
        <v/>
      </c>
      <c r="AN35" s="83"/>
      <c r="AO35" s="502"/>
      <c r="AP35" s="503"/>
      <c r="AQ35" s="503"/>
      <c r="AR35" s="503"/>
      <c r="AS35" s="503"/>
      <c r="AT35" s="504"/>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18"/>
      <c r="C36" s="418"/>
      <c r="D36" s="419"/>
      <c r="E36" s="456" t="s">
        <v>188</v>
      </c>
      <c r="F36" s="457"/>
      <c r="G36" s="457"/>
      <c r="H36" s="457"/>
      <c r="I36" s="457"/>
      <c r="J36" s="73" t="str">
        <f>IF(AND('Mapa final'!$Y$25="Baja",'Mapa final'!$AA$25="Leve"),CONCATENATE("R1C",'Mapa final'!$O$25),"")</f>
        <v/>
      </c>
      <c r="K36" s="74" t="str">
        <f>IF(AND('Mapa final'!$Y$26="Baja",'Mapa final'!$AA$26="Leve"),CONCATENATE("R1C",'Mapa final'!$O$26),"")</f>
        <v/>
      </c>
      <c r="L36" s="74" t="str">
        <f>IF(AND('Mapa final'!$Y$27="Baja",'Mapa final'!$AA$27="Leve"),CONCATENATE("R1C",'Mapa final'!$O$27),"")</f>
        <v/>
      </c>
      <c r="M36" s="74" t="str">
        <f>IF(AND('Mapa final'!$Y$28="Baja",'Mapa final'!$AA$28="Leve"),CONCATENATE("R1C",'Mapa final'!$O$28),"")</f>
        <v/>
      </c>
      <c r="N36" s="74" t="str">
        <f>IF(AND('Mapa final'!$Y$29="Baja",'Mapa final'!$AA$29="Leve"),CONCATENATE("R1C",'Mapa final'!$O$29),"")</f>
        <v/>
      </c>
      <c r="O36" s="75" t="str">
        <f>IF(AND('Mapa final'!$Y$30="Baja",'Mapa final'!$AA$30="Leve"),CONCATENATE("R1C",'Mapa final'!$O$30),"")</f>
        <v/>
      </c>
      <c r="P36" s="64" t="str">
        <f>IF(AND('Mapa final'!$Y$25="Baja",'Mapa final'!$AA$25="Menor"),CONCATENATE("R1C",'Mapa final'!$O$25),"")</f>
        <v/>
      </c>
      <c r="Q36" s="65" t="str">
        <f>IF(AND('Mapa final'!$Y$26="Baja",'Mapa final'!$AA$26="Menor"),CONCATENATE("R1C",'Mapa final'!$O$26),"")</f>
        <v/>
      </c>
      <c r="R36" s="65" t="str">
        <f>IF(AND('Mapa final'!$Y$27="Baja",'Mapa final'!$AA$27="Menor"),CONCATENATE("R1C",'Mapa final'!$O$27),"")</f>
        <v/>
      </c>
      <c r="S36" s="65" t="str">
        <f>IF(AND('Mapa final'!$Y$28="Baja",'Mapa final'!$AA$28="Menor"),CONCATENATE("R1C",'Mapa final'!$O$28),"")</f>
        <v/>
      </c>
      <c r="T36" s="65" t="str">
        <f>IF(AND('Mapa final'!$Y$29="Baja",'Mapa final'!$AA$29="Menor"),CONCATENATE("R1C",'Mapa final'!$O$29),"")</f>
        <v/>
      </c>
      <c r="U36" s="66" t="str">
        <f>IF(AND('Mapa final'!$Y$30="Baja",'Mapa final'!$AA$30="Menor"),CONCATENATE("R1C",'Mapa final'!$O$30),"")</f>
        <v/>
      </c>
      <c r="V36" s="64" t="str">
        <f>IF(AND('Mapa final'!$Y$25="Baja",'Mapa final'!$AA$25="Moderado"),CONCATENATE("R1C",'Mapa final'!$O$25),"")</f>
        <v/>
      </c>
      <c r="W36" s="65" t="str">
        <f>IF(AND('Mapa final'!$Y$26="Baja",'Mapa final'!$AA$26="Moderado"),CONCATENATE("R1C",'Mapa final'!$O$26),"")</f>
        <v/>
      </c>
      <c r="X36" s="65" t="str">
        <f>IF(AND('Mapa final'!$Y$27="Baja",'Mapa final'!$AA$27="Moderado"),CONCATENATE("R1C",'Mapa final'!$O$27),"")</f>
        <v/>
      </c>
      <c r="Y36" s="65" t="str">
        <f>IF(AND('Mapa final'!$Y$28="Baja",'Mapa final'!$AA$28="Moderado"),CONCATENATE("R1C",'Mapa final'!$O$28),"")</f>
        <v/>
      </c>
      <c r="Z36" s="65" t="str">
        <f>IF(AND('Mapa final'!$Y$29="Baja",'Mapa final'!$AA$29="Moderado"),CONCATENATE("R1C",'Mapa final'!$O$29),"")</f>
        <v/>
      </c>
      <c r="AA36" s="66" t="str">
        <f>IF(AND('Mapa final'!$Y$30="Baja",'Mapa final'!$AA$30="Moderado"),CONCATENATE("R1C",'Mapa final'!$O$30),"")</f>
        <v/>
      </c>
      <c r="AB36" s="46" t="str">
        <f>IF(AND('Mapa final'!$Y$25="Baja",'Mapa final'!$AA$25="Mayor"),CONCATENATE("R1C",'Mapa final'!$O$25),"")</f>
        <v/>
      </c>
      <c r="AC36" s="47" t="str">
        <f>IF(AND('Mapa final'!$Y$26="Baja",'Mapa final'!$AA$26="Mayor"),CONCATENATE("R1C",'Mapa final'!$O$26),"")</f>
        <v/>
      </c>
      <c r="AD36" s="47" t="str">
        <f>IF(AND('Mapa final'!$Y$27="Baja",'Mapa final'!$AA$27="Mayor"),CONCATENATE("R1C",'Mapa final'!$O$27),"")</f>
        <v/>
      </c>
      <c r="AE36" s="47" t="str">
        <f>IF(AND('Mapa final'!$Y$28="Baja",'Mapa final'!$AA$28="Mayor"),CONCATENATE("R1C",'Mapa final'!$O$28),"")</f>
        <v/>
      </c>
      <c r="AF36" s="47" t="str">
        <f>IF(AND('Mapa final'!$Y$29="Baja",'Mapa final'!$AA$29="Mayor"),CONCATENATE("R1C",'Mapa final'!$O$29),"")</f>
        <v/>
      </c>
      <c r="AG36" s="48" t="str">
        <f>IF(AND('Mapa final'!$Y$30="Baja",'Mapa final'!$AA$30="Mayor"),CONCATENATE("R1C",'Mapa final'!$O$30),"")</f>
        <v/>
      </c>
      <c r="AH36" s="49" t="str">
        <f>IF(AND('Mapa final'!$Y$25="Baja",'Mapa final'!$AA$25="Catastrófico"),CONCATENATE("R1C",'Mapa final'!$O$25),"")</f>
        <v/>
      </c>
      <c r="AI36" s="50" t="str">
        <f>IF(AND('Mapa final'!$Y$26="Baja",'Mapa final'!$AA$26="Catastrófico"),CONCATENATE("R1C",'Mapa final'!$O$26),"")</f>
        <v/>
      </c>
      <c r="AJ36" s="50" t="str">
        <f>IF(AND('Mapa final'!$Y$27="Baja",'Mapa final'!$AA$27="Catastrófico"),CONCATENATE("R1C",'Mapa final'!$O$27),"")</f>
        <v/>
      </c>
      <c r="AK36" s="50" t="str">
        <f>IF(AND('Mapa final'!$Y$28="Baja",'Mapa final'!$AA$28="Catastrófico"),CONCATENATE("R1C",'Mapa final'!$O$28),"")</f>
        <v/>
      </c>
      <c r="AL36" s="50" t="str">
        <f>IF(AND('Mapa final'!$Y$29="Baja",'Mapa final'!$AA$29="Catastrófico"),CONCATENATE("R1C",'Mapa final'!$O$29),"")</f>
        <v/>
      </c>
      <c r="AM36" s="51" t="str">
        <f>IF(AND('Mapa final'!$Y$30="Baja",'Mapa final'!$AA$30="Catastrófico"),CONCATENATE("R1C",'Mapa final'!$O$30),"")</f>
        <v/>
      </c>
      <c r="AN36" s="83"/>
      <c r="AO36" s="487" t="s">
        <v>189</v>
      </c>
      <c r="AP36" s="488"/>
      <c r="AQ36" s="488"/>
      <c r="AR36" s="488"/>
      <c r="AS36" s="488"/>
      <c r="AT36" s="489"/>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18"/>
      <c r="C37" s="418"/>
      <c r="D37" s="419"/>
      <c r="E37" s="475"/>
      <c r="F37" s="460"/>
      <c r="G37" s="460"/>
      <c r="H37" s="460"/>
      <c r="I37" s="460"/>
      <c r="J37" s="76" t="str">
        <f>IF(AND('Mapa final'!$Y$31="Baja",'Mapa final'!$AA$31="Leve"),CONCATENATE("R2C",'Mapa final'!$O$31),"")</f>
        <v/>
      </c>
      <c r="K37" s="77" t="str">
        <f>IF(AND('Mapa final'!$Y$32="Baja",'Mapa final'!$AA$32="Leve"),CONCATENATE("R2C",'Mapa final'!$O$32),"")</f>
        <v/>
      </c>
      <c r="L37" s="77" t="e">
        <f>IF(AND('Mapa final'!#REF!="Baja",'Mapa final'!#REF!="Leve"),CONCATENATE("R2C",'Mapa final'!#REF!),"")</f>
        <v>#REF!</v>
      </c>
      <c r="M37" s="77" t="e">
        <f>IF(AND('Mapa final'!#REF!="Baja",'Mapa final'!#REF!="Leve"),CONCATENATE("R2C",'Mapa final'!#REF!),"")</f>
        <v>#REF!</v>
      </c>
      <c r="N37" s="77" t="e">
        <f>IF(AND('Mapa final'!#REF!="Baja",'Mapa final'!#REF!="Leve"),CONCATENATE("R2C",'Mapa final'!#REF!),"")</f>
        <v>#REF!</v>
      </c>
      <c r="O37" s="78" t="e">
        <f>IF(AND('Mapa final'!#REF!="Baja",'Mapa final'!#REF!="Leve"),CONCATENATE("R2C",'Mapa final'!#REF!),"")</f>
        <v>#REF!</v>
      </c>
      <c r="P37" s="67" t="str">
        <f>IF(AND('Mapa final'!$Y$31="Baja",'Mapa final'!$AA$31="Menor"),CONCATENATE("R2C",'Mapa final'!$O$31),"")</f>
        <v/>
      </c>
      <c r="Q37" s="68" t="str">
        <f>IF(AND('Mapa final'!$Y$32="Baja",'Mapa final'!$AA$32="Menor"),CONCATENATE("R2C",'Mapa final'!$O$32),"")</f>
        <v/>
      </c>
      <c r="R37" s="68" t="e">
        <f>IF(AND('Mapa final'!#REF!="Baja",'Mapa final'!#REF!="Menor"),CONCATENATE("R2C",'Mapa final'!#REF!),"")</f>
        <v>#REF!</v>
      </c>
      <c r="S37" s="68" t="e">
        <f>IF(AND('Mapa final'!#REF!="Baja",'Mapa final'!#REF!="Menor"),CONCATENATE("R2C",'Mapa final'!#REF!),"")</f>
        <v>#REF!</v>
      </c>
      <c r="T37" s="68" t="e">
        <f>IF(AND('Mapa final'!#REF!="Baja",'Mapa final'!#REF!="Menor"),CONCATENATE("R2C",'Mapa final'!#REF!),"")</f>
        <v>#REF!</v>
      </c>
      <c r="U37" s="69" t="e">
        <f>IF(AND('Mapa final'!#REF!="Baja",'Mapa final'!#REF!="Menor"),CONCATENATE("R2C",'Mapa final'!#REF!),"")</f>
        <v>#REF!</v>
      </c>
      <c r="V37" s="67" t="str">
        <f>IF(AND('Mapa final'!$Y$31="Baja",'Mapa final'!$AA$31="Moderado"),CONCATENATE("R2C",'Mapa final'!$O$31),"")</f>
        <v/>
      </c>
      <c r="W37" s="68" t="str">
        <f>IF(AND('Mapa final'!$Y$32="Baja",'Mapa final'!$AA$32="Moderado"),CONCATENATE("R2C",'Mapa final'!$O$32),"")</f>
        <v/>
      </c>
      <c r="X37" s="68" t="e">
        <f>IF(AND('Mapa final'!#REF!="Baja",'Mapa final'!#REF!="Moderado"),CONCATENATE("R2C",'Mapa final'!#REF!),"")</f>
        <v>#REF!</v>
      </c>
      <c r="Y37" s="68" t="e">
        <f>IF(AND('Mapa final'!#REF!="Baja",'Mapa final'!#REF!="Moderado"),CONCATENATE("R2C",'Mapa final'!#REF!),"")</f>
        <v>#REF!</v>
      </c>
      <c r="Z37" s="68" t="e">
        <f>IF(AND('Mapa final'!#REF!="Baja",'Mapa final'!#REF!="Moderado"),CONCATENATE("R2C",'Mapa final'!#REF!),"")</f>
        <v>#REF!</v>
      </c>
      <c r="AA37" s="69" t="e">
        <f>IF(AND('Mapa final'!#REF!="Baja",'Mapa final'!#REF!="Moderado"),CONCATENATE("R2C",'Mapa final'!#REF!),"")</f>
        <v>#REF!</v>
      </c>
      <c r="AB37" s="52" t="str">
        <f>IF(AND('Mapa final'!$Y$31="Baja",'Mapa final'!$AA$31="Mayor"),CONCATENATE("R2C",'Mapa final'!$O$31),"")</f>
        <v/>
      </c>
      <c r="AC37" s="53" t="str">
        <f>IF(AND('Mapa final'!$Y$32="Baja",'Mapa final'!$AA$32="Mayor"),CONCATENATE("R2C",'Mapa final'!$O$32),"")</f>
        <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final'!$Y$31="Baja",'Mapa final'!$AA$31="Catastrófico"),CONCATENATE("R2C",'Mapa final'!$O$31),"")</f>
        <v/>
      </c>
      <c r="AI37" s="56" t="str">
        <f>IF(AND('Mapa final'!$Y$32="Baja",'Mapa final'!$AA$32="Catastrófico"),CONCATENATE("R2C",'Mapa final'!$O$32),"")</f>
        <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3"/>
      <c r="AO37" s="490"/>
      <c r="AP37" s="491"/>
      <c r="AQ37" s="491"/>
      <c r="AR37" s="491"/>
      <c r="AS37" s="491"/>
      <c r="AT37" s="492"/>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18"/>
      <c r="C38" s="418"/>
      <c r="D38" s="419"/>
      <c r="E38" s="459"/>
      <c r="F38" s="460"/>
      <c r="G38" s="460"/>
      <c r="H38" s="460"/>
      <c r="I38" s="460"/>
      <c r="J38" s="76" t="str">
        <f>IF(AND('Mapa final'!$Y$33="Baja",'Mapa final'!$AA$33="Leve"),CONCATENATE("R3C",'Mapa final'!$O$33),"")</f>
        <v/>
      </c>
      <c r="K38" s="77" t="e">
        <f>IF(AND('Mapa final'!#REF!="Baja",'Mapa final'!#REF!="Leve"),CONCATENATE("R3C",'Mapa final'!#REF!),"")</f>
        <v>#REF!</v>
      </c>
      <c r="L38" s="77" t="e">
        <f>IF(AND('Mapa final'!#REF!="Baja",'Mapa final'!#REF!="Leve"),CONCATENATE("R3C",'Mapa final'!#REF!),"")</f>
        <v>#REF!</v>
      </c>
      <c r="M38" s="77" t="e">
        <f>IF(AND('Mapa final'!#REF!="Baja",'Mapa final'!#REF!="Leve"),CONCATENATE("R3C",'Mapa final'!#REF!),"")</f>
        <v>#REF!</v>
      </c>
      <c r="N38" s="77" t="e">
        <f>IF(AND('Mapa final'!#REF!="Baja",'Mapa final'!#REF!="Leve"),CONCATENATE("R3C",'Mapa final'!#REF!),"")</f>
        <v>#REF!</v>
      </c>
      <c r="O38" s="78" t="e">
        <f>IF(AND('Mapa final'!#REF!="Baja",'Mapa final'!#REF!="Leve"),CONCATENATE("R3C",'Mapa final'!#REF!),"")</f>
        <v>#REF!</v>
      </c>
      <c r="P38" s="67" t="str">
        <f>IF(AND('Mapa final'!$Y$33="Baja",'Mapa final'!$AA$33="Menor"),CONCATENATE("R3C",'Mapa final'!$O$33),"")</f>
        <v>R3C1</v>
      </c>
      <c r="Q38" s="68" t="e">
        <f>IF(AND('Mapa final'!#REF!="Baja",'Mapa final'!#REF!="Menor"),CONCATENATE("R3C",'Mapa final'!#REF!),"")</f>
        <v>#REF!</v>
      </c>
      <c r="R38" s="68" t="e">
        <f>IF(AND('Mapa final'!#REF!="Baja",'Mapa final'!#REF!="Menor"),CONCATENATE("R3C",'Mapa final'!#REF!),"")</f>
        <v>#REF!</v>
      </c>
      <c r="S38" s="68" t="e">
        <f>IF(AND('Mapa final'!#REF!="Baja",'Mapa final'!#REF!="Menor"),CONCATENATE("R3C",'Mapa final'!#REF!),"")</f>
        <v>#REF!</v>
      </c>
      <c r="T38" s="68" t="e">
        <f>IF(AND('Mapa final'!#REF!="Baja",'Mapa final'!#REF!="Menor"),CONCATENATE("R3C",'Mapa final'!#REF!),"")</f>
        <v>#REF!</v>
      </c>
      <c r="U38" s="69" t="e">
        <f>IF(AND('Mapa final'!#REF!="Baja",'Mapa final'!#REF!="Menor"),CONCATENATE("R3C",'Mapa final'!#REF!),"")</f>
        <v>#REF!</v>
      </c>
      <c r="V38" s="67" t="str">
        <f>IF(AND('Mapa final'!$Y$33="Baja",'Mapa final'!$AA$33="Moderado"),CONCATENATE("R3C",'Mapa final'!$O$33),"")</f>
        <v/>
      </c>
      <c r="W38" s="68" t="e">
        <f>IF(AND('Mapa final'!#REF!="Baja",'Mapa final'!#REF!="Moderado"),CONCATENATE("R3C",'Mapa final'!#REF!),"")</f>
        <v>#REF!</v>
      </c>
      <c r="X38" s="68" t="e">
        <f>IF(AND('Mapa final'!#REF!="Baja",'Mapa final'!#REF!="Moderado"),CONCATENATE("R3C",'Mapa final'!#REF!),"")</f>
        <v>#REF!</v>
      </c>
      <c r="Y38" s="68" t="e">
        <f>IF(AND('Mapa final'!#REF!="Baja",'Mapa final'!#REF!="Moderado"),CONCATENATE("R3C",'Mapa final'!#REF!),"")</f>
        <v>#REF!</v>
      </c>
      <c r="Z38" s="68" t="e">
        <f>IF(AND('Mapa final'!#REF!="Baja",'Mapa final'!#REF!="Moderado"),CONCATENATE("R3C",'Mapa final'!#REF!),"")</f>
        <v>#REF!</v>
      </c>
      <c r="AA38" s="69" t="e">
        <f>IF(AND('Mapa final'!#REF!="Baja",'Mapa final'!#REF!="Moderado"),CONCATENATE("R3C",'Mapa final'!#REF!),"")</f>
        <v>#REF!</v>
      </c>
      <c r="AB38" s="52" t="str">
        <f>IF(AND('Mapa final'!$Y$33="Baja",'Mapa final'!$AA$33="Mayor"),CONCATENATE("R3C",'Mapa final'!$O$33),"")</f>
        <v/>
      </c>
      <c r="AC38" s="53" t="e">
        <f>IF(AND('Mapa final'!#REF!="Baja",'Mapa final'!#REF!="Mayor"),CONCATENATE("R3C",'Mapa final'!#REF!),"")</f>
        <v>#REF!</v>
      </c>
      <c r="AD38" s="53" t="e">
        <f>IF(AND('Mapa final'!#REF!="Baja",'Mapa final'!#REF!="Mayor"),CONCATENATE("R3C",'Mapa final'!#REF!),"")</f>
        <v>#REF!</v>
      </c>
      <c r="AE38" s="53" t="e">
        <f>IF(AND('Mapa final'!#REF!="Baja",'Mapa final'!#REF!="Mayor"),CONCATENATE("R3C",'Mapa final'!#REF!),"")</f>
        <v>#REF!</v>
      </c>
      <c r="AF38" s="53" t="e">
        <f>IF(AND('Mapa final'!#REF!="Baja",'Mapa final'!#REF!="Mayor"),CONCATENATE("R3C",'Mapa final'!#REF!),"")</f>
        <v>#REF!</v>
      </c>
      <c r="AG38" s="54" t="e">
        <f>IF(AND('Mapa final'!#REF!="Baja",'Mapa final'!#REF!="Mayor"),CONCATENATE("R3C",'Mapa final'!#REF!),"")</f>
        <v>#REF!</v>
      </c>
      <c r="AH38" s="55" t="str">
        <f>IF(AND('Mapa final'!$Y$33="Baja",'Mapa final'!$AA$33="Catastrófico"),CONCATENATE("R3C",'Mapa final'!$O$33),"")</f>
        <v/>
      </c>
      <c r="AI38" s="56" t="e">
        <f>IF(AND('Mapa final'!#REF!="Baja",'Mapa final'!#REF!="Catastrófico"),CONCATENATE("R3C",'Mapa final'!#REF!),"")</f>
        <v>#REF!</v>
      </c>
      <c r="AJ38" s="56" t="e">
        <f>IF(AND('Mapa final'!#REF!="Baja",'Mapa final'!#REF!="Catastrófico"),CONCATENATE("R3C",'Mapa final'!#REF!),"")</f>
        <v>#REF!</v>
      </c>
      <c r="AK38" s="56" t="e">
        <f>IF(AND('Mapa final'!#REF!="Baja",'Mapa final'!#REF!="Catastrófico"),CONCATENATE("R3C",'Mapa final'!#REF!),"")</f>
        <v>#REF!</v>
      </c>
      <c r="AL38" s="56" t="e">
        <f>IF(AND('Mapa final'!#REF!="Baja",'Mapa final'!#REF!="Catastrófico"),CONCATENATE("R3C",'Mapa final'!#REF!),"")</f>
        <v>#REF!</v>
      </c>
      <c r="AM38" s="57" t="e">
        <f>IF(AND('Mapa final'!#REF!="Baja",'Mapa final'!#REF!="Catastrófico"),CONCATENATE("R3C",'Mapa final'!#REF!),"")</f>
        <v>#REF!</v>
      </c>
      <c r="AN38" s="83"/>
      <c r="AO38" s="490"/>
      <c r="AP38" s="491"/>
      <c r="AQ38" s="491"/>
      <c r="AR38" s="491"/>
      <c r="AS38" s="491"/>
      <c r="AT38" s="492"/>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18"/>
      <c r="C39" s="418"/>
      <c r="D39" s="419"/>
      <c r="E39" s="459"/>
      <c r="F39" s="460"/>
      <c r="G39" s="460"/>
      <c r="H39" s="460"/>
      <c r="I39" s="460"/>
      <c r="J39" s="76" t="str">
        <f>IF(AND('Mapa final'!$Y$34="Baja",'Mapa final'!$AA$34="Leve"),CONCATENATE("R4C",'Mapa final'!$O$34),"")</f>
        <v/>
      </c>
      <c r="K39" s="77" t="e">
        <f>IF(AND('Mapa final'!#REF!="Baja",'Mapa final'!#REF!="Leve"),CONCATENATE("R4C",'Mapa final'!#REF!),"")</f>
        <v>#REF!</v>
      </c>
      <c r="L39" s="77" t="e">
        <f>IF(AND('Mapa final'!#REF!="Baja",'Mapa final'!#REF!="Leve"),CONCATENATE("R4C",'Mapa final'!#REF!),"")</f>
        <v>#REF!</v>
      </c>
      <c r="M39" s="77" t="e">
        <f>IF(AND('Mapa final'!#REF!="Baja",'Mapa final'!#REF!="Leve"),CONCATENATE("R4C",'Mapa final'!#REF!),"")</f>
        <v>#REF!</v>
      </c>
      <c r="N39" s="77" t="e">
        <f>IF(AND('Mapa final'!#REF!="Baja",'Mapa final'!#REF!="Leve"),CONCATENATE("R4C",'Mapa final'!#REF!),"")</f>
        <v>#REF!</v>
      </c>
      <c r="O39" s="78" t="e">
        <f>IF(AND('Mapa final'!#REF!="Baja",'Mapa final'!#REF!="Leve"),CONCATENATE("R4C",'Mapa final'!#REF!),"")</f>
        <v>#REF!</v>
      </c>
      <c r="P39" s="67" t="str">
        <f>IF(AND('Mapa final'!$Y$34="Baja",'Mapa final'!$AA$34="Menor"),CONCATENATE("R4C",'Mapa final'!$O$34),"")</f>
        <v/>
      </c>
      <c r="Q39" s="68" t="e">
        <f>IF(AND('Mapa final'!#REF!="Baja",'Mapa final'!#REF!="Menor"),CONCATENATE("R4C",'Mapa final'!#REF!),"")</f>
        <v>#REF!</v>
      </c>
      <c r="R39" s="68" t="e">
        <f>IF(AND('Mapa final'!#REF!="Baja",'Mapa final'!#REF!="Menor"),CONCATENATE("R4C",'Mapa final'!#REF!),"")</f>
        <v>#REF!</v>
      </c>
      <c r="S39" s="68" t="e">
        <f>IF(AND('Mapa final'!#REF!="Baja",'Mapa final'!#REF!="Menor"),CONCATENATE("R4C",'Mapa final'!#REF!),"")</f>
        <v>#REF!</v>
      </c>
      <c r="T39" s="68" t="e">
        <f>IF(AND('Mapa final'!#REF!="Baja",'Mapa final'!#REF!="Menor"),CONCATENATE("R4C",'Mapa final'!#REF!),"")</f>
        <v>#REF!</v>
      </c>
      <c r="U39" s="69" t="e">
        <f>IF(AND('Mapa final'!#REF!="Baja",'Mapa final'!#REF!="Menor"),CONCATENATE("R4C",'Mapa final'!#REF!),"")</f>
        <v>#REF!</v>
      </c>
      <c r="V39" s="67" t="str">
        <f>IF(AND('Mapa final'!$Y$34="Baja",'Mapa final'!$AA$34="Moderado"),CONCATENATE("R4C",'Mapa final'!$O$34),"")</f>
        <v/>
      </c>
      <c r="W39" s="68" t="e">
        <f>IF(AND('Mapa final'!#REF!="Baja",'Mapa final'!#REF!="Moderado"),CONCATENATE("R4C",'Mapa final'!#REF!),"")</f>
        <v>#REF!</v>
      </c>
      <c r="X39" s="68" t="e">
        <f>IF(AND('Mapa final'!#REF!="Baja",'Mapa final'!#REF!="Moderado"),CONCATENATE("R4C",'Mapa final'!#REF!),"")</f>
        <v>#REF!</v>
      </c>
      <c r="Y39" s="68" t="e">
        <f>IF(AND('Mapa final'!#REF!="Baja",'Mapa final'!#REF!="Moderado"),CONCATENATE("R4C",'Mapa final'!#REF!),"")</f>
        <v>#REF!</v>
      </c>
      <c r="Z39" s="68" t="e">
        <f>IF(AND('Mapa final'!#REF!="Baja",'Mapa final'!#REF!="Moderado"),CONCATENATE("R4C",'Mapa final'!#REF!),"")</f>
        <v>#REF!</v>
      </c>
      <c r="AA39" s="69" t="e">
        <f>IF(AND('Mapa final'!#REF!="Baja",'Mapa final'!#REF!="Moderado"),CONCATENATE("R4C",'Mapa final'!#REF!),"")</f>
        <v>#REF!</v>
      </c>
      <c r="AB39" s="52" t="str">
        <f>IF(AND('Mapa final'!$Y$34="Baja",'Mapa final'!$AA$34="Mayor"),CONCATENATE("R4C",'Mapa final'!$O$34),"")</f>
        <v/>
      </c>
      <c r="AC39" s="53" t="e">
        <f>IF(AND('Mapa final'!#REF!="Baja",'Mapa final'!#REF!="Mayor"),CONCATENATE("R4C",'Mapa final'!#REF!),"")</f>
        <v>#REF!</v>
      </c>
      <c r="AD39" s="53" t="e">
        <f>IF(AND('Mapa final'!#REF!="Baja",'Mapa final'!#REF!="Mayor"),CONCATENATE("R4C",'Mapa final'!#REF!),"")</f>
        <v>#REF!</v>
      </c>
      <c r="AE39" s="53" t="e">
        <f>IF(AND('Mapa final'!#REF!="Baja",'Mapa final'!#REF!="Mayor"),CONCATENATE("R4C",'Mapa final'!#REF!),"")</f>
        <v>#REF!</v>
      </c>
      <c r="AF39" s="53" t="e">
        <f>IF(AND('Mapa final'!#REF!="Baja",'Mapa final'!#REF!="Mayor"),CONCATENATE("R4C",'Mapa final'!#REF!),"")</f>
        <v>#REF!</v>
      </c>
      <c r="AG39" s="54" t="e">
        <f>IF(AND('Mapa final'!#REF!="Baja",'Mapa final'!#REF!="Mayor"),CONCATENATE("R4C",'Mapa final'!#REF!),"")</f>
        <v>#REF!</v>
      </c>
      <c r="AH39" s="55" t="str">
        <f>IF(AND('Mapa final'!$Y$34="Baja",'Mapa final'!$AA$34="Catastrófico"),CONCATENATE("R4C",'Mapa final'!$O$34),"")</f>
        <v/>
      </c>
      <c r="AI39" s="56" t="e">
        <f>IF(AND('Mapa final'!#REF!="Baja",'Mapa final'!#REF!="Catastrófico"),CONCATENATE("R4C",'Mapa final'!#REF!),"")</f>
        <v>#REF!</v>
      </c>
      <c r="AJ39" s="56" t="e">
        <f>IF(AND('Mapa final'!#REF!="Baja",'Mapa final'!#REF!="Catastrófico"),CONCATENATE("R4C",'Mapa final'!#REF!),"")</f>
        <v>#REF!</v>
      </c>
      <c r="AK39" s="56" t="e">
        <f>IF(AND('Mapa final'!#REF!="Baja",'Mapa final'!#REF!="Catastrófico"),CONCATENATE("R4C",'Mapa final'!#REF!),"")</f>
        <v>#REF!</v>
      </c>
      <c r="AL39" s="56" t="e">
        <f>IF(AND('Mapa final'!#REF!="Baja",'Mapa final'!#REF!="Catastrófico"),CONCATENATE("R4C",'Mapa final'!#REF!),"")</f>
        <v>#REF!</v>
      </c>
      <c r="AM39" s="57" t="e">
        <f>IF(AND('Mapa final'!#REF!="Baja",'Mapa final'!#REF!="Catastrófico"),CONCATENATE("R4C",'Mapa final'!#REF!),"")</f>
        <v>#REF!</v>
      </c>
      <c r="AN39" s="83"/>
      <c r="AO39" s="490"/>
      <c r="AP39" s="491"/>
      <c r="AQ39" s="491"/>
      <c r="AR39" s="491"/>
      <c r="AS39" s="491"/>
      <c r="AT39" s="492"/>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18"/>
      <c r="C40" s="418"/>
      <c r="D40" s="419"/>
      <c r="E40" s="459"/>
      <c r="F40" s="460"/>
      <c r="G40" s="460"/>
      <c r="H40" s="460"/>
      <c r="I40" s="460"/>
      <c r="J40" s="76" t="str">
        <f>IF(AND('Mapa final'!$Y$36="Baja",'Mapa final'!$AA$36="Leve"),CONCATENATE("R5C",'Mapa final'!$O$36),"")</f>
        <v>R5C1</v>
      </c>
      <c r="K40" s="77" t="e">
        <f>IF(AND('Mapa final'!#REF!="Baja",'Mapa final'!#REF!="Leve"),CONCATENATE("R5C",'Mapa final'!#REF!),"")</f>
        <v>#REF!</v>
      </c>
      <c r="L40" s="77" t="e">
        <f>IF(AND('Mapa final'!#REF!="Baja",'Mapa final'!#REF!="Leve"),CONCATENATE("R5C",'Mapa final'!#REF!),"")</f>
        <v>#REF!</v>
      </c>
      <c r="M40" s="77" t="e">
        <f>IF(AND('Mapa final'!#REF!="Baja",'Mapa final'!#REF!="Leve"),CONCATENATE("R5C",'Mapa final'!#REF!),"")</f>
        <v>#REF!</v>
      </c>
      <c r="N40" s="77" t="e">
        <f>IF(AND('Mapa final'!#REF!="Baja",'Mapa final'!#REF!="Leve"),CONCATENATE("R5C",'Mapa final'!#REF!),"")</f>
        <v>#REF!</v>
      </c>
      <c r="O40" s="78" t="e">
        <f>IF(AND('Mapa final'!#REF!="Baja",'Mapa final'!#REF!="Leve"),CONCATENATE("R5C",'Mapa final'!#REF!),"")</f>
        <v>#REF!</v>
      </c>
      <c r="P40" s="67" t="str">
        <f>IF(AND('Mapa final'!$Y$36="Baja",'Mapa final'!$AA$36="Menor"),CONCATENATE("R5C",'Mapa final'!$O$36),"")</f>
        <v/>
      </c>
      <c r="Q40" s="68" t="e">
        <f>IF(AND('Mapa final'!#REF!="Baja",'Mapa final'!#REF!="Menor"),CONCATENATE("R5C",'Mapa final'!#REF!),"")</f>
        <v>#REF!</v>
      </c>
      <c r="R40" s="68" t="e">
        <f>IF(AND('Mapa final'!#REF!="Baja",'Mapa final'!#REF!="Menor"),CONCATENATE("R5C",'Mapa final'!#REF!),"")</f>
        <v>#REF!</v>
      </c>
      <c r="S40" s="68" t="e">
        <f>IF(AND('Mapa final'!#REF!="Baja",'Mapa final'!#REF!="Menor"),CONCATENATE("R5C",'Mapa final'!#REF!),"")</f>
        <v>#REF!</v>
      </c>
      <c r="T40" s="68" t="e">
        <f>IF(AND('Mapa final'!#REF!="Baja",'Mapa final'!#REF!="Menor"),CONCATENATE("R5C",'Mapa final'!#REF!),"")</f>
        <v>#REF!</v>
      </c>
      <c r="U40" s="69" t="e">
        <f>IF(AND('Mapa final'!#REF!="Baja",'Mapa final'!#REF!="Menor"),CONCATENATE("R5C",'Mapa final'!#REF!),"")</f>
        <v>#REF!</v>
      </c>
      <c r="V40" s="67" t="str">
        <f>IF(AND('Mapa final'!$Y$36="Baja",'Mapa final'!$AA$36="Moderado"),CONCATENATE("R5C",'Mapa final'!$O$36),"")</f>
        <v/>
      </c>
      <c r="W40" s="68" t="e">
        <f>IF(AND('Mapa final'!#REF!="Baja",'Mapa final'!#REF!="Moderado"),CONCATENATE("R5C",'Mapa final'!#REF!),"")</f>
        <v>#REF!</v>
      </c>
      <c r="X40" s="68" t="e">
        <f>IF(AND('Mapa final'!#REF!="Baja",'Mapa final'!#REF!="Moderado"),CONCATENATE("R5C",'Mapa final'!#REF!),"")</f>
        <v>#REF!</v>
      </c>
      <c r="Y40" s="68" t="e">
        <f>IF(AND('Mapa final'!#REF!="Baja",'Mapa final'!#REF!="Moderado"),CONCATENATE("R5C",'Mapa final'!#REF!),"")</f>
        <v>#REF!</v>
      </c>
      <c r="Z40" s="68" t="e">
        <f>IF(AND('Mapa final'!#REF!="Baja",'Mapa final'!#REF!="Moderado"),CONCATENATE("R5C",'Mapa final'!#REF!),"")</f>
        <v>#REF!</v>
      </c>
      <c r="AA40" s="69" t="e">
        <f>IF(AND('Mapa final'!#REF!="Baja",'Mapa final'!#REF!="Moderado"),CONCATENATE("R5C",'Mapa final'!#REF!),"")</f>
        <v>#REF!</v>
      </c>
      <c r="AB40" s="52" t="str">
        <f>IF(AND('Mapa final'!$Y$36="Baja",'Mapa final'!$AA$36="Mayor"),CONCATENATE("R5C",'Mapa final'!$O$36),"")</f>
        <v/>
      </c>
      <c r="AC40" s="53" t="e">
        <f>IF(AND('Mapa final'!#REF!="Baja",'Mapa final'!#REF!="Mayor"),CONCATENATE("R5C",'Mapa final'!#REF!),"")</f>
        <v>#REF!</v>
      </c>
      <c r="AD40" s="53" t="e">
        <f>IF(AND('Mapa final'!#REF!="Baja",'Mapa final'!#REF!="Mayor"),CONCATENATE("R5C",'Mapa final'!#REF!),"")</f>
        <v>#REF!</v>
      </c>
      <c r="AE40" s="53" t="e">
        <f>IF(AND('Mapa final'!#REF!="Baja",'Mapa final'!#REF!="Mayor"),CONCATENATE("R5C",'Mapa final'!#REF!),"")</f>
        <v>#REF!</v>
      </c>
      <c r="AF40" s="53" t="e">
        <f>IF(AND('Mapa final'!#REF!="Baja",'Mapa final'!#REF!="Mayor"),CONCATENATE("R5C",'Mapa final'!#REF!),"")</f>
        <v>#REF!</v>
      </c>
      <c r="AG40" s="54" t="e">
        <f>IF(AND('Mapa final'!#REF!="Baja",'Mapa final'!#REF!="Mayor"),CONCATENATE("R5C",'Mapa final'!#REF!),"")</f>
        <v>#REF!</v>
      </c>
      <c r="AH40" s="55" t="str">
        <f>IF(AND('Mapa final'!$Y$36="Baja",'Mapa final'!$AA$36="Catastrófico"),CONCATENATE("R5C",'Mapa final'!$O$36),"")</f>
        <v/>
      </c>
      <c r="AI40" s="56" t="e">
        <f>IF(AND('Mapa final'!#REF!="Baja",'Mapa final'!#REF!="Catastrófico"),CONCATENATE("R5C",'Mapa final'!#REF!),"")</f>
        <v>#REF!</v>
      </c>
      <c r="AJ40" s="56" t="e">
        <f>IF(AND('Mapa final'!#REF!="Baja",'Mapa final'!#REF!="Catastrófico"),CONCATENATE("R5C",'Mapa final'!#REF!),"")</f>
        <v>#REF!</v>
      </c>
      <c r="AK40" s="56" t="e">
        <f>IF(AND('Mapa final'!#REF!="Baja",'Mapa final'!#REF!="Catastrófico"),CONCATENATE("R5C",'Mapa final'!#REF!),"")</f>
        <v>#REF!</v>
      </c>
      <c r="AL40" s="56" t="e">
        <f>IF(AND('Mapa final'!#REF!="Baja",'Mapa final'!#REF!="Catastrófico"),CONCATENATE("R5C",'Mapa final'!#REF!),"")</f>
        <v>#REF!</v>
      </c>
      <c r="AM40" s="57" t="e">
        <f>IF(AND('Mapa final'!#REF!="Baja",'Mapa final'!#REF!="Catastrófico"),CONCATENATE("R5C",'Mapa final'!#REF!),"")</f>
        <v>#REF!</v>
      </c>
      <c r="AN40" s="83"/>
      <c r="AO40" s="490"/>
      <c r="AP40" s="491"/>
      <c r="AQ40" s="491"/>
      <c r="AR40" s="491"/>
      <c r="AS40" s="491"/>
      <c r="AT40" s="492"/>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18"/>
      <c r="C41" s="418"/>
      <c r="D41" s="419"/>
      <c r="E41" s="459"/>
      <c r="F41" s="460"/>
      <c r="G41" s="460"/>
      <c r="H41" s="460"/>
      <c r="I41" s="460"/>
      <c r="J41" s="76" t="str">
        <f>IF(AND('Mapa final'!$Y$37="Baja",'Mapa final'!$AA$37="Leve"),CONCATENATE("R6C",'Mapa final'!$O$37),"")</f>
        <v/>
      </c>
      <c r="K41" s="77" t="e">
        <f>IF(AND('Mapa final'!#REF!="Baja",'Mapa final'!#REF!="Leve"),CONCATENATE("R6C",'Mapa final'!#REF!),"")</f>
        <v>#REF!</v>
      </c>
      <c r="L41" s="77" t="e">
        <f>IF(AND('Mapa final'!#REF!="Baja",'Mapa final'!#REF!="Leve"),CONCATENATE("R6C",'Mapa final'!#REF!),"")</f>
        <v>#REF!</v>
      </c>
      <c r="M41" s="77" t="e">
        <f>IF(AND('Mapa final'!#REF!="Baja",'Mapa final'!#REF!="Leve"),CONCATENATE("R6C",'Mapa final'!#REF!),"")</f>
        <v>#REF!</v>
      </c>
      <c r="N41" s="77" t="e">
        <f>IF(AND('Mapa final'!#REF!="Baja",'Mapa final'!#REF!="Leve"),CONCATENATE("R6C",'Mapa final'!#REF!),"")</f>
        <v>#REF!</v>
      </c>
      <c r="O41" s="78" t="e">
        <f>IF(AND('Mapa final'!#REF!="Baja",'Mapa final'!#REF!="Leve"),CONCATENATE("R6C",'Mapa final'!#REF!),"")</f>
        <v>#REF!</v>
      </c>
      <c r="P41" s="67" t="str">
        <f>IF(AND('Mapa final'!$Y$37="Baja",'Mapa final'!$AA$37="Menor"),CONCATENATE("R6C",'Mapa final'!$O$37),"")</f>
        <v>R6C1</v>
      </c>
      <c r="Q41" s="68" t="e">
        <f>IF(AND('Mapa final'!#REF!="Baja",'Mapa final'!#REF!="Menor"),CONCATENATE("R6C",'Mapa final'!#REF!),"")</f>
        <v>#REF!</v>
      </c>
      <c r="R41" s="68" t="e">
        <f>IF(AND('Mapa final'!#REF!="Baja",'Mapa final'!#REF!="Menor"),CONCATENATE("R6C",'Mapa final'!#REF!),"")</f>
        <v>#REF!</v>
      </c>
      <c r="S41" s="68" t="e">
        <f>IF(AND('Mapa final'!#REF!="Baja",'Mapa final'!#REF!="Menor"),CONCATENATE("R6C",'Mapa final'!#REF!),"")</f>
        <v>#REF!</v>
      </c>
      <c r="T41" s="68" t="e">
        <f>IF(AND('Mapa final'!#REF!="Baja",'Mapa final'!#REF!="Menor"),CONCATENATE("R6C",'Mapa final'!#REF!),"")</f>
        <v>#REF!</v>
      </c>
      <c r="U41" s="69" t="e">
        <f>IF(AND('Mapa final'!#REF!="Baja",'Mapa final'!#REF!="Menor"),CONCATENATE("R6C",'Mapa final'!#REF!),"")</f>
        <v>#REF!</v>
      </c>
      <c r="V41" s="67" t="str">
        <f>IF(AND('Mapa final'!$Y$37="Baja",'Mapa final'!$AA$37="Moderado"),CONCATENATE("R6C",'Mapa final'!$O$37),"")</f>
        <v/>
      </c>
      <c r="W41" s="68" t="e">
        <f>IF(AND('Mapa final'!#REF!="Baja",'Mapa final'!#REF!="Moderado"),CONCATENATE("R6C",'Mapa final'!#REF!),"")</f>
        <v>#REF!</v>
      </c>
      <c r="X41" s="68" t="e">
        <f>IF(AND('Mapa final'!#REF!="Baja",'Mapa final'!#REF!="Moderado"),CONCATENATE("R6C",'Mapa final'!#REF!),"")</f>
        <v>#REF!</v>
      </c>
      <c r="Y41" s="68" t="e">
        <f>IF(AND('Mapa final'!#REF!="Baja",'Mapa final'!#REF!="Moderado"),CONCATENATE("R6C",'Mapa final'!#REF!),"")</f>
        <v>#REF!</v>
      </c>
      <c r="Z41" s="68" t="e">
        <f>IF(AND('Mapa final'!#REF!="Baja",'Mapa final'!#REF!="Moderado"),CONCATENATE("R6C",'Mapa final'!#REF!),"")</f>
        <v>#REF!</v>
      </c>
      <c r="AA41" s="69" t="e">
        <f>IF(AND('Mapa final'!#REF!="Baja",'Mapa final'!#REF!="Moderado"),CONCATENATE("R6C",'Mapa final'!#REF!),"")</f>
        <v>#REF!</v>
      </c>
      <c r="AB41" s="52" t="str">
        <f>IF(AND('Mapa final'!$Y$37="Baja",'Mapa final'!$AA$37="Mayor"),CONCATENATE("R6C",'Mapa final'!$O$37),"")</f>
        <v/>
      </c>
      <c r="AC41" s="53" t="e">
        <f>IF(AND('Mapa final'!#REF!="Baja",'Mapa final'!#REF!="Mayor"),CONCATENATE("R6C",'Mapa final'!#REF!),"")</f>
        <v>#REF!</v>
      </c>
      <c r="AD41" s="53" t="e">
        <f>IF(AND('Mapa final'!#REF!="Baja",'Mapa final'!#REF!="Mayor"),CONCATENATE("R6C",'Mapa final'!#REF!),"")</f>
        <v>#REF!</v>
      </c>
      <c r="AE41" s="53" t="e">
        <f>IF(AND('Mapa final'!#REF!="Baja",'Mapa final'!#REF!="Mayor"),CONCATENATE("R6C",'Mapa final'!#REF!),"")</f>
        <v>#REF!</v>
      </c>
      <c r="AF41" s="53" t="e">
        <f>IF(AND('Mapa final'!#REF!="Baja",'Mapa final'!#REF!="Mayor"),CONCATENATE("R6C",'Mapa final'!#REF!),"")</f>
        <v>#REF!</v>
      </c>
      <c r="AG41" s="54" t="e">
        <f>IF(AND('Mapa final'!#REF!="Baja",'Mapa final'!#REF!="Mayor"),CONCATENATE("R6C",'Mapa final'!#REF!),"")</f>
        <v>#REF!</v>
      </c>
      <c r="AH41" s="55" t="str">
        <f>IF(AND('Mapa final'!$Y$37="Baja",'Mapa final'!$AA$37="Catastrófico"),CONCATENATE("R6C",'Mapa final'!$O$37),"")</f>
        <v/>
      </c>
      <c r="AI41" s="56" t="e">
        <f>IF(AND('Mapa final'!#REF!="Baja",'Mapa final'!#REF!="Catastrófico"),CONCATENATE("R6C",'Mapa final'!#REF!),"")</f>
        <v>#REF!</v>
      </c>
      <c r="AJ41" s="56" t="e">
        <f>IF(AND('Mapa final'!#REF!="Baja",'Mapa final'!#REF!="Catastrófico"),CONCATENATE("R6C",'Mapa final'!#REF!),"")</f>
        <v>#REF!</v>
      </c>
      <c r="AK41" s="56" t="e">
        <f>IF(AND('Mapa final'!#REF!="Baja",'Mapa final'!#REF!="Catastrófico"),CONCATENATE("R6C",'Mapa final'!#REF!),"")</f>
        <v>#REF!</v>
      </c>
      <c r="AL41" s="56" t="e">
        <f>IF(AND('Mapa final'!#REF!="Baja",'Mapa final'!#REF!="Catastrófico"),CONCATENATE("R6C",'Mapa final'!#REF!),"")</f>
        <v>#REF!</v>
      </c>
      <c r="AM41" s="57" t="e">
        <f>IF(AND('Mapa final'!#REF!="Baja",'Mapa final'!#REF!="Catastrófico"),CONCATENATE("R6C",'Mapa final'!#REF!),"")</f>
        <v>#REF!</v>
      </c>
      <c r="AN41" s="83"/>
      <c r="AO41" s="490"/>
      <c r="AP41" s="491"/>
      <c r="AQ41" s="491"/>
      <c r="AR41" s="491"/>
      <c r="AS41" s="491"/>
      <c r="AT41" s="492"/>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18"/>
      <c r="C42" s="418"/>
      <c r="D42" s="419"/>
      <c r="E42" s="459"/>
      <c r="F42" s="460"/>
      <c r="G42" s="460"/>
      <c r="H42" s="460"/>
      <c r="I42" s="460"/>
      <c r="J42" s="76" t="e">
        <f>IF(AND('Mapa final'!#REF!="Baja",'Mapa final'!#REF!="Leve"),CONCATENATE("R7C",'Mapa final'!#REF!),"")</f>
        <v>#REF!</v>
      </c>
      <c r="K42" s="77" t="e">
        <f>IF(AND('Mapa final'!#REF!="Baja",'Mapa final'!#REF!="Leve"),CONCATENATE("R7C",'Mapa final'!#REF!),"")</f>
        <v>#REF!</v>
      </c>
      <c r="L42" s="77" t="e">
        <f>IF(AND('Mapa final'!#REF!="Baja",'Mapa final'!#REF!="Leve"),CONCATENATE("R7C",'Mapa final'!#REF!),"")</f>
        <v>#REF!</v>
      </c>
      <c r="M42" s="77" t="e">
        <f>IF(AND('Mapa final'!#REF!="Baja",'Mapa final'!#REF!="Leve"),CONCATENATE("R7C",'Mapa final'!#REF!),"")</f>
        <v>#REF!</v>
      </c>
      <c r="N42" s="77" t="e">
        <f>IF(AND('Mapa final'!#REF!="Baja",'Mapa final'!#REF!="Leve"),CONCATENATE("R7C",'Mapa final'!#REF!),"")</f>
        <v>#REF!</v>
      </c>
      <c r="O42" s="78" t="e">
        <f>IF(AND('Mapa final'!#REF!="Baja",'Mapa final'!#REF!="Leve"),CONCATENATE("R7C",'Mapa final'!#REF!),"")</f>
        <v>#REF!</v>
      </c>
      <c r="P42" s="67" t="e">
        <f>IF(AND('Mapa final'!#REF!="Baja",'Mapa final'!#REF!="Menor"),CONCATENATE("R7C",'Mapa final'!#REF!),"")</f>
        <v>#REF!</v>
      </c>
      <c r="Q42" s="68" t="e">
        <f>IF(AND('Mapa final'!#REF!="Baja",'Mapa final'!#REF!="Menor"),CONCATENATE("R7C",'Mapa final'!#REF!),"")</f>
        <v>#REF!</v>
      </c>
      <c r="R42" s="68" t="e">
        <f>IF(AND('Mapa final'!#REF!="Baja",'Mapa final'!#REF!="Menor"),CONCATENATE("R7C",'Mapa final'!#REF!),"")</f>
        <v>#REF!</v>
      </c>
      <c r="S42" s="68" t="e">
        <f>IF(AND('Mapa final'!#REF!="Baja",'Mapa final'!#REF!="Menor"),CONCATENATE("R7C",'Mapa final'!#REF!),"")</f>
        <v>#REF!</v>
      </c>
      <c r="T42" s="68" t="e">
        <f>IF(AND('Mapa final'!#REF!="Baja",'Mapa final'!#REF!="Menor"),CONCATENATE("R7C",'Mapa final'!#REF!),"")</f>
        <v>#REF!</v>
      </c>
      <c r="U42" s="69" t="e">
        <f>IF(AND('Mapa final'!#REF!="Baja",'Mapa final'!#REF!="Menor"),CONCATENATE("R7C",'Mapa final'!#REF!),"")</f>
        <v>#REF!</v>
      </c>
      <c r="V42" s="67" t="e">
        <f>IF(AND('Mapa final'!#REF!="Baja",'Mapa final'!#REF!="Moderado"),CONCATENATE("R7C",'Mapa final'!#REF!),"")</f>
        <v>#REF!</v>
      </c>
      <c r="W42" s="68" t="e">
        <f>IF(AND('Mapa final'!#REF!="Baja",'Mapa final'!#REF!="Moderado"),CONCATENATE("R7C",'Mapa final'!#REF!),"")</f>
        <v>#REF!</v>
      </c>
      <c r="X42" s="68" t="e">
        <f>IF(AND('Mapa final'!#REF!="Baja",'Mapa final'!#REF!="Moderado"),CONCATENATE("R7C",'Mapa final'!#REF!),"")</f>
        <v>#REF!</v>
      </c>
      <c r="Y42" s="68" t="e">
        <f>IF(AND('Mapa final'!#REF!="Baja",'Mapa final'!#REF!="Moderado"),CONCATENATE("R7C",'Mapa final'!#REF!),"")</f>
        <v>#REF!</v>
      </c>
      <c r="Z42" s="68" t="e">
        <f>IF(AND('Mapa final'!#REF!="Baja",'Mapa final'!#REF!="Moderado"),CONCATENATE("R7C",'Mapa final'!#REF!),"")</f>
        <v>#REF!</v>
      </c>
      <c r="AA42" s="69" t="e">
        <f>IF(AND('Mapa final'!#REF!="Baja",'Mapa final'!#REF!="Moderado"),CONCATENATE("R7C",'Mapa final'!#REF!),"")</f>
        <v>#REF!</v>
      </c>
      <c r="AB42" s="52" t="e">
        <f>IF(AND('Mapa final'!#REF!="Baja",'Mapa final'!#REF!="Mayor"),CONCATENATE("R7C",'Mapa final'!#REF!),"")</f>
        <v>#REF!</v>
      </c>
      <c r="AC42" s="53" t="e">
        <f>IF(AND('Mapa final'!#REF!="Baja",'Mapa final'!#REF!="Mayor"),CONCATENATE("R7C",'Mapa final'!#REF!),"")</f>
        <v>#REF!</v>
      </c>
      <c r="AD42" s="53" t="e">
        <f>IF(AND('Mapa final'!#REF!="Baja",'Mapa final'!#REF!="Mayor"),CONCATENATE("R7C",'Mapa final'!#REF!),"")</f>
        <v>#REF!</v>
      </c>
      <c r="AE42" s="53" t="e">
        <f>IF(AND('Mapa final'!#REF!="Baja",'Mapa final'!#REF!="Mayor"),CONCATENATE("R7C",'Mapa final'!#REF!),"")</f>
        <v>#REF!</v>
      </c>
      <c r="AF42" s="53" t="e">
        <f>IF(AND('Mapa final'!#REF!="Baja",'Mapa final'!#REF!="Mayor"),CONCATENATE("R7C",'Mapa final'!#REF!),"")</f>
        <v>#REF!</v>
      </c>
      <c r="AG42" s="54" t="e">
        <f>IF(AND('Mapa final'!#REF!="Baja",'Mapa final'!#REF!="Mayor"),CONCATENATE("R7C",'Mapa final'!#REF!),"")</f>
        <v>#REF!</v>
      </c>
      <c r="AH42" s="55" t="e">
        <f>IF(AND('Mapa final'!#REF!="Baja",'Mapa final'!#REF!="Catastrófico"),CONCATENATE("R7C",'Mapa final'!#REF!),"")</f>
        <v>#REF!</v>
      </c>
      <c r="AI42" s="56" t="e">
        <f>IF(AND('Mapa final'!#REF!="Baja",'Mapa final'!#REF!="Catastrófico"),CONCATENATE("R7C",'Mapa final'!#REF!),"")</f>
        <v>#REF!</v>
      </c>
      <c r="AJ42" s="56" t="e">
        <f>IF(AND('Mapa final'!#REF!="Baja",'Mapa final'!#REF!="Catastrófico"),CONCATENATE("R7C",'Mapa final'!#REF!),"")</f>
        <v>#REF!</v>
      </c>
      <c r="AK42" s="56" t="e">
        <f>IF(AND('Mapa final'!#REF!="Baja",'Mapa final'!#REF!="Catastrófico"),CONCATENATE("R7C",'Mapa final'!#REF!),"")</f>
        <v>#REF!</v>
      </c>
      <c r="AL42" s="56" t="e">
        <f>IF(AND('Mapa final'!#REF!="Baja",'Mapa final'!#REF!="Catastrófico"),CONCATENATE("R7C",'Mapa final'!#REF!),"")</f>
        <v>#REF!</v>
      </c>
      <c r="AM42" s="57" t="e">
        <f>IF(AND('Mapa final'!#REF!="Baja",'Mapa final'!#REF!="Catastrófico"),CONCATENATE("R7C",'Mapa final'!#REF!),"")</f>
        <v>#REF!</v>
      </c>
      <c r="AN42" s="83"/>
      <c r="AO42" s="490"/>
      <c r="AP42" s="491"/>
      <c r="AQ42" s="491"/>
      <c r="AR42" s="491"/>
      <c r="AS42" s="491"/>
      <c r="AT42" s="492"/>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18"/>
      <c r="C43" s="418"/>
      <c r="D43" s="419"/>
      <c r="E43" s="459"/>
      <c r="F43" s="460"/>
      <c r="G43" s="460"/>
      <c r="H43" s="460"/>
      <c r="I43" s="460"/>
      <c r="J43" s="76" t="str">
        <f>IF(AND('Mapa final'!$Y$38="Baja",'Mapa final'!$AA$38="Leve"),CONCATENATE("R8C",'Mapa final'!$O$38),"")</f>
        <v/>
      </c>
      <c r="K43" s="77" t="str">
        <f>IF(AND('Mapa final'!$Y$39="Baja",'Mapa final'!$AA$39="Leve"),CONCATENATE("R8C",'Mapa final'!$O$39),"")</f>
        <v/>
      </c>
      <c r="L43" s="77" t="str">
        <f>IF(AND('Mapa final'!$Y$40="Baja",'Mapa final'!$AA$40="Leve"),CONCATENATE("R8C",'Mapa final'!$O$40),"")</f>
        <v/>
      </c>
      <c r="M43" s="77" t="str">
        <f>IF(AND('Mapa final'!$Y$41="Baja",'Mapa final'!$AA$41="Leve"),CONCATENATE("R8C",'Mapa final'!$O$41),"")</f>
        <v/>
      </c>
      <c r="N43" s="77" t="str">
        <f>IF(AND('Mapa final'!$Y$42="Baja",'Mapa final'!$AA$42="Leve"),CONCATENATE("R8C",'Mapa final'!$O$42),"")</f>
        <v/>
      </c>
      <c r="O43" s="78" t="str">
        <f>IF(AND('Mapa final'!$Y$43="Baja",'Mapa final'!$AA$43="Leve"),CONCATENATE("R8C",'Mapa final'!$O$43),"")</f>
        <v/>
      </c>
      <c r="P43" s="67" t="str">
        <f>IF(AND('Mapa final'!$Y$38="Baja",'Mapa final'!$AA$38="Menor"),CONCATENATE("R8C",'Mapa final'!$O$38),"")</f>
        <v/>
      </c>
      <c r="Q43" s="68" t="str">
        <f>IF(AND('Mapa final'!$Y$39="Baja",'Mapa final'!$AA$39="Menor"),CONCATENATE("R8C",'Mapa final'!$O$39),"")</f>
        <v/>
      </c>
      <c r="R43" s="68" t="str">
        <f>IF(AND('Mapa final'!$Y$40="Baja",'Mapa final'!$AA$40="Menor"),CONCATENATE("R8C",'Mapa final'!$O$40),"")</f>
        <v/>
      </c>
      <c r="S43" s="68" t="str">
        <f>IF(AND('Mapa final'!$Y$41="Baja",'Mapa final'!$AA$41="Menor"),CONCATENATE("R8C",'Mapa final'!$O$41),"")</f>
        <v/>
      </c>
      <c r="T43" s="68" t="str">
        <f>IF(AND('Mapa final'!$Y$42="Baja",'Mapa final'!$AA$42="Menor"),CONCATENATE("R8C",'Mapa final'!$O$42),"")</f>
        <v/>
      </c>
      <c r="U43" s="69" t="str">
        <f>IF(AND('Mapa final'!$Y$43="Baja",'Mapa final'!$AA$43="Menor"),CONCATENATE("R8C",'Mapa final'!$O$43),"")</f>
        <v/>
      </c>
      <c r="V43" s="67" t="str">
        <f>IF(AND('Mapa final'!$Y$38="Baja",'Mapa final'!$AA$38="Moderado"),CONCATENATE("R8C",'Mapa final'!$O$38),"")</f>
        <v/>
      </c>
      <c r="W43" s="68" t="str">
        <f>IF(AND('Mapa final'!$Y$39="Baja",'Mapa final'!$AA$39="Moderado"),CONCATENATE("R8C",'Mapa final'!$O$39),"")</f>
        <v/>
      </c>
      <c r="X43" s="68" t="str">
        <f>IF(AND('Mapa final'!$Y$40="Baja",'Mapa final'!$AA$40="Moderado"),CONCATENATE("R8C",'Mapa final'!$O$40),"")</f>
        <v/>
      </c>
      <c r="Y43" s="68" t="str">
        <f>IF(AND('Mapa final'!$Y$41="Baja",'Mapa final'!$AA$41="Moderado"),CONCATENATE("R8C",'Mapa final'!$O$41),"")</f>
        <v/>
      </c>
      <c r="Z43" s="68" t="str">
        <f>IF(AND('Mapa final'!$Y$42="Baja",'Mapa final'!$AA$42="Moderado"),CONCATENATE("R8C",'Mapa final'!$O$42),"")</f>
        <v/>
      </c>
      <c r="AA43" s="69" t="str">
        <f>IF(AND('Mapa final'!$Y$43="Baja",'Mapa final'!$AA$43="Moderado"),CONCATENATE("R8C",'Mapa final'!$O$43),"")</f>
        <v/>
      </c>
      <c r="AB43" s="52" t="str">
        <f>IF(AND('Mapa final'!$Y$38="Baja",'Mapa final'!$AA$38="Mayor"),CONCATENATE("R8C",'Mapa final'!$O$38),"")</f>
        <v/>
      </c>
      <c r="AC43" s="53" t="str">
        <f>IF(AND('Mapa final'!$Y$39="Baja",'Mapa final'!$AA$39="Mayor"),CONCATENATE("R8C",'Mapa final'!$O$39),"")</f>
        <v/>
      </c>
      <c r="AD43" s="53" t="str">
        <f>IF(AND('Mapa final'!$Y$40="Baja",'Mapa final'!$AA$40="Mayor"),CONCATENATE("R8C",'Mapa final'!$O$40),"")</f>
        <v/>
      </c>
      <c r="AE43" s="53" t="str">
        <f>IF(AND('Mapa final'!$Y$41="Baja",'Mapa final'!$AA$41="Mayor"),CONCATENATE("R8C",'Mapa final'!$O$41),"")</f>
        <v/>
      </c>
      <c r="AF43" s="53" t="str">
        <f>IF(AND('Mapa final'!$Y$42="Baja",'Mapa final'!$AA$42="Mayor"),CONCATENATE("R8C",'Mapa final'!$O$42),"")</f>
        <v/>
      </c>
      <c r="AG43" s="54" t="str">
        <f>IF(AND('Mapa final'!$Y$43="Baja",'Mapa final'!$AA$43="Mayor"),CONCATENATE("R8C",'Mapa final'!$O$43),"")</f>
        <v/>
      </c>
      <c r="AH43" s="55" t="str">
        <f>IF(AND('Mapa final'!$Y$38="Baja",'Mapa final'!$AA$38="Catastrófico"),CONCATENATE("R8C",'Mapa final'!$O$38),"")</f>
        <v/>
      </c>
      <c r="AI43" s="56" t="str">
        <f>IF(AND('Mapa final'!$Y$39="Baja",'Mapa final'!$AA$39="Catastrófico"),CONCATENATE("R8C",'Mapa final'!$O$39),"")</f>
        <v/>
      </c>
      <c r="AJ43" s="56" t="str">
        <f>IF(AND('Mapa final'!$Y$40="Baja",'Mapa final'!$AA$40="Catastrófico"),CONCATENATE("R8C",'Mapa final'!$O$40),"")</f>
        <v/>
      </c>
      <c r="AK43" s="56" t="str">
        <f>IF(AND('Mapa final'!$Y$41="Baja",'Mapa final'!$AA$41="Catastrófico"),CONCATENATE("R8C",'Mapa final'!$O$41),"")</f>
        <v/>
      </c>
      <c r="AL43" s="56" t="str">
        <f>IF(AND('Mapa final'!$Y$42="Baja",'Mapa final'!$AA$42="Catastrófico"),CONCATENATE("R8C",'Mapa final'!$O$42),"")</f>
        <v/>
      </c>
      <c r="AM43" s="57" t="str">
        <f>IF(AND('Mapa final'!$Y$43="Baja",'Mapa final'!$AA$43="Catastrófico"),CONCATENATE("R8C",'Mapa final'!$O$43),"")</f>
        <v/>
      </c>
      <c r="AN43" s="83"/>
      <c r="AO43" s="490"/>
      <c r="AP43" s="491"/>
      <c r="AQ43" s="491"/>
      <c r="AR43" s="491"/>
      <c r="AS43" s="491"/>
      <c r="AT43" s="492"/>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18"/>
      <c r="C44" s="418"/>
      <c r="D44" s="419"/>
      <c r="E44" s="459"/>
      <c r="F44" s="460"/>
      <c r="G44" s="460"/>
      <c r="H44" s="460"/>
      <c r="I44" s="460"/>
      <c r="J44" s="76" t="str">
        <f>IF(AND('Mapa final'!$Y$44="Baja",'Mapa final'!$AA$44="Leve"),CONCATENATE("R9C",'Mapa final'!$O$44),"")</f>
        <v/>
      </c>
      <c r="K44" s="77" t="str">
        <f>IF(AND('Mapa final'!$Y$45="Baja",'Mapa final'!$AA$45="Leve"),CONCATENATE("R9C",'Mapa final'!$O$45),"")</f>
        <v/>
      </c>
      <c r="L44" s="77" t="str">
        <f>IF(AND('Mapa final'!$Y$46="Baja",'Mapa final'!$AA$46="Leve"),CONCATENATE("R9C",'Mapa final'!$O$46),"")</f>
        <v/>
      </c>
      <c r="M44" s="77" t="str">
        <f>IF(AND('Mapa final'!$Y$47="Baja",'Mapa final'!$AA$47="Leve"),CONCATENATE("R9C",'Mapa final'!$O$47),"")</f>
        <v/>
      </c>
      <c r="N44" s="77" t="str">
        <f>IF(AND('Mapa final'!$Y$48="Baja",'Mapa final'!$AA$48="Leve"),CONCATENATE("R9C",'Mapa final'!$O$48),"")</f>
        <v/>
      </c>
      <c r="O44" s="78" t="str">
        <f>IF(AND('Mapa final'!$Y$49="Baja",'Mapa final'!$AA$49="Leve"),CONCATENATE("R9C",'Mapa final'!$O$49),"")</f>
        <v/>
      </c>
      <c r="P44" s="67" t="str">
        <f>IF(AND('Mapa final'!$Y$44="Baja",'Mapa final'!$AA$44="Menor"),CONCATENATE("R9C",'Mapa final'!$O$44),"")</f>
        <v/>
      </c>
      <c r="Q44" s="68" t="str">
        <f>IF(AND('Mapa final'!$Y$45="Baja",'Mapa final'!$AA$45="Menor"),CONCATENATE("R9C",'Mapa final'!$O$45),"")</f>
        <v/>
      </c>
      <c r="R44" s="68" t="str">
        <f>IF(AND('Mapa final'!$Y$46="Baja",'Mapa final'!$AA$46="Menor"),CONCATENATE("R9C",'Mapa final'!$O$46),"")</f>
        <v/>
      </c>
      <c r="S44" s="68" t="str">
        <f>IF(AND('Mapa final'!$Y$47="Baja",'Mapa final'!$AA$47="Menor"),CONCATENATE("R9C",'Mapa final'!$O$47),"")</f>
        <v/>
      </c>
      <c r="T44" s="68" t="str">
        <f>IF(AND('Mapa final'!$Y$48="Baja",'Mapa final'!$AA$48="Menor"),CONCATENATE("R9C",'Mapa final'!$O$48),"")</f>
        <v/>
      </c>
      <c r="U44" s="69" t="str">
        <f>IF(AND('Mapa final'!$Y$49="Baja",'Mapa final'!$AA$49="Menor"),CONCATENATE("R9C",'Mapa final'!$O$49),"")</f>
        <v/>
      </c>
      <c r="V44" s="67" t="str">
        <f>IF(AND('Mapa final'!$Y$44="Baja",'Mapa final'!$AA$44="Moderado"),CONCATENATE("R9C",'Mapa final'!$O$44),"")</f>
        <v/>
      </c>
      <c r="W44" s="68" t="str">
        <f>IF(AND('Mapa final'!$Y$45="Baja",'Mapa final'!$AA$45="Moderado"),CONCATENATE("R9C",'Mapa final'!$O$45),"")</f>
        <v/>
      </c>
      <c r="X44" s="68" t="str">
        <f>IF(AND('Mapa final'!$Y$46="Baja",'Mapa final'!$AA$46="Moderado"),CONCATENATE("R9C",'Mapa final'!$O$46),"")</f>
        <v/>
      </c>
      <c r="Y44" s="68" t="str">
        <f>IF(AND('Mapa final'!$Y$47="Baja",'Mapa final'!$AA$47="Moderado"),CONCATENATE("R9C",'Mapa final'!$O$47),"")</f>
        <v/>
      </c>
      <c r="Z44" s="68" t="str">
        <f>IF(AND('Mapa final'!$Y$48="Baja",'Mapa final'!$AA$48="Moderado"),CONCATENATE("R9C",'Mapa final'!$O$48),"")</f>
        <v/>
      </c>
      <c r="AA44" s="69" t="str">
        <f>IF(AND('Mapa final'!$Y$49="Baja",'Mapa final'!$AA$49="Moderado"),CONCATENATE("R9C",'Mapa final'!$O$49),"")</f>
        <v/>
      </c>
      <c r="AB44" s="52" t="str">
        <f>IF(AND('Mapa final'!$Y$44="Baja",'Mapa final'!$AA$44="Mayor"),CONCATENATE("R9C",'Mapa final'!$O$44),"")</f>
        <v/>
      </c>
      <c r="AC44" s="53" t="str">
        <f>IF(AND('Mapa final'!$Y$45="Baja",'Mapa final'!$AA$45="Mayor"),CONCATENATE("R9C",'Mapa final'!$O$45),"")</f>
        <v/>
      </c>
      <c r="AD44" s="53" t="str">
        <f>IF(AND('Mapa final'!$Y$46="Baja",'Mapa final'!$AA$46="Mayor"),CONCATENATE("R9C",'Mapa final'!$O$46),"")</f>
        <v/>
      </c>
      <c r="AE44" s="53" t="str">
        <f>IF(AND('Mapa final'!$Y$47="Baja",'Mapa final'!$AA$47="Mayor"),CONCATENATE("R9C",'Mapa final'!$O$47),"")</f>
        <v/>
      </c>
      <c r="AF44" s="53" t="str">
        <f>IF(AND('Mapa final'!$Y$48="Baja",'Mapa final'!$AA$48="Mayor"),CONCATENATE("R9C",'Mapa final'!$O$48),"")</f>
        <v/>
      </c>
      <c r="AG44" s="54" t="str">
        <f>IF(AND('Mapa final'!$Y$49="Baja",'Mapa final'!$AA$49="Mayor"),CONCATENATE("R9C",'Mapa final'!$O$49),"")</f>
        <v/>
      </c>
      <c r="AH44" s="55" t="str">
        <f>IF(AND('Mapa final'!$Y$44="Baja",'Mapa final'!$AA$44="Catastrófico"),CONCATENATE("R9C",'Mapa final'!$O$44),"")</f>
        <v/>
      </c>
      <c r="AI44" s="56" t="str">
        <f>IF(AND('Mapa final'!$Y$45="Baja",'Mapa final'!$AA$45="Catastrófico"),CONCATENATE("R9C",'Mapa final'!$O$45),"")</f>
        <v/>
      </c>
      <c r="AJ44" s="56" t="str">
        <f>IF(AND('Mapa final'!$Y$46="Baja",'Mapa final'!$AA$46="Catastrófico"),CONCATENATE("R9C",'Mapa final'!$O$46),"")</f>
        <v/>
      </c>
      <c r="AK44" s="56" t="str">
        <f>IF(AND('Mapa final'!$Y$47="Baja",'Mapa final'!$AA$47="Catastrófico"),CONCATENATE("R9C",'Mapa final'!$O$47),"")</f>
        <v/>
      </c>
      <c r="AL44" s="56" t="str">
        <f>IF(AND('Mapa final'!$Y$48="Baja",'Mapa final'!$AA$48="Catastrófico"),CONCATENATE("R9C",'Mapa final'!$O$48),"")</f>
        <v/>
      </c>
      <c r="AM44" s="57" t="str">
        <f>IF(AND('Mapa final'!$Y$49="Baja",'Mapa final'!$AA$49="Catastrófico"),CONCATENATE("R9C",'Mapa final'!$O$49),"")</f>
        <v/>
      </c>
      <c r="AN44" s="83"/>
      <c r="AO44" s="490"/>
      <c r="AP44" s="491"/>
      <c r="AQ44" s="491"/>
      <c r="AR44" s="491"/>
      <c r="AS44" s="491"/>
      <c r="AT44" s="492"/>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18"/>
      <c r="C45" s="418"/>
      <c r="D45" s="419"/>
      <c r="E45" s="462"/>
      <c r="F45" s="463"/>
      <c r="G45" s="463"/>
      <c r="H45" s="463"/>
      <c r="I45" s="463"/>
      <c r="J45" s="79" t="str">
        <f>IF(AND('Mapa final'!$Y$50="Baja",'Mapa final'!$AA$50="Leve"),CONCATENATE("R10C",'Mapa final'!$O$50),"")</f>
        <v/>
      </c>
      <c r="K45" s="80" t="str">
        <f>IF(AND('Mapa final'!$Y$51="Baja",'Mapa final'!$AA$51="Leve"),CONCATENATE("R10C",'Mapa final'!$O$51),"")</f>
        <v/>
      </c>
      <c r="L45" s="80" t="str">
        <f>IF(AND('Mapa final'!$Y$52="Baja",'Mapa final'!$AA$52="Leve"),CONCATENATE("R10C",'Mapa final'!$O$52),"")</f>
        <v/>
      </c>
      <c r="M45" s="80" t="str">
        <f>IF(AND('Mapa final'!$Y$53="Baja",'Mapa final'!$AA$53="Leve"),CONCATENATE("R10C",'Mapa final'!$O$53),"")</f>
        <v/>
      </c>
      <c r="N45" s="80" t="str">
        <f>IF(AND('Mapa final'!$Y$54="Baja",'Mapa final'!$AA$54="Leve"),CONCATENATE("R10C",'Mapa final'!$O$54),"")</f>
        <v/>
      </c>
      <c r="O45" s="81" t="str">
        <f>IF(AND('Mapa final'!$Y$55="Baja",'Mapa final'!$AA$55="Leve"),CONCATENATE("R10C",'Mapa final'!$O$55),"")</f>
        <v/>
      </c>
      <c r="P45" s="67" t="str">
        <f>IF(AND('Mapa final'!$Y$50="Baja",'Mapa final'!$AA$50="Menor"),CONCATENATE("R10C",'Mapa final'!$O$50),"")</f>
        <v/>
      </c>
      <c r="Q45" s="68" t="str">
        <f>IF(AND('Mapa final'!$Y$51="Baja",'Mapa final'!$AA$51="Menor"),CONCATENATE("R10C",'Mapa final'!$O$51),"")</f>
        <v/>
      </c>
      <c r="R45" s="68" t="str">
        <f>IF(AND('Mapa final'!$Y$52="Baja",'Mapa final'!$AA$52="Menor"),CONCATENATE("R10C",'Mapa final'!$O$52),"")</f>
        <v/>
      </c>
      <c r="S45" s="68" t="str">
        <f>IF(AND('Mapa final'!$Y$53="Baja",'Mapa final'!$AA$53="Menor"),CONCATENATE("R10C",'Mapa final'!$O$53),"")</f>
        <v/>
      </c>
      <c r="T45" s="68" t="str">
        <f>IF(AND('Mapa final'!$Y$54="Baja",'Mapa final'!$AA$54="Menor"),CONCATENATE("R10C",'Mapa final'!$O$54),"")</f>
        <v/>
      </c>
      <c r="U45" s="69" t="str">
        <f>IF(AND('Mapa final'!$Y$55="Baja",'Mapa final'!$AA$55="Menor"),CONCATENATE("R10C",'Mapa final'!$O$55),"")</f>
        <v/>
      </c>
      <c r="V45" s="70" t="str">
        <f>IF(AND('Mapa final'!$Y$50="Baja",'Mapa final'!$AA$50="Moderado"),CONCATENATE("R10C",'Mapa final'!$O$50),"")</f>
        <v/>
      </c>
      <c r="W45" s="71" t="str">
        <f>IF(AND('Mapa final'!$Y$51="Baja",'Mapa final'!$AA$51="Moderado"),CONCATENATE("R10C",'Mapa final'!$O$51),"")</f>
        <v/>
      </c>
      <c r="X45" s="71" t="str">
        <f>IF(AND('Mapa final'!$Y$52="Baja",'Mapa final'!$AA$52="Moderado"),CONCATENATE("R10C",'Mapa final'!$O$52),"")</f>
        <v/>
      </c>
      <c r="Y45" s="71" t="str">
        <f>IF(AND('Mapa final'!$Y$53="Baja",'Mapa final'!$AA$53="Moderado"),CONCATENATE("R10C",'Mapa final'!$O$53),"")</f>
        <v/>
      </c>
      <c r="Z45" s="71" t="str">
        <f>IF(AND('Mapa final'!$Y$54="Baja",'Mapa final'!$AA$54="Moderado"),CONCATENATE("R10C",'Mapa final'!$O$54),"")</f>
        <v/>
      </c>
      <c r="AA45" s="72" t="str">
        <f>IF(AND('Mapa final'!$Y$55="Baja",'Mapa final'!$AA$55="Moderado"),CONCATENATE("R10C",'Mapa final'!$O$55),"")</f>
        <v/>
      </c>
      <c r="AB45" s="58" t="str">
        <f>IF(AND('Mapa final'!$Y$50="Baja",'Mapa final'!$AA$50="Mayor"),CONCATENATE("R10C",'Mapa final'!$O$50),"")</f>
        <v/>
      </c>
      <c r="AC45" s="59" t="str">
        <f>IF(AND('Mapa final'!$Y$51="Baja",'Mapa final'!$AA$51="Mayor"),CONCATENATE("R10C",'Mapa final'!$O$51),"")</f>
        <v/>
      </c>
      <c r="AD45" s="59" t="str">
        <f>IF(AND('Mapa final'!$Y$52="Baja",'Mapa final'!$AA$52="Mayor"),CONCATENATE("R10C",'Mapa final'!$O$52),"")</f>
        <v/>
      </c>
      <c r="AE45" s="59" t="str">
        <f>IF(AND('Mapa final'!$Y$53="Baja",'Mapa final'!$AA$53="Mayor"),CONCATENATE("R10C",'Mapa final'!$O$53),"")</f>
        <v/>
      </c>
      <c r="AF45" s="59" t="str">
        <f>IF(AND('Mapa final'!$Y$54="Baja",'Mapa final'!$AA$54="Mayor"),CONCATENATE("R10C",'Mapa final'!$O$54),"")</f>
        <v/>
      </c>
      <c r="AG45" s="60" t="str">
        <f>IF(AND('Mapa final'!$Y$55="Baja",'Mapa final'!$AA$55="Mayor"),CONCATENATE("R10C",'Mapa final'!$O$55),"")</f>
        <v/>
      </c>
      <c r="AH45" s="61" t="str">
        <f>IF(AND('Mapa final'!$Y$50="Baja",'Mapa final'!$AA$50="Catastrófico"),CONCATENATE("R10C",'Mapa final'!$O$50),"")</f>
        <v/>
      </c>
      <c r="AI45" s="62" t="str">
        <f>IF(AND('Mapa final'!$Y$51="Baja",'Mapa final'!$AA$51="Catastrófico"),CONCATENATE("R10C",'Mapa final'!$O$51),"")</f>
        <v/>
      </c>
      <c r="AJ45" s="62" t="str">
        <f>IF(AND('Mapa final'!$Y$52="Baja",'Mapa final'!$AA$52="Catastrófico"),CONCATENATE("R10C",'Mapa final'!$O$52),"")</f>
        <v/>
      </c>
      <c r="AK45" s="62" t="str">
        <f>IF(AND('Mapa final'!$Y$53="Baja",'Mapa final'!$AA$53="Catastrófico"),CONCATENATE("R10C",'Mapa final'!$O$53),"")</f>
        <v/>
      </c>
      <c r="AL45" s="62" t="str">
        <f>IF(AND('Mapa final'!$Y$54="Baja",'Mapa final'!$AA$54="Catastrófico"),CONCATENATE("R10C",'Mapa final'!$O$54),"")</f>
        <v/>
      </c>
      <c r="AM45" s="63" t="str">
        <f>IF(AND('Mapa final'!$Y$55="Baja",'Mapa final'!$AA$55="Catastrófico"),CONCATENATE("R10C",'Mapa final'!$O$55),"")</f>
        <v/>
      </c>
      <c r="AN45" s="83"/>
      <c r="AO45" s="493"/>
      <c r="AP45" s="494"/>
      <c r="AQ45" s="494"/>
      <c r="AR45" s="494"/>
      <c r="AS45" s="494"/>
      <c r="AT45" s="495"/>
    </row>
    <row r="46" spans="1:80" ht="46.5" customHeight="1" x14ac:dyDescent="0.35">
      <c r="A46" s="83"/>
      <c r="B46" s="418"/>
      <c r="C46" s="418"/>
      <c r="D46" s="419"/>
      <c r="E46" s="456" t="s">
        <v>190</v>
      </c>
      <c r="F46" s="457"/>
      <c r="G46" s="457"/>
      <c r="H46" s="457"/>
      <c r="I46" s="458"/>
      <c r="J46" s="73" t="str">
        <f>IF(AND('Mapa final'!$Y$25="Muy Baja",'Mapa final'!$AA$25="Leve"),CONCATENATE("R1C",'Mapa final'!$O$25),"")</f>
        <v/>
      </c>
      <c r="K46" s="74" t="str">
        <f>IF(AND('Mapa final'!$Y$26="Muy Baja",'Mapa final'!$AA$26="Leve"),CONCATENATE("R1C",'Mapa final'!$O$26),"")</f>
        <v/>
      </c>
      <c r="L46" s="74" t="str">
        <f>IF(AND('Mapa final'!$Y$27="Muy Baja",'Mapa final'!$AA$27="Leve"),CONCATENATE("R1C",'Mapa final'!$O$27),"")</f>
        <v/>
      </c>
      <c r="M46" s="74" t="str">
        <f>IF(AND('Mapa final'!$Y$28="Muy Baja",'Mapa final'!$AA$28="Leve"),CONCATENATE("R1C",'Mapa final'!$O$28),"")</f>
        <v/>
      </c>
      <c r="N46" s="74" t="str">
        <f>IF(AND('Mapa final'!$Y$29="Muy Baja",'Mapa final'!$AA$29="Leve"),CONCATENATE("R1C",'Mapa final'!$O$29),"")</f>
        <v/>
      </c>
      <c r="O46" s="75" t="str">
        <f>IF(AND('Mapa final'!$Y$30="Muy Baja",'Mapa final'!$AA$30="Leve"),CONCATENATE("R1C",'Mapa final'!$O$30),"")</f>
        <v/>
      </c>
      <c r="P46" s="73" t="str">
        <f>IF(AND('Mapa final'!$Y$25="Muy Baja",'Mapa final'!$AA$25="Menor"),CONCATENATE("R1C",'Mapa final'!$O$25),"")</f>
        <v>R1C1</v>
      </c>
      <c r="Q46" s="74" t="str">
        <f>IF(AND('Mapa final'!$Y$26="Muy Baja",'Mapa final'!$AA$26="Menor"),CONCATENATE("R1C",'Mapa final'!$O$26),"")</f>
        <v/>
      </c>
      <c r="R46" s="74" t="str">
        <f>IF(AND('Mapa final'!$Y$27="Muy Baja",'Mapa final'!$AA$27="Menor"),CONCATENATE("R1C",'Mapa final'!$O$27),"")</f>
        <v/>
      </c>
      <c r="S46" s="74" t="str">
        <f>IF(AND('Mapa final'!$Y$28="Muy Baja",'Mapa final'!$AA$28="Menor"),CONCATENATE("R1C",'Mapa final'!$O$28),"")</f>
        <v/>
      </c>
      <c r="T46" s="74" t="str">
        <f>IF(AND('Mapa final'!$Y$29="Muy Baja",'Mapa final'!$AA$29="Menor"),CONCATENATE("R1C",'Mapa final'!$O$29),"")</f>
        <v/>
      </c>
      <c r="U46" s="75" t="str">
        <f>IF(AND('Mapa final'!$Y$30="Muy Baja",'Mapa final'!$AA$30="Menor"),CONCATENATE("R1C",'Mapa final'!$O$30),"")</f>
        <v/>
      </c>
      <c r="V46" s="64" t="str">
        <f>IF(AND('Mapa final'!$Y$25="Muy Baja",'Mapa final'!$AA$25="Moderado"),CONCATENATE("R1C",'Mapa final'!$O$25),"")</f>
        <v/>
      </c>
      <c r="W46" s="82" t="str">
        <f>IF(AND('Mapa final'!$Y$26="Muy Baja",'Mapa final'!$AA$26="Moderado"),CONCATENATE("R1C",'Mapa final'!$O$26),"")</f>
        <v/>
      </c>
      <c r="X46" s="65" t="str">
        <f>IF(AND('Mapa final'!$Y$27="Muy Baja",'Mapa final'!$AA$27="Moderado"),CONCATENATE("R1C",'Mapa final'!$O$27),"")</f>
        <v/>
      </c>
      <c r="Y46" s="65" t="str">
        <f>IF(AND('Mapa final'!$Y$28="Muy Baja",'Mapa final'!$AA$28="Moderado"),CONCATENATE("R1C",'Mapa final'!$O$28),"")</f>
        <v/>
      </c>
      <c r="Z46" s="65" t="str">
        <f>IF(AND('Mapa final'!$Y$29="Muy Baja",'Mapa final'!$AA$29="Moderado"),CONCATENATE("R1C",'Mapa final'!$O$29),"")</f>
        <v/>
      </c>
      <c r="AA46" s="66" t="str">
        <f>IF(AND('Mapa final'!$Y$30="Muy Baja",'Mapa final'!$AA$30="Moderado"),CONCATENATE("R1C",'Mapa final'!$O$30),"")</f>
        <v/>
      </c>
      <c r="AB46" s="46" t="str">
        <f>IF(AND('Mapa final'!$Y$25="Muy Baja",'Mapa final'!$AA$25="Mayor"),CONCATENATE("R1C",'Mapa final'!$O$25),"")</f>
        <v/>
      </c>
      <c r="AC46" s="47" t="str">
        <f>IF(AND('Mapa final'!$Y$26="Muy Baja",'Mapa final'!$AA$26="Mayor"),CONCATENATE("R1C",'Mapa final'!$O$26),"")</f>
        <v/>
      </c>
      <c r="AD46" s="47" t="str">
        <f>IF(AND('Mapa final'!$Y$27="Muy Baja",'Mapa final'!$AA$27="Mayor"),CONCATENATE("R1C",'Mapa final'!$O$27),"")</f>
        <v/>
      </c>
      <c r="AE46" s="47" t="str">
        <f>IF(AND('Mapa final'!$Y$28="Muy Baja",'Mapa final'!$AA$28="Mayor"),CONCATENATE("R1C",'Mapa final'!$O$28),"")</f>
        <v/>
      </c>
      <c r="AF46" s="47" t="str">
        <f>IF(AND('Mapa final'!$Y$29="Muy Baja",'Mapa final'!$AA$29="Mayor"),CONCATENATE("R1C",'Mapa final'!$O$29),"")</f>
        <v/>
      </c>
      <c r="AG46" s="48" t="str">
        <f>IF(AND('Mapa final'!$Y$30="Muy Baja",'Mapa final'!$AA$30="Mayor"),CONCATENATE("R1C",'Mapa final'!$O$30),"")</f>
        <v/>
      </c>
      <c r="AH46" s="49" t="str">
        <f>IF(AND('Mapa final'!$Y$25="Muy Baja",'Mapa final'!$AA$25="Catastrófico"),CONCATENATE("R1C",'Mapa final'!$O$25),"")</f>
        <v/>
      </c>
      <c r="AI46" s="50" t="str">
        <f>IF(AND('Mapa final'!$Y$26="Muy Baja",'Mapa final'!$AA$26="Catastrófico"),CONCATENATE("R1C",'Mapa final'!$O$26),"")</f>
        <v/>
      </c>
      <c r="AJ46" s="50" t="str">
        <f>IF(AND('Mapa final'!$Y$27="Muy Baja",'Mapa final'!$AA$27="Catastrófico"),CONCATENATE("R1C",'Mapa final'!$O$27),"")</f>
        <v/>
      </c>
      <c r="AK46" s="50" t="str">
        <f>IF(AND('Mapa final'!$Y$28="Muy Baja",'Mapa final'!$AA$28="Catastrófico"),CONCATENATE("R1C",'Mapa final'!$O$28),"")</f>
        <v/>
      </c>
      <c r="AL46" s="50" t="str">
        <f>IF(AND('Mapa final'!$Y$29="Muy Baja",'Mapa final'!$AA$29="Catastrófico"),CONCATENATE("R1C",'Mapa final'!$O$29),"")</f>
        <v/>
      </c>
      <c r="AM46" s="51" t="str">
        <f>IF(AND('Mapa final'!$Y$30="Muy Baja",'Mapa final'!$AA$30="Catastrófico"),CONCATENATE("R1C",'Mapa final'!$O$30),"")</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18"/>
      <c r="C47" s="418"/>
      <c r="D47" s="419"/>
      <c r="E47" s="475"/>
      <c r="F47" s="460"/>
      <c r="G47" s="460"/>
      <c r="H47" s="460"/>
      <c r="I47" s="461"/>
      <c r="J47" s="76" t="str">
        <f>IF(AND('Mapa final'!$Y$31="Muy Baja",'Mapa final'!$AA$31="Leve"),CONCATENATE("R2C",'Mapa final'!$O$31),"")</f>
        <v/>
      </c>
      <c r="K47" s="77" t="str">
        <f>IF(AND('Mapa final'!$Y$32="Muy Baja",'Mapa final'!$AA$32="Leve"),CONCATENATE("R2C",'Mapa final'!$O$32),"")</f>
        <v/>
      </c>
      <c r="L47" s="77" t="e">
        <f>IF(AND('Mapa final'!#REF!="Muy Baja",'Mapa final'!#REF!="Leve"),CONCATENATE("R2C",'Mapa final'!#REF!),"")</f>
        <v>#REF!</v>
      </c>
      <c r="M47" s="77" t="e">
        <f>IF(AND('Mapa final'!#REF!="Muy Baja",'Mapa final'!#REF!="Leve"),CONCATENATE("R2C",'Mapa final'!#REF!),"")</f>
        <v>#REF!</v>
      </c>
      <c r="N47" s="77" t="e">
        <f>IF(AND('Mapa final'!#REF!="Muy Baja",'Mapa final'!#REF!="Leve"),CONCATENATE("R2C",'Mapa final'!#REF!),"")</f>
        <v>#REF!</v>
      </c>
      <c r="O47" s="78" t="e">
        <f>IF(AND('Mapa final'!#REF!="Muy Baja",'Mapa final'!#REF!="Leve"),CONCATENATE("R2C",'Mapa final'!#REF!),"")</f>
        <v>#REF!</v>
      </c>
      <c r="P47" s="76" t="str">
        <f>IF(AND('Mapa final'!$Y$31="Muy Baja",'Mapa final'!$AA$31="Menor"),CONCATENATE("R2C",'Mapa final'!$O$31),"")</f>
        <v>R2C1</v>
      </c>
      <c r="Q47" s="77" t="str">
        <f>IF(AND('Mapa final'!$Y$32="Muy Baja",'Mapa final'!$AA$32="Menor"),CONCATENATE("R2C",'Mapa final'!$O$32),"")</f>
        <v>R2C2</v>
      </c>
      <c r="R47" s="77" t="e">
        <f>IF(AND('Mapa final'!#REF!="Muy Baja",'Mapa final'!#REF!="Menor"),CONCATENATE("R2C",'Mapa final'!#REF!),"")</f>
        <v>#REF!</v>
      </c>
      <c r="S47" s="77" t="e">
        <f>IF(AND('Mapa final'!#REF!="Muy Baja",'Mapa final'!#REF!="Menor"),CONCATENATE("R2C",'Mapa final'!#REF!),"")</f>
        <v>#REF!</v>
      </c>
      <c r="T47" s="77" t="e">
        <f>IF(AND('Mapa final'!#REF!="Muy Baja",'Mapa final'!#REF!="Menor"),CONCATENATE("R2C",'Mapa final'!#REF!),"")</f>
        <v>#REF!</v>
      </c>
      <c r="U47" s="78" t="e">
        <f>IF(AND('Mapa final'!#REF!="Muy Baja",'Mapa final'!#REF!="Menor"),CONCATENATE("R2C",'Mapa final'!#REF!),"")</f>
        <v>#REF!</v>
      </c>
      <c r="V47" s="67" t="str">
        <f>IF(AND('Mapa final'!$Y$31="Muy Baja",'Mapa final'!$AA$31="Moderado"),CONCATENATE("R2C",'Mapa final'!$O$31),"")</f>
        <v/>
      </c>
      <c r="W47" s="68" t="str">
        <f>IF(AND('Mapa final'!$Y$32="Muy Baja",'Mapa final'!$AA$32="Moderado"),CONCATENATE("R2C",'Mapa final'!$O$32),"")</f>
        <v/>
      </c>
      <c r="X47" s="68" t="e">
        <f>IF(AND('Mapa final'!#REF!="Muy Baja",'Mapa final'!#REF!="Moderado"),CONCATENATE("R2C",'Mapa final'!#REF!),"")</f>
        <v>#REF!</v>
      </c>
      <c r="Y47" s="68" t="e">
        <f>IF(AND('Mapa final'!#REF!="Muy Baja",'Mapa final'!#REF!="Moderado"),CONCATENATE("R2C",'Mapa final'!#REF!),"")</f>
        <v>#REF!</v>
      </c>
      <c r="Z47" s="68" t="e">
        <f>IF(AND('Mapa final'!#REF!="Muy Baja",'Mapa final'!#REF!="Moderado"),CONCATENATE("R2C",'Mapa final'!#REF!),"")</f>
        <v>#REF!</v>
      </c>
      <c r="AA47" s="69" t="e">
        <f>IF(AND('Mapa final'!#REF!="Muy Baja",'Mapa final'!#REF!="Moderado"),CONCATENATE("R2C",'Mapa final'!#REF!),"")</f>
        <v>#REF!</v>
      </c>
      <c r="AB47" s="52" t="str">
        <f>IF(AND('Mapa final'!$Y$31="Muy Baja",'Mapa final'!$AA$31="Mayor"),CONCATENATE("R2C",'Mapa final'!$O$31),"")</f>
        <v/>
      </c>
      <c r="AC47" s="53" t="str">
        <f>IF(AND('Mapa final'!$Y$32="Muy Baja",'Mapa final'!$AA$32="Mayor"),CONCATENATE("R2C",'Mapa final'!$O$32),"")</f>
        <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final'!$Y$31="Muy Baja",'Mapa final'!$AA$31="Catastrófico"),CONCATENATE("R2C",'Mapa final'!$O$31),"")</f>
        <v/>
      </c>
      <c r="AI47" s="56" t="str">
        <f>IF(AND('Mapa final'!$Y$32="Muy Baja",'Mapa final'!$AA$32="Catastrófico"),CONCATENATE("R2C",'Mapa final'!$O$32),"")</f>
        <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18"/>
      <c r="C48" s="418"/>
      <c r="D48" s="419"/>
      <c r="E48" s="475"/>
      <c r="F48" s="460"/>
      <c r="G48" s="460"/>
      <c r="H48" s="460"/>
      <c r="I48" s="461"/>
      <c r="J48" s="76" t="str">
        <f>IF(AND('Mapa final'!$Y$33="Muy Baja",'Mapa final'!$AA$33="Leve"),CONCATENATE("R3C",'Mapa final'!$O$33),"")</f>
        <v/>
      </c>
      <c r="K48" s="77" t="e">
        <f>IF(AND('Mapa final'!#REF!="Muy Baja",'Mapa final'!#REF!="Leve"),CONCATENATE("R3C",'Mapa final'!#REF!),"")</f>
        <v>#REF!</v>
      </c>
      <c r="L48" s="77" t="e">
        <f>IF(AND('Mapa final'!#REF!="Muy Baja",'Mapa final'!#REF!="Leve"),CONCATENATE("R3C",'Mapa final'!#REF!),"")</f>
        <v>#REF!</v>
      </c>
      <c r="M48" s="77" t="e">
        <f>IF(AND('Mapa final'!#REF!="Muy Baja",'Mapa final'!#REF!="Leve"),CONCATENATE("R3C",'Mapa final'!#REF!),"")</f>
        <v>#REF!</v>
      </c>
      <c r="N48" s="77" t="e">
        <f>IF(AND('Mapa final'!#REF!="Muy Baja",'Mapa final'!#REF!="Leve"),CONCATENATE("R3C",'Mapa final'!#REF!),"")</f>
        <v>#REF!</v>
      </c>
      <c r="O48" s="78" t="e">
        <f>IF(AND('Mapa final'!#REF!="Muy Baja",'Mapa final'!#REF!="Leve"),CONCATENATE("R3C",'Mapa final'!#REF!),"")</f>
        <v>#REF!</v>
      </c>
      <c r="P48" s="76" t="str">
        <f>IF(AND('Mapa final'!$Y$33="Muy Baja",'Mapa final'!$AA$33="Menor"),CONCATENATE("R3C",'Mapa final'!$O$33),"")</f>
        <v/>
      </c>
      <c r="Q48" s="77" t="e">
        <f>IF(AND('Mapa final'!#REF!="Muy Baja",'Mapa final'!#REF!="Menor"),CONCATENATE("R3C",'Mapa final'!#REF!),"")</f>
        <v>#REF!</v>
      </c>
      <c r="R48" s="77" t="e">
        <f>IF(AND('Mapa final'!#REF!="Muy Baja",'Mapa final'!#REF!="Menor"),CONCATENATE("R3C",'Mapa final'!#REF!),"")</f>
        <v>#REF!</v>
      </c>
      <c r="S48" s="77" t="e">
        <f>IF(AND('Mapa final'!#REF!="Muy Baja",'Mapa final'!#REF!="Menor"),CONCATENATE("R3C",'Mapa final'!#REF!),"")</f>
        <v>#REF!</v>
      </c>
      <c r="T48" s="77" t="e">
        <f>IF(AND('Mapa final'!#REF!="Muy Baja",'Mapa final'!#REF!="Menor"),CONCATENATE("R3C",'Mapa final'!#REF!),"")</f>
        <v>#REF!</v>
      </c>
      <c r="U48" s="78" t="e">
        <f>IF(AND('Mapa final'!#REF!="Muy Baja",'Mapa final'!#REF!="Menor"),CONCATENATE("R3C",'Mapa final'!#REF!),"")</f>
        <v>#REF!</v>
      </c>
      <c r="V48" s="67" t="str">
        <f>IF(AND('Mapa final'!$Y$33="Muy Baja",'Mapa final'!$AA$33="Moderado"),CONCATENATE("R3C",'Mapa final'!$O$33),"")</f>
        <v/>
      </c>
      <c r="W48" s="68" t="e">
        <f>IF(AND('Mapa final'!#REF!="Muy Baja",'Mapa final'!#REF!="Moderado"),CONCATENATE("R3C",'Mapa final'!#REF!),"")</f>
        <v>#REF!</v>
      </c>
      <c r="X48" s="68" t="e">
        <f>IF(AND('Mapa final'!#REF!="Muy Baja",'Mapa final'!#REF!="Moderado"),CONCATENATE("R3C",'Mapa final'!#REF!),"")</f>
        <v>#REF!</v>
      </c>
      <c r="Y48" s="68" t="e">
        <f>IF(AND('Mapa final'!#REF!="Muy Baja",'Mapa final'!#REF!="Moderado"),CONCATENATE("R3C",'Mapa final'!#REF!),"")</f>
        <v>#REF!</v>
      </c>
      <c r="Z48" s="68" t="e">
        <f>IF(AND('Mapa final'!#REF!="Muy Baja",'Mapa final'!#REF!="Moderado"),CONCATENATE("R3C",'Mapa final'!#REF!),"")</f>
        <v>#REF!</v>
      </c>
      <c r="AA48" s="69" t="e">
        <f>IF(AND('Mapa final'!#REF!="Muy Baja",'Mapa final'!#REF!="Moderado"),CONCATENATE("R3C",'Mapa final'!#REF!),"")</f>
        <v>#REF!</v>
      </c>
      <c r="AB48" s="52" t="str">
        <f>IF(AND('Mapa final'!$Y$33="Muy Baja",'Mapa final'!$AA$33="Mayor"),CONCATENATE("R3C",'Mapa final'!$O$33),"")</f>
        <v/>
      </c>
      <c r="AC48" s="53" t="e">
        <f>IF(AND('Mapa final'!#REF!="Muy Baja",'Mapa final'!#REF!="Mayor"),CONCATENATE("R3C",'Mapa final'!#REF!),"")</f>
        <v>#REF!</v>
      </c>
      <c r="AD48" s="53" t="e">
        <f>IF(AND('Mapa final'!#REF!="Muy Baja",'Mapa final'!#REF!="Mayor"),CONCATENATE("R3C",'Mapa final'!#REF!),"")</f>
        <v>#REF!</v>
      </c>
      <c r="AE48" s="53" t="e">
        <f>IF(AND('Mapa final'!#REF!="Muy Baja",'Mapa final'!#REF!="Mayor"),CONCATENATE("R3C",'Mapa final'!#REF!),"")</f>
        <v>#REF!</v>
      </c>
      <c r="AF48" s="53" t="e">
        <f>IF(AND('Mapa final'!#REF!="Muy Baja",'Mapa final'!#REF!="Mayor"),CONCATENATE("R3C",'Mapa final'!#REF!),"")</f>
        <v>#REF!</v>
      </c>
      <c r="AG48" s="54" t="e">
        <f>IF(AND('Mapa final'!#REF!="Muy Baja",'Mapa final'!#REF!="Mayor"),CONCATENATE("R3C",'Mapa final'!#REF!),"")</f>
        <v>#REF!</v>
      </c>
      <c r="AH48" s="55" t="str">
        <f>IF(AND('Mapa final'!$Y$33="Muy Baja",'Mapa final'!$AA$33="Catastrófico"),CONCATENATE("R3C",'Mapa final'!$O$33),"")</f>
        <v/>
      </c>
      <c r="AI48" s="56" t="e">
        <f>IF(AND('Mapa final'!#REF!="Muy Baja",'Mapa final'!#REF!="Catastrófico"),CONCATENATE("R3C",'Mapa final'!#REF!),"")</f>
        <v>#REF!</v>
      </c>
      <c r="AJ48" s="56" t="e">
        <f>IF(AND('Mapa final'!#REF!="Muy Baja",'Mapa final'!#REF!="Catastrófico"),CONCATENATE("R3C",'Mapa final'!#REF!),"")</f>
        <v>#REF!</v>
      </c>
      <c r="AK48" s="56" t="e">
        <f>IF(AND('Mapa final'!#REF!="Muy Baja",'Mapa final'!#REF!="Catastrófico"),CONCATENATE("R3C",'Mapa final'!#REF!),"")</f>
        <v>#REF!</v>
      </c>
      <c r="AL48" s="56" t="e">
        <f>IF(AND('Mapa final'!#REF!="Muy Baja",'Mapa final'!#REF!="Catastrófico"),CONCATENATE("R3C",'Mapa final'!#REF!),"")</f>
        <v>#REF!</v>
      </c>
      <c r="AM48" s="57" t="e">
        <f>IF(AND('Mapa final'!#REF!="Muy Baja",'Mapa final'!#REF!="Catastrófico"),CONCATENATE("R3C",'Mapa final'!#REF!),"")</f>
        <v>#REF!</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18"/>
      <c r="C49" s="418"/>
      <c r="D49" s="419"/>
      <c r="E49" s="459"/>
      <c r="F49" s="460"/>
      <c r="G49" s="460"/>
      <c r="H49" s="460"/>
      <c r="I49" s="461"/>
      <c r="J49" s="76" t="str">
        <f>IF(AND('Mapa final'!$Y$34="Muy Baja",'Mapa final'!$AA$34="Leve"),CONCATENATE("R4C",'Mapa final'!$O$34),"")</f>
        <v>R4C1</v>
      </c>
      <c r="K49" s="77" t="e">
        <f>IF(AND('Mapa final'!#REF!="Muy Baja",'Mapa final'!#REF!="Leve"),CONCATENATE("R4C",'Mapa final'!#REF!),"")</f>
        <v>#REF!</v>
      </c>
      <c r="L49" s="77" t="e">
        <f>IF(AND('Mapa final'!#REF!="Muy Baja",'Mapa final'!#REF!="Leve"),CONCATENATE("R4C",'Mapa final'!#REF!),"")</f>
        <v>#REF!</v>
      </c>
      <c r="M49" s="77" t="e">
        <f>IF(AND('Mapa final'!#REF!="Muy Baja",'Mapa final'!#REF!="Leve"),CONCATENATE("R4C",'Mapa final'!#REF!),"")</f>
        <v>#REF!</v>
      </c>
      <c r="N49" s="77" t="e">
        <f>IF(AND('Mapa final'!#REF!="Muy Baja",'Mapa final'!#REF!="Leve"),CONCATENATE("R4C",'Mapa final'!#REF!),"")</f>
        <v>#REF!</v>
      </c>
      <c r="O49" s="78" t="e">
        <f>IF(AND('Mapa final'!#REF!="Muy Baja",'Mapa final'!#REF!="Leve"),CONCATENATE("R4C",'Mapa final'!#REF!),"")</f>
        <v>#REF!</v>
      </c>
      <c r="P49" s="76" t="str">
        <f>IF(AND('Mapa final'!$Y$34="Muy Baja",'Mapa final'!$AA$34="Menor"),CONCATENATE("R4C",'Mapa final'!$O$34),"")</f>
        <v/>
      </c>
      <c r="Q49" s="77" t="e">
        <f>IF(AND('Mapa final'!#REF!="Muy Baja",'Mapa final'!#REF!="Menor"),CONCATENATE("R4C",'Mapa final'!#REF!),"")</f>
        <v>#REF!</v>
      </c>
      <c r="R49" s="77" t="e">
        <f>IF(AND('Mapa final'!#REF!="Muy Baja",'Mapa final'!#REF!="Menor"),CONCATENATE("R4C",'Mapa final'!#REF!),"")</f>
        <v>#REF!</v>
      </c>
      <c r="S49" s="77" t="e">
        <f>IF(AND('Mapa final'!#REF!="Muy Baja",'Mapa final'!#REF!="Menor"),CONCATENATE("R4C",'Mapa final'!#REF!),"")</f>
        <v>#REF!</v>
      </c>
      <c r="T49" s="77" t="e">
        <f>IF(AND('Mapa final'!#REF!="Muy Baja",'Mapa final'!#REF!="Menor"),CONCATENATE("R4C",'Mapa final'!#REF!),"")</f>
        <v>#REF!</v>
      </c>
      <c r="U49" s="78" t="e">
        <f>IF(AND('Mapa final'!#REF!="Muy Baja",'Mapa final'!#REF!="Menor"),CONCATENATE("R4C",'Mapa final'!#REF!),"")</f>
        <v>#REF!</v>
      </c>
      <c r="V49" s="67" t="str">
        <f>IF(AND('Mapa final'!$Y$34="Muy Baja",'Mapa final'!$AA$34="Moderado"),CONCATENATE("R4C",'Mapa final'!$O$34),"")</f>
        <v/>
      </c>
      <c r="W49" s="68" t="e">
        <f>IF(AND('Mapa final'!#REF!="Muy Baja",'Mapa final'!#REF!="Moderado"),CONCATENATE("R4C",'Mapa final'!#REF!),"")</f>
        <v>#REF!</v>
      </c>
      <c r="X49" s="68" t="e">
        <f>IF(AND('Mapa final'!#REF!="Muy Baja",'Mapa final'!#REF!="Moderado"),CONCATENATE("R4C",'Mapa final'!#REF!),"")</f>
        <v>#REF!</v>
      </c>
      <c r="Y49" s="68" t="e">
        <f>IF(AND('Mapa final'!#REF!="Muy Baja",'Mapa final'!#REF!="Moderado"),CONCATENATE("R4C",'Mapa final'!#REF!),"")</f>
        <v>#REF!</v>
      </c>
      <c r="Z49" s="68" t="e">
        <f>IF(AND('Mapa final'!#REF!="Muy Baja",'Mapa final'!#REF!="Moderado"),CONCATENATE("R4C",'Mapa final'!#REF!),"")</f>
        <v>#REF!</v>
      </c>
      <c r="AA49" s="69" t="e">
        <f>IF(AND('Mapa final'!#REF!="Muy Baja",'Mapa final'!#REF!="Moderado"),CONCATENATE("R4C",'Mapa final'!#REF!),"")</f>
        <v>#REF!</v>
      </c>
      <c r="AB49" s="52" t="str">
        <f>IF(AND('Mapa final'!$Y$34="Muy Baja",'Mapa final'!$AA$34="Mayor"),CONCATENATE("R4C",'Mapa final'!$O$34),"")</f>
        <v/>
      </c>
      <c r="AC49" s="53" t="e">
        <f>IF(AND('Mapa final'!#REF!="Muy Baja",'Mapa final'!#REF!="Mayor"),CONCATENATE("R4C",'Mapa final'!#REF!),"")</f>
        <v>#REF!</v>
      </c>
      <c r="AD49" s="53" t="e">
        <f>IF(AND('Mapa final'!#REF!="Muy Baja",'Mapa final'!#REF!="Mayor"),CONCATENATE("R4C",'Mapa final'!#REF!),"")</f>
        <v>#REF!</v>
      </c>
      <c r="AE49" s="53" t="e">
        <f>IF(AND('Mapa final'!#REF!="Muy Baja",'Mapa final'!#REF!="Mayor"),CONCATENATE("R4C",'Mapa final'!#REF!),"")</f>
        <v>#REF!</v>
      </c>
      <c r="AF49" s="53" t="e">
        <f>IF(AND('Mapa final'!#REF!="Muy Baja",'Mapa final'!#REF!="Mayor"),CONCATENATE("R4C",'Mapa final'!#REF!),"")</f>
        <v>#REF!</v>
      </c>
      <c r="AG49" s="54" t="e">
        <f>IF(AND('Mapa final'!#REF!="Muy Baja",'Mapa final'!#REF!="Mayor"),CONCATENATE("R4C",'Mapa final'!#REF!),"")</f>
        <v>#REF!</v>
      </c>
      <c r="AH49" s="55" t="str">
        <f>IF(AND('Mapa final'!$Y$34="Muy Baja",'Mapa final'!$AA$34="Catastrófico"),CONCATENATE("R4C",'Mapa final'!$O$34),"")</f>
        <v/>
      </c>
      <c r="AI49" s="56" t="e">
        <f>IF(AND('Mapa final'!#REF!="Muy Baja",'Mapa final'!#REF!="Catastrófico"),CONCATENATE("R4C",'Mapa final'!#REF!),"")</f>
        <v>#REF!</v>
      </c>
      <c r="AJ49" s="56" t="e">
        <f>IF(AND('Mapa final'!#REF!="Muy Baja",'Mapa final'!#REF!="Catastrófico"),CONCATENATE("R4C",'Mapa final'!#REF!),"")</f>
        <v>#REF!</v>
      </c>
      <c r="AK49" s="56" t="e">
        <f>IF(AND('Mapa final'!#REF!="Muy Baja",'Mapa final'!#REF!="Catastrófico"),CONCATENATE("R4C",'Mapa final'!#REF!),"")</f>
        <v>#REF!</v>
      </c>
      <c r="AL49" s="56" t="e">
        <f>IF(AND('Mapa final'!#REF!="Muy Baja",'Mapa final'!#REF!="Catastrófico"),CONCATENATE("R4C",'Mapa final'!#REF!),"")</f>
        <v>#REF!</v>
      </c>
      <c r="AM49" s="57" t="e">
        <f>IF(AND('Mapa final'!#REF!="Muy Baja",'Mapa final'!#REF!="Catastrófico"),CONCATENATE("R4C",'Mapa final'!#REF!),"")</f>
        <v>#REF!</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18"/>
      <c r="C50" s="418"/>
      <c r="D50" s="419"/>
      <c r="E50" s="459"/>
      <c r="F50" s="460"/>
      <c r="G50" s="460"/>
      <c r="H50" s="460"/>
      <c r="I50" s="461"/>
      <c r="J50" s="76" t="str">
        <f>IF(AND('Mapa final'!$Y$36="Muy Baja",'Mapa final'!$AA$36="Leve"),CONCATENATE("R5C",'Mapa final'!$O$36),"")</f>
        <v/>
      </c>
      <c r="K50" s="77" t="e">
        <f>IF(AND('Mapa final'!#REF!="Muy Baja",'Mapa final'!#REF!="Leve"),CONCATENATE("R5C",'Mapa final'!#REF!),"")</f>
        <v>#REF!</v>
      </c>
      <c r="L50" s="77" t="e">
        <f>IF(AND('Mapa final'!#REF!="Muy Baja",'Mapa final'!#REF!="Leve"),CONCATENATE("R5C",'Mapa final'!#REF!),"")</f>
        <v>#REF!</v>
      </c>
      <c r="M50" s="77" t="e">
        <f>IF(AND('Mapa final'!#REF!="Muy Baja",'Mapa final'!#REF!="Leve"),CONCATENATE("R5C",'Mapa final'!#REF!),"")</f>
        <v>#REF!</v>
      </c>
      <c r="N50" s="77" t="e">
        <f>IF(AND('Mapa final'!#REF!="Muy Baja",'Mapa final'!#REF!="Leve"),CONCATENATE("R5C",'Mapa final'!#REF!),"")</f>
        <v>#REF!</v>
      </c>
      <c r="O50" s="78" t="e">
        <f>IF(AND('Mapa final'!#REF!="Muy Baja",'Mapa final'!#REF!="Leve"),CONCATENATE("R5C",'Mapa final'!#REF!),"")</f>
        <v>#REF!</v>
      </c>
      <c r="P50" s="76" t="str">
        <f>IF(AND('Mapa final'!$Y$36="Muy Baja",'Mapa final'!$AA$36="Menor"),CONCATENATE("R5C",'Mapa final'!$O$36),"")</f>
        <v/>
      </c>
      <c r="Q50" s="77" t="e">
        <f>IF(AND('Mapa final'!#REF!="Muy Baja",'Mapa final'!#REF!="Menor"),CONCATENATE("R5C",'Mapa final'!#REF!),"")</f>
        <v>#REF!</v>
      </c>
      <c r="R50" s="77" t="e">
        <f>IF(AND('Mapa final'!#REF!="Muy Baja",'Mapa final'!#REF!="Menor"),CONCATENATE("R5C",'Mapa final'!#REF!),"")</f>
        <v>#REF!</v>
      </c>
      <c r="S50" s="77" t="e">
        <f>IF(AND('Mapa final'!#REF!="Muy Baja",'Mapa final'!#REF!="Menor"),CONCATENATE("R5C",'Mapa final'!#REF!),"")</f>
        <v>#REF!</v>
      </c>
      <c r="T50" s="77" t="e">
        <f>IF(AND('Mapa final'!#REF!="Muy Baja",'Mapa final'!#REF!="Menor"),CONCATENATE("R5C",'Mapa final'!#REF!),"")</f>
        <v>#REF!</v>
      </c>
      <c r="U50" s="78" t="e">
        <f>IF(AND('Mapa final'!#REF!="Muy Baja",'Mapa final'!#REF!="Menor"),CONCATENATE("R5C",'Mapa final'!#REF!),"")</f>
        <v>#REF!</v>
      </c>
      <c r="V50" s="67" t="str">
        <f>IF(AND('Mapa final'!$Y$36="Muy Baja",'Mapa final'!$AA$36="Moderado"),CONCATENATE("R5C",'Mapa final'!$O$36),"")</f>
        <v/>
      </c>
      <c r="W50" s="68" t="e">
        <f>IF(AND('Mapa final'!#REF!="Muy Baja",'Mapa final'!#REF!="Moderado"),CONCATENATE("R5C",'Mapa final'!#REF!),"")</f>
        <v>#REF!</v>
      </c>
      <c r="X50" s="68" t="e">
        <f>IF(AND('Mapa final'!#REF!="Muy Baja",'Mapa final'!#REF!="Moderado"),CONCATENATE("R5C",'Mapa final'!#REF!),"")</f>
        <v>#REF!</v>
      </c>
      <c r="Y50" s="68" t="e">
        <f>IF(AND('Mapa final'!#REF!="Muy Baja",'Mapa final'!#REF!="Moderado"),CONCATENATE("R5C",'Mapa final'!#REF!),"")</f>
        <v>#REF!</v>
      </c>
      <c r="Z50" s="68" t="e">
        <f>IF(AND('Mapa final'!#REF!="Muy Baja",'Mapa final'!#REF!="Moderado"),CONCATENATE("R5C",'Mapa final'!#REF!),"")</f>
        <v>#REF!</v>
      </c>
      <c r="AA50" s="69" t="e">
        <f>IF(AND('Mapa final'!#REF!="Muy Baja",'Mapa final'!#REF!="Moderado"),CONCATENATE("R5C",'Mapa final'!#REF!),"")</f>
        <v>#REF!</v>
      </c>
      <c r="AB50" s="52" t="str">
        <f>IF(AND('Mapa final'!$Y$36="Muy Baja",'Mapa final'!$AA$36="Mayor"),CONCATENATE("R5C",'Mapa final'!$O$36),"")</f>
        <v/>
      </c>
      <c r="AC50" s="53" t="e">
        <f>IF(AND('Mapa final'!#REF!="Muy Baja",'Mapa final'!#REF!="Mayor"),CONCATENATE("R5C",'Mapa final'!#REF!),"")</f>
        <v>#REF!</v>
      </c>
      <c r="AD50" s="53" t="e">
        <f>IF(AND('Mapa final'!#REF!="Muy Baja",'Mapa final'!#REF!="Mayor"),CONCATENATE("R5C",'Mapa final'!#REF!),"")</f>
        <v>#REF!</v>
      </c>
      <c r="AE50" s="53" t="e">
        <f>IF(AND('Mapa final'!#REF!="Muy Baja",'Mapa final'!#REF!="Mayor"),CONCATENATE("R5C",'Mapa final'!#REF!),"")</f>
        <v>#REF!</v>
      </c>
      <c r="AF50" s="53" t="e">
        <f>IF(AND('Mapa final'!#REF!="Muy Baja",'Mapa final'!#REF!="Mayor"),CONCATENATE("R5C",'Mapa final'!#REF!),"")</f>
        <v>#REF!</v>
      </c>
      <c r="AG50" s="54" t="e">
        <f>IF(AND('Mapa final'!#REF!="Muy Baja",'Mapa final'!#REF!="Mayor"),CONCATENATE("R5C",'Mapa final'!#REF!),"")</f>
        <v>#REF!</v>
      </c>
      <c r="AH50" s="55" t="str">
        <f>IF(AND('Mapa final'!$Y$36="Muy Baja",'Mapa final'!$AA$36="Catastrófico"),CONCATENATE("R5C",'Mapa final'!$O$36),"")</f>
        <v/>
      </c>
      <c r="AI50" s="56" t="e">
        <f>IF(AND('Mapa final'!#REF!="Muy Baja",'Mapa final'!#REF!="Catastrófico"),CONCATENATE("R5C",'Mapa final'!#REF!),"")</f>
        <v>#REF!</v>
      </c>
      <c r="AJ50" s="56" t="e">
        <f>IF(AND('Mapa final'!#REF!="Muy Baja",'Mapa final'!#REF!="Catastrófico"),CONCATENATE("R5C",'Mapa final'!#REF!),"")</f>
        <v>#REF!</v>
      </c>
      <c r="AK50" s="56" t="e">
        <f>IF(AND('Mapa final'!#REF!="Muy Baja",'Mapa final'!#REF!="Catastrófico"),CONCATENATE("R5C",'Mapa final'!#REF!),"")</f>
        <v>#REF!</v>
      </c>
      <c r="AL50" s="56" t="e">
        <f>IF(AND('Mapa final'!#REF!="Muy Baja",'Mapa final'!#REF!="Catastrófico"),CONCATENATE("R5C",'Mapa final'!#REF!),"")</f>
        <v>#REF!</v>
      </c>
      <c r="AM50" s="57" t="e">
        <f>IF(AND('Mapa final'!#REF!="Muy Baja",'Mapa final'!#REF!="Catastrófico"),CONCATENATE("R5C",'Mapa final'!#REF!),"")</f>
        <v>#REF!</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18"/>
      <c r="C51" s="418"/>
      <c r="D51" s="419"/>
      <c r="E51" s="459"/>
      <c r="F51" s="460"/>
      <c r="G51" s="460"/>
      <c r="H51" s="460"/>
      <c r="I51" s="461"/>
      <c r="J51" s="76" t="str">
        <f>IF(AND('Mapa final'!$Y$37="Muy Baja",'Mapa final'!$AA$37="Leve"),CONCATENATE("R6C",'Mapa final'!$O$37),"")</f>
        <v/>
      </c>
      <c r="K51" s="77" t="e">
        <f>IF(AND('Mapa final'!#REF!="Muy Baja",'Mapa final'!#REF!="Leve"),CONCATENATE("R6C",'Mapa final'!#REF!),"")</f>
        <v>#REF!</v>
      </c>
      <c r="L51" s="77" t="e">
        <f>IF(AND('Mapa final'!#REF!="Muy Baja",'Mapa final'!#REF!="Leve"),CONCATENATE("R6C",'Mapa final'!#REF!),"")</f>
        <v>#REF!</v>
      </c>
      <c r="M51" s="77" t="e">
        <f>IF(AND('Mapa final'!#REF!="Muy Baja",'Mapa final'!#REF!="Leve"),CONCATENATE("R6C",'Mapa final'!#REF!),"")</f>
        <v>#REF!</v>
      </c>
      <c r="N51" s="77" t="e">
        <f>IF(AND('Mapa final'!#REF!="Muy Baja",'Mapa final'!#REF!="Leve"),CONCATENATE("R6C",'Mapa final'!#REF!),"")</f>
        <v>#REF!</v>
      </c>
      <c r="O51" s="78" t="e">
        <f>IF(AND('Mapa final'!#REF!="Muy Baja",'Mapa final'!#REF!="Leve"),CONCATENATE("R6C",'Mapa final'!#REF!),"")</f>
        <v>#REF!</v>
      </c>
      <c r="P51" s="76" t="str">
        <f>IF(AND('Mapa final'!$Y$37="Muy Baja",'Mapa final'!$AA$37="Menor"),CONCATENATE("R6C",'Mapa final'!$O$37),"")</f>
        <v/>
      </c>
      <c r="Q51" s="77" t="e">
        <f>IF(AND('Mapa final'!#REF!="Muy Baja",'Mapa final'!#REF!="Menor"),CONCATENATE("R6C",'Mapa final'!#REF!),"")</f>
        <v>#REF!</v>
      </c>
      <c r="R51" s="77" t="e">
        <f>IF(AND('Mapa final'!#REF!="Muy Baja",'Mapa final'!#REF!="Menor"),CONCATENATE("R6C",'Mapa final'!#REF!),"")</f>
        <v>#REF!</v>
      </c>
      <c r="S51" s="77" t="e">
        <f>IF(AND('Mapa final'!#REF!="Muy Baja",'Mapa final'!#REF!="Menor"),CONCATENATE("R6C",'Mapa final'!#REF!),"")</f>
        <v>#REF!</v>
      </c>
      <c r="T51" s="77" t="e">
        <f>IF(AND('Mapa final'!#REF!="Muy Baja",'Mapa final'!#REF!="Menor"),CONCATENATE("R6C",'Mapa final'!#REF!),"")</f>
        <v>#REF!</v>
      </c>
      <c r="U51" s="78" t="e">
        <f>IF(AND('Mapa final'!#REF!="Muy Baja",'Mapa final'!#REF!="Menor"),CONCATENATE("R6C",'Mapa final'!#REF!),"")</f>
        <v>#REF!</v>
      </c>
      <c r="V51" s="67" t="str">
        <f>IF(AND('Mapa final'!$Y$37="Muy Baja",'Mapa final'!$AA$37="Moderado"),CONCATENATE("R6C",'Mapa final'!$O$37),"")</f>
        <v/>
      </c>
      <c r="W51" s="68" t="e">
        <f>IF(AND('Mapa final'!#REF!="Muy Baja",'Mapa final'!#REF!="Moderado"),CONCATENATE("R6C",'Mapa final'!#REF!),"")</f>
        <v>#REF!</v>
      </c>
      <c r="X51" s="68" t="e">
        <f>IF(AND('Mapa final'!#REF!="Muy Baja",'Mapa final'!#REF!="Moderado"),CONCATENATE("R6C",'Mapa final'!#REF!),"")</f>
        <v>#REF!</v>
      </c>
      <c r="Y51" s="68" t="e">
        <f>IF(AND('Mapa final'!#REF!="Muy Baja",'Mapa final'!#REF!="Moderado"),CONCATENATE("R6C",'Mapa final'!#REF!),"")</f>
        <v>#REF!</v>
      </c>
      <c r="Z51" s="68" t="e">
        <f>IF(AND('Mapa final'!#REF!="Muy Baja",'Mapa final'!#REF!="Moderado"),CONCATENATE("R6C",'Mapa final'!#REF!),"")</f>
        <v>#REF!</v>
      </c>
      <c r="AA51" s="69" t="e">
        <f>IF(AND('Mapa final'!#REF!="Muy Baja",'Mapa final'!#REF!="Moderado"),CONCATENATE("R6C",'Mapa final'!#REF!),"")</f>
        <v>#REF!</v>
      </c>
      <c r="AB51" s="52" t="str">
        <f>IF(AND('Mapa final'!$Y$37="Muy Baja",'Mapa final'!$AA$37="Mayor"),CONCATENATE("R6C",'Mapa final'!$O$37),"")</f>
        <v/>
      </c>
      <c r="AC51" s="53" t="e">
        <f>IF(AND('Mapa final'!#REF!="Muy Baja",'Mapa final'!#REF!="Mayor"),CONCATENATE("R6C",'Mapa final'!#REF!),"")</f>
        <v>#REF!</v>
      </c>
      <c r="AD51" s="53" t="e">
        <f>IF(AND('Mapa final'!#REF!="Muy Baja",'Mapa final'!#REF!="Mayor"),CONCATENATE("R6C",'Mapa final'!#REF!),"")</f>
        <v>#REF!</v>
      </c>
      <c r="AE51" s="53" t="e">
        <f>IF(AND('Mapa final'!#REF!="Muy Baja",'Mapa final'!#REF!="Mayor"),CONCATENATE("R6C",'Mapa final'!#REF!),"")</f>
        <v>#REF!</v>
      </c>
      <c r="AF51" s="53" t="e">
        <f>IF(AND('Mapa final'!#REF!="Muy Baja",'Mapa final'!#REF!="Mayor"),CONCATENATE("R6C",'Mapa final'!#REF!),"")</f>
        <v>#REF!</v>
      </c>
      <c r="AG51" s="54" t="e">
        <f>IF(AND('Mapa final'!#REF!="Muy Baja",'Mapa final'!#REF!="Mayor"),CONCATENATE("R6C",'Mapa final'!#REF!),"")</f>
        <v>#REF!</v>
      </c>
      <c r="AH51" s="55" t="str">
        <f>IF(AND('Mapa final'!$Y$37="Muy Baja",'Mapa final'!$AA$37="Catastrófico"),CONCATENATE("R6C",'Mapa final'!$O$37),"")</f>
        <v/>
      </c>
      <c r="AI51" s="56" t="e">
        <f>IF(AND('Mapa final'!#REF!="Muy Baja",'Mapa final'!#REF!="Catastrófico"),CONCATENATE("R6C",'Mapa final'!#REF!),"")</f>
        <v>#REF!</v>
      </c>
      <c r="AJ51" s="56" t="e">
        <f>IF(AND('Mapa final'!#REF!="Muy Baja",'Mapa final'!#REF!="Catastrófico"),CONCATENATE("R6C",'Mapa final'!#REF!),"")</f>
        <v>#REF!</v>
      </c>
      <c r="AK51" s="56" t="e">
        <f>IF(AND('Mapa final'!#REF!="Muy Baja",'Mapa final'!#REF!="Catastrófico"),CONCATENATE("R6C",'Mapa final'!#REF!),"")</f>
        <v>#REF!</v>
      </c>
      <c r="AL51" s="56" t="e">
        <f>IF(AND('Mapa final'!#REF!="Muy Baja",'Mapa final'!#REF!="Catastrófico"),CONCATENATE("R6C",'Mapa final'!#REF!),"")</f>
        <v>#REF!</v>
      </c>
      <c r="AM51" s="57" t="e">
        <f>IF(AND('Mapa final'!#REF!="Muy Baja",'Mapa final'!#REF!="Catastrófico"),CONCATENATE("R6C",'Mapa final'!#REF!),"")</f>
        <v>#REF!</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18"/>
      <c r="C52" s="418"/>
      <c r="D52" s="419"/>
      <c r="E52" s="459"/>
      <c r="F52" s="460"/>
      <c r="G52" s="460"/>
      <c r="H52" s="460"/>
      <c r="I52" s="461"/>
      <c r="J52" s="76" t="e">
        <f>IF(AND('Mapa final'!#REF!="Muy Baja",'Mapa final'!#REF!="Leve"),CONCATENATE("R7C",'Mapa final'!#REF!),"")</f>
        <v>#REF!</v>
      </c>
      <c r="K52" s="77" t="e">
        <f>IF(AND('Mapa final'!#REF!="Muy Baja",'Mapa final'!#REF!="Leve"),CONCATENATE("R7C",'Mapa final'!#REF!),"")</f>
        <v>#REF!</v>
      </c>
      <c r="L52" s="77" t="e">
        <f>IF(AND('Mapa final'!#REF!="Muy Baja",'Mapa final'!#REF!="Leve"),CONCATENATE("R7C",'Mapa final'!#REF!),"")</f>
        <v>#REF!</v>
      </c>
      <c r="M52" s="77" t="e">
        <f>IF(AND('Mapa final'!#REF!="Muy Baja",'Mapa final'!#REF!="Leve"),CONCATENATE("R7C",'Mapa final'!#REF!),"")</f>
        <v>#REF!</v>
      </c>
      <c r="N52" s="77" t="e">
        <f>IF(AND('Mapa final'!#REF!="Muy Baja",'Mapa final'!#REF!="Leve"),CONCATENATE("R7C",'Mapa final'!#REF!),"")</f>
        <v>#REF!</v>
      </c>
      <c r="O52" s="78" t="e">
        <f>IF(AND('Mapa final'!#REF!="Muy Baja",'Mapa final'!#REF!="Leve"),CONCATENATE("R7C",'Mapa final'!#REF!),"")</f>
        <v>#REF!</v>
      </c>
      <c r="P52" s="76" t="e">
        <f>IF(AND('Mapa final'!#REF!="Muy Baja",'Mapa final'!#REF!="Menor"),CONCATENATE("R7C",'Mapa final'!#REF!),"")</f>
        <v>#REF!</v>
      </c>
      <c r="Q52" s="77" t="e">
        <f>IF(AND('Mapa final'!#REF!="Muy Baja",'Mapa final'!#REF!="Menor"),CONCATENATE("R7C",'Mapa final'!#REF!),"")</f>
        <v>#REF!</v>
      </c>
      <c r="R52" s="77" t="e">
        <f>IF(AND('Mapa final'!#REF!="Muy Baja",'Mapa final'!#REF!="Menor"),CONCATENATE("R7C",'Mapa final'!#REF!),"")</f>
        <v>#REF!</v>
      </c>
      <c r="S52" s="77" t="e">
        <f>IF(AND('Mapa final'!#REF!="Muy Baja",'Mapa final'!#REF!="Menor"),CONCATENATE("R7C",'Mapa final'!#REF!),"")</f>
        <v>#REF!</v>
      </c>
      <c r="T52" s="77" t="e">
        <f>IF(AND('Mapa final'!#REF!="Muy Baja",'Mapa final'!#REF!="Menor"),CONCATENATE("R7C",'Mapa final'!#REF!),"")</f>
        <v>#REF!</v>
      </c>
      <c r="U52" s="78" t="e">
        <f>IF(AND('Mapa final'!#REF!="Muy Baja",'Mapa final'!#REF!="Menor"),CONCATENATE("R7C",'Mapa final'!#REF!),"")</f>
        <v>#REF!</v>
      </c>
      <c r="V52" s="67" t="e">
        <f>IF(AND('Mapa final'!#REF!="Muy Baja",'Mapa final'!#REF!="Moderado"),CONCATENATE("R7C",'Mapa final'!#REF!),"")</f>
        <v>#REF!</v>
      </c>
      <c r="W52" s="68" t="e">
        <f>IF(AND('Mapa final'!#REF!="Muy Baja",'Mapa final'!#REF!="Moderado"),CONCATENATE("R7C",'Mapa final'!#REF!),"")</f>
        <v>#REF!</v>
      </c>
      <c r="X52" s="68" t="e">
        <f>IF(AND('Mapa final'!#REF!="Muy Baja",'Mapa final'!#REF!="Moderado"),CONCATENATE("R7C",'Mapa final'!#REF!),"")</f>
        <v>#REF!</v>
      </c>
      <c r="Y52" s="68" t="e">
        <f>IF(AND('Mapa final'!#REF!="Muy Baja",'Mapa final'!#REF!="Moderado"),CONCATENATE("R7C",'Mapa final'!#REF!),"")</f>
        <v>#REF!</v>
      </c>
      <c r="Z52" s="68" t="e">
        <f>IF(AND('Mapa final'!#REF!="Muy Baja",'Mapa final'!#REF!="Moderado"),CONCATENATE("R7C",'Mapa final'!#REF!),"")</f>
        <v>#REF!</v>
      </c>
      <c r="AA52" s="69" t="e">
        <f>IF(AND('Mapa final'!#REF!="Muy Baja",'Mapa final'!#REF!="Moderado"),CONCATENATE("R7C",'Mapa final'!#REF!),"")</f>
        <v>#REF!</v>
      </c>
      <c r="AB52" s="52" t="e">
        <f>IF(AND('Mapa final'!#REF!="Muy Baja",'Mapa final'!#REF!="Mayor"),CONCATENATE("R7C",'Mapa final'!#REF!),"")</f>
        <v>#REF!</v>
      </c>
      <c r="AC52" s="53" t="e">
        <f>IF(AND('Mapa final'!#REF!="Muy Baja",'Mapa final'!#REF!="Mayor"),CONCATENATE("R7C",'Mapa final'!#REF!),"")</f>
        <v>#REF!</v>
      </c>
      <c r="AD52" s="53" t="e">
        <f>IF(AND('Mapa final'!#REF!="Muy Baja",'Mapa final'!#REF!="Mayor"),CONCATENATE("R7C",'Mapa final'!#REF!),"")</f>
        <v>#REF!</v>
      </c>
      <c r="AE52" s="53" t="e">
        <f>IF(AND('Mapa final'!#REF!="Muy Baja",'Mapa final'!#REF!="Mayor"),CONCATENATE("R7C",'Mapa final'!#REF!),"")</f>
        <v>#REF!</v>
      </c>
      <c r="AF52" s="53" t="e">
        <f>IF(AND('Mapa final'!#REF!="Muy Baja",'Mapa final'!#REF!="Mayor"),CONCATENATE("R7C",'Mapa final'!#REF!),"")</f>
        <v>#REF!</v>
      </c>
      <c r="AG52" s="54" t="e">
        <f>IF(AND('Mapa final'!#REF!="Muy Baja",'Mapa final'!#REF!="Mayor"),CONCATENATE("R7C",'Mapa final'!#REF!),"")</f>
        <v>#REF!</v>
      </c>
      <c r="AH52" s="55" t="e">
        <f>IF(AND('Mapa final'!#REF!="Muy Baja",'Mapa final'!#REF!="Catastrófico"),CONCATENATE("R7C",'Mapa final'!#REF!),"")</f>
        <v>#REF!</v>
      </c>
      <c r="AI52" s="56" t="e">
        <f>IF(AND('Mapa final'!#REF!="Muy Baja",'Mapa final'!#REF!="Catastrófico"),CONCATENATE("R7C",'Mapa final'!#REF!),"")</f>
        <v>#REF!</v>
      </c>
      <c r="AJ52" s="56" t="e">
        <f>IF(AND('Mapa final'!#REF!="Muy Baja",'Mapa final'!#REF!="Catastrófico"),CONCATENATE("R7C",'Mapa final'!#REF!),"")</f>
        <v>#REF!</v>
      </c>
      <c r="AK52" s="56" t="e">
        <f>IF(AND('Mapa final'!#REF!="Muy Baja",'Mapa final'!#REF!="Catastrófico"),CONCATENATE("R7C",'Mapa final'!#REF!),"")</f>
        <v>#REF!</v>
      </c>
      <c r="AL52" s="56" t="e">
        <f>IF(AND('Mapa final'!#REF!="Muy Baja",'Mapa final'!#REF!="Catastrófico"),CONCATENATE("R7C",'Mapa final'!#REF!),"")</f>
        <v>#REF!</v>
      </c>
      <c r="AM52" s="57" t="e">
        <f>IF(AND('Mapa final'!#REF!="Muy Baja",'Mapa final'!#REF!="Catastrófico"),CONCATENATE("R7C",'Mapa final'!#REF!),"")</f>
        <v>#REF!</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18"/>
      <c r="C53" s="418"/>
      <c r="D53" s="419"/>
      <c r="E53" s="459"/>
      <c r="F53" s="460"/>
      <c r="G53" s="460"/>
      <c r="H53" s="460"/>
      <c r="I53" s="461"/>
      <c r="J53" s="76" t="str">
        <f>IF(AND('Mapa final'!$Y$38="Muy Baja",'Mapa final'!$AA$38="Leve"),CONCATENATE("R8C",'Mapa final'!$O$38),"")</f>
        <v/>
      </c>
      <c r="K53" s="77" t="str">
        <f>IF(AND('Mapa final'!$Y$39="Muy Baja",'Mapa final'!$AA$39="Leve"),CONCATENATE("R8C",'Mapa final'!$O$39),"")</f>
        <v/>
      </c>
      <c r="L53" s="77" t="str">
        <f>IF(AND('Mapa final'!$Y$40="Muy Baja",'Mapa final'!$AA$40="Leve"),CONCATENATE("R8C",'Mapa final'!$O$40),"")</f>
        <v/>
      </c>
      <c r="M53" s="77" t="str">
        <f>IF(AND('Mapa final'!$Y$41="Muy Baja",'Mapa final'!$AA$41="Leve"),CONCATENATE("R8C",'Mapa final'!$O$41),"")</f>
        <v/>
      </c>
      <c r="N53" s="77" t="str">
        <f>IF(AND('Mapa final'!$Y$42="Muy Baja",'Mapa final'!$AA$42="Leve"),CONCATENATE("R8C",'Mapa final'!$O$42),"")</f>
        <v/>
      </c>
      <c r="O53" s="78" t="str">
        <f>IF(AND('Mapa final'!$Y$43="Muy Baja",'Mapa final'!$AA$43="Leve"),CONCATENATE("R8C",'Mapa final'!$O$43),"")</f>
        <v/>
      </c>
      <c r="P53" s="76" t="str">
        <f>IF(AND('Mapa final'!$Y$38="Muy Baja",'Mapa final'!$AA$38="Menor"),CONCATENATE("R8C",'Mapa final'!$O$38),"")</f>
        <v/>
      </c>
      <c r="Q53" s="77" t="str">
        <f>IF(AND('Mapa final'!$Y$39="Muy Baja",'Mapa final'!$AA$39="Menor"),CONCATENATE("R8C",'Mapa final'!$O$39),"")</f>
        <v/>
      </c>
      <c r="R53" s="77" t="str">
        <f>IF(AND('Mapa final'!$Y$40="Muy Baja",'Mapa final'!$AA$40="Menor"),CONCATENATE("R8C",'Mapa final'!$O$40),"")</f>
        <v/>
      </c>
      <c r="S53" s="77" t="str">
        <f>IF(AND('Mapa final'!$Y$41="Muy Baja",'Mapa final'!$AA$41="Menor"),CONCATENATE("R8C",'Mapa final'!$O$41),"")</f>
        <v/>
      </c>
      <c r="T53" s="77" t="str">
        <f>IF(AND('Mapa final'!$Y$42="Muy Baja",'Mapa final'!$AA$42="Menor"),CONCATENATE("R8C",'Mapa final'!$O$42),"")</f>
        <v/>
      </c>
      <c r="U53" s="78" t="str">
        <f>IF(AND('Mapa final'!$Y$43="Muy Baja",'Mapa final'!$AA$43="Menor"),CONCATENATE("R8C",'Mapa final'!$O$43),"")</f>
        <v/>
      </c>
      <c r="V53" s="67" t="str">
        <f>IF(AND('Mapa final'!$Y$38="Muy Baja",'Mapa final'!$AA$38="Moderado"),CONCATENATE("R8C",'Mapa final'!$O$38),"")</f>
        <v/>
      </c>
      <c r="W53" s="68" t="str">
        <f>IF(AND('Mapa final'!$Y$39="Muy Baja",'Mapa final'!$AA$39="Moderado"),CONCATENATE("R8C",'Mapa final'!$O$39),"")</f>
        <v/>
      </c>
      <c r="X53" s="68" t="str">
        <f>IF(AND('Mapa final'!$Y$40="Muy Baja",'Mapa final'!$AA$40="Moderado"),CONCATENATE("R8C",'Mapa final'!$O$40),"")</f>
        <v/>
      </c>
      <c r="Y53" s="68" t="str">
        <f>IF(AND('Mapa final'!$Y$41="Muy Baja",'Mapa final'!$AA$41="Moderado"),CONCATENATE("R8C",'Mapa final'!$O$41),"")</f>
        <v/>
      </c>
      <c r="Z53" s="68" t="str">
        <f>IF(AND('Mapa final'!$Y$42="Muy Baja",'Mapa final'!$AA$42="Moderado"),CONCATENATE("R8C",'Mapa final'!$O$42),"")</f>
        <v/>
      </c>
      <c r="AA53" s="69" t="str">
        <f>IF(AND('Mapa final'!$Y$43="Muy Baja",'Mapa final'!$AA$43="Moderado"),CONCATENATE("R8C",'Mapa final'!$O$43),"")</f>
        <v/>
      </c>
      <c r="AB53" s="52" t="str">
        <f>IF(AND('Mapa final'!$Y$38="Muy Baja",'Mapa final'!$AA$38="Mayor"),CONCATENATE("R8C",'Mapa final'!$O$38),"")</f>
        <v/>
      </c>
      <c r="AC53" s="53" t="str">
        <f>IF(AND('Mapa final'!$Y$39="Muy Baja",'Mapa final'!$AA$39="Mayor"),CONCATENATE("R8C",'Mapa final'!$O$39),"")</f>
        <v/>
      </c>
      <c r="AD53" s="53" t="str">
        <f>IF(AND('Mapa final'!$Y$40="Muy Baja",'Mapa final'!$AA$40="Mayor"),CONCATENATE("R8C",'Mapa final'!$O$40),"")</f>
        <v/>
      </c>
      <c r="AE53" s="53" t="str">
        <f>IF(AND('Mapa final'!$Y$41="Muy Baja",'Mapa final'!$AA$41="Mayor"),CONCATENATE("R8C",'Mapa final'!$O$41),"")</f>
        <v/>
      </c>
      <c r="AF53" s="53" t="str">
        <f>IF(AND('Mapa final'!$Y$42="Muy Baja",'Mapa final'!$AA$42="Mayor"),CONCATENATE("R8C",'Mapa final'!$O$42),"")</f>
        <v/>
      </c>
      <c r="AG53" s="54" t="str">
        <f>IF(AND('Mapa final'!$Y$43="Muy Baja",'Mapa final'!$AA$43="Mayor"),CONCATENATE("R8C",'Mapa final'!$O$43),"")</f>
        <v/>
      </c>
      <c r="AH53" s="55" t="str">
        <f>IF(AND('Mapa final'!$Y$38="Muy Baja",'Mapa final'!$AA$38="Catastrófico"),CONCATENATE("R8C",'Mapa final'!$O$38),"")</f>
        <v/>
      </c>
      <c r="AI53" s="56" t="str">
        <f>IF(AND('Mapa final'!$Y$39="Muy Baja",'Mapa final'!$AA$39="Catastrófico"),CONCATENATE("R8C",'Mapa final'!$O$39),"")</f>
        <v/>
      </c>
      <c r="AJ53" s="56" t="str">
        <f>IF(AND('Mapa final'!$Y$40="Muy Baja",'Mapa final'!$AA$40="Catastrófico"),CONCATENATE("R8C",'Mapa final'!$O$40),"")</f>
        <v/>
      </c>
      <c r="AK53" s="56" t="str">
        <f>IF(AND('Mapa final'!$Y$41="Muy Baja",'Mapa final'!$AA$41="Catastrófico"),CONCATENATE("R8C",'Mapa final'!$O$41),"")</f>
        <v/>
      </c>
      <c r="AL53" s="56" t="str">
        <f>IF(AND('Mapa final'!$Y$42="Muy Baja",'Mapa final'!$AA$42="Catastrófico"),CONCATENATE("R8C",'Mapa final'!$O$42),"")</f>
        <v/>
      </c>
      <c r="AM53" s="57" t="str">
        <f>IF(AND('Mapa final'!$Y$43="Muy Baja",'Mapa final'!$AA$43="Catastrófico"),CONCATENATE("R8C",'Mapa final'!$O$43),"")</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18"/>
      <c r="C54" s="418"/>
      <c r="D54" s="419"/>
      <c r="E54" s="459"/>
      <c r="F54" s="460"/>
      <c r="G54" s="460"/>
      <c r="H54" s="460"/>
      <c r="I54" s="461"/>
      <c r="J54" s="76" t="str">
        <f>IF(AND('Mapa final'!$Y$44="Muy Baja",'Mapa final'!$AA$44="Leve"),CONCATENATE("R9C",'Mapa final'!$O$44),"")</f>
        <v/>
      </c>
      <c r="K54" s="77" t="str">
        <f>IF(AND('Mapa final'!$Y$45="Muy Baja",'Mapa final'!$AA$45="Leve"),CONCATENATE("R9C",'Mapa final'!$O$45),"")</f>
        <v/>
      </c>
      <c r="L54" s="77" t="str">
        <f>IF(AND('Mapa final'!$Y$46="Muy Baja",'Mapa final'!$AA$46="Leve"),CONCATENATE("R9C",'Mapa final'!$O$46),"")</f>
        <v/>
      </c>
      <c r="M54" s="77" t="str">
        <f>IF(AND('Mapa final'!$Y$47="Muy Baja",'Mapa final'!$AA$47="Leve"),CONCATENATE("R9C",'Mapa final'!$O$47),"")</f>
        <v/>
      </c>
      <c r="N54" s="77" t="str">
        <f>IF(AND('Mapa final'!$Y$48="Muy Baja",'Mapa final'!$AA$48="Leve"),CONCATENATE("R9C",'Mapa final'!$O$48),"")</f>
        <v/>
      </c>
      <c r="O54" s="78" t="str">
        <f>IF(AND('Mapa final'!$Y$49="Muy Baja",'Mapa final'!$AA$49="Leve"),CONCATENATE("R9C",'Mapa final'!$O$49),"")</f>
        <v/>
      </c>
      <c r="P54" s="76" t="str">
        <f>IF(AND('Mapa final'!$Y$44="Muy Baja",'Mapa final'!$AA$44="Menor"),CONCATENATE("R9C",'Mapa final'!$O$44),"")</f>
        <v/>
      </c>
      <c r="Q54" s="77" t="str">
        <f>IF(AND('Mapa final'!$Y$45="Muy Baja",'Mapa final'!$AA$45="Menor"),CONCATENATE("R9C",'Mapa final'!$O$45),"")</f>
        <v/>
      </c>
      <c r="R54" s="77" t="str">
        <f>IF(AND('Mapa final'!$Y$46="Muy Baja",'Mapa final'!$AA$46="Menor"),CONCATENATE("R9C",'Mapa final'!$O$46),"")</f>
        <v/>
      </c>
      <c r="S54" s="77" t="str">
        <f>IF(AND('Mapa final'!$Y$47="Muy Baja",'Mapa final'!$AA$47="Menor"),CONCATENATE("R9C",'Mapa final'!$O$47),"")</f>
        <v/>
      </c>
      <c r="T54" s="77" t="str">
        <f>IF(AND('Mapa final'!$Y$48="Muy Baja",'Mapa final'!$AA$48="Menor"),CONCATENATE("R9C",'Mapa final'!$O$48),"")</f>
        <v/>
      </c>
      <c r="U54" s="78" t="str">
        <f>IF(AND('Mapa final'!$Y$49="Muy Baja",'Mapa final'!$AA$49="Menor"),CONCATENATE("R9C",'Mapa final'!$O$49),"")</f>
        <v/>
      </c>
      <c r="V54" s="67" t="str">
        <f>IF(AND('Mapa final'!$Y$44="Muy Baja",'Mapa final'!$AA$44="Moderado"),CONCATENATE("R9C",'Mapa final'!$O$44),"")</f>
        <v/>
      </c>
      <c r="W54" s="68" t="str">
        <f>IF(AND('Mapa final'!$Y$45="Muy Baja",'Mapa final'!$AA$45="Moderado"),CONCATENATE("R9C",'Mapa final'!$O$45),"")</f>
        <v/>
      </c>
      <c r="X54" s="68" t="str">
        <f>IF(AND('Mapa final'!$Y$46="Muy Baja",'Mapa final'!$AA$46="Moderado"),CONCATENATE("R9C",'Mapa final'!$O$46),"")</f>
        <v/>
      </c>
      <c r="Y54" s="68" t="str">
        <f>IF(AND('Mapa final'!$Y$47="Muy Baja",'Mapa final'!$AA$47="Moderado"),CONCATENATE("R9C",'Mapa final'!$O$47),"")</f>
        <v/>
      </c>
      <c r="Z54" s="68" t="str">
        <f>IF(AND('Mapa final'!$Y$48="Muy Baja",'Mapa final'!$AA$48="Moderado"),CONCATENATE("R9C",'Mapa final'!$O$48),"")</f>
        <v/>
      </c>
      <c r="AA54" s="69" t="str">
        <f>IF(AND('Mapa final'!$Y$49="Muy Baja",'Mapa final'!$AA$49="Moderado"),CONCATENATE("R9C",'Mapa final'!$O$49),"")</f>
        <v/>
      </c>
      <c r="AB54" s="52" t="str">
        <f>IF(AND('Mapa final'!$Y$44="Muy Baja",'Mapa final'!$AA$44="Mayor"),CONCATENATE("R9C",'Mapa final'!$O$44),"")</f>
        <v/>
      </c>
      <c r="AC54" s="53" t="str">
        <f>IF(AND('Mapa final'!$Y$45="Muy Baja",'Mapa final'!$AA$45="Mayor"),CONCATENATE("R9C",'Mapa final'!$O$45),"")</f>
        <v/>
      </c>
      <c r="AD54" s="53" t="str">
        <f>IF(AND('Mapa final'!$Y$46="Muy Baja",'Mapa final'!$AA$46="Mayor"),CONCATENATE("R9C",'Mapa final'!$O$46),"")</f>
        <v/>
      </c>
      <c r="AE54" s="53" t="str">
        <f>IF(AND('Mapa final'!$Y$47="Muy Baja",'Mapa final'!$AA$47="Mayor"),CONCATENATE("R9C",'Mapa final'!$O$47),"")</f>
        <v/>
      </c>
      <c r="AF54" s="53" t="str">
        <f>IF(AND('Mapa final'!$Y$48="Muy Baja",'Mapa final'!$AA$48="Mayor"),CONCATENATE("R9C",'Mapa final'!$O$48),"")</f>
        <v/>
      </c>
      <c r="AG54" s="54" t="str">
        <f>IF(AND('Mapa final'!$Y$49="Muy Baja",'Mapa final'!$AA$49="Mayor"),CONCATENATE("R9C",'Mapa final'!$O$49),"")</f>
        <v/>
      </c>
      <c r="AH54" s="55" t="str">
        <f>IF(AND('Mapa final'!$Y$44="Muy Baja",'Mapa final'!$AA$44="Catastrófico"),CONCATENATE("R9C",'Mapa final'!$O$44),"")</f>
        <v/>
      </c>
      <c r="AI54" s="56" t="str">
        <f>IF(AND('Mapa final'!$Y$45="Muy Baja",'Mapa final'!$AA$45="Catastrófico"),CONCATENATE("R9C",'Mapa final'!$O$45),"")</f>
        <v/>
      </c>
      <c r="AJ54" s="56" t="str">
        <f>IF(AND('Mapa final'!$Y$46="Muy Baja",'Mapa final'!$AA$46="Catastrófico"),CONCATENATE("R9C",'Mapa final'!$O$46),"")</f>
        <v/>
      </c>
      <c r="AK54" s="56" t="str">
        <f>IF(AND('Mapa final'!$Y$47="Muy Baja",'Mapa final'!$AA$47="Catastrófico"),CONCATENATE("R9C",'Mapa final'!$O$47),"")</f>
        <v/>
      </c>
      <c r="AL54" s="56" t="str">
        <f>IF(AND('Mapa final'!$Y$48="Muy Baja",'Mapa final'!$AA$48="Catastrófico"),CONCATENATE("R9C",'Mapa final'!$O$48),"")</f>
        <v/>
      </c>
      <c r="AM54" s="57" t="str">
        <f>IF(AND('Mapa final'!$Y$49="Muy Baja",'Mapa final'!$AA$49="Catastrófico"),CONCATENATE("R9C",'Mapa final'!$O$49),"")</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18"/>
      <c r="C55" s="418"/>
      <c r="D55" s="419"/>
      <c r="E55" s="462"/>
      <c r="F55" s="463"/>
      <c r="G55" s="463"/>
      <c r="H55" s="463"/>
      <c r="I55" s="464"/>
      <c r="J55" s="79" t="str">
        <f>IF(AND('Mapa final'!$Y$50="Muy Baja",'Mapa final'!$AA$50="Leve"),CONCATENATE("R10C",'Mapa final'!$O$50),"")</f>
        <v/>
      </c>
      <c r="K55" s="80" t="str">
        <f>IF(AND('Mapa final'!$Y$51="Muy Baja",'Mapa final'!$AA$51="Leve"),CONCATENATE("R10C",'Mapa final'!$O$51),"")</f>
        <v/>
      </c>
      <c r="L55" s="80" t="str">
        <f>IF(AND('Mapa final'!$Y$52="Muy Baja",'Mapa final'!$AA$52="Leve"),CONCATENATE("R10C",'Mapa final'!$O$52),"")</f>
        <v/>
      </c>
      <c r="M55" s="80" t="str">
        <f>IF(AND('Mapa final'!$Y$53="Muy Baja",'Mapa final'!$AA$53="Leve"),CONCATENATE("R10C",'Mapa final'!$O$53),"")</f>
        <v/>
      </c>
      <c r="N55" s="80" t="str">
        <f>IF(AND('Mapa final'!$Y$54="Muy Baja",'Mapa final'!$AA$54="Leve"),CONCATENATE("R10C",'Mapa final'!$O$54),"")</f>
        <v/>
      </c>
      <c r="O55" s="81" t="str">
        <f>IF(AND('Mapa final'!$Y$55="Muy Baja",'Mapa final'!$AA$55="Leve"),CONCATENATE("R10C",'Mapa final'!$O$55),"")</f>
        <v/>
      </c>
      <c r="P55" s="79" t="str">
        <f>IF(AND('Mapa final'!$Y$50="Muy Baja",'Mapa final'!$AA$50="Menor"),CONCATENATE("R10C",'Mapa final'!$O$50),"")</f>
        <v/>
      </c>
      <c r="Q55" s="80" t="str">
        <f>IF(AND('Mapa final'!$Y$51="Muy Baja",'Mapa final'!$AA$51="Menor"),CONCATENATE("R10C",'Mapa final'!$O$51),"")</f>
        <v/>
      </c>
      <c r="R55" s="80" t="str">
        <f>IF(AND('Mapa final'!$Y$52="Muy Baja",'Mapa final'!$AA$52="Menor"),CONCATENATE("R10C",'Mapa final'!$O$52),"")</f>
        <v/>
      </c>
      <c r="S55" s="80" t="str">
        <f>IF(AND('Mapa final'!$Y$53="Muy Baja",'Mapa final'!$AA$53="Menor"),CONCATENATE("R10C",'Mapa final'!$O$53),"")</f>
        <v/>
      </c>
      <c r="T55" s="80" t="str">
        <f>IF(AND('Mapa final'!$Y$54="Muy Baja",'Mapa final'!$AA$54="Menor"),CONCATENATE("R10C",'Mapa final'!$O$54),"")</f>
        <v/>
      </c>
      <c r="U55" s="81" t="str">
        <f>IF(AND('Mapa final'!$Y$55="Muy Baja",'Mapa final'!$AA$55="Menor"),CONCATENATE("R10C",'Mapa final'!$O$55),"")</f>
        <v/>
      </c>
      <c r="V55" s="70" t="str">
        <f>IF(AND('Mapa final'!$Y$50="Muy Baja",'Mapa final'!$AA$50="Moderado"),CONCATENATE("R10C",'Mapa final'!$O$50),"")</f>
        <v/>
      </c>
      <c r="W55" s="71" t="str">
        <f>IF(AND('Mapa final'!$Y$51="Muy Baja",'Mapa final'!$AA$51="Moderado"),CONCATENATE("R10C",'Mapa final'!$O$51),"")</f>
        <v/>
      </c>
      <c r="X55" s="71" t="str">
        <f>IF(AND('Mapa final'!$Y$52="Muy Baja",'Mapa final'!$AA$52="Moderado"),CONCATENATE("R10C",'Mapa final'!$O$52),"")</f>
        <v/>
      </c>
      <c r="Y55" s="71" t="str">
        <f>IF(AND('Mapa final'!$Y$53="Muy Baja",'Mapa final'!$AA$53="Moderado"),CONCATENATE("R10C",'Mapa final'!$O$53),"")</f>
        <v/>
      </c>
      <c r="Z55" s="71" t="str">
        <f>IF(AND('Mapa final'!$Y$54="Muy Baja",'Mapa final'!$AA$54="Moderado"),CONCATENATE("R10C",'Mapa final'!$O$54),"")</f>
        <v/>
      </c>
      <c r="AA55" s="72" t="str">
        <f>IF(AND('Mapa final'!$Y$55="Muy Baja",'Mapa final'!$AA$55="Moderado"),CONCATENATE("R10C",'Mapa final'!$O$55),"")</f>
        <v/>
      </c>
      <c r="AB55" s="58" t="str">
        <f>IF(AND('Mapa final'!$Y$50="Muy Baja",'Mapa final'!$AA$50="Mayor"),CONCATENATE("R10C",'Mapa final'!$O$50),"")</f>
        <v/>
      </c>
      <c r="AC55" s="59" t="str">
        <f>IF(AND('Mapa final'!$Y$51="Muy Baja",'Mapa final'!$AA$51="Mayor"),CONCATENATE("R10C",'Mapa final'!$O$51),"")</f>
        <v/>
      </c>
      <c r="AD55" s="59" t="str">
        <f>IF(AND('Mapa final'!$Y$52="Muy Baja",'Mapa final'!$AA$52="Mayor"),CONCATENATE("R10C",'Mapa final'!$O$52),"")</f>
        <v/>
      </c>
      <c r="AE55" s="59" t="str">
        <f>IF(AND('Mapa final'!$Y$53="Muy Baja",'Mapa final'!$AA$53="Mayor"),CONCATENATE("R10C",'Mapa final'!$O$53),"")</f>
        <v/>
      </c>
      <c r="AF55" s="59" t="str">
        <f>IF(AND('Mapa final'!$Y$54="Muy Baja",'Mapa final'!$AA$54="Mayor"),CONCATENATE("R10C",'Mapa final'!$O$54),"")</f>
        <v/>
      </c>
      <c r="AG55" s="60" t="str">
        <f>IF(AND('Mapa final'!$Y$55="Muy Baja",'Mapa final'!$AA$55="Mayor"),CONCATENATE("R10C",'Mapa final'!$O$55),"")</f>
        <v/>
      </c>
      <c r="AH55" s="61" t="str">
        <f>IF(AND('Mapa final'!$Y$50="Muy Baja",'Mapa final'!$AA$50="Catastrófico"),CONCATENATE("R10C",'Mapa final'!$O$50),"")</f>
        <v/>
      </c>
      <c r="AI55" s="62" t="str">
        <f>IF(AND('Mapa final'!$Y$51="Muy Baja",'Mapa final'!$AA$51="Catastrófico"),CONCATENATE("R10C",'Mapa final'!$O$51),"")</f>
        <v/>
      </c>
      <c r="AJ55" s="62" t="str">
        <f>IF(AND('Mapa final'!$Y$52="Muy Baja",'Mapa final'!$AA$52="Catastrófico"),CONCATENATE("R10C",'Mapa final'!$O$52),"")</f>
        <v/>
      </c>
      <c r="AK55" s="62" t="str">
        <f>IF(AND('Mapa final'!$Y$53="Muy Baja",'Mapa final'!$AA$53="Catastrófico"),CONCATENATE("R10C",'Mapa final'!$O$53),"")</f>
        <v/>
      </c>
      <c r="AL55" s="62" t="str">
        <f>IF(AND('Mapa final'!$Y$54="Muy Baja",'Mapa final'!$AA$54="Catastrófico"),CONCATENATE("R10C",'Mapa final'!$O$54),"")</f>
        <v/>
      </c>
      <c r="AM55" s="63" t="str">
        <f>IF(AND('Mapa final'!$Y$55="Muy Baja",'Mapa final'!$AA$55="Catastrófico"),CONCATENATE("R10C",'Mapa final'!$O$55),"")</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456" t="s">
        <v>191</v>
      </c>
      <c r="K56" s="457"/>
      <c r="L56" s="457"/>
      <c r="M56" s="457"/>
      <c r="N56" s="457"/>
      <c r="O56" s="458"/>
      <c r="P56" s="456" t="s">
        <v>192</v>
      </c>
      <c r="Q56" s="457"/>
      <c r="R56" s="457"/>
      <c r="S56" s="457"/>
      <c r="T56" s="457"/>
      <c r="U56" s="458"/>
      <c r="V56" s="456" t="s">
        <v>193</v>
      </c>
      <c r="W56" s="457"/>
      <c r="X56" s="457"/>
      <c r="Y56" s="457"/>
      <c r="Z56" s="457"/>
      <c r="AA56" s="458"/>
      <c r="AB56" s="456" t="s">
        <v>194</v>
      </c>
      <c r="AC56" s="465"/>
      <c r="AD56" s="457"/>
      <c r="AE56" s="457"/>
      <c r="AF56" s="457"/>
      <c r="AG56" s="458"/>
      <c r="AH56" s="456" t="s">
        <v>195</v>
      </c>
      <c r="AI56" s="457"/>
      <c r="AJ56" s="457"/>
      <c r="AK56" s="457"/>
      <c r="AL56" s="457"/>
      <c r="AM56" s="458"/>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459"/>
      <c r="K57" s="460"/>
      <c r="L57" s="460"/>
      <c r="M57" s="460"/>
      <c r="N57" s="460"/>
      <c r="O57" s="461"/>
      <c r="P57" s="459"/>
      <c r="Q57" s="460"/>
      <c r="R57" s="460"/>
      <c r="S57" s="460"/>
      <c r="T57" s="460"/>
      <c r="U57" s="461"/>
      <c r="V57" s="459"/>
      <c r="W57" s="460"/>
      <c r="X57" s="460"/>
      <c r="Y57" s="460"/>
      <c r="Z57" s="460"/>
      <c r="AA57" s="461"/>
      <c r="AB57" s="459"/>
      <c r="AC57" s="460"/>
      <c r="AD57" s="460"/>
      <c r="AE57" s="460"/>
      <c r="AF57" s="460"/>
      <c r="AG57" s="461"/>
      <c r="AH57" s="459"/>
      <c r="AI57" s="460"/>
      <c r="AJ57" s="460"/>
      <c r="AK57" s="460"/>
      <c r="AL57" s="460"/>
      <c r="AM57" s="461"/>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459"/>
      <c r="K58" s="460"/>
      <c r="L58" s="460"/>
      <c r="M58" s="460"/>
      <c r="N58" s="460"/>
      <c r="O58" s="461"/>
      <c r="P58" s="459"/>
      <c r="Q58" s="460"/>
      <c r="R58" s="460"/>
      <c r="S58" s="460"/>
      <c r="T58" s="460"/>
      <c r="U58" s="461"/>
      <c r="V58" s="459"/>
      <c r="W58" s="460"/>
      <c r="X58" s="460"/>
      <c r="Y58" s="460"/>
      <c r="Z58" s="460"/>
      <c r="AA58" s="461"/>
      <c r="AB58" s="459"/>
      <c r="AC58" s="460"/>
      <c r="AD58" s="460"/>
      <c r="AE58" s="460"/>
      <c r="AF58" s="460"/>
      <c r="AG58" s="461"/>
      <c r="AH58" s="459"/>
      <c r="AI58" s="460"/>
      <c r="AJ58" s="460"/>
      <c r="AK58" s="460"/>
      <c r="AL58" s="460"/>
      <c r="AM58" s="461"/>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459"/>
      <c r="K59" s="460"/>
      <c r="L59" s="460"/>
      <c r="M59" s="460"/>
      <c r="N59" s="460"/>
      <c r="O59" s="461"/>
      <c r="P59" s="459"/>
      <c r="Q59" s="460"/>
      <c r="R59" s="460"/>
      <c r="S59" s="460"/>
      <c r="T59" s="460"/>
      <c r="U59" s="461"/>
      <c r="V59" s="459"/>
      <c r="W59" s="460"/>
      <c r="X59" s="460"/>
      <c r="Y59" s="460"/>
      <c r="Z59" s="460"/>
      <c r="AA59" s="461"/>
      <c r="AB59" s="459"/>
      <c r="AC59" s="460"/>
      <c r="AD59" s="460"/>
      <c r="AE59" s="460"/>
      <c r="AF59" s="460"/>
      <c r="AG59" s="461"/>
      <c r="AH59" s="459"/>
      <c r="AI59" s="460"/>
      <c r="AJ59" s="460"/>
      <c r="AK59" s="460"/>
      <c r="AL59" s="460"/>
      <c r="AM59" s="461"/>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459"/>
      <c r="K60" s="460"/>
      <c r="L60" s="460"/>
      <c r="M60" s="460"/>
      <c r="N60" s="460"/>
      <c r="O60" s="461"/>
      <c r="P60" s="459"/>
      <c r="Q60" s="460"/>
      <c r="R60" s="460"/>
      <c r="S60" s="460"/>
      <c r="T60" s="460"/>
      <c r="U60" s="461"/>
      <c r="V60" s="459"/>
      <c r="W60" s="460"/>
      <c r="X60" s="460"/>
      <c r="Y60" s="460"/>
      <c r="Z60" s="460"/>
      <c r="AA60" s="461"/>
      <c r="AB60" s="459"/>
      <c r="AC60" s="460"/>
      <c r="AD60" s="460"/>
      <c r="AE60" s="460"/>
      <c r="AF60" s="460"/>
      <c r="AG60" s="461"/>
      <c r="AH60" s="459"/>
      <c r="AI60" s="460"/>
      <c r="AJ60" s="460"/>
      <c r="AK60" s="460"/>
      <c r="AL60" s="460"/>
      <c r="AM60" s="461"/>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462"/>
      <c r="K61" s="463"/>
      <c r="L61" s="463"/>
      <c r="M61" s="463"/>
      <c r="N61" s="463"/>
      <c r="O61" s="464"/>
      <c r="P61" s="462"/>
      <c r="Q61" s="463"/>
      <c r="R61" s="463"/>
      <c r="S61" s="463"/>
      <c r="T61" s="463"/>
      <c r="U61" s="464"/>
      <c r="V61" s="462"/>
      <c r="W61" s="463"/>
      <c r="X61" s="463"/>
      <c r="Y61" s="463"/>
      <c r="Z61" s="463"/>
      <c r="AA61" s="464"/>
      <c r="AB61" s="462"/>
      <c r="AC61" s="463"/>
      <c r="AD61" s="463"/>
      <c r="AE61" s="463"/>
      <c r="AF61" s="463"/>
      <c r="AG61" s="464"/>
      <c r="AH61" s="462"/>
      <c r="AI61" s="463"/>
      <c r="AJ61" s="463"/>
      <c r="AK61" s="463"/>
      <c r="AL61" s="463"/>
      <c r="AM61" s="464"/>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topLeftCell="A4"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05" t="s">
        <v>197</v>
      </c>
      <c r="C1" s="505"/>
      <c r="D1" s="505"/>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198</v>
      </c>
      <c r="D3" s="12" t="s">
        <v>181</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199</v>
      </c>
      <c r="C4" s="14" t="s">
        <v>200</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201</v>
      </c>
      <c r="C5" s="17" t="s">
        <v>202</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203</v>
      </c>
      <c r="C6" s="17" t="s">
        <v>204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205</v>
      </c>
      <c r="C7" s="17" t="s">
        <v>206</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207</v>
      </c>
      <c r="C8" s="17" t="s">
        <v>208</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topLeftCell="B5" zoomScale="60" zoomScaleNormal="60" workbookViewId="0">
      <selection activeCell="D10" sqref="D10"/>
    </sheetView>
  </sheetViews>
  <sheetFormatPr baseColWidth="10" defaultColWidth="11.42578125" defaultRowHeight="15" x14ac:dyDescent="0.25"/>
  <cols>
    <col min="1" max="1" width="5.42578125" customWidth="1"/>
    <col min="2" max="2" width="40.42578125" customWidth="1"/>
    <col min="3" max="3" width="69.5703125" customWidth="1"/>
    <col min="4" max="4" width="135" bestFit="1" customWidth="1"/>
    <col min="5" max="5" width="56.140625" customWidth="1"/>
  </cols>
  <sheetData>
    <row r="1" spans="1:21" ht="33.75" x14ac:dyDescent="0.25">
      <c r="A1" s="83"/>
      <c r="B1" s="506" t="s">
        <v>209</v>
      </c>
      <c r="C1" s="506"/>
      <c r="D1" s="506"/>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60" x14ac:dyDescent="0.25">
      <c r="A3" s="83"/>
      <c r="B3" s="104"/>
      <c r="C3" s="36" t="s">
        <v>210</v>
      </c>
      <c r="D3" s="36" t="s">
        <v>211</v>
      </c>
      <c r="E3" s="36" t="s">
        <v>212</v>
      </c>
      <c r="F3" s="83"/>
      <c r="G3" s="83"/>
      <c r="H3" s="83"/>
      <c r="I3" s="83"/>
      <c r="J3" s="83"/>
      <c r="K3" s="83"/>
      <c r="L3" s="83"/>
      <c r="M3" s="83"/>
      <c r="N3" s="83"/>
      <c r="O3" s="83"/>
      <c r="P3" s="83"/>
      <c r="Q3" s="83"/>
      <c r="R3" s="83"/>
      <c r="S3" s="83"/>
      <c r="T3" s="83"/>
      <c r="U3" s="83"/>
    </row>
    <row r="4" spans="1:21" ht="33.75" x14ac:dyDescent="0.25">
      <c r="A4" s="103" t="s">
        <v>213</v>
      </c>
      <c r="B4" s="39" t="s">
        <v>214</v>
      </c>
      <c r="C4" s="44" t="s">
        <v>215</v>
      </c>
      <c r="D4" s="37" t="s">
        <v>216</v>
      </c>
      <c r="E4" s="37" t="s">
        <v>158</v>
      </c>
      <c r="F4" s="83"/>
      <c r="G4" s="83"/>
      <c r="H4" s="83"/>
      <c r="I4" s="83"/>
      <c r="J4" s="83"/>
      <c r="K4" s="83"/>
      <c r="L4" s="83"/>
      <c r="M4" s="83"/>
      <c r="N4" s="83"/>
      <c r="O4" s="83"/>
      <c r="P4" s="83"/>
      <c r="Q4" s="83"/>
      <c r="R4" s="83"/>
      <c r="S4" s="83"/>
      <c r="T4" s="83"/>
      <c r="U4" s="83"/>
    </row>
    <row r="5" spans="1:21" ht="67.5" x14ac:dyDescent="0.25">
      <c r="A5" s="103" t="s">
        <v>217</v>
      </c>
      <c r="B5" s="40" t="s">
        <v>218</v>
      </c>
      <c r="C5" s="45" t="s">
        <v>219</v>
      </c>
      <c r="D5" s="38" t="s">
        <v>220</v>
      </c>
      <c r="E5" s="38" t="s">
        <v>221</v>
      </c>
      <c r="F5" s="83"/>
      <c r="G5" s="83"/>
      <c r="H5" s="83"/>
      <c r="I5" s="83"/>
      <c r="J5" s="83"/>
      <c r="K5" s="83"/>
      <c r="L5" s="83"/>
      <c r="M5" s="83"/>
      <c r="N5" s="83"/>
      <c r="O5" s="83"/>
      <c r="P5" s="83"/>
      <c r="Q5" s="83"/>
      <c r="R5" s="83"/>
      <c r="S5" s="83"/>
      <c r="T5" s="83"/>
      <c r="U5" s="83"/>
    </row>
    <row r="6" spans="1:21" ht="67.5" x14ac:dyDescent="0.25">
      <c r="A6" s="103" t="s">
        <v>187</v>
      </c>
      <c r="B6" s="41" t="s">
        <v>222</v>
      </c>
      <c r="C6" s="45" t="s">
        <v>223</v>
      </c>
      <c r="D6" s="38" t="s">
        <v>224</v>
      </c>
      <c r="E6" s="38" t="s">
        <v>225</v>
      </c>
      <c r="F6" s="83"/>
      <c r="G6" s="83"/>
      <c r="H6" s="83"/>
      <c r="I6" s="83"/>
      <c r="J6" s="83"/>
      <c r="K6" s="83"/>
      <c r="L6" s="83"/>
      <c r="M6" s="83"/>
      <c r="N6" s="83"/>
      <c r="O6" s="83"/>
      <c r="P6" s="83"/>
      <c r="Q6" s="83"/>
      <c r="R6" s="83"/>
      <c r="S6" s="83"/>
      <c r="T6" s="83"/>
      <c r="U6" s="83"/>
    </row>
    <row r="7" spans="1:21" ht="101.25" x14ac:dyDescent="0.25">
      <c r="A7" s="103" t="s">
        <v>226</v>
      </c>
      <c r="B7" s="42" t="s">
        <v>227</v>
      </c>
      <c r="C7" s="45" t="s">
        <v>228</v>
      </c>
      <c r="D7" s="38" t="s">
        <v>229</v>
      </c>
      <c r="E7" s="38" t="s">
        <v>230</v>
      </c>
      <c r="F7" s="83"/>
      <c r="G7" s="83"/>
      <c r="H7" s="83"/>
      <c r="I7" s="83"/>
      <c r="J7" s="83"/>
      <c r="K7" s="83"/>
      <c r="L7" s="83"/>
      <c r="M7" s="83"/>
      <c r="N7" s="83"/>
      <c r="O7" s="83"/>
      <c r="P7" s="83"/>
      <c r="Q7" s="83"/>
      <c r="R7" s="83"/>
      <c r="S7" s="83"/>
      <c r="T7" s="83"/>
      <c r="U7" s="83"/>
    </row>
    <row r="8" spans="1:21" ht="67.5" x14ac:dyDescent="0.25">
      <c r="A8" s="103" t="s">
        <v>231</v>
      </c>
      <c r="B8" s="43" t="s">
        <v>232</v>
      </c>
      <c r="C8" s="45" t="s">
        <v>233</v>
      </c>
      <c r="D8" s="38" t="s">
        <v>234</v>
      </c>
      <c r="E8" s="38" t="s">
        <v>235</v>
      </c>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236</v>
      </c>
      <c r="C11" s="103" t="s">
        <v>237</v>
      </c>
      <c r="D11" s="103" t="s">
        <v>238</v>
      </c>
      <c r="E11" s="83"/>
      <c r="F11" s="83"/>
      <c r="G11" s="83"/>
      <c r="H11" s="83"/>
      <c r="I11" s="83"/>
      <c r="J11" s="83"/>
      <c r="K11" s="83"/>
      <c r="L11" s="83"/>
      <c r="M11" s="83"/>
      <c r="N11" s="83"/>
      <c r="O11" s="83"/>
      <c r="P11" s="83"/>
      <c r="Q11" s="83"/>
      <c r="R11" s="83"/>
      <c r="S11" s="83"/>
      <c r="T11" s="83"/>
      <c r="U11" s="83"/>
    </row>
    <row r="12" spans="1:21" x14ac:dyDescent="0.25">
      <c r="A12" s="103"/>
      <c r="B12" s="103" t="s">
        <v>239</v>
      </c>
      <c r="C12" s="103" t="s">
        <v>240</v>
      </c>
      <c r="D12" s="103" t="s">
        <v>132</v>
      </c>
      <c r="E12" s="83"/>
      <c r="F12" s="83"/>
      <c r="G12" s="83"/>
      <c r="H12" s="83"/>
      <c r="I12" s="83"/>
      <c r="J12" s="83"/>
      <c r="K12" s="83"/>
      <c r="L12" s="83"/>
      <c r="M12" s="83"/>
      <c r="N12" s="83"/>
      <c r="O12" s="83"/>
      <c r="P12" s="83"/>
      <c r="Q12" s="83"/>
      <c r="R12" s="83"/>
      <c r="S12" s="83"/>
      <c r="T12" s="83"/>
      <c r="U12" s="83"/>
    </row>
    <row r="13" spans="1:21" x14ac:dyDescent="0.25">
      <c r="A13" s="103"/>
      <c r="B13" s="103"/>
      <c r="C13" s="103" t="s">
        <v>241</v>
      </c>
      <c r="D13" s="103" t="s">
        <v>143</v>
      </c>
      <c r="E13" s="83"/>
      <c r="F13" s="83"/>
      <c r="G13" s="83"/>
      <c r="H13" s="83"/>
      <c r="I13" s="83"/>
      <c r="J13" s="83"/>
      <c r="K13" s="83"/>
      <c r="L13" s="83"/>
      <c r="M13" s="83"/>
      <c r="N13" s="83"/>
      <c r="O13" s="83"/>
      <c r="P13" s="83"/>
      <c r="Q13" s="83"/>
      <c r="R13" s="83"/>
      <c r="S13" s="83"/>
      <c r="T13" s="83"/>
      <c r="U13" s="83"/>
    </row>
    <row r="14" spans="1:21" x14ac:dyDescent="0.25">
      <c r="A14" s="103"/>
      <c r="B14" s="103"/>
      <c r="C14" s="103" t="s">
        <v>242</v>
      </c>
      <c r="D14" s="103" t="s">
        <v>243</v>
      </c>
      <c r="E14" s="83"/>
      <c r="F14" s="83"/>
      <c r="G14" s="83"/>
      <c r="H14" s="83"/>
      <c r="I14" s="83"/>
      <c r="J14" s="83"/>
      <c r="K14" s="83"/>
      <c r="L14" s="83"/>
      <c r="M14" s="83"/>
      <c r="N14" s="83"/>
      <c r="O14" s="83"/>
      <c r="P14" s="83"/>
      <c r="Q14" s="83"/>
      <c r="R14" s="83"/>
      <c r="S14" s="83"/>
      <c r="T14" s="83"/>
      <c r="U14" s="83"/>
    </row>
    <row r="15" spans="1:21" x14ac:dyDescent="0.25">
      <c r="A15" s="103"/>
      <c r="B15" s="103"/>
      <c r="C15" s="103" t="s">
        <v>244</v>
      </c>
      <c r="D15" s="103" t="s">
        <v>245</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246</v>
      </c>
      <c r="C209" s="30" t="s">
        <v>247</v>
      </c>
      <c r="D209" s="33" t="s">
        <v>246</v>
      </c>
      <c r="E209" s="33" t="s">
        <v>247</v>
      </c>
    </row>
    <row r="210" spans="1:8" ht="21" x14ac:dyDescent="0.35">
      <c r="A210" s="83"/>
      <c r="B210" s="31" t="s">
        <v>248</v>
      </c>
      <c r="C210" s="31" t="s">
        <v>249</v>
      </c>
      <c r="D210" t="s">
        <v>248</v>
      </c>
      <c r="F210" t="str">
        <f>IF(NOT(ISBLANK(D210)),D210,IF(NOT(ISBLANK(E210)),"     "&amp;E210,FALSE))</f>
        <v>Afectación Económica o presupuestal</v>
      </c>
      <c r="G210" t="s">
        <v>248</v>
      </c>
      <c r="H210" t="str">
        <f>IF(NOT(ISERROR(MATCH(G210,_xlfn.ANCHORARRAY(B221),0))),F228&amp;"Por favor no seleccionar los criterios de impacto",G210)</f>
        <v>❌Por favor no seleccionar los criterios de impacto</v>
      </c>
    </row>
    <row r="211" spans="1:8" ht="21" x14ac:dyDescent="0.35">
      <c r="A211" s="83"/>
      <c r="B211" s="31" t="s">
        <v>248</v>
      </c>
      <c r="C211" s="31" t="s">
        <v>219</v>
      </c>
      <c r="E211" t="s">
        <v>249</v>
      </c>
      <c r="F211" t="str">
        <f t="shared" ref="F211:F221" si="0">IF(NOT(ISBLANK(D211)),D211,IF(NOT(ISBLANK(E211)),"     "&amp;E211,FALSE))</f>
        <v xml:space="preserve">     Afectación menor a 10 SMLMV .</v>
      </c>
    </row>
    <row r="212" spans="1:8" ht="21" x14ac:dyDescent="0.35">
      <c r="A212" s="83"/>
      <c r="B212" s="31" t="s">
        <v>248</v>
      </c>
      <c r="C212" s="31" t="s">
        <v>223</v>
      </c>
      <c r="E212" t="s">
        <v>219</v>
      </c>
      <c r="F212" t="str">
        <f t="shared" si="0"/>
        <v xml:space="preserve">     Entre 10 y 50 SMLMV </v>
      </c>
    </row>
    <row r="213" spans="1:8" ht="21" x14ac:dyDescent="0.35">
      <c r="A213" s="83"/>
      <c r="B213" s="31" t="s">
        <v>248</v>
      </c>
      <c r="C213" s="31" t="s">
        <v>228</v>
      </c>
      <c r="E213" t="s">
        <v>223</v>
      </c>
      <c r="F213" t="str">
        <f t="shared" si="0"/>
        <v xml:space="preserve">     Entre 50 y 100 SMLMV </v>
      </c>
    </row>
    <row r="214" spans="1:8" ht="21" x14ac:dyDescent="0.35">
      <c r="A214" s="83"/>
      <c r="B214" s="31" t="s">
        <v>248</v>
      </c>
      <c r="C214" s="31" t="s">
        <v>233</v>
      </c>
      <c r="E214" t="s">
        <v>228</v>
      </c>
      <c r="F214" t="str">
        <f t="shared" si="0"/>
        <v xml:space="preserve">     Entre 100 y 500 SMLMV </v>
      </c>
    </row>
    <row r="215" spans="1:8" ht="21" x14ac:dyDescent="0.35">
      <c r="A215" s="83"/>
      <c r="B215" s="31" t="s">
        <v>211</v>
      </c>
      <c r="C215" s="31" t="s">
        <v>216</v>
      </c>
      <c r="E215" t="s">
        <v>233</v>
      </c>
      <c r="F215" t="str">
        <f t="shared" si="0"/>
        <v xml:space="preserve">     Mayor a 500 SMLMV </v>
      </c>
    </row>
    <row r="216" spans="1:8" ht="21" x14ac:dyDescent="0.35">
      <c r="A216" s="83"/>
      <c r="B216" s="31" t="s">
        <v>211</v>
      </c>
      <c r="C216" s="31" t="s">
        <v>250</v>
      </c>
      <c r="D216" t="s">
        <v>211</v>
      </c>
      <c r="F216" t="str">
        <f t="shared" si="0"/>
        <v>Pérdida Reputacional</v>
      </c>
    </row>
    <row r="217" spans="1:8" ht="21" x14ac:dyDescent="0.35">
      <c r="A217" s="83"/>
      <c r="B217" s="31" t="s">
        <v>211</v>
      </c>
      <c r="C217" s="31" t="s">
        <v>224</v>
      </c>
      <c r="E217" t="s">
        <v>216</v>
      </c>
      <c r="F217" t="str">
        <f t="shared" si="0"/>
        <v xml:space="preserve">     El riesgo afecta la imagen de alguna área de la organización</v>
      </c>
    </row>
    <row r="218" spans="1:8" ht="21" x14ac:dyDescent="0.35">
      <c r="A218" s="83"/>
      <c r="B218" s="31" t="s">
        <v>211</v>
      </c>
      <c r="C218" s="31" t="s">
        <v>229</v>
      </c>
      <c r="E218" t="s">
        <v>250</v>
      </c>
      <c r="F218" t="str">
        <f t="shared" si="0"/>
        <v xml:space="preserve">     El riesgo afecta la imagen de la entidad internamente, de conocimiento general, nivel interno, de junta dircetiva y accionistas y/o de provedores</v>
      </c>
    </row>
    <row r="219" spans="1:8" ht="21" x14ac:dyDescent="0.35">
      <c r="A219" s="83"/>
      <c r="B219" s="31" t="s">
        <v>211</v>
      </c>
      <c r="C219" s="31" t="s">
        <v>234</v>
      </c>
      <c r="E219" t="s">
        <v>224</v>
      </c>
      <c r="F219" t="str">
        <f t="shared" si="0"/>
        <v xml:space="preserve">     El riesgo afecta la imagen de la entidad con algunos usuarios de relevancia frente al logro de los objetivos</v>
      </c>
    </row>
    <row r="220" spans="1:8" x14ac:dyDescent="0.25">
      <c r="A220" s="83"/>
      <c r="B220" s="32"/>
      <c r="C220" s="32"/>
      <c r="E220" t="s">
        <v>229</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234</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c r="F222" t="s">
        <v>212</v>
      </c>
    </row>
    <row r="223" spans="1:8" x14ac:dyDescent="0.25">
      <c r="B223" s="32" t="str">
        <v>Pérdida Reputacional</v>
      </c>
      <c r="C223" s="32"/>
      <c r="F223" t="s">
        <v>158</v>
      </c>
    </row>
    <row r="224" spans="1:8" x14ac:dyDescent="0.25">
      <c r="B224" s="22"/>
      <c r="C224" s="22"/>
      <c r="F224" t="s">
        <v>221</v>
      </c>
    </row>
    <row r="225" spans="2:6" x14ac:dyDescent="0.25">
      <c r="B225" s="22"/>
      <c r="C225" s="22"/>
      <c r="F225" t="s">
        <v>225</v>
      </c>
    </row>
    <row r="226" spans="2:6" x14ac:dyDescent="0.25">
      <c r="B226" s="22"/>
      <c r="C226" s="22"/>
      <c r="F226" t="s">
        <v>230</v>
      </c>
    </row>
    <row r="227" spans="2:6" x14ac:dyDescent="0.25">
      <c r="B227" s="22"/>
      <c r="C227" s="22"/>
      <c r="D227" s="22"/>
      <c r="F227" t="s">
        <v>235</v>
      </c>
    </row>
    <row r="228" spans="2:6" x14ac:dyDescent="0.25">
      <c r="B228" s="22"/>
      <c r="C228" s="22"/>
      <c r="D228" s="22"/>
      <c r="F228" s="35" t="s">
        <v>251</v>
      </c>
    </row>
    <row r="229" spans="2:6" x14ac:dyDescent="0.25">
      <c r="B229" s="22"/>
      <c r="C229" s="22"/>
      <c r="D229" s="22"/>
      <c r="F229" s="35" t="s">
        <v>252</v>
      </c>
    </row>
    <row r="230" spans="2:6" x14ac:dyDescent="0.25">
      <c r="B230" s="22"/>
      <c r="C230" s="22"/>
      <c r="D230" s="22"/>
    </row>
    <row r="231" spans="2:6" x14ac:dyDescent="0.25">
      <c r="B231" s="22"/>
      <c r="C231" s="22"/>
      <c r="D231" s="22"/>
    </row>
    <row r="232" spans="2:6" x14ac:dyDescent="0.25">
      <c r="B232" s="22"/>
      <c r="C232" s="22"/>
      <c r="D232" s="22"/>
    </row>
  </sheetData>
  <mergeCells count="1">
    <mergeCell ref="B1:D1"/>
  </mergeCells>
  <dataValidations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C2:J21"/>
  <sheetViews>
    <sheetView showGridLines="0" topLeftCell="D1" zoomScale="110" zoomScaleNormal="110" workbookViewId="0">
      <selection activeCell="J4" sqref="J4"/>
    </sheetView>
  </sheetViews>
  <sheetFormatPr baseColWidth="10" defaultColWidth="11.42578125" defaultRowHeight="15.75" x14ac:dyDescent="0.25"/>
  <cols>
    <col min="1" max="3" width="11.42578125" style="171"/>
    <col min="4" max="4" width="25.42578125" style="171" customWidth="1"/>
    <col min="5" max="5" width="22.5703125" style="171" customWidth="1"/>
    <col min="6" max="6" width="23.7109375" style="171" customWidth="1"/>
    <col min="7" max="7" width="45.85546875" style="171" customWidth="1"/>
    <col min="8" max="16384" width="11.42578125" style="171"/>
  </cols>
  <sheetData>
    <row r="2" spans="3:10" ht="16.5" thickBot="1" x14ac:dyDescent="0.3"/>
    <row r="3" spans="3:10" ht="32.25" thickBot="1" x14ac:dyDescent="0.3">
      <c r="C3" s="172" t="s">
        <v>253</v>
      </c>
      <c r="D3" s="173" t="s">
        <v>254</v>
      </c>
      <c r="E3" s="511" t="s">
        <v>255</v>
      </c>
      <c r="F3" s="512"/>
      <c r="G3" s="513"/>
      <c r="J3" s="194" t="s">
        <v>15</v>
      </c>
    </row>
    <row r="4" spans="3:10" x14ac:dyDescent="0.25">
      <c r="C4" s="507">
        <v>1</v>
      </c>
      <c r="D4" s="174" t="s">
        <v>11</v>
      </c>
      <c r="E4" s="175" t="s">
        <v>256</v>
      </c>
      <c r="F4" s="175" t="s">
        <v>257</v>
      </c>
      <c r="G4" s="196" t="s">
        <v>258</v>
      </c>
      <c r="H4" s="197">
        <v>1</v>
      </c>
      <c r="J4" s="195">
        <f>+H4*H7*H11*H14*H17*H20</f>
        <v>250</v>
      </c>
    </row>
    <row r="5" spans="3:10" x14ac:dyDescent="0.25">
      <c r="C5" s="514"/>
      <c r="D5" s="176"/>
      <c r="E5" s="175"/>
      <c r="F5" s="175"/>
      <c r="G5" s="175"/>
    </row>
    <row r="6" spans="3:10" ht="63.75" thickBot="1" x14ac:dyDescent="0.3">
      <c r="C6" s="508"/>
      <c r="D6" s="177" t="s">
        <v>259</v>
      </c>
      <c r="E6" s="178" t="s">
        <v>260</v>
      </c>
      <c r="F6" s="178" t="s">
        <v>261</v>
      </c>
      <c r="G6" s="178" t="s">
        <v>262</v>
      </c>
    </row>
    <row r="7" spans="3:10" x14ac:dyDescent="0.25">
      <c r="C7" s="507">
        <v>2</v>
      </c>
      <c r="D7" s="174" t="s">
        <v>181</v>
      </c>
      <c r="E7" s="175" t="s">
        <v>263</v>
      </c>
      <c r="F7" s="175" t="s">
        <v>264</v>
      </c>
      <c r="G7" s="196" t="s">
        <v>265</v>
      </c>
      <c r="H7" s="197">
        <v>1</v>
      </c>
    </row>
    <row r="8" spans="3:10" x14ac:dyDescent="0.25">
      <c r="C8" s="514"/>
      <c r="D8" s="176"/>
      <c r="E8" s="175"/>
      <c r="F8" s="175"/>
      <c r="G8" s="175"/>
    </row>
    <row r="9" spans="3:10" ht="78.75" x14ac:dyDescent="0.25">
      <c r="C9" s="514"/>
      <c r="D9" s="174" t="s">
        <v>266</v>
      </c>
      <c r="E9" s="175" t="s">
        <v>267</v>
      </c>
      <c r="F9" s="175" t="s">
        <v>268</v>
      </c>
      <c r="G9" s="175" t="s">
        <v>269</v>
      </c>
    </row>
    <row r="10" spans="3:10" ht="16.5" thickBot="1" x14ac:dyDescent="0.3">
      <c r="C10" s="508"/>
      <c r="D10" s="177" t="s">
        <v>270</v>
      </c>
      <c r="E10" s="179"/>
      <c r="F10" s="179"/>
      <c r="G10" s="179"/>
    </row>
    <row r="11" spans="3:10" x14ac:dyDescent="0.25">
      <c r="C11" s="507">
        <v>3</v>
      </c>
      <c r="D11" s="174" t="s">
        <v>271</v>
      </c>
      <c r="E11" s="175" t="s">
        <v>272</v>
      </c>
      <c r="F11" s="175" t="s">
        <v>273</v>
      </c>
      <c r="G11" s="196" t="s">
        <v>274</v>
      </c>
      <c r="H11" s="197">
        <v>5</v>
      </c>
    </row>
    <row r="12" spans="3:10" x14ac:dyDescent="0.25">
      <c r="C12" s="514"/>
      <c r="D12" s="176"/>
      <c r="E12" s="175"/>
      <c r="F12" s="175"/>
      <c r="G12" s="175"/>
    </row>
    <row r="13" spans="3:10" ht="63.75" thickBot="1" x14ac:dyDescent="0.3">
      <c r="C13" s="508"/>
      <c r="D13" s="177" t="s">
        <v>275</v>
      </c>
      <c r="E13" s="178" t="s">
        <v>276</v>
      </c>
      <c r="F13" s="178" t="s">
        <v>277</v>
      </c>
      <c r="G13" s="178" t="s">
        <v>278</v>
      </c>
    </row>
    <row r="14" spans="3:10" x14ac:dyDescent="0.25">
      <c r="C14" s="507">
        <v>4</v>
      </c>
      <c r="D14" s="180" t="s">
        <v>279</v>
      </c>
      <c r="E14" s="181" t="s">
        <v>280</v>
      </c>
      <c r="F14" s="181" t="s">
        <v>281</v>
      </c>
      <c r="G14" s="198" t="s">
        <v>282</v>
      </c>
      <c r="H14" s="197">
        <v>1</v>
      </c>
    </row>
    <row r="15" spans="3:10" x14ac:dyDescent="0.25">
      <c r="C15" s="514"/>
      <c r="D15" s="176"/>
      <c r="E15" s="175"/>
      <c r="F15" s="175"/>
      <c r="G15" s="175"/>
    </row>
    <row r="16" spans="3:10" ht="111" thickBot="1" x14ac:dyDescent="0.3">
      <c r="C16" s="508"/>
      <c r="D16" s="177" t="s">
        <v>283</v>
      </c>
      <c r="E16" s="178" t="s">
        <v>284</v>
      </c>
      <c r="F16" s="178" t="s">
        <v>285</v>
      </c>
      <c r="G16" s="178" t="s">
        <v>286</v>
      </c>
    </row>
    <row r="17" spans="3:8" x14ac:dyDescent="0.25">
      <c r="C17" s="514">
        <v>5</v>
      </c>
      <c r="D17" s="174" t="s">
        <v>287</v>
      </c>
      <c r="E17" s="175" t="s">
        <v>263</v>
      </c>
      <c r="F17" s="175" t="s">
        <v>288</v>
      </c>
      <c r="G17" s="196" t="s">
        <v>265</v>
      </c>
      <c r="H17" s="197">
        <v>5</v>
      </c>
    </row>
    <row r="18" spans="3:8" x14ac:dyDescent="0.25">
      <c r="C18" s="514"/>
      <c r="D18" s="176"/>
      <c r="E18" s="175"/>
      <c r="F18" s="175"/>
      <c r="G18" s="175"/>
    </row>
    <row r="19" spans="3:8" ht="79.5" thickBot="1" x14ac:dyDescent="0.3">
      <c r="C19" s="508"/>
      <c r="D19" s="177" t="s">
        <v>289</v>
      </c>
      <c r="E19" s="178" t="s">
        <v>290</v>
      </c>
      <c r="F19" s="178" t="s">
        <v>291</v>
      </c>
      <c r="G19" s="178" t="s">
        <v>292</v>
      </c>
    </row>
    <row r="20" spans="3:8" x14ac:dyDescent="0.25">
      <c r="C20" s="507">
        <v>6</v>
      </c>
      <c r="D20" s="174" t="s">
        <v>293</v>
      </c>
      <c r="E20" s="175" t="s">
        <v>263</v>
      </c>
      <c r="F20" s="509" t="s">
        <v>294</v>
      </c>
      <c r="G20" s="196" t="s">
        <v>265</v>
      </c>
      <c r="H20" s="197">
        <v>10</v>
      </c>
    </row>
    <row r="21" spans="3:8" ht="79.5" thickBot="1" x14ac:dyDescent="0.3">
      <c r="C21" s="508"/>
      <c r="D21" s="177" t="s">
        <v>295</v>
      </c>
      <c r="E21" s="178" t="s">
        <v>296</v>
      </c>
      <c r="F21" s="510"/>
      <c r="G21" s="178" t="s">
        <v>297</v>
      </c>
    </row>
  </sheetData>
  <mergeCells count="8">
    <mergeCell ref="C20:C21"/>
    <mergeCell ref="F20:F21"/>
    <mergeCell ref="E3:G3"/>
    <mergeCell ref="C4:C6"/>
    <mergeCell ref="C7:C10"/>
    <mergeCell ref="C11:C13"/>
    <mergeCell ref="C14:C16"/>
    <mergeCell ref="C17:C1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2FFBC898DE12049A57AD172F7056FCD" ma:contentTypeVersion="11" ma:contentTypeDescription="Crear nuevo documento." ma:contentTypeScope="" ma:versionID="32de8fbfd676371bd737686d108784e7">
  <xsd:schema xmlns:xsd="http://www.w3.org/2001/XMLSchema" xmlns:xs="http://www.w3.org/2001/XMLSchema" xmlns:p="http://schemas.microsoft.com/office/2006/metadata/properties" xmlns:ns2="f4a717b0-14f5-4275-ace1-35a66fa5a9cf" xmlns:ns3="02bffab7-4fc4-4f6f-9a56-e5300ffe7873" targetNamespace="http://schemas.microsoft.com/office/2006/metadata/properties" ma:root="true" ma:fieldsID="db52cf4efbe0406fe184de263059c8a2" ns2:_="" ns3:_="">
    <xsd:import namespace="f4a717b0-14f5-4275-ace1-35a66fa5a9cf"/>
    <xsd:import namespace="02bffab7-4fc4-4f6f-9a56-e5300ffe787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a717b0-14f5-4275-ace1-35a66fa5a9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bffab7-4fc4-4f6f-9a56-e5300ffe787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4101e1d-d2d2-4178-a6c8-adb7f1f08b34}" ma:internalName="TaxCatchAll" ma:showField="CatchAllData" ma:web="02bffab7-4fc4-4f6f-9a56-e5300ffe78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4a717b0-14f5-4275-ace1-35a66fa5a9cf">
      <Terms xmlns="http://schemas.microsoft.com/office/infopath/2007/PartnerControls"/>
    </lcf76f155ced4ddcb4097134ff3c332f>
    <TaxCatchAll xmlns="02bffab7-4fc4-4f6f-9a56-e5300ffe7873" xsi:nil="true"/>
  </documentManagement>
</p:properties>
</file>

<file path=customXml/itemProps1.xml><?xml version="1.0" encoding="utf-8"?>
<ds:datastoreItem xmlns:ds="http://schemas.openxmlformats.org/officeDocument/2006/customXml" ds:itemID="{4EF35180-31FD-42B7-98B1-AC0709663D60}">
  <ds:schemaRefs>
    <ds:schemaRef ds:uri="http://schemas.microsoft.com/sharepoint/v3/contenttype/forms"/>
  </ds:schemaRefs>
</ds:datastoreItem>
</file>

<file path=customXml/itemProps2.xml><?xml version="1.0" encoding="utf-8"?>
<ds:datastoreItem xmlns:ds="http://schemas.openxmlformats.org/officeDocument/2006/customXml" ds:itemID="{85B33614-B92F-4E82-854D-3DACC2AEEC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a717b0-14f5-4275-ace1-35a66fa5a9cf"/>
    <ds:schemaRef ds:uri="02bffab7-4fc4-4f6f-9a56-e5300ffe78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DD48C2-043B-49BF-AD8C-9E4071676150}">
  <ds:schemaRefs>
    <ds:schemaRef ds:uri="http://schemas.microsoft.com/office/2006/metadata/properties"/>
    <ds:schemaRef ds:uri="http://schemas.microsoft.com/office/infopath/2007/PartnerControls"/>
    <ds:schemaRef ds:uri="f4a717b0-14f5-4275-ace1-35a66fa5a9cf"/>
    <ds:schemaRef ds:uri="02bffab7-4fc4-4f6f-9a56-e5300ffe787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Instructivo</vt:lpstr>
      <vt:lpstr>Contexto proceso</vt:lpstr>
      <vt:lpstr>Mapa final</vt:lpstr>
      <vt:lpstr>Impacto-clasificacion</vt:lpstr>
      <vt:lpstr>Matriz Calor Inherente</vt:lpstr>
      <vt:lpstr>Matriz Calor Residual</vt:lpstr>
      <vt:lpstr>Tabla probabilidad</vt:lpstr>
      <vt:lpstr>Tabla Impacto</vt:lpstr>
      <vt:lpstr>Criterios riesgos amb.</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Luisa Fernanda Ibagon Moreno</cp:lastModifiedBy>
  <cp:revision/>
  <dcterms:created xsi:type="dcterms:W3CDTF">2020-03-24T23:12:47Z</dcterms:created>
  <dcterms:modified xsi:type="dcterms:W3CDTF">2023-09-28T19:34:45Z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0x01010092FFBC898DE12049A57AD172F7056FCD</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