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2. Diciembre/Caso HOLA 1730/"/>
    </mc:Choice>
  </mc:AlternateContent>
  <xr:revisionPtr revIDLastSave="19" documentId="13_ncr:1_{B7DE06D5-A528-4197-8331-0C8F41728692}" xr6:coauthVersionLast="47" xr6:coauthVersionMax="47" xr10:uidLastSave="{6CD61A9E-50D9-483A-992E-C7161BA334F7}"/>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pivotCaches>
    <pivotCache cacheId="1"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I31" i="1" s="1"/>
  <c r="Q31" i="1"/>
  <c r="T31" i="1"/>
  <c r="X33" i="1"/>
  <c r="X34" i="1"/>
  <c r="K33" i="1"/>
  <c r="K32" i="1"/>
  <c r="K34" i="1"/>
  <c r="X31" i="1" l="1"/>
  <c r="Z31" i="1" s="1"/>
  <c r="X32" i="1"/>
  <c r="J4" i="23"/>
  <c r="T26" i="1"/>
  <c r="Q26" i="1"/>
  <c r="H26" i="1"/>
  <c r="F221" i="13"/>
  <c r="F211" i="13"/>
  <c r="F212" i="13"/>
  <c r="F213" i="13"/>
  <c r="F214" i="13"/>
  <c r="F215" i="13"/>
  <c r="F216" i="13"/>
  <c r="F217" i="13"/>
  <c r="F218" i="13"/>
  <c r="F219" i="13"/>
  <c r="F220" i="13"/>
  <c r="F210" i="13"/>
  <c r="B221" i="13" a="1"/>
  <c r="B221" i="13"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43" i="1"/>
  <c r="Q43" i="1"/>
  <c r="H43" i="1"/>
  <c r="I43" i="1" s="1"/>
  <c r="T41" i="1"/>
  <c r="Q41" i="1"/>
  <c r="H41" i="1"/>
  <c r="I41" i="1" s="1"/>
  <c r="T39" i="1"/>
  <c r="Q39" i="1"/>
  <c r="H39" i="1"/>
  <c r="I39" i="1" s="1"/>
  <c r="T35" i="1"/>
  <c r="Q35" i="1"/>
  <c r="H35" i="1"/>
  <c r="H28" i="1"/>
  <c r="I28" i="1" s="1"/>
  <c r="T28" i="1"/>
  <c r="Q2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27" i="1"/>
  <c r="Q27" i="1"/>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M43" i="1"/>
  <c r="K38" i="1"/>
  <c r="K40" i="1"/>
  <c r="K30" i="1"/>
  <c r="K42" i="1"/>
  <c r="K36" i="1"/>
  <c r="K37" i="1"/>
  <c r="K27" i="1"/>
  <c r="Y31" i="1" l="1"/>
  <c r="K31" i="1"/>
  <c r="L31" i="1" s="1"/>
  <c r="AL14" i="18" s="1"/>
  <c r="K41" i="1"/>
  <c r="M41" i="1" s="1"/>
  <c r="K43" i="1"/>
  <c r="K26" i="1"/>
  <c r="L26" i="1" s="1"/>
  <c r="M26" i="1" s="1"/>
  <c r="K39" i="1"/>
  <c r="L39" i="1" s="1"/>
  <c r="K35" i="1"/>
  <c r="L35" i="1" s="1"/>
  <c r="M35" i="1" s="1"/>
  <c r="AB35" i="1" s="1"/>
  <c r="AA35" i="1" s="1"/>
  <c r="K28" i="1"/>
  <c r="L28" i="1" s="1"/>
  <c r="M28" i="1" s="1"/>
  <c r="AB28" i="1" s="1"/>
  <c r="AA28" i="1" s="1"/>
  <c r="H210" i="13"/>
  <c r="AH26" i="18"/>
  <c r="X43" i="1"/>
  <c r="Z43" i="1" s="1"/>
  <c r="AH18" i="18"/>
  <c r="AB43" i="1"/>
  <c r="AA43" i="1" s="1"/>
  <c r="AI33" i="19"/>
  <c r="AB41" i="1"/>
  <c r="AA41" i="1" s="1"/>
  <c r="X42" i="1"/>
  <c r="AG55" i="19"/>
  <c r="X39" i="1"/>
  <c r="Y39" i="1" s="1"/>
  <c r="AH10" i="18"/>
  <c r="P42" i="18"/>
  <c r="J18" i="18"/>
  <c r="AB42" i="18"/>
  <c r="T6" i="18"/>
  <c r="J26" i="18"/>
  <c r="AB10" i="18"/>
  <c r="V10" i="18"/>
  <c r="AB26" i="18"/>
  <c r="V34" i="18"/>
  <c r="AB18" i="18"/>
  <c r="V18" i="18"/>
  <c r="P26" i="18"/>
  <c r="J10" i="18"/>
  <c r="AB34" i="18"/>
  <c r="AH42" i="18"/>
  <c r="P10" i="18"/>
  <c r="P34" i="18"/>
  <c r="P18" i="18"/>
  <c r="N43" i="1"/>
  <c r="J34" i="18"/>
  <c r="V26" i="18"/>
  <c r="V42" i="18"/>
  <c r="AH34" i="18"/>
  <c r="J42" i="18"/>
  <c r="T8" i="18"/>
  <c r="X28" i="1"/>
  <c r="Z28" i="1" s="1"/>
  <c r="X38" i="1"/>
  <c r="AD26" i="18"/>
  <c r="AJ32" i="18"/>
  <c r="T42" i="18"/>
  <c r="R45" i="19"/>
  <c r="X13" i="19"/>
  <c r="AF38" i="18"/>
  <c r="AL38" i="18"/>
  <c r="AA35" i="19"/>
  <c r="X31" i="19"/>
  <c r="R21" i="19"/>
  <c r="V30" i="18"/>
  <c r="Z14" i="18"/>
  <c r="AM55" i="19"/>
  <c r="V44" i="19"/>
  <c r="P22" i="18"/>
  <c r="AB26" i="1"/>
  <c r="AA26" i="1" s="1"/>
  <c r="AL10" i="18"/>
  <c r="R16" i="18"/>
  <c r="AG35" i="19"/>
  <c r="AH22" i="18"/>
  <c r="AA25" i="19"/>
  <c r="P38" i="18"/>
  <c r="AB30" i="18"/>
  <c r="Z32" i="18"/>
  <c r="N40" i="18"/>
  <c r="AL40" i="18"/>
  <c r="Z24" i="18"/>
  <c r="I35" i="1"/>
  <c r="X35" i="1" s="1"/>
  <c r="X40" i="1"/>
  <c r="P14" i="18"/>
  <c r="AH14" i="18"/>
  <c r="AB38" i="18"/>
  <c r="AH30" i="18"/>
  <c r="J22" i="18"/>
  <c r="V22" i="18"/>
  <c r="J14" i="18"/>
  <c r="J30" i="18"/>
  <c r="J38" i="18"/>
  <c r="P30" i="18"/>
  <c r="N26" i="18"/>
  <c r="AF34" i="18"/>
  <c r="Z26" i="18"/>
  <c r="AF40" i="18"/>
  <c r="V6" i="18"/>
  <c r="AB22" i="18"/>
  <c r="T10" i="18"/>
  <c r="AH12" i="18"/>
  <c r="P36" i="18"/>
  <c r="AD34" i="18"/>
  <c r="R34" i="18"/>
  <c r="T16" i="18"/>
  <c r="P6" i="18"/>
  <c r="V38" i="18"/>
  <c r="N18" i="18"/>
  <c r="Z6" i="18"/>
  <c r="AF22" i="18"/>
  <c r="N38" i="18"/>
  <c r="Z22" i="18"/>
  <c r="Z38" i="18"/>
  <c r="T14" i="18"/>
  <c r="N6" i="18"/>
  <c r="T30" i="18"/>
  <c r="N30" i="18"/>
  <c r="AJ11" i="19"/>
  <c r="X21" i="19"/>
  <c r="X41" i="19"/>
  <c r="R31" i="19"/>
  <c r="AD51" i="19"/>
  <c r="AD11" i="19"/>
  <c r="AD21" i="19"/>
  <c r="L11" i="19"/>
  <c r="AJ21" i="19"/>
  <c r="L31" i="19"/>
  <c r="O25" i="19"/>
  <c r="AM35" i="19"/>
  <c r="AA15" i="19"/>
  <c r="AM25" i="19"/>
  <c r="U45" i="19"/>
  <c r="AG15" i="19"/>
  <c r="R22" i="18"/>
  <c r="U35" i="19"/>
  <c r="AM45" i="19"/>
  <c r="AB20" i="18"/>
  <c r="AJ10" i="18"/>
  <c r="P28" i="18"/>
  <c r="J6" i="18"/>
  <c r="AH6" i="18"/>
  <c r="AB6" i="18"/>
  <c r="AB14" i="18"/>
  <c r="AH38" i="18"/>
  <c r="V14" i="18"/>
  <c r="AL6" i="18"/>
  <c r="AL30" i="18"/>
  <c r="AF6" i="18"/>
  <c r="N22" i="18"/>
  <c r="R42" i="18"/>
  <c r="X18" i="18"/>
  <c r="X30" i="1"/>
  <c r="X36" i="1"/>
  <c r="X37" i="1"/>
  <c r="N47" i="19"/>
  <c r="R24" i="18"/>
  <c r="R8" i="18"/>
  <c r="X40" i="18"/>
  <c r="X24" i="18"/>
  <c r="L40" i="18"/>
  <c r="X32" i="18"/>
  <c r="AD32" i="18"/>
  <c r="L8" i="18"/>
  <c r="AD24" i="18"/>
  <c r="N39" i="1"/>
  <c r="AJ8" i="18"/>
  <c r="X16" i="18"/>
  <c r="AJ40" i="18"/>
  <c r="AD16" i="18"/>
  <c r="L16" i="18"/>
  <c r="AJ16" i="18"/>
  <c r="AD8" i="18"/>
  <c r="X8" i="18"/>
  <c r="R40" i="18"/>
  <c r="AJ24" i="18"/>
  <c r="AD40" i="18"/>
  <c r="J12" i="18"/>
  <c r="AH36" i="18"/>
  <c r="L24" i="18"/>
  <c r="R32" i="18"/>
  <c r="Z42" i="18"/>
  <c r="N42" i="18"/>
  <c r="AF26" i="18"/>
  <c r="AF10" i="18"/>
  <c r="N10" i="18"/>
  <c r="AL42" i="18"/>
  <c r="T18" i="18"/>
  <c r="Z18" i="18"/>
  <c r="Z10" i="18"/>
  <c r="T34" i="18"/>
  <c r="AF18" i="18"/>
  <c r="Z34" i="18"/>
  <c r="N34" i="18"/>
  <c r="AF42" i="18"/>
  <c r="AL26" i="18"/>
  <c r="T26" i="18"/>
  <c r="AL18" i="18"/>
  <c r="AL34" i="18"/>
  <c r="AF32" i="18"/>
  <c r="AL8" i="18"/>
  <c r="T24" i="18"/>
  <c r="N16" i="18"/>
  <c r="N24" i="18"/>
  <c r="AF16" i="18"/>
  <c r="AL16" i="18"/>
  <c r="T40" i="18"/>
  <c r="AF8" i="18"/>
  <c r="AL24" i="18"/>
  <c r="Z8" i="18"/>
  <c r="T32" i="18"/>
  <c r="AL32" i="18"/>
  <c r="N41" i="1"/>
  <c r="AF24" i="18"/>
  <c r="Z40" i="18"/>
  <c r="Z16" i="18"/>
  <c r="N32" i="18"/>
  <c r="N8" i="18"/>
  <c r="M39" i="1"/>
  <c r="AB39" i="1" s="1"/>
  <c r="AA39" i="1" s="1"/>
  <c r="J44" i="18"/>
  <c r="P12" i="18"/>
  <c r="P20" i="18"/>
  <c r="V44" i="18"/>
  <c r="V28" i="18"/>
  <c r="AH28" i="18"/>
  <c r="AB28" i="18"/>
  <c r="AH20" i="18"/>
  <c r="J36" i="18"/>
  <c r="J28" i="18"/>
  <c r="AH44" i="18"/>
  <c r="V36" i="18"/>
  <c r="J20" i="18"/>
  <c r="AB12" i="18"/>
  <c r="AB44" i="18"/>
  <c r="V12" i="18"/>
  <c r="AB36" i="18"/>
  <c r="V20" i="18"/>
  <c r="P44" i="18"/>
  <c r="L32" i="18"/>
  <c r="L30" i="18"/>
  <c r="AJ30" i="18"/>
  <c r="AD30" i="18"/>
  <c r="AD38" i="18"/>
  <c r="AJ6" i="18"/>
  <c r="X26" i="18"/>
  <c r="L34" i="18"/>
  <c r="L18" i="18"/>
  <c r="AD42" i="18"/>
  <c r="X34" i="18"/>
  <c r="L10" i="18"/>
  <c r="X42" i="18"/>
  <c r="AD36" i="19"/>
  <c r="N26" i="1"/>
  <c r="AF17" i="19"/>
  <c r="Z17" i="19"/>
  <c r="R10" i="18"/>
  <c r="AD18" i="18"/>
  <c r="R26" i="18"/>
  <c r="R18" i="18"/>
  <c r="L26" i="18"/>
  <c r="AD10" i="18"/>
  <c r="AD31" i="19"/>
  <c r="AJ51" i="19"/>
  <c r="L21" i="19"/>
  <c r="R11" i="19"/>
  <c r="R51" i="19"/>
  <c r="AJ31" i="19"/>
  <c r="L51" i="19"/>
  <c r="AD41" i="19"/>
  <c r="L41" i="19"/>
  <c r="X51" i="19"/>
  <c r="AJ41" i="19"/>
  <c r="X11" i="19"/>
  <c r="R41" i="19"/>
  <c r="AJ18" i="18"/>
  <c r="AJ42" i="18"/>
  <c r="AJ26" i="18"/>
  <c r="AJ34" i="18"/>
  <c r="X10" i="18"/>
  <c r="L42" i="18"/>
  <c r="I26" i="1"/>
  <c r="X26" i="1" s="1"/>
  <c r="Z26" i="1" s="1"/>
  <c r="X27" i="1" s="1"/>
  <c r="X41" i="1"/>
  <c r="AF6" i="19"/>
  <c r="AL36" i="19"/>
  <c r="Z46" i="19"/>
  <c r="AF36" i="19"/>
  <c r="Z36" i="19"/>
  <c r="AF16" i="19"/>
  <c r="AL16" i="19"/>
  <c r="N46" i="19"/>
  <c r="AF26" i="19"/>
  <c r="AF46" i="19"/>
  <c r="N26" i="19"/>
  <c r="N36" i="19"/>
  <c r="N6" i="19"/>
  <c r="T16" i="19"/>
  <c r="Z26" i="19"/>
  <c r="Z6" i="19"/>
  <c r="T46" i="19"/>
  <c r="Z16" i="19"/>
  <c r="AL46" i="19"/>
  <c r="N16" i="19"/>
  <c r="AD16" i="19"/>
  <c r="AJ46" i="19"/>
  <c r="R26" i="19"/>
  <c r="R6" i="19"/>
  <c r="AD26" i="19"/>
  <c r="L36" i="19"/>
  <c r="X6" i="19"/>
  <c r="X26" i="19"/>
  <c r="L6" i="19"/>
  <c r="T26" i="19"/>
  <c r="T36" i="19"/>
  <c r="AL6" i="19"/>
  <c r="AL26" i="19"/>
  <c r="AJ22" i="18" l="1"/>
  <c r="L6" i="18"/>
  <c r="R38" i="18"/>
  <c r="L38" i="18"/>
  <c r="N28" i="1"/>
  <c r="L22" i="18"/>
  <c r="R14" i="18"/>
  <c r="AD14" i="18"/>
  <c r="AD22" i="18"/>
  <c r="X30" i="18"/>
  <c r="R30" i="18"/>
  <c r="X38" i="18"/>
  <c r="AJ38" i="18"/>
  <c r="AJ14" i="18"/>
  <c r="X14" i="18"/>
  <c r="L14" i="18"/>
  <c r="X22" i="18"/>
  <c r="AD6" i="18"/>
  <c r="X6" i="18"/>
  <c r="R6" i="18"/>
  <c r="J32" i="18"/>
  <c r="P8" i="18"/>
  <c r="P16" i="18"/>
  <c r="J40" i="18"/>
  <c r="AB16" i="18"/>
  <c r="V16" i="18"/>
  <c r="AF30" i="18"/>
  <c r="AL22" i="18"/>
  <c r="T38" i="18"/>
  <c r="Z30" i="18"/>
  <c r="N14" i="18"/>
  <c r="AH24" i="18"/>
  <c r="AH8" i="18"/>
  <c r="AB24" i="18"/>
  <c r="AH32" i="18"/>
  <c r="V8" i="18"/>
  <c r="V40" i="18"/>
  <c r="J8" i="18"/>
  <c r="AH16" i="18"/>
  <c r="P24" i="18"/>
  <c r="AB32" i="18"/>
  <c r="P32" i="18"/>
  <c r="AB8" i="18"/>
  <c r="N35" i="1"/>
  <c r="V32" i="18"/>
  <c r="AH40" i="18"/>
  <c r="V24" i="18"/>
  <c r="J24" i="18"/>
  <c r="P40" i="18"/>
  <c r="J16" i="18"/>
  <c r="AB40" i="18"/>
  <c r="T22" i="18"/>
  <c r="AF14" i="18"/>
  <c r="M31" i="1"/>
  <c r="AB31" i="1" s="1"/>
  <c r="AA31" i="1" s="1"/>
  <c r="AC31" i="1" s="1"/>
  <c r="N31" i="1"/>
  <c r="Y43" i="1"/>
  <c r="P12" i="19" s="1"/>
  <c r="V55" i="19"/>
  <c r="X15" i="19"/>
  <c r="J23" i="19"/>
  <c r="P45" i="19"/>
  <c r="O15" i="19"/>
  <c r="AG45" i="19"/>
  <c r="AM15" i="19"/>
  <c r="U25" i="19"/>
  <c r="O35" i="19"/>
  <c r="AA45" i="19"/>
  <c r="AA55" i="19"/>
  <c r="O45" i="19"/>
  <c r="O55" i="19"/>
  <c r="U55" i="19"/>
  <c r="AG25" i="19"/>
  <c r="U15" i="19"/>
  <c r="K55" i="19"/>
  <c r="AB20" i="19"/>
  <c r="Y28" i="1"/>
  <c r="J37" i="19" s="1"/>
  <c r="P40" i="19"/>
  <c r="W51" i="19"/>
  <c r="X35" i="19"/>
  <c r="Z39" i="1"/>
  <c r="L15" i="19"/>
  <c r="AJ35" i="19"/>
  <c r="AD45" i="19"/>
  <c r="AJ45" i="19"/>
  <c r="AH10" i="19"/>
  <c r="P50" i="19"/>
  <c r="V30" i="19"/>
  <c r="AH20" i="19"/>
  <c r="AJ43" i="19"/>
  <c r="Q45" i="19"/>
  <c r="AB50" i="19"/>
  <c r="J54" i="19"/>
  <c r="AI13" i="19"/>
  <c r="V40" i="19"/>
  <c r="J50" i="19"/>
  <c r="AB10" i="19"/>
  <c r="AH50" i="19"/>
  <c r="P10" i="19"/>
  <c r="V20" i="19"/>
  <c r="AB30" i="19"/>
  <c r="AJ25" i="19"/>
  <c r="L25" i="19"/>
  <c r="AH30" i="19"/>
  <c r="R25" i="19"/>
  <c r="AC39" i="1"/>
  <c r="J30" i="19"/>
  <c r="J20" i="19"/>
  <c r="R55" i="19"/>
  <c r="R35" i="19"/>
  <c r="X45" i="19"/>
  <c r="L45" i="19"/>
  <c r="P30" i="19"/>
  <c r="W48" i="19"/>
  <c r="X25" i="19"/>
  <c r="V10" i="19"/>
  <c r="AH40" i="19"/>
  <c r="AB40" i="19"/>
  <c r="AJ15" i="19"/>
  <c r="AD55" i="19"/>
  <c r="X55" i="19"/>
  <c r="J10" i="19"/>
  <c r="J40" i="19"/>
  <c r="V50" i="19"/>
  <c r="P20" i="19"/>
  <c r="AD25" i="19"/>
  <c r="R15" i="19"/>
  <c r="L35" i="19"/>
  <c r="AD35" i="19"/>
  <c r="AJ55" i="19"/>
  <c r="AB35" i="19"/>
  <c r="L55" i="19"/>
  <c r="AD15" i="19"/>
  <c r="AM14" i="19"/>
  <c r="AI15" i="19"/>
  <c r="AL23" i="19"/>
  <c r="Z33" i="19"/>
  <c r="T23" i="19"/>
  <c r="N53" i="19"/>
  <c r="Z13" i="19"/>
  <c r="Z43" i="19"/>
  <c r="N33" i="19"/>
  <c r="N13" i="19"/>
  <c r="AF53" i="19"/>
  <c r="T33" i="19"/>
  <c r="Z23" i="19"/>
  <c r="AL13" i="19"/>
  <c r="T53" i="19"/>
  <c r="Z53" i="19"/>
  <c r="V53" i="19"/>
  <c r="R13" i="19"/>
  <c r="K15" i="19"/>
  <c r="P15" i="19"/>
  <c r="J13" i="19"/>
  <c r="AH13" i="19"/>
  <c r="Q53" i="19"/>
  <c r="P25" i="19"/>
  <c r="X43" i="19"/>
  <c r="AJ53" i="19"/>
  <c r="AB44" i="19"/>
  <c r="W15" i="19"/>
  <c r="K35" i="19"/>
  <c r="AB15" i="19"/>
  <c r="J45" i="19"/>
  <c r="L33" i="19"/>
  <c r="T35" i="19"/>
  <c r="L13" i="19"/>
  <c r="AC35" i="19"/>
  <c r="X53" i="19"/>
  <c r="Q55" i="19"/>
  <c r="AC45" i="19"/>
  <c r="K45" i="19"/>
  <c r="AI25" i="19"/>
  <c r="AB33" i="19"/>
  <c r="AB23" i="19"/>
  <c r="J33" i="19"/>
  <c r="Q23" i="19"/>
  <c r="K33" i="19"/>
  <c r="W23" i="19"/>
  <c r="AC43" i="19"/>
  <c r="AD13" i="19"/>
  <c r="R23" i="19"/>
  <c r="L23" i="19"/>
  <c r="K25" i="19"/>
  <c r="AG33" i="19"/>
  <c r="AJ23" i="19"/>
  <c r="R53" i="19"/>
  <c r="L53" i="19"/>
  <c r="R33" i="19"/>
  <c r="R43" i="19"/>
  <c r="J53" i="19"/>
  <c r="AC15" i="19"/>
  <c r="Q15" i="19"/>
  <c r="P43" i="19"/>
  <c r="W25" i="19"/>
  <c r="AH23" i="19"/>
  <c r="P23" i="19"/>
  <c r="Q13" i="19"/>
  <c r="W43" i="19"/>
  <c r="AI23" i="19"/>
  <c r="X23" i="19"/>
  <c r="AJ33" i="19"/>
  <c r="Q35" i="19"/>
  <c r="AD53" i="19"/>
  <c r="X33" i="19"/>
  <c r="AC25" i="19"/>
  <c r="V33" i="19"/>
  <c r="W35" i="19"/>
  <c r="AC55" i="19"/>
  <c r="AI55" i="19"/>
  <c r="V43" i="19"/>
  <c r="Q25" i="19"/>
  <c r="AI45" i="19"/>
  <c r="AI35" i="19"/>
  <c r="W55" i="19"/>
  <c r="W45" i="19"/>
  <c r="V23" i="19"/>
  <c r="P13" i="19"/>
  <c r="AC23" i="19"/>
  <c r="K23" i="19"/>
  <c r="AJ13" i="19"/>
  <c r="AD23" i="19"/>
  <c r="AD33" i="19"/>
  <c r="L43" i="19"/>
  <c r="AD43" i="19"/>
  <c r="Z27" i="1"/>
  <c r="Y27" i="1"/>
  <c r="AB27" i="1"/>
  <c r="AA27" i="1" s="1"/>
  <c r="Y26" i="1"/>
  <c r="V36" i="19" s="1"/>
  <c r="O24" i="19"/>
  <c r="O20" i="19"/>
  <c r="AG30" i="19"/>
  <c r="V54" i="19"/>
  <c r="AB54" i="19"/>
  <c r="AF27" i="19"/>
  <c r="Z7" i="19"/>
  <c r="AH35" i="19"/>
  <c r="AB25" i="19"/>
  <c r="AB45" i="19"/>
  <c r="J15" i="19"/>
  <c r="O34" i="19"/>
  <c r="AG24" i="19"/>
  <c r="AA24" i="19"/>
  <c r="P44" i="19"/>
  <c r="P55" i="19"/>
  <c r="V25" i="19"/>
  <c r="J24" i="19"/>
  <c r="T27" i="19"/>
  <c r="P35" i="19"/>
  <c r="V35" i="19"/>
  <c r="AH15" i="19"/>
  <c r="V15" i="19"/>
  <c r="O54" i="19"/>
  <c r="AG54" i="19"/>
  <c r="AM44" i="19"/>
  <c r="AG14" i="19"/>
  <c r="J25" i="19"/>
  <c r="J55" i="19"/>
  <c r="P34" i="19"/>
  <c r="AH55" i="19"/>
  <c r="AH45" i="19"/>
  <c r="J35" i="19"/>
  <c r="AB55" i="19"/>
  <c r="U24" i="19"/>
  <c r="U54" i="19"/>
  <c r="AA34" i="19"/>
  <c r="J14" i="19"/>
  <c r="X36" i="19"/>
  <c r="L16" i="19"/>
  <c r="AJ16" i="19"/>
  <c r="L46" i="19"/>
  <c r="R36" i="19"/>
  <c r="AJ36" i="19"/>
  <c r="AJ6" i="19"/>
  <c r="AD6" i="19"/>
  <c r="R16" i="19"/>
  <c r="AJ26" i="19"/>
  <c r="AM20" i="19"/>
  <c r="O30" i="19"/>
  <c r="X46" i="19"/>
  <c r="AD46" i="19"/>
  <c r="R46" i="19"/>
  <c r="L26" i="19"/>
  <c r="X16" i="19"/>
  <c r="AA20" i="19"/>
  <c r="U50" i="19"/>
  <c r="AA40" i="19"/>
  <c r="U10" i="19"/>
  <c r="U20" i="19"/>
  <c r="O40" i="19"/>
  <c r="T6" i="19"/>
  <c r="U40" i="19"/>
  <c r="AM10" i="19"/>
  <c r="U30" i="19"/>
  <c r="AA50" i="19"/>
  <c r="P24" i="19"/>
  <c r="P14" i="19"/>
  <c r="P54" i="19"/>
  <c r="J34" i="19"/>
  <c r="V24" i="19"/>
  <c r="AB24" i="19"/>
  <c r="AB14" i="19"/>
  <c r="AH24" i="19"/>
  <c r="AG40" i="19"/>
  <c r="AA30" i="19"/>
  <c r="O10" i="19"/>
  <c r="AM40" i="19"/>
  <c r="O50" i="19"/>
  <c r="V34" i="19"/>
  <c r="AH44" i="19"/>
  <c r="AH34" i="19"/>
  <c r="AB34" i="19"/>
  <c r="AH54" i="19"/>
  <c r="AH14" i="19"/>
  <c r="J44" i="19"/>
  <c r="V14" i="19"/>
  <c r="AG10" i="19"/>
  <c r="AM50" i="19"/>
  <c r="AA10" i="19"/>
  <c r="AG20" i="19"/>
  <c r="AM30" i="19"/>
  <c r="AG50" i="19"/>
  <c r="AH25" i="19"/>
  <c r="AF43" i="19"/>
  <c r="AL53" i="19"/>
  <c r="T13" i="19"/>
  <c r="N43" i="19"/>
  <c r="AF13" i="19"/>
  <c r="AL33" i="19"/>
  <c r="AF23" i="19"/>
  <c r="N23" i="19"/>
  <c r="T43" i="19"/>
  <c r="AL43" i="19"/>
  <c r="AF33" i="19"/>
  <c r="V45" i="19"/>
  <c r="AC53" i="19"/>
  <c r="AC33" i="19"/>
  <c r="W33" i="19"/>
  <c r="K13" i="19"/>
  <c r="Q33" i="19"/>
  <c r="W13" i="19"/>
  <c r="AI43" i="19"/>
  <c r="AC13" i="19"/>
  <c r="AI53" i="19"/>
  <c r="Q43" i="19"/>
  <c r="K43" i="19"/>
  <c r="W53" i="19"/>
  <c r="K53" i="19"/>
  <c r="U44" i="19"/>
  <c r="U14" i="19"/>
  <c r="U34" i="19"/>
  <c r="AG34" i="19"/>
  <c r="AM34" i="19"/>
  <c r="AA44" i="19"/>
  <c r="Z35" i="19"/>
  <c r="N35" i="19"/>
  <c r="Z45" i="19"/>
  <c r="Z25" i="19"/>
  <c r="T25" i="19"/>
  <c r="AL15" i="19"/>
  <c r="AA48" i="19"/>
  <c r="AG18" i="19"/>
  <c r="AG28" i="19"/>
  <c r="U38" i="19"/>
  <c r="U28" i="19"/>
  <c r="AM28" i="19"/>
  <c r="AM38" i="19"/>
  <c r="AG48" i="19"/>
  <c r="AA8" i="19"/>
  <c r="AM8" i="19"/>
  <c r="O38" i="19"/>
  <c r="O18" i="19"/>
  <c r="U48" i="19"/>
  <c r="AM18" i="19"/>
  <c r="U18" i="19"/>
  <c r="AA38" i="19"/>
  <c r="U8" i="19"/>
  <c r="O28" i="19"/>
  <c r="AG38" i="19"/>
  <c r="O48" i="19"/>
  <c r="O8" i="19"/>
  <c r="AM48" i="19"/>
  <c r="AA28" i="19"/>
  <c r="AA18" i="19"/>
  <c r="AG8" i="19"/>
  <c r="N51" i="19"/>
  <c r="AF10" i="19"/>
  <c r="AF50" i="19"/>
  <c r="AF40" i="19"/>
  <c r="AL20" i="19"/>
  <c r="Z50" i="19"/>
  <c r="Z30" i="19"/>
  <c r="Z40" i="19"/>
  <c r="T20" i="19"/>
  <c r="T50" i="19"/>
  <c r="AF30" i="19"/>
  <c r="Z10" i="19"/>
  <c r="AL50" i="19"/>
  <c r="AL10" i="19"/>
  <c r="N30" i="19"/>
  <c r="AL30" i="19"/>
  <c r="N50" i="19"/>
  <c r="AF20" i="19"/>
  <c r="N40" i="19"/>
  <c r="N20" i="19"/>
  <c r="Z20" i="19"/>
  <c r="T30" i="19"/>
  <c r="T10" i="19"/>
  <c r="T40" i="19"/>
  <c r="AL40" i="19"/>
  <c r="N10" i="19"/>
  <c r="M48" i="19"/>
  <c r="M38" i="19"/>
  <c r="AK28" i="19"/>
  <c r="Y8" i="19"/>
  <c r="Y28" i="19"/>
  <c r="AK8" i="19"/>
  <c r="AE38" i="19"/>
  <c r="S28" i="19"/>
  <c r="AK38" i="19"/>
  <c r="Y18" i="19"/>
  <c r="AE28" i="19"/>
  <c r="AE18" i="19"/>
  <c r="Y48" i="19"/>
  <c r="M18" i="19"/>
  <c r="Y38" i="19"/>
  <c r="S48" i="19"/>
  <c r="AK48" i="19"/>
  <c r="M8" i="19"/>
  <c r="S38" i="19"/>
  <c r="S8" i="19"/>
  <c r="AE48" i="19"/>
  <c r="AE8" i="19"/>
  <c r="S18" i="19"/>
  <c r="AK18" i="19"/>
  <c r="M28" i="19"/>
  <c r="AG44" i="19"/>
  <c r="O44" i="19"/>
  <c r="AM24" i="19"/>
  <c r="AA14" i="19"/>
  <c r="O14" i="19"/>
  <c r="V13" i="19"/>
  <c r="AH43" i="19"/>
  <c r="AH53" i="19"/>
  <c r="AB43" i="19"/>
  <c r="P53" i="19"/>
  <c r="AB13" i="19"/>
  <c r="AB53" i="19"/>
  <c r="J43" i="19"/>
  <c r="P33" i="19"/>
  <c r="AH33" i="19"/>
  <c r="J22" i="19"/>
  <c r="T17" i="19"/>
  <c r="T37" i="19"/>
  <c r="AL17" i="19"/>
  <c r="T47" i="19"/>
  <c r="AF7" i="19"/>
  <c r="AF47" i="19"/>
  <c r="N37" i="19"/>
  <c r="AL27" i="19"/>
  <c r="T7" i="19"/>
  <c r="AF37" i="19"/>
  <c r="AL47" i="19"/>
  <c r="Z27" i="19"/>
  <c r="N27" i="19"/>
  <c r="AL37" i="19"/>
  <c r="N17" i="19"/>
  <c r="Z37" i="19"/>
  <c r="AL7" i="19"/>
  <c r="N7" i="19"/>
  <c r="N39" i="19"/>
  <c r="AL29" i="19"/>
  <c r="AL9" i="19"/>
  <c r="N19" i="19"/>
  <c r="Z29" i="19"/>
  <c r="T19" i="19"/>
  <c r="AL19" i="19"/>
  <c r="AL39" i="19"/>
  <c r="Z9" i="19"/>
  <c r="T39" i="19"/>
  <c r="AL49" i="19"/>
  <c r="Z19" i="19"/>
  <c r="AF49" i="19"/>
  <c r="Z49" i="19"/>
  <c r="N9" i="19"/>
  <c r="T29" i="19"/>
  <c r="AF19" i="19"/>
  <c r="AF9" i="19"/>
  <c r="Z39" i="19"/>
  <c r="T49" i="19"/>
  <c r="AF29" i="19"/>
  <c r="AF39" i="19"/>
  <c r="N29" i="19"/>
  <c r="N49" i="19"/>
  <c r="T9" i="19"/>
  <c r="S37" i="19"/>
  <c r="M17" i="19"/>
  <c r="Y37" i="19"/>
  <c r="M27" i="19"/>
  <c r="S17" i="19"/>
  <c r="AK17" i="19"/>
  <c r="Y47" i="19"/>
  <c r="AK27" i="19"/>
  <c r="Y27" i="19"/>
  <c r="Y17" i="19"/>
  <c r="M7" i="19"/>
  <c r="AE27" i="19"/>
  <c r="AE37" i="19"/>
  <c r="S47" i="19"/>
  <c r="AK37" i="19"/>
  <c r="S7" i="19"/>
  <c r="M47" i="19"/>
  <c r="M37" i="19"/>
  <c r="AE17" i="19"/>
  <c r="AE47" i="19"/>
  <c r="AK7" i="19"/>
  <c r="S27" i="19"/>
  <c r="Y7" i="19"/>
  <c r="AE7" i="19"/>
  <c r="AK47" i="19"/>
  <c r="T18" i="19"/>
  <c r="AF38" i="19"/>
  <c r="AL28" i="19"/>
  <c r="AF18" i="19"/>
  <c r="T8" i="19"/>
  <c r="N8" i="19"/>
  <c r="AF8" i="19"/>
  <c r="N38" i="19"/>
  <c r="Z8" i="19"/>
  <c r="AF48" i="19"/>
  <c r="T28" i="19"/>
  <c r="AL8" i="19"/>
  <c r="AL38" i="19"/>
  <c r="T48" i="19"/>
  <c r="N28" i="19"/>
  <c r="Z28" i="19"/>
  <c r="Z48" i="19"/>
  <c r="AF28" i="19"/>
  <c r="T38" i="19"/>
  <c r="N18" i="19"/>
  <c r="N48" i="19"/>
  <c r="Z18" i="19"/>
  <c r="AL48" i="19"/>
  <c r="AL18" i="19"/>
  <c r="Z38" i="19"/>
  <c r="AA26" i="19"/>
  <c r="AM36" i="19"/>
  <c r="U36" i="19"/>
  <c r="AA16" i="19"/>
  <c r="AG6" i="19"/>
  <c r="M41" i="19"/>
  <c r="M31" i="19"/>
  <c r="AK31" i="19"/>
  <c r="S51" i="19"/>
  <c r="AE31" i="19"/>
  <c r="S11" i="19"/>
  <c r="AE11" i="19"/>
  <c r="AK41" i="19"/>
  <c r="Y51" i="19"/>
  <c r="AE41" i="19"/>
  <c r="AK51" i="19"/>
  <c r="S41" i="19"/>
  <c r="S21" i="19"/>
  <c r="M51" i="19"/>
  <c r="AE51" i="19"/>
  <c r="Y31" i="19"/>
  <c r="Y41" i="19"/>
  <c r="AK21" i="19"/>
  <c r="M21" i="19"/>
  <c r="M11" i="19"/>
  <c r="Y21" i="19"/>
  <c r="Y11" i="19"/>
  <c r="S31" i="19"/>
  <c r="AE21" i="19"/>
  <c r="AK11" i="19"/>
  <c r="AM47" i="19"/>
  <c r="AA7" i="19"/>
  <c r="AM17" i="19"/>
  <c r="AG7" i="19"/>
  <c r="AA37" i="19"/>
  <c r="U47" i="19"/>
  <c r="AG37" i="19"/>
  <c r="U27" i="19"/>
  <c r="AA47" i="19"/>
  <c r="AM37" i="19"/>
  <c r="AA27" i="19"/>
  <c r="AG17" i="19"/>
  <c r="AG47" i="19"/>
  <c r="O37" i="19"/>
  <c r="O27" i="19"/>
  <c r="AG27" i="19"/>
  <c r="AA17" i="19"/>
  <c r="AM27" i="19"/>
  <c r="O47" i="19"/>
  <c r="U7" i="19"/>
  <c r="O17" i="19"/>
  <c r="U37" i="19"/>
  <c r="AM7" i="19"/>
  <c r="O7" i="19"/>
  <c r="U17" i="19"/>
  <c r="S49" i="19"/>
  <c r="AE49" i="19"/>
  <c r="AK39" i="19"/>
  <c r="AE39" i="19"/>
  <c r="S29" i="19"/>
  <c r="S39" i="19"/>
  <c r="AK19" i="19"/>
  <c r="Y39" i="19"/>
  <c r="S19" i="19"/>
  <c r="M39" i="19"/>
  <c r="S9" i="19"/>
  <c r="M9" i="19"/>
  <c r="M49" i="19"/>
  <c r="Y9" i="19"/>
  <c r="AK49" i="19"/>
  <c r="M19" i="19"/>
  <c r="AK9" i="19"/>
  <c r="AE29" i="19"/>
  <c r="Y29" i="19"/>
  <c r="AE19" i="19"/>
  <c r="M29" i="19"/>
  <c r="AK29" i="19"/>
  <c r="AE9" i="19"/>
  <c r="Y19" i="19"/>
  <c r="Y49" i="19"/>
  <c r="Y35" i="1"/>
  <c r="Z35" i="1"/>
  <c r="L54" i="19"/>
  <c r="R14" i="19"/>
  <c r="L34" i="19"/>
  <c r="X44" i="19"/>
  <c r="L14" i="19"/>
  <c r="AD54" i="19"/>
  <c r="AJ54" i="19"/>
  <c r="AD44" i="19"/>
  <c r="AD34" i="19"/>
  <c r="X24" i="19"/>
  <c r="L44" i="19"/>
  <c r="AJ44" i="19"/>
  <c r="AD24" i="19"/>
  <c r="R24" i="19"/>
  <c r="X14" i="19"/>
  <c r="R54" i="19"/>
  <c r="X34" i="19"/>
  <c r="R34" i="19"/>
  <c r="AJ14" i="19"/>
  <c r="AJ34" i="19"/>
  <c r="AD14" i="19"/>
  <c r="L24" i="19"/>
  <c r="X54" i="19"/>
  <c r="AJ24" i="19"/>
  <c r="R44" i="19"/>
  <c r="Z47" i="19"/>
  <c r="U6" i="19"/>
  <c r="AM26" i="19"/>
  <c r="U46" i="19"/>
  <c r="AM6" i="19"/>
  <c r="Y33" i="19"/>
  <c r="AE23" i="19"/>
  <c r="M23" i="19"/>
  <c r="AE53" i="19"/>
  <c r="Y23" i="19"/>
  <c r="S33" i="19"/>
  <c r="AE13" i="19"/>
  <c r="AK33" i="19"/>
  <c r="Y43" i="19"/>
  <c r="M13" i="19"/>
  <c r="AE33" i="19"/>
  <c r="AK53" i="19"/>
  <c r="M33" i="19"/>
  <c r="S23" i="19"/>
  <c r="AK13" i="19"/>
  <c r="M43" i="19"/>
  <c r="AK43" i="19"/>
  <c r="M53" i="19"/>
  <c r="Y53" i="19"/>
  <c r="Y13" i="19"/>
  <c r="S43" i="19"/>
  <c r="AE43" i="19"/>
  <c r="AK23" i="19"/>
  <c r="S13" i="19"/>
  <c r="S53" i="19"/>
  <c r="AI7" i="19"/>
  <c r="Y41" i="1"/>
  <c r="Z41" i="1"/>
  <c r="AG46" i="19"/>
  <c r="AA6" i="19"/>
  <c r="AG26" i="19"/>
  <c r="AM16" i="19"/>
  <c r="U26" i="19"/>
  <c r="AM46" i="19"/>
  <c r="O6" i="19"/>
  <c r="AI41" i="19"/>
  <c r="AI11" i="19"/>
  <c r="K51" i="19"/>
  <c r="Q11" i="19"/>
  <c r="W41" i="19"/>
  <c r="Q31" i="19"/>
  <c r="AC51" i="19"/>
  <c r="K41" i="19"/>
  <c r="AI21" i="19"/>
  <c r="W31" i="19"/>
  <c r="K21" i="19"/>
  <c r="AC31" i="19"/>
  <c r="AH42" i="19" l="1"/>
  <c r="V42" i="19"/>
  <c r="P52" i="19"/>
  <c r="AB32" i="19"/>
  <c r="P32" i="19"/>
  <c r="J12" i="19"/>
  <c r="V52" i="19"/>
  <c r="J42" i="19"/>
  <c r="V32" i="19"/>
  <c r="J47" i="19"/>
  <c r="V12" i="19"/>
  <c r="V22" i="19"/>
  <c r="AC28" i="1"/>
  <c r="J52" i="19"/>
  <c r="AB22" i="19"/>
  <c r="P37" i="19"/>
  <c r="P22" i="19"/>
  <c r="AH22" i="19"/>
  <c r="P42" i="19"/>
  <c r="AH32" i="19"/>
  <c r="AH52" i="19"/>
  <c r="AC43" i="1"/>
  <c r="AB42" i="19"/>
  <c r="AB52" i="19"/>
  <c r="J32" i="19"/>
  <c r="AB12" i="19"/>
  <c r="AH12" i="19"/>
  <c r="V27" i="19"/>
  <c r="J27" i="19"/>
  <c r="P47" i="19"/>
  <c r="P7" i="19"/>
  <c r="J7" i="19"/>
  <c r="AB27" i="19"/>
  <c r="AI36" i="19"/>
  <c r="AH47" i="19"/>
  <c r="V37" i="19"/>
  <c r="AB17" i="19"/>
  <c r="P27" i="19"/>
  <c r="AH37" i="19"/>
  <c r="J46" i="19"/>
  <c r="AH27" i="19"/>
  <c r="V17" i="19"/>
  <c r="AA23" i="19"/>
  <c r="AG43" i="19"/>
  <c r="AB7" i="19"/>
  <c r="V6" i="19"/>
  <c r="W46" i="19"/>
  <c r="J26" i="19"/>
  <c r="AI16" i="19"/>
  <c r="AA13" i="19"/>
  <c r="AH7" i="19"/>
  <c r="AF15" i="19"/>
  <c r="AM33" i="19"/>
  <c r="V47" i="19"/>
  <c r="P17" i="19"/>
  <c r="AB37" i="19"/>
  <c r="V7" i="19"/>
  <c r="AH17" i="19"/>
  <c r="J17" i="19"/>
  <c r="AB47" i="19"/>
  <c r="AA54" i="19"/>
  <c r="AM54" i="19"/>
  <c r="Z15" i="19"/>
  <c r="N45" i="19"/>
  <c r="T55" i="19"/>
  <c r="Z55" i="19"/>
  <c r="N25" i="19"/>
  <c r="AL35" i="19"/>
  <c r="AF45" i="19"/>
  <c r="AL55" i="19"/>
  <c r="N15" i="19"/>
  <c r="AL25" i="19"/>
  <c r="AF55" i="19"/>
  <c r="AF35" i="19"/>
  <c r="AF25" i="19"/>
  <c r="AL45" i="19"/>
  <c r="N55" i="19"/>
  <c r="T45" i="19"/>
  <c r="T15" i="19"/>
  <c r="Q21" i="19"/>
  <c r="AI51" i="19"/>
  <c r="Q41" i="19"/>
  <c r="W21" i="19"/>
  <c r="AC21" i="19"/>
  <c r="K11" i="19"/>
  <c r="AC11" i="19"/>
  <c r="AC41" i="19"/>
  <c r="W11" i="19"/>
  <c r="K31" i="19"/>
  <c r="AI31" i="19"/>
  <c r="Q51" i="19"/>
  <c r="AH46" i="19"/>
  <c r="P26" i="19"/>
  <c r="AH36" i="19"/>
  <c r="W6" i="19"/>
  <c r="AB36" i="19"/>
  <c r="AH6" i="19"/>
  <c r="V46" i="19"/>
  <c r="P46" i="19"/>
  <c r="AB16" i="19"/>
  <c r="AB26" i="19"/>
  <c r="AH16" i="19"/>
  <c r="V16" i="19"/>
  <c r="AB6" i="19"/>
  <c r="Q48" i="19"/>
  <c r="Q18" i="19"/>
  <c r="K38" i="19"/>
  <c r="AC18" i="19"/>
  <c r="Q8" i="19"/>
  <c r="K28" i="19"/>
  <c r="K48" i="19"/>
  <c r="AI18" i="19"/>
  <c r="AI48" i="19"/>
  <c r="AI8" i="19"/>
  <c r="AI38" i="19"/>
  <c r="AI28" i="19"/>
  <c r="AI26" i="19"/>
  <c r="AI6" i="19"/>
  <c r="AC6" i="19"/>
  <c r="K36" i="19"/>
  <c r="K46" i="19"/>
  <c r="Q46" i="19"/>
  <c r="AG23" i="19"/>
  <c r="O13" i="19"/>
  <c r="AM43" i="19"/>
  <c r="AM13" i="19"/>
  <c r="O23" i="19"/>
  <c r="J36" i="19"/>
  <c r="W16" i="19"/>
  <c r="AC28" i="19"/>
  <c r="W8" i="19"/>
  <c r="K8" i="19"/>
  <c r="Q28" i="19"/>
  <c r="W18" i="19"/>
  <c r="Q38" i="19"/>
  <c r="W38" i="19"/>
  <c r="AC27" i="1"/>
  <c r="AC46" i="19"/>
  <c r="Q6" i="19"/>
  <c r="K16" i="19"/>
  <c r="AC26" i="19"/>
  <c r="Q36" i="19"/>
  <c r="U33" i="19"/>
  <c r="O43" i="19"/>
  <c r="J6" i="19"/>
  <c r="AG13" i="19"/>
  <c r="AM23" i="19"/>
  <c r="AG53" i="19"/>
  <c r="AB46" i="19"/>
  <c r="P36" i="19"/>
  <c r="K18" i="19"/>
  <c r="W28" i="19"/>
  <c r="AC48" i="19"/>
  <c r="AC38" i="19"/>
  <c r="AC8" i="19"/>
  <c r="W26" i="19"/>
  <c r="K6" i="19"/>
  <c r="K26" i="19"/>
  <c r="Q16" i="19"/>
  <c r="Q26" i="19"/>
  <c r="W36" i="19"/>
  <c r="O33" i="19"/>
  <c r="AM53" i="19"/>
  <c r="U13" i="19"/>
  <c r="AK45" i="19"/>
  <c r="S45" i="19"/>
  <c r="Y25" i="19"/>
  <c r="AE25" i="19"/>
  <c r="Y15" i="19"/>
  <c r="AK55" i="19"/>
  <c r="M15" i="19"/>
  <c r="Y55" i="19"/>
  <c r="M55" i="19"/>
  <c r="S25" i="19"/>
  <c r="M35" i="19"/>
  <c r="AE35" i="19"/>
  <c r="M25" i="19"/>
  <c r="Y35" i="19"/>
  <c r="Y45" i="19"/>
  <c r="AE15" i="19"/>
  <c r="AE45" i="19"/>
  <c r="AK35" i="19"/>
  <c r="AK15" i="19"/>
  <c r="S35" i="19"/>
  <c r="S15" i="19"/>
  <c r="M45" i="19"/>
  <c r="AK25" i="19"/>
  <c r="S55" i="19"/>
  <c r="AE55" i="19"/>
  <c r="AC36" i="19"/>
  <c r="AA43" i="19"/>
  <c r="AA33" i="19"/>
  <c r="AA53" i="19"/>
  <c r="O53" i="19"/>
  <c r="U53" i="19"/>
  <c r="U43" i="19"/>
  <c r="U23" i="19"/>
  <c r="AI46" i="19"/>
  <c r="AC16" i="19"/>
  <c r="P16" i="19"/>
  <c r="J16" i="19"/>
  <c r="P6" i="19"/>
  <c r="AH26" i="19"/>
  <c r="AC26" i="1"/>
  <c r="V26" i="19"/>
  <c r="AG36" i="19"/>
  <c r="O36" i="19"/>
  <c r="O16" i="19"/>
  <c r="AA36" i="19"/>
  <c r="O46" i="19"/>
  <c r="AA46" i="19"/>
  <c r="AG16" i="19"/>
  <c r="O26" i="19"/>
  <c r="U16" i="19"/>
  <c r="Q10" i="19"/>
  <c r="Q40" i="19"/>
  <c r="AC10" i="19"/>
  <c r="W50" i="19"/>
  <c r="AI50" i="19"/>
  <c r="AC20" i="19"/>
  <c r="W10" i="19"/>
  <c r="W40" i="19"/>
  <c r="Q50" i="19"/>
  <c r="AC30" i="19"/>
  <c r="Q20" i="19"/>
  <c r="K50" i="19"/>
  <c r="AI20" i="19"/>
  <c r="Q30" i="19"/>
  <c r="AI10" i="19"/>
  <c r="AC50" i="19"/>
  <c r="K20" i="19"/>
  <c r="W20" i="19"/>
  <c r="W30" i="19"/>
  <c r="K40" i="19"/>
  <c r="AI30" i="19"/>
  <c r="K30" i="19"/>
  <c r="K10" i="19"/>
  <c r="AC40" i="19"/>
  <c r="AI40" i="19"/>
  <c r="AJ10" i="19"/>
  <c r="AJ40" i="19"/>
  <c r="AJ30" i="19"/>
  <c r="L40" i="19"/>
  <c r="R10" i="19"/>
  <c r="R40" i="19"/>
  <c r="R50" i="19"/>
  <c r="L10" i="19"/>
  <c r="AD30" i="19"/>
  <c r="AJ50" i="19"/>
  <c r="X50" i="19"/>
  <c r="L30" i="19"/>
  <c r="AD10" i="19"/>
  <c r="L50" i="19"/>
  <c r="X30" i="19"/>
  <c r="L20" i="19"/>
  <c r="X40" i="19"/>
  <c r="AJ20" i="19"/>
  <c r="AD20" i="19"/>
  <c r="X10" i="19"/>
  <c r="R20" i="19"/>
  <c r="X20" i="19"/>
  <c r="R30" i="19"/>
  <c r="AD50" i="19"/>
  <c r="AD40" i="19"/>
  <c r="O51" i="19"/>
  <c r="AA41" i="19"/>
  <c r="AM21" i="19"/>
  <c r="AG31" i="19"/>
  <c r="AM41" i="19"/>
  <c r="U31" i="19"/>
  <c r="AA31" i="19"/>
  <c r="AM11" i="19"/>
  <c r="AM51" i="19"/>
  <c r="U41" i="19"/>
  <c r="AA21" i="19"/>
  <c r="AA11" i="19"/>
  <c r="O21" i="19"/>
  <c r="AG41" i="19"/>
  <c r="AG11" i="19"/>
  <c r="O31" i="19"/>
  <c r="AM31" i="19"/>
  <c r="O41" i="19"/>
  <c r="AA51" i="19"/>
  <c r="AG51" i="19"/>
  <c r="U11" i="19"/>
  <c r="U51" i="19"/>
  <c r="U21" i="19"/>
  <c r="O11" i="19"/>
  <c r="AG21" i="19"/>
  <c r="X8" i="19"/>
  <c r="AD48" i="19"/>
  <c r="R28" i="19"/>
  <c r="X38" i="19"/>
  <c r="L48" i="19"/>
  <c r="AD28" i="19"/>
  <c r="R48" i="19"/>
  <c r="AD8" i="19"/>
  <c r="AJ28" i="19"/>
  <c r="L18" i="19"/>
  <c r="AJ8" i="19"/>
  <c r="AJ48" i="19"/>
  <c r="L28" i="19"/>
  <c r="L38" i="19"/>
  <c r="R8" i="19"/>
  <c r="R38" i="19"/>
  <c r="L8" i="19"/>
  <c r="X18" i="19"/>
  <c r="AD18" i="19"/>
  <c r="AD38" i="19"/>
  <c r="X48" i="19"/>
  <c r="AJ38" i="19"/>
  <c r="AJ18" i="19"/>
  <c r="X28" i="19"/>
  <c r="R18" i="19"/>
  <c r="AE40" i="19"/>
  <c r="Y20" i="19"/>
  <c r="AK10" i="19"/>
  <c r="AE30" i="19"/>
  <c r="AE20" i="19"/>
  <c r="S30" i="19"/>
  <c r="M50" i="19"/>
  <c r="M40" i="19"/>
  <c r="Y40" i="19"/>
  <c r="AE50" i="19"/>
  <c r="AK50" i="19"/>
  <c r="Y30" i="19"/>
  <c r="M10" i="19"/>
  <c r="S40" i="19"/>
  <c r="S50" i="19"/>
  <c r="AE10" i="19"/>
  <c r="M20" i="19"/>
  <c r="AK20" i="19"/>
  <c r="Y10" i="19"/>
  <c r="S10" i="19"/>
  <c r="S20" i="19"/>
  <c r="AK40" i="19"/>
  <c r="AK30" i="19"/>
  <c r="Y50" i="19"/>
  <c r="M30" i="19"/>
  <c r="P48" i="19"/>
  <c r="P38" i="19"/>
  <c r="AH28" i="19"/>
  <c r="AH8" i="19"/>
  <c r="AH18" i="19"/>
  <c r="J28" i="19"/>
  <c r="P28" i="19"/>
  <c r="J48" i="19"/>
  <c r="J8" i="19"/>
  <c r="V18" i="19"/>
  <c r="AH38" i="19"/>
  <c r="AB28" i="19"/>
  <c r="V48" i="19"/>
  <c r="V8" i="19"/>
  <c r="J38" i="19"/>
  <c r="V28" i="19"/>
  <c r="V38" i="19"/>
  <c r="P8" i="19"/>
  <c r="AH48" i="19"/>
  <c r="P18" i="19"/>
  <c r="AB38" i="19"/>
  <c r="AB18" i="19"/>
  <c r="J18" i="19"/>
  <c r="AB8" i="19"/>
  <c r="AB48" i="19"/>
  <c r="T51" i="19"/>
  <c r="Z31" i="19"/>
  <c r="AF11" i="19"/>
  <c r="N11" i="19"/>
  <c r="T41" i="19"/>
  <c r="Z41" i="19"/>
  <c r="N21" i="19"/>
  <c r="AL41" i="19"/>
  <c r="N41" i="19"/>
  <c r="AF41" i="19"/>
  <c r="AL31" i="19"/>
  <c r="AL51" i="19"/>
  <c r="Z11" i="19"/>
  <c r="N31" i="19"/>
  <c r="Z51" i="19"/>
  <c r="AF31" i="19"/>
  <c r="T11" i="19"/>
  <c r="AF21" i="19"/>
  <c r="Z21" i="19"/>
  <c r="AL11" i="19"/>
  <c r="AL21" i="19"/>
  <c r="T31" i="19"/>
  <c r="AF51" i="19"/>
  <c r="T21" i="19"/>
  <c r="AM19" i="19"/>
  <c r="O29" i="19"/>
  <c r="AA19" i="19"/>
  <c r="AM49" i="19"/>
  <c r="O9" i="19"/>
  <c r="U9" i="19"/>
  <c r="AG39" i="19"/>
  <c r="O49" i="19"/>
  <c r="AG9" i="19"/>
  <c r="AM39" i="19"/>
  <c r="AA49" i="19"/>
  <c r="AA9" i="19"/>
  <c r="U29" i="19"/>
  <c r="O19" i="19"/>
  <c r="U19" i="19"/>
  <c r="AG29" i="19"/>
  <c r="U49" i="19"/>
  <c r="AM29" i="19"/>
  <c r="AA29" i="19"/>
  <c r="O39" i="19"/>
  <c r="U39" i="19"/>
  <c r="AM9" i="19"/>
  <c r="AG49" i="19"/>
  <c r="AA39" i="19"/>
  <c r="AG19" i="19"/>
  <c r="R39" i="19"/>
  <c r="AD39" i="19"/>
  <c r="X29" i="19"/>
  <c r="AD9" i="19"/>
  <c r="AJ39" i="19"/>
  <c r="AD49" i="19"/>
  <c r="AD29" i="19"/>
  <c r="X49" i="19"/>
  <c r="L49" i="19"/>
  <c r="L9" i="19"/>
  <c r="L39" i="19"/>
  <c r="AJ19" i="19"/>
  <c r="L29" i="19"/>
  <c r="R9" i="19"/>
  <c r="X39" i="19"/>
  <c r="AJ29" i="19"/>
  <c r="X9" i="19"/>
  <c r="AJ9" i="19"/>
  <c r="R29" i="19"/>
  <c r="AJ49" i="19"/>
  <c r="L19" i="19"/>
  <c r="AD19" i="19"/>
  <c r="X19" i="19"/>
  <c r="R19" i="19"/>
  <c r="R49" i="19"/>
  <c r="AD27" i="19"/>
  <c r="AD17" i="19"/>
  <c r="X7" i="19"/>
  <c r="AJ7" i="19"/>
  <c r="R17" i="19"/>
  <c r="L17" i="19"/>
  <c r="X17" i="19"/>
  <c r="AD7" i="19"/>
  <c r="AD37" i="19"/>
  <c r="AJ37" i="19"/>
  <c r="AJ17" i="19"/>
  <c r="R27" i="19"/>
  <c r="AJ47" i="19"/>
  <c r="X37" i="19"/>
  <c r="AD47" i="19"/>
  <c r="L27" i="19"/>
  <c r="X47" i="19"/>
  <c r="X27" i="19"/>
  <c r="L47" i="19"/>
  <c r="AJ27" i="19"/>
  <c r="L37" i="19"/>
  <c r="L7" i="19"/>
  <c r="R7" i="19"/>
  <c r="R37" i="19"/>
  <c r="R47" i="19"/>
  <c r="AI37" i="19"/>
  <c r="Q7" i="19"/>
  <c r="W7" i="19"/>
  <c r="Q17" i="19"/>
  <c r="Q27" i="19"/>
  <c r="AI47" i="19"/>
  <c r="K7" i="19"/>
  <c r="K47" i="19"/>
  <c r="K17" i="19"/>
  <c r="W47" i="19"/>
  <c r="AC37" i="19"/>
  <c r="W17" i="19"/>
  <c r="AC47" i="19"/>
  <c r="AC7" i="19"/>
  <c r="W37" i="19"/>
  <c r="K37" i="19"/>
  <c r="AI17" i="19"/>
  <c r="K27" i="19"/>
  <c r="AC17" i="19"/>
  <c r="Q47" i="19"/>
  <c r="AI27" i="19"/>
  <c r="AC27" i="19"/>
  <c r="W27" i="19"/>
  <c r="Q37" i="19"/>
  <c r="AF34" i="19"/>
  <c r="N44" i="19"/>
  <c r="Z24" i="19"/>
  <c r="AF24" i="19"/>
  <c r="AL24" i="19"/>
  <c r="AL14" i="19"/>
  <c r="N24" i="19"/>
  <c r="T14" i="19"/>
  <c r="AF14" i="19"/>
  <c r="T44" i="19"/>
  <c r="AL44" i="19"/>
  <c r="N54" i="19"/>
  <c r="AL54" i="19"/>
  <c r="AL34" i="19"/>
  <c r="N14" i="19"/>
  <c r="N34" i="19"/>
  <c r="Z14" i="19"/>
  <c r="T54" i="19"/>
  <c r="Z54" i="19"/>
  <c r="AF44" i="19"/>
  <c r="T34" i="19"/>
  <c r="AF54" i="19"/>
  <c r="Z44" i="19"/>
  <c r="Z34" i="19"/>
  <c r="T24" i="19"/>
  <c r="Y16" i="19"/>
  <c r="AE6" i="19"/>
  <c r="M16" i="19"/>
  <c r="AE46" i="19"/>
  <c r="AK36" i="19"/>
  <c r="AE16" i="19"/>
  <c r="AK6" i="19"/>
  <c r="Y36" i="19"/>
  <c r="S36" i="19"/>
  <c r="S46" i="19"/>
  <c r="AE26" i="19"/>
  <c r="AK46" i="19"/>
  <c r="M46" i="19"/>
  <c r="M26" i="19"/>
  <c r="AE36" i="19"/>
  <c r="AK26" i="19"/>
  <c r="S16" i="19"/>
  <c r="AK16" i="19"/>
  <c r="S6" i="19"/>
  <c r="Y46" i="19"/>
  <c r="M36" i="19"/>
  <c r="S26" i="19"/>
  <c r="M6" i="19"/>
  <c r="Y6" i="19"/>
  <c r="Y26" i="19"/>
  <c r="Q14" i="19"/>
  <c r="AI14" i="19"/>
  <c r="AI34" i="19"/>
  <c r="AI44" i="19"/>
  <c r="AC54" i="19"/>
  <c r="W34" i="19"/>
  <c r="AC34" i="19"/>
  <c r="AI54" i="19"/>
  <c r="W24" i="19"/>
  <c r="W14" i="19"/>
  <c r="AI24" i="19"/>
  <c r="K14" i="19"/>
  <c r="Q54" i="19"/>
  <c r="AC44" i="19"/>
  <c r="K24" i="19"/>
  <c r="W44" i="19"/>
  <c r="K44" i="19"/>
  <c r="W54" i="19"/>
  <c r="AC14" i="19"/>
  <c r="Q44" i="19"/>
  <c r="Q24" i="19"/>
  <c r="Q34" i="19"/>
  <c r="K54" i="19"/>
  <c r="K34" i="19"/>
  <c r="AC24" i="19"/>
  <c r="J29" i="19"/>
  <c r="AB49" i="19"/>
  <c r="AB39" i="19"/>
  <c r="P19" i="19"/>
  <c r="AH19" i="19"/>
  <c r="AB9" i="19"/>
  <c r="P9" i="19"/>
  <c r="V19" i="19"/>
  <c r="J19" i="19"/>
  <c r="AC35" i="1"/>
  <c r="P49" i="19"/>
  <c r="AH9" i="19"/>
  <c r="J9" i="19"/>
  <c r="AB29" i="19"/>
  <c r="AH39" i="19"/>
  <c r="P39" i="19"/>
  <c r="P29" i="19"/>
  <c r="AH49" i="19"/>
  <c r="V49" i="19"/>
  <c r="V9" i="19"/>
  <c r="AB19" i="19"/>
  <c r="J39" i="19"/>
  <c r="J49" i="19"/>
  <c r="AH29" i="19"/>
  <c r="V29" i="19"/>
  <c r="V39" i="19"/>
  <c r="AE54" i="19"/>
  <c r="AE14" i="19"/>
  <c r="M24" i="19"/>
  <c r="Y24" i="19"/>
  <c r="M54" i="19"/>
  <c r="M14" i="19"/>
  <c r="AE24" i="19"/>
  <c r="AE34" i="19"/>
  <c r="M44" i="19"/>
  <c r="Y14" i="19"/>
  <c r="M34" i="19"/>
  <c r="S54" i="19"/>
  <c r="S34" i="19"/>
  <c r="Y34" i="19"/>
  <c r="S44" i="19"/>
  <c r="AE44" i="19"/>
  <c r="AK54" i="19"/>
  <c r="AK44" i="19"/>
  <c r="S24" i="19"/>
  <c r="AK34" i="19"/>
  <c r="Y44" i="19"/>
  <c r="S14" i="19"/>
  <c r="Y54" i="19"/>
  <c r="AK14" i="19"/>
  <c r="AK24" i="19"/>
  <c r="K39" i="19"/>
  <c r="W9" i="19"/>
  <c r="AC9" i="19"/>
  <c r="Q39" i="19"/>
  <c r="AI39" i="19"/>
  <c r="AC29" i="19"/>
  <c r="Q9" i="19"/>
  <c r="W29" i="19"/>
  <c r="Q49" i="19"/>
  <c r="Q29" i="19"/>
  <c r="K9" i="19"/>
  <c r="AC49" i="19"/>
  <c r="K49" i="19"/>
  <c r="AI49" i="19"/>
  <c r="W39" i="19"/>
  <c r="AI19" i="19"/>
  <c r="AC19" i="19"/>
  <c r="K19" i="19"/>
  <c r="W49" i="19"/>
  <c r="W19" i="19"/>
  <c r="Q19" i="19"/>
  <c r="AC39" i="19"/>
  <c r="AI9" i="19"/>
  <c r="K29" i="19"/>
  <c r="AI29" i="19"/>
  <c r="P31" i="19"/>
  <c r="AH41" i="19"/>
  <c r="AB51" i="19"/>
  <c r="AH21" i="19"/>
  <c r="AH31" i="19"/>
  <c r="AH11" i="19"/>
  <c r="V11" i="19"/>
  <c r="AB41" i="19"/>
  <c r="J21" i="19"/>
  <c r="V41" i="19"/>
  <c r="P51" i="19"/>
  <c r="J51" i="19"/>
  <c r="P11" i="19"/>
  <c r="AB21" i="19"/>
  <c r="AC41" i="1"/>
  <c r="AB31" i="19"/>
  <c r="V31" i="19"/>
  <c r="V21" i="19"/>
  <c r="AH51" i="19"/>
  <c r="P21" i="19"/>
  <c r="J11" i="19"/>
  <c r="AB11" i="19"/>
  <c r="J31" i="19"/>
  <c r="V51" i="19"/>
  <c r="P4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<sst xmlns="http://schemas.openxmlformats.org/spreadsheetml/2006/main" count="542" uniqueCount="361">
  <si>
    <t>Matriz Mapa de Riesgos</t>
  </si>
  <si>
    <t>|</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</si>
  <si>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</si>
  <si>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</si>
  <si>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</si>
  <si>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</si>
  <si>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</si>
  <si>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</si>
  <si>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</si>
  <si>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</si>
  <si>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</si>
  <si>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</si>
  <si>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</si>
  <si>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</si>
  <si>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</si>
  <si>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</si>
  <si>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</si>
  <si>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</si>
  <si>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</si>
  <si>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</si>
  <si>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</si>
  <si>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</si>
  <si>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</si>
  <si>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</si>
  <si>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</si>
  <si>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</si>
  <si>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</si>
  <si>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</si>
  <si>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</si>
  <si>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</si>
  <si>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</si>
  <si>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</si>
  <si>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</si>
  <si>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</si>
  <si>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</si>
  <si>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</si>
  <si>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</si>
  <si>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</si>
  <si>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</si>
  <si>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</si>
  <si>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</si>
  <si>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</si>
  <si>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</si>
  <si>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</si>
  <si>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</si>
  <si>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</si>
  <si>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</si>
  <si>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</si>
  <si>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</si>
  <si>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</si>
  <si>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</si>
  <si>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</si>
  <si>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</si>
  <si>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</si>
  <si>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</si>
  <si>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</si>
  <si>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</si>
  <si>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</si>
  <si>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</si>
  <si>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</si>
  <si>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ANÁLISIS DOFA        </t>
  </si>
  <si>
    <t>Origen Interno</t>
  </si>
  <si>
    <t>Fortalezas</t>
  </si>
  <si>
    <t>Debilidades</t>
  </si>
  <si>
    <t>Origen Externo</t>
  </si>
  <si>
    <t>Oportunidades</t>
  </si>
  <si>
    <t>Amenazas</t>
  </si>
  <si>
    <t>O2 Capacitación por parte de externos orientadas al cumplimiento de normativa, lineamientos, procedimientos e instrucciones.</t>
  </si>
  <si>
    <t>O3 Apropiación de casos de éxito de origen externo asociados al proceso de GTH.</t>
  </si>
  <si>
    <t>O4 Plataformas tecnológicas de entidades externas que pueden ser aprovechadas al interior del proceso</t>
  </si>
  <si>
    <t>MATRIZ MAPA DE RIESGO</t>
  </si>
  <si>
    <t>Código</t>
  </si>
  <si>
    <t>PLE-PIN-F001</t>
  </si>
  <si>
    <t>Versión</t>
  </si>
  <si>
    <t>Vigencia</t>
  </si>
  <si>
    <t>XX de XXXX del 2023</t>
  </si>
  <si>
    <t>Caso HOLA:</t>
  </si>
  <si>
    <t>XXXX</t>
  </si>
  <si>
    <t>CONTROL DE CAMBIOS MATRIZ DE RIESGOS</t>
  </si>
  <si>
    <t>VERSIÓN</t>
  </si>
  <si>
    <t>FECHA</t>
  </si>
  <si>
    <t>DESCRIPCIÓN DE LA MODIFICACIÓN</t>
  </si>
  <si>
    <t>Se realizan ajustes a los eventos de riesgo y los controles, se incluye riesgo 5.</t>
  </si>
  <si>
    <t>Se realiza ajuste de la matriz de riesgos como consecuencia de la entrada en vigencia de la Resolución 162 de 2017, que crea el proceso Gerencia del Talento Humano como parte del mapa de procesos de la entidad. Nueva codificación del documento GCO-GTH-MR que reemplaza al documento 1D-GTH-MR001.</t>
  </si>
  <si>
    <t>Se actualiza la matriz de riesgos con ocasión a los lineamientos emitidos por el Departamento Administrativo de la Función Publica - DAFP y versión 4 del Manual de Riesgos. Se realizo ajuste  a la redacción del evento, causas y consecuencias y se adecúaron los controles de acuerdo a la "Guía para la administración del riesgo y el diseño de controles en entidades públicas Versión 4 de octubre de 2018 de la Función Pública.</t>
  </si>
  <si>
    <t>Se actualiza la matriz de riesgos como consecuencia a la emergencia sanitaria COVID 19 - 2020,  ingresaron dos riesgos nuevos R8 y R9  se establecieron los respectivos controles, se ajustaron las características del control en el R2 con respecto a la periodicidad y propósito  y se actualizo la valoración de la disminución directa de la probabilidad y el impacto del control que no había quedado en la publicación de la versión 2 del 23 de octubre de 2019.</t>
  </si>
  <si>
    <t>Se realizó ajustes de forma y redacciones en los diferentes riesgos, se adicionó un control asociado al R1 y se realizó la evaluación correspondiente, se elimina el R4 toda vez que posterior al análisis realizado con el acompañamiento de los profesionales de la OAP se evidenció que no cumple con los parámetros para establecerse como riesgo, adicional se actualizó la valoración de la probabilidad e impacto de los riesgos y se realizó la evaluación asociada a los controles.</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</si>
  <si>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242273</t>
  </si>
  <si>
    <t>NOTA: Para el diligenciamiento de esta matriz tenga en cuenta el manual "Gestión del Riesgo" PLE-PIN-M001</t>
  </si>
  <si>
    <t>Proceso:</t>
  </si>
  <si>
    <t xml:space="preserve">Gerencia del Talento Humano </t>
  </si>
  <si>
    <t>Objetivo:</t>
  </si>
  <si>
    <t>Administrar y gestionar el desarrollo de los servidores(as) de la Secretaría Distrital de Gobierno, a través de la formulación, implementación y evaluación de los planes, programas, proyectos y/o estrategias institucionales de Gestión del Talento Humano en términos constitucionales y legales, promoviendo el trabajo digno y el fortalecimiento institucional.</t>
  </si>
  <si>
    <t>Alcance:</t>
  </si>
  <si>
    <t>El proceso inicia con la vinculación del talento humano, la permanencia y culmina con el retiro del servidor/a público/a de la planta de personal de la entidad (carrera administrativa, provisionales, transitoria, periodo fijo, libre nombramiento y remoción, por último, temporales).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</si>
  <si>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</si>
  <si>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</si>
  <si>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</si>
  <si>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</si>
  <si>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</si>
  <si>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</si>
  <si>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</si>
  <si>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</si>
  <si>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</si>
  <si>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</si>
  <si>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</si>
  <si>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</si>
  <si>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</si>
  <si>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</si>
  <si>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</si>
  <si>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</si>
  <si>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</si>
  <si>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</si>
  <si>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</si>
  <si>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</si>
  <si>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</si>
  <si>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</si>
  <si>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</si>
  <si>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</si>
  <si>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</si>
  <si>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</si>
  <si>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</si>
  <si>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</si>
  <si>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</si>
  <si>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Errores humanos en la verificación de los requisitos que realiza el profesional encargado</t>
  </si>
  <si>
    <t>Revisión y verificación inadecuada del cumplimiento de los requisitos  al momento de la vinculación del personal por parte de la persona competente y/o responsable.</t>
  </si>
  <si>
    <t>Posibilidad de afectación reputacional por vincular servidores públicos sin el cumplimiento de los requisitos establecidos en el Procedimiento Vinculación a la Planta de Personal de la SDG y  la normatividad vigente.</t>
  </si>
  <si>
    <t>Ejecución y Administración de Procesos</t>
  </si>
  <si>
    <t xml:space="preserve">     El riesgo afecta la imagen de la entidad con algunos usuarios de relevancia frente al logro de los objetivos</t>
  </si>
  <si>
    <t>Preventivo</t>
  </si>
  <si>
    <t>Manual</t>
  </si>
  <si>
    <t>Documentado</t>
  </si>
  <si>
    <t>Continua</t>
  </si>
  <si>
    <t>Con Registro</t>
  </si>
  <si>
    <t>Reducir (mitigar)</t>
  </si>
  <si>
    <t>Falta de seguimiento por parte de los jefes inmediatos, frente a las competencias laborales y comportamentales, para responder a los compromisos fijados.</t>
  </si>
  <si>
    <t>Desconocimiento de los criterios e instrumentos del "Sistema Tipo de Evaluación del Desempeño establecido por la Comisión Nacional del Servicio Civil" y del "Procedimiento de Evaluación del Desempeño Laboral de Servidores de Carrera" establecido en la SDG tanto por el evaluador como el evaluado.</t>
  </si>
  <si>
    <t xml:space="preserve">     El riesgo afecta la imagen de la entidad internamente, de conocimiento general, nivel interno, de junta dircetiva y accionistas y/o de provedores</t>
  </si>
  <si>
    <t>Automático</t>
  </si>
  <si>
    <t>Aceptar</t>
  </si>
  <si>
    <t>Los responsables de la ejecución de las evaluaciones de desempeño delegan la actividad en otros servidores que no tienen la competencia.</t>
  </si>
  <si>
    <t xml:space="preserve">Subjetividad del evaluador  </t>
  </si>
  <si>
    <t>Debilidades en la etapa de planeación, que permitan conocer las necesidades de los servidores públicos en los diferentes temas de bienestar y capacitación.</t>
  </si>
  <si>
    <t>Debilidades en la etapa de formulación y planeación de los Planes Institucionales de Bienestar y Capacitación, que puedan desconocer las necesidades de los servidores públicos en los diferentes temas de bienestar y capacitación y desconocimiento de los mismo por parte de los servidores de la SDG</t>
  </si>
  <si>
    <t>Posibilidad de afectación reputacional por baja participación por parte de los servidores públicos en las actividades de los planes institucionales de bienestar, capacitación y estímulos programados  por la DGTH.</t>
  </si>
  <si>
    <t>El/La Directora/a de Gestión de Talento Humano y los Profesionales o responsables asignados cada vez que formule  planes,  programas y la   medición de Clima y Cultura Organizacional,  dirigidos al desarrollo integral del talento humano de la SDG, tendrá  en cuenta los diagnósticos adelantados en las anteriores vigencias y el diseño e implementación de la Encuesta de necesidades de Bienestar y Capacitación para estructurar el Plan de Bienestar, Capacitación y Estímulos para cada vigencia, incluyendo estrategias que fomenten la participación activa de los servidores públicos. 
En caso de que se evidencie baja participación por parte de los servidores públicos la DGTH ajustará las estrategias estableciendo mecanismos que controlen esta situación. Como evidencia de la ejecución del control quedan los  planes formulados y los actos administrativos correspondientes publicados y socializados.</t>
  </si>
  <si>
    <t>Dificultad para el acceso y conocimiento de los planes de bienestar, capacitación e incentivos por parte de los servidores públicos.</t>
  </si>
  <si>
    <t>Falta de apoyo por parte de los jefes en cada una de las dependencias que impiden la participación de los servidores públicos a su cargo.</t>
  </si>
  <si>
    <t>Desconocimiento de los planes de bienestar, capacitación y estímulos por parte de los servidores públicos.</t>
  </si>
  <si>
    <t>Desconocimiento del funcionamiento del aplicativo de la nómina por parte de los servidores que manejan la nómina.</t>
  </si>
  <si>
    <t>Falta de verificación de los diferentes pagos a realizar.</t>
  </si>
  <si>
    <t>Posibilidad de afectación reputacional por liquidación de la nómina con errores</t>
  </si>
  <si>
    <t xml:space="preserve">     El riesgo afecta la imagen de alguna área de la organización</t>
  </si>
  <si>
    <t>Reporte de novedades de la nómina de manera extemporánea, las cuales no queden incluidas en la nómina.</t>
  </si>
  <si>
    <t>Errores humanos en liquidación y aplicación de la norma en la nómina.</t>
  </si>
  <si>
    <t>Mantenimiento inoportuno y/o falta de soporte técnico del aplicativo establecido para la liquidación de la nómina SIAP</t>
  </si>
  <si>
    <t xml:space="preserve">Falta de verificación del envio de los respectivos reportes  a la Dirección Financiera.  </t>
  </si>
  <si>
    <t>Posibilidad de afectación reputacional por inoportunidad en los reportes de nómina en relación con el cronograma establecido.</t>
  </si>
  <si>
    <t xml:space="preserve"> En la DTI los ajustes técnicos y de lenguaje al aplicativo de la nómina están a cargo de una sola persona.</t>
  </si>
  <si>
    <t>Ambiental</t>
  </si>
  <si>
    <t xml:space="preserve">Desconocimiento en los procedimientos para la gestión adecuada de los residuos, por parte del proveedor. </t>
  </si>
  <si>
    <t>Debilidad en la ejecución de las actividades de seguimiento al  tratamiento y/o disposición final de los residuos generados en el desarrollo de las actividades del proceso contractual.</t>
  </si>
  <si>
    <t>Posibilidad de afectación ambiental negativa por la gestión inadecuada de residuos sólidos: convencionales (aprovechables y no aprovechables) , peligrosos, hospitalarios y similares    (Biosanitarios, anatomopatológicos y cortopunzantes),  por parte de los proveedores de los servicios  integrales técnicos, operativos y logísticos para la realización de las actividades de bienestar y realización de exámenes periódicos ocupacionales.</t>
  </si>
  <si>
    <t>Ambientales</t>
  </si>
  <si>
    <t>Entre 1-12.500</t>
  </si>
  <si>
    <t>Leve</t>
  </si>
  <si>
    <t>Detectivo</t>
  </si>
  <si>
    <t xml:space="preserve">Ausencia de inclusión de criterios de sostenibilidad o cumplimiento normativo en el proceso contractual. </t>
  </si>
  <si>
    <t>Algunas de las actividades de las funciones propias del cargo no le permiten el trabajar en casa</t>
  </si>
  <si>
    <t>Incumplimiento a lo establecido en los lineamientos emitidos para la estrategia de Teletrabajo en la SDG</t>
  </si>
  <si>
    <t>Posibilidad de afectación reputacional por incumplimiento de las funciones por parte de los servidores de la entidad en el desarrollo del Teletrabajo</t>
  </si>
  <si>
    <t>Usuarios, productos y prácticas organizacionales</t>
  </si>
  <si>
    <t>No existen las herramientas tecnológicas suficientes en casa</t>
  </si>
  <si>
    <t>No se concertó previamente con el líder o director del área los compromisos de trabajo en casa.</t>
  </si>
  <si>
    <t>Falta de competencias digitales</t>
  </si>
  <si>
    <t>El directivo del área no realiza el seguimiento respectivo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</si>
  <si>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</si>
  <si>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Económico</t>
  </si>
  <si>
    <t>Daños Activos Físicos</t>
  </si>
  <si>
    <t>Económico y Reputacional</t>
  </si>
  <si>
    <t>Fallas Tecnológicas</t>
  </si>
  <si>
    <t>Fraude Externo</t>
  </si>
  <si>
    <t>Fraude Interno</t>
  </si>
  <si>
    <t>Relaciones Laborales</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</si>
  <si>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</si>
  <si>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</si>
  <si>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</si>
  <si>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</si>
  <si>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</si>
  <si>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</si>
  <si>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</si>
  <si>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</si>
  <si>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</si>
  <si>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</si>
  <si>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</si>
  <si>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</si>
  <si>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</si>
  <si>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</si>
  <si>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</si>
  <si>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</si>
  <si>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</si>
  <si>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</si>
  <si>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</si>
  <si>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</si>
  <si>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</si>
  <si>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</si>
  <si>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</si>
  <si>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</si>
  <si>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</si>
  <si>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</si>
  <si>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</si>
  <si>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</si>
  <si>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</si>
  <si>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</si>
  <si>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</si>
  <si>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</si>
  <si>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Afectación Ambiental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</si>
  <si>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</si>
  <si>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</si>
  <si>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</si>
  <si>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</si>
  <si>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</si>
  <si>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</si>
  <si>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</si>
  <si>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directiva y accionistas y/o de provedores</t>
  </si>
  <si>
    <t>&gt; 12.500 - 25.000</t>
  </si>
  <si>
    <t>Moderado 60%</t>
  </si>
  <si>
    <t xml:space="preserve">Entre 50 y 100 SMLMV </t>
  </si>
  <si>
    <t>El riesgo afecta la imagen de la entidad con algunos usuarios de relevancia frente al logro de los objetivos</t>
  </si>
  <si>
    <t>&gt; 25.000 – 125.000</t>
  </si>
  <si>
    <t>Mayor</t>
  </si>
  <si>
    <t>Mayor 80%</t>
  </si>
  <si>
    <t xml:space="preserve">Entre 100 y 500 SMLMV </t>
  </si>
  <si>
    <t>El riesgo afecta la imagen de de la entidad con efecto publicitario sostenido a nivel de sector administrativo, nivel departamental o municipal</t>
  </si>
  <si>
    <t>&gt; 125.000 – 500.000</t>
  </si>
  <si>
    <t>Catastrófico</t>
  </si>
  <si>
    <t>Catastrófico 100%</t>
  </si>
  <si>
    <t xml:space="preserve">Mayor a 500 SMLMV </t>
  </si>
  <si>
    <t>El riesgo afecta la imagen de la entidad a nivel nacional, con efecto publicitarios sostenible a nivel país</t>
  </si>
  <si>
    <t>&gt; 500.000 – 1.000.000</t>
  </si>
  <si>
    <t>Afectación_Económica_o_presupuestal</t>
  </si>
  <si>
    <t xml:space="preserve">     Afectación menor a 10 SMLMV .</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</si>
  <si>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</si>
  <si>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</si>
  <si>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</si>
  <si>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</si>
  <si>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</si>
  <si>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</si>
  <si>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</si>
  <si>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</si>
  <si>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</si>
  <si>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</si>
  <si>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</si>
  <si>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</si>
  <si>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</si>
  <si>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</si>
  <si>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No.</t>
  </si>
  <si>
    <t>CRITERIOS DE VALORACIÓN</t>
  </si>
  <si>
    <t>ESCALA DE VALOR</t>
  </si>
  <si>
    <t>Puntual 1</t>
  </si>
  <si>
    <t>Local 5</t>
  </si>
  <si>
    <t>Regional o nacional 10</t>
  </si>
  <si>
    <t>Se refiere al área de influencia del impacto en relación con el entorno donde se genera.</t>
  </si>
  <si>
    <t>El impacto queda confinado dentro del área donde se genera.</t>
  </si>
  <si>
    <t>Trasciende los límites del área de influencia.</t>
  </si>
  <si>
    <t>Tiene consecuencias a nivel regional o trasciende los límites del Distrito.</t>
  </si>
  <si>
    <t>Baja 1</t>
  </si>
  <si>
    <t>Media 5</t>
  </si>
  <si>
    <t>Alta 10</t>
  </si>
  <si>
    <t>Se refiere a la posibilidad que se dé el impacto y está relacionada con la "REGULARIDAD" (Normal, anormal o</t>
  </si>
  <si>
    <t>Existe una posibilidad muy remota de que suceda</t>
  </si>
  <si>
    <t>Existe una posibilidad media de que suceda.</t>
  </si>
  <si>
    <t>Es muy posible que suceda en cualquier momento.</t>
  </si>
  <si>
    <t>de emergencia).</t>
  </si>
  <si>
    <t>Duración</t>
  </si>
  <si>
    <t>Breve 1</t>
  </si>
  <si>
    <t>Temporal 5</t>
  </si>
  <si>
    <t>Permanente 10</t>
  </si>
  <si>
    <t>Se refiere al tiempo que permanecerá el efecto positivo o negativo del impacto en el ambiente.</t>
  </si>
  <si>
    <t>Alteración del recurso durante un lapso muy pequeño.</t>
  </si>
  <si>
    <t>Alteración del recurso durante un lapso moderado.</t>
  </si>
  <si>
    <t>Alteración del recurso permanente en el tiempo</t>
  </si>
  <si>
    <t>Recuperabilidad</t>
  </si>
  <si>
    <t>Reversible 1</t>
  </si>
  <si>
    <t>Recuperable 5</t>
  </si>
  <si>
    <t>Irrecuperable /irreversible 10</t>
  </si>
  <si>
    <t>Se refiere a la posibilidad de reconstrucción, total o parcial del recurso afectado por el impacto.</t>
  </si>
  <si>
    <t>Puede eliminarse el efecto por medio de actividades humanas tendientes a restablecer las condiciones originales del recurso.</t>
  </si>
  <si>
    <t>Se puede disminuir el efecto a través de medidas de control hasta un estándar determinado.</t>
  </si>
  <si>
    <t>El/los recursos afectados no retornan a las condiciones originales a través de ningún medio.</t>
  </si>
  <si>
    <t>Cantidad</t>
  </si>
  <si>
    <t>Moderada 5</t>
  </si>
  <si>
    <t>Se refiere a la magnitud del impacto, es decir, la severidad con la que ocurrirá la afectación y/o riesgo sobre el recurso.</t>
  </si>
  <si>
    <t>Alteración mínima del recurso. Existe bajo potencial de riesgo sobre el recurso o el ambiente.</t>
  </si>
  <si>
    <t>Alteración moderada del recurso. Tiene un potencial de riesgo medio sobre el recurso o el ambiente.</t>
  </si>
  <si>
    <t>Alteración Significativa del recurso. Tiene efectos importantes sobre el recurso o el ambiente.</t>
  </si>
  <si>
    <t>Normatividad</t>
  </si>
  <si>
    <t>N/A</t>
  </si>
  <si>
    <t>Hace referencia a la normatividad ambiental aplicable    al    aspecto    y/o    el    impacto ambiental.</t>
  </si>
  <si>
    <t>No tiene normatividad relacionada.</t>
  </si>
  <si>
    <t>Tiene normatividad relacionada.</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</si>
  <si>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</si>
  <si>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</si>
  <si>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</si>
  <si>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</si>
  <si>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</si>
  <si>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</si>
  <si>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</si>
  <si>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</si>
  <si>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</si>
  <si>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</si>
  <si>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</si>
  <si>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</si>
  <si>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</si>
  <si>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</si>
  <si>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</si>
  <si>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</si>
  <si>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</si>
  <si>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</si>
  <si>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</si>
  <si>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</si>
  <si>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</si>
  <si>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</si>
  <si>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</si>
  <si>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</si>
  <si>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Reducir (compartir)</t>
  </si>
  <si>
    <t>Plan de accion (solo para la opción reducir)</t>
  </si>
  <si>
    <t>Finalizado</t>
  </si>
  <si>
    <t>En curso</t>
  </si>
  <si>
    <t>Daños Activos Fisicos</t>
  </si>
  <si>
    <t>Ejecucion y Administracion de procesos</t>
  </si>
  <si>
    <t>Fallas Tecnologicas</t>
  </si>
  <si>
    <t>Usuarios, productos y practicas , organizacionales</t>
  </si>
  <si>
    <t>Registro Sustancial</t>
  </si>
  <si>
    <t>Registro Material</t>
  </si>
  <si>
    <t>Sin registro</t>
  </si>
  <si>
    <t>Reducir</t>
  </si>
  <si>
    <t>Poco tiempo para realizar la revisión y validación de la información conforme a los requisitos mínimos</t>
  </si>
  <si>
    <t>A2 Cambios a nivel Distrital que puedan afectar la continuidad de proyectos ya definidos</t>
  </si>
  <si>
    <t>F1 Directrices documentadas y normalizadas en MATIZ.</t>
  </si>
  <si>
    <t>D1 En la apropiación de las directrices por falta de divulgación y/o capacitación de los documentos actualizados o creados.</t>
  </si>
  <si>
    <t>A1 Cambios en la normativad que afecten de forma directa al proceso</t>
  </si>
  <si>
    <t>Mensualmente el/la profesional especializado responsable de la liquidación de nómina de la DGTH, los demás responsables y los integrantes del grupo de revisión,  verifican y proceden a  realizar la liquidación de la nómina de acuerdo a las Instrucciones para la liquidación de Nómina y Aportes Patronales  GCO-GTH-IN003, revisando los soportes de las novedades enviadas por los funcionarios en  los tiempos establecidos, adicionalmente el equipo de nómina se reune con el equipo de registro y control para realizar el cruce de la información sobre las novedades con el propósito de fortalecer el mecanismo de control.  Se remite la nómina, el acta de reunión y los demás soportes de la nómina a la Subsecretaria de Gestión Institucional  para el proceso pertinente. 
Por su parte el/la profesional de la SGI revisa y verifica la liquidación de la nómina de acuerdo a las instrucciones. En caso de que dentro de la verificación se requieran ajustes a la liquidación de la nómina la SGI envía las observaciones respectivas para el ajuste de la liquidación de la nómina por parte de la DGTH, como evidencia de la ejecución de este control quedan: el aplicativo de liquidación de la nómina establecido para tal fin, los reportes, comunicaciones y soportes anexos del proceso de liquidación de la nómina descritos en el instructivo GCO-GTH-IN003.</t>
  </si>
  <si>
    <t>Mensualmente el/la profesional especializado responsable de la liquidación de nómina de la DGTH, envia la remisión y  los soportes de la nómina  al profesional responsable de la Dirección Financiera, de acuerdo con lo establecido en las Instrucciones para la liquidación de Nómina y Aportes Patronales GCO-GTH-IN003 de conformidad con el cronograma de la Secretaría Distrital de Hacienda.
En caso de encontrarse inconsistencias o información faltante se hará la devolución a través de comunicación oficial para que se subsane la situación, como evidencia de la ejecución del control quedan: las comunicaciones oficiales realizadas, el cronograma y los aplicativos de la Secretaria Distrital de Hacienda.</t>
  </si>
  <si>
    <t>El/La profesional ambiental realizará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para tomar las medidas pertinentes en el incumplimiento, como evidencia de la ejecución del control queda el  registro de la inspección ambiental anual  realizada en el formato  PLE-PIN-F010.</t>
  </si>
  <si>
    <t>F3 Equipo de trabajo interdisciplinario que permite la articulación con los demás procesos para el desarrollo del objetivo de la gestión del talento humano.</t>
  </si>
  <si>
    <t>A3 Incumplimientos en los servicios de capacitación o bienestar por parte de los proveedores externos</t>
  </si>
  <si>
    <t>O1 Disponibilidad de pasantes y practicantes de los centros educativos para vincularlos al proceso con el propósito de fortalecer el recurso humano.</t>
  </si>
  <si>
    <t>O5 Implementación del Teletrabajo para algunos cargos conforme al Manual de Funciones y Competencias Laborales, que permite mejorar la productividad de los servidores, considerando a su vez, los avances tecnológicos y las necesidades que se generan por factores externos como por ejemplo la movilidad en el tránsito de Bogotá.</t>
  </si>
  <si>
    <t>El/La Profesional responsable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de la normatividad vigente, consultando vía internet e imprimiendo antecedentes disciplinarios, fiscales, judiciales, inhabilidad y sanciones. En caso de no cumplir con los requisitos el/la Director/a de Gestión de Talento Humano informa al nominador o a la Comisión Nacional del Servicio Civil según el tipo de nombramiento, dando cumplimiento a lo establecido en el GCO-GTH-P001, como evidencia de la ejecución de este control queda el formato verficación y certificación de cumplimiento de requisitos mínimos GCO-GTH-F045 debidamente diligenciado.</t>
  </si>
  <si>
    <t>El/La Profesional responsable de la Dirección de Gestión de Talento Humano, cada vez que se realice la provisión de  empleos de libre nombramiento y remoción,  tendrá en cuenta la transparencia en los procesos de vinculación de servidores dando cumplimiento a lo establecido en el Decreto 189 de 2020 de la Alcaldía Mayor de Bogotá, D.C., a las Circular 038 de 2020 del Departamento Administrativo del Servicio Civil Distrital y a la Circular 052 de La Secretaria General de la Alcaldía Mayor De Bogotá, D. C.,  como evidencia de la ejecución de este control quedan: El Formato de verificación y certificación de cumplimiento de requisitos mínimos GCO-GTH-F045 debidamente diligenciado, así como, una base de datos con la relación de los nombramiento.</t>
  </si>
  <si>
    <t>F2 Compromiso del Equipo de Trabajo de la Dirección de Gestión del Talento Humano respecto a la ejecución de las actividades a cargo del proceso.</t>
  </si>
  <si>
    <t>D2 Sobrecarga laboral debido a la poca disponibilidad de recurso humano, lo que impacta la calidad de las actividades ejecutadas.</t>
  </si>
  <si>
    <t>D3 Falta de organización en la delimitación del alcance y responsables de las actividades que ejecuta el equipo de trabajo al interior del proceso.</t>
  </si>
  <si>
    <t>D4 Falta de transferencia de conocimiento de las principales actividades del proceso.</t>
  </si>
  <si>
    <t>D5 No se cuenta con un sistema de información que permita automatizar la búsqueda y recuperación de la información producida por el proceso de GTH.</t>
  </si>
  <si>
    <t>A5 Baja coordinación entre las Dependencias de la SDG para dar respuesta oportuna a las solicitudes de información.</t>
  </si>
  <si>
    <t>Posibilidad de afectación reputacional por sanciones disciplinarias en razón al incumplimiento del derecho de los(las) servidores(as) de ser evaluados conforme a la normatividad vigente.</t>
  </si>
  <si>
    <t>El/La evaluador/a y evaluado/a, cada vez que se vaya a ejecutar el proceso de Evaluación del Desempeño aplicarán los criterios e instrumentos institucionales y legales establecidos, consultando el Procedimiento de Evaluación del Desempeño Laboral de Servidores de Carrera Administrativa y en periodo de prueba de la SDG y la Comisión Nacional del Servicio Civil. En caso de tener controversia o diferencia de criterios en alguna de las actividades los involucrados acudirán a las instancias de orden legal definidas, dando cumplimiento a lo establecido en el GCO-GTH-P007.
Como evidencia de la ejecución del control el/la profesional designado/a por el Director de Gestión del Talento Humano remitirá a la OAP el reporte de evaluaciones del aplicativo EDL de la Comisión Nacional del Servicio Civil, asi como, gestionará un comunicado oficial semestral  a través del cual se le recordará a los evaluadores su responsabilidad frente al proceso de evaluación de desempeño. En caso de presentarse una desviación en la actividad, el/la Director/a de Gestión del Talento Humano gestionará un comunicado oficial recordando el mandato de conformidad con lo establecido en la normatividad vigente.</t>
  </si>
  <si>
    <t>El/La Jefe de la oficina o Director de Dependencia, concertará las actividades y hará seguimiento y evaluación a través del formato seguimiento de acuerdo al teletrabajo, con el propósito de verificar que se cumple con las funciones acordadas, dando cumplimento a lo establecido en la normatividad vigente en materia de teletrabajo, esta información será consolidada y enviada de forma trimestral a la Dirección de Gestión del Talento Humano para su revisión aleatoria y retroalimentación de conformidad con los criterios establecidos de manera interna. En caso de que la información no sea enviada, el/la Director/a de Gestión del Talento Humano reiterará la solicitud a través de los canales oficiales de comunicación, como evidencia de la ejecución del control queda los formatos revisados por la DGTH debidamente diligenciados, las retroalimentaciones y las solicitudes realizadas a través de los canales oficiales de comunicación.</t>
  </si>
  <si>
    <t>Se actualiza el contexto interno y externo del proceso. Se actualiza:
- Redacción de los controles del riesgo 1.
- Redacción de la descripción del riesgo 2 y su control.
- Redacción del control riesgo 7.
- Eliminación del riesgo 8 debido a que fue creado por la contingencia de la pandemia COVID-19
Se brinda acompañamiento metodológico del grupo de riesgos de la Oficina Asesora de Planeación. Se aprobó bajo caso HOLA N.1730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</si>
</sst>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sz val="12"/>
      <color rgb="FF000000"/>
      <name val="Calibri"/>
      <family val="2"/>
    </font>
    <font>
      <sz val="11"/>
      <color rgb="FF00B050"/>
      <name val="Calibri"/>
      <family val="2"/>
      <scheme val="minor"/>
    </font>
    <font>
      <sz val="11"/>
      <color rgb="FFFF0000"/>
      <name val="Arial Narrow"/>
      <family val="2"/>
    </font>
    <font>
      <b/>
      <sz val="12"/>
      <color theme="0" tint="-0.499984740745262"/>
      <name val="Titillium Web"/>
    </font>
    <font>
      <sz val="14"/>
      <name val="Arial Narrow"/>
      <family val="2"/>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54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49" fontId="57" fillId="16" borderId="0" xfId="0" applyNumberFormat="1" applyFont="1" applyFill="1" applyAlignment="1" applyProtection="1">
      <alignment horizontal="center" vertical="center" wrapText="1"/>
      <protection locked="0"/>
    </xf>
    <xf numFmtId="49" fontId="63" fillId="19" borderId="0" xfId="0" applyNumberFormat="1" applyFont="1" applyFill="1" applyAlignment="1" applyProtection="1">
      <alignment vertical="center" wrapText="1"/>
      <protection locked="0"/>
    </xf>
    <xf numFmtId="0" fontId="61" fillId="19" borderId="0" xfId="0" applyFont="1" applyFill="1" applyProtection="1">
      <protection locked="0"/>
    </xf>
    <xf numFmtId="0" fontId="64" fillId="19" borderId="0" xfId="0" applyFont="1" applyFill="1" applyAlignment="1" applyProtection="1">
      <alignment horizontal="left" vertical="center" wrapText="1"/>
      <protection locked="0"/>
    </xf>
    <xf numFmtId="0" fontId="65" fillId="19" borderId="0" xfId="0" applyFont="1" applyFill="1" applyAlignment="1" applyProtection="1">
      <alignment vertical="center" wrapText="1"/>
      <protection locked="0"/>
    </xf>
    <xf numFmtId="0" fontId="65" fillId="19" borderId="0" xfId="0" applyFont="1" applyFill="1" applyProtection="1">
      <protection locked="0"/>
    </xf>
    <xf numFmtId="0" fontId="65" fillId="19" borderId="0" xfId="0" applyFont="1" applyFill="1" applyAlignment="1" applyProtection="1">
      <alignment horizontal="center"/>
      <protection locked="0"/>
    </xf>
    <xf numFmtId="0" fontId="61" fillId="19" borderId="0" xfId="0" applyFont="1" applyFill="1" applyAlignment="1" applyProtection="1">
      <alignment horizontal="center"/>
      <protection locked="0"/>
    </xf>
    <xf numFmtId="0" fontId="66" fillId="0" borderId="69" xfId="0" applyFont="1" applyBorder="1" applyAlignment="1" applyProtection="1">
      <alignment horizontal="right"/>
      <protection locked="0"/>
    </xf>
    <xf numFmtId="0" fontId="68" fillId="19" borderId="0" xfId="0" applyFont="1" applyFill="1" applyAlignment="1" applyProtection="1">
      <alignment horizontal="center" vertical="center" wrapText="1"/>
      <protection locked="0"/>
    </xf>
    <xf numFmtId="0" fontId="68" fillId="19" borderId="0" xfId="0" applyFont="1" applyFill="1" applyAlignment="1" applyProtection="1">
      <alignment vertical="center" wrapText="1"/>
      <protection locked="0"/>
    </xf>
    <xf numFmtId="0" fontId="69" fillId="19" borderId="0" xfId="0" applyFont="1" applyFill="1" applyAlignment="1" applyProtection="1">
      <alignment vertical="center" wrapText="1"/>
      <protection locked="0"/>
    </xf>
    <xf numFmtId="0" fontId="64" fillId="19" borderId="0" xfId="0" applyFont="1" applyFill="1" applyAlignment="1" applyProtection="1">
      <alignment horizontal="center" vertical="center" wrapText="1"/>
      <protection locked="0"/>
    </xf>
    <xf numFmtId="0" fontId="61" fillId="19" borderId="0" xfId="0" applyFont="1" applyFill="1" applyAlignment="1" applyProtection="1">
      <alignment horizontal="center" vertical="center"/>
      <protection locked="0"/>
    </xf>
    <xf numFmtId="0" fontId="65" fillId="19" borderId="0" xfId="0" applyFont="1" applyFill="1" applyAlignment="1" applyProtection="1">
      <alignment horizontal="center" vertical="center" wrapText="1"/>
      <protection locked="0"/>
    </xf>
    <xf numFmtId="0" fontId="65" fillId="19" borderId="0" xfId="0" applyFont="1" applyFill="1" applyAlignment="1" applyProtection="1">
      <alignment horizontal="center" vertical="center"/>
      <protection locked="0"/>
    </xf>
    <xf numFmtId="0" fontId="70" fillId="19" borderId="0" xfId="0" applyFont="1" applyFill="1" applyAlignment="1" applyProtection="1">
      <alignment horizontal="center" vertical="center"/>
      <protection locked="0"/>
    </xf>
    <xf numFmtId="2" fontId="66" fillId="19" borderId="0" xfId="0" applyNumberFormat="1" applyFont="1" applyFill="1" applyAlignment="1" applyProtection="1">
      <alignment horizontal="center" vertical="center" wrapText="1"/>
      <protection locked="0"/>
    </xf>
    <xf numFmtId="0" fontId="70" fillId="19" borderId="0" xfId="0" applyFont="1" applyFill="1" applyProtection="1">
      <protection locked="0"/>
    </xf>
    <xf numFmtId="0" fontId="70" fillId="19" borderId="0" xfId="0" applyFont="1" applyFill="1" applyAlignment="1" applyProtection="1">
      <alignment horizontal="center"/>
      <protection locked="0"/>
    </xf>
    <xf numFmtId="0" fontId="71" fillId="19" borderId="0" xfId="0" applyFont="1" applyFill="1" applyAlignment="1" applyProtection="1">
      <alignment horizontal="left" vertical="center"/>
      <protection locked="0"/>
    </xf>
    <xf numFmtId="165" fontId="64" fillId="19" borderId="0" xfId="0" applyNumberFormat="1" applyFont="1" applyFill="1" applyAlignment="1" applyProtection="1">
      <alignment horizontal="center" vertical="center"/>
      <protection locked="0"/>
    </xf>
    <xf numFmtId="0" fontId="61" fillId="0" borderId="0" xfId="0" applyFont="1" applyProtection="1">
      <protection locked="0"/>
    </xf>
    <xf numFmtId="0" fontId="47" fillId="19" borderId="0" xfId="0" applyFont="1" applyFill="1" applyAlignment="1" applyProtection="1">
      <alignment vertical="center" wrapText="1"/>
      <protection locked="0"/>
    </xf>
    <xf numFmtId="0" fontId="72" fillId="20" borderId="0" xfId="0" applyFont="1" applyFill="1" applyAlignment="1" applyProtection="1">
      <alignment horizontal="center" vertical="center" wrapText="1"/>
      <protection locked="0"/>
    </xf>
    <xf numFmtId="2" fontId="66" fillId="20" borderId="0" xfId="0" applyNumberFormat="1" applyFont="1" applyFill="1" applyAlignment="1" applyProtection="1">
      <alignment horizontal="center" vertical="center" wrapText="1"/>
      <protection hidden="1"/>
    </xf>
    <xf numFmtId="0" fontId="73" fillId="20" borderId="0" xfId="0" applyFont="1" applyFill="1" applyAlignment="1" applyProtection="1">
      <alignment horizontal="center" vertical="center" wrapText="1"/>
      <protection hidden="1"/>
    </xf>
    <xf numFmtId="0" fontId="68" fillId="19" borderId="69" xfId="0" applyFont="1" applyFill="1" applyBorder="1" applyAlignment="1" applyProtection="1">
      <alignment vertical="center" wrapText="1"/>
      <protection locked="0"/>
    </xf>
    <xf numFmtId="0" fontId="67" fillId="0" borderId="33" xfId="0" applyFont="1" applyBorder="1" applyAlignment="1" applyProtection="1">
      <alignment horizontal="center" vertical="center" wrapText="1"/>
      <protection locked="0"/>
    </xf>
    <xf numFmtId="0" fontId="67" fillId="19" borderId="0" xfId="0" applyFont="1" applyFill="1" applyAlignment="1" applyProtection="1">
      <alignment horizontal="right" wrapText="1"/>
      <protection locked="0"/>
    </xf>
    <xf numFmtId="49" fontId="62" fillId="19" borderId="0" xfId="0" applyNumberFormat="1" applyFont="1" applyFill="1" applyAlignment="1" applyProtection="1">
      <alignment vertical="center" wrapText="1"/>
      <protection locked="0"/>
    </xf>
    <xf numFmtId="0" fontId="36" fillId="0" borderId="0" xfId="0" applyFont="1" applyAlignment="1">
      <alignment vertical="center"/>
    </xf>
    <xf numFmtId="0" fontId="76" fillId="21" borderId="79" xfId="0" applyFont="1" applyFill="1" applyBorder="1" applyAlignment="1">
      <alignment horizontal="center" vertical="center" wrapText="1"/>
    </xf>
    <xf numFmtId="0" fontId="77" fillId="21" borderId="80" xfId="0" applyFont="1" applyFill="1" applyBorder="1" applyAlignment="1">
      <alignment horizontal="center" vertical="center" wrapText="1"/>
    </xf>
    <xf numFmtId="0" fontId="77" fillId="22" borderId="85" xfId="0" applyFont="1" applyFill="1" applyBorder="1" applyAlignment="1">
      <alignment horizontal="center" vertical="center" wrapText="1"/>
    </xf>
    <xf numFmtId="0" fontId="76" fillId="0" borderId="85" xfId="0" applyFont="1" applyBorder="1" applyAlignment="1">
      <alignment horizontal="center" vertical="center" wrapText="1"/>
    </xf>
    <xf numFmtId="0" fontId="77" fillId="22" borderId="84" xfId="0" applyFont="1" applyFill="1" applyBorder="1" applyAlignment="1">
      <alignment horizontal="center" vertical="center" wrapText="1"/>
    </xf>
    <xf numFmtId="0" fontId="76" fillId="0" borderId="84" xfId="0" applyFont="1" applyBorder="1" applyAlignment="1">
      <alignment horizontal="center" vertical="center" wrapText="1"/>
    </xf>
    <xf numFmtId="0" fontId="36" fillId="0" borderId="84" xfId="0" applyFont="1" applyBorder="1" applyAlignment="1">
      <alignment vertical="center" wrapText="1"/>
    </xf>
    <xf numFmtId="0" fontId="36" fillId="0" borderId="84" xfId="0" applyFont="1" applyBorder="1" applyAlignment="1">
      <alignment horizontal="center" vertical="center" wrapText="1"/>
    </xf>
    <xf numFmtId="0" fontId="77" fillId="22" borderId="88" xfId="0" applyFont="1" applyFill="1" applyBorder="1" applyAlignment="1">
      <alignment horizontal="center" vertical="center" wrapText="1"/>
    </xf>
    <xf numFmtId="0" fontId="76" fillId="0" borderId="88" xfId="0" applyFont="1" applyBorder="1" applyAlignment="1">
      <alignment horizontal="center" vertical="center" wrapText="1"/>
    </xf>
    <xf numFmtId="164" fontId="1" fillId="0" borderId="2" xfId="1" applyNumberFormat="1" applyFont="1" applyBorder="1" applyAlignment="1">
      <alignment horizontal="center" vertical="center"/>
    </xf>
    <xf numFmtId="0" fontId="36" fillId="0" borderId="33" xfId="0" applyFont="1" applyBorder="1" applyAlignment="1">
      <alignment horizontal="center" vertical="center"/>
    </xf>
    <xf numFmtId="0" fontId="36" fillId="5" borderId="33" xfId="0" applyFont="1" applyFill="1" applyBorder="1" applyAlignment="1">
      <alignment horizontal="center" vertical="center"/>
    </xf>
    <xf numFmtId="0" fontId="76" fillId="0" borderId="0" xfId="0" applyFont="1" applyAlignment="1">
      <alignment horizontal="center" vertical="center" wrapText="1"/>
    </xf>
    <xf numFmtId="0" fontId="36" fillId="23" borderId="33" xfId="0" applyFont="1" applyFill="1" applyBorder="1" applyAlignment="1">
      <alignment vertical="center"/>
    </xf>
    <xf numFmtId="0" fontId="76" fillId="0" borderId="89"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2" fillId="19" borderId="33" xfId="0" applyFont="1" applyFill="1" applyBorder="1" applyAlignment="1" applyProtection="1">
      <alignment horizontal="center" vertical="center" wrapText="1"/>
      <protection locked="0"/>
    </xf>
    <xf numFmtId="14" fontId="2" fillId="19" borderId="33" xfId="0" applyNumberFormat="1"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14" fontId="2" fillId="0" borderId="33"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lignment horizontal="left" vertical="center" wrapText="1"/>
    </xf>
    <xf numFmtId="0" fontId="66" fillId="13" borderId="69" xfId="0" applyFont="1" applyFill="1" applyBorder="1" applyAlignment="1" applyProtection="1">
      <alignment horizontal="right"/>
      <protection locked="0"/>
    </xf>
    <xf numFmtId="14" fontId="66" fillId="13" borderId="69" xfId="0" applyNumberFormat="1" applyFont="1" applyFill="1" applyBorder="1" applyAlignment="1" applyProtection="1">
      <alignment horizontal="right"/>
      <protection locked="0"/>
    </xf>
    <xf numFmtId="0" fontId="68" fillId="13" borderId="0" xfId="0" applyFont="1" applyFill="1" applyAlignment="1" applyProtection="1">
      <alignment horizontal="right" vertical="center" wrapText="1"/>
      <protection locked="0"/>
    </xf>
    <xf numFmtId="0" fontId="80" fillId="3" borderId="0" xfId="0" applyFont="1" applyFill="1"/>
    <xf numFmtId="0" fontId="80" fillId="0" borderId="0" xfId="0" applyFont="1"/>
    <xf numFmtId="0" fontId="1" fillId="0" borderId="4" xfId="0" applyFont="1" applyBorder="1" applyAlignment="1" applyProtection="1">
      <alignment horizontal="center" vertical="center" textRotation="90"/>
      <protection locked="0"/>
    </xf>
    <xf numFmtId="164" fontId="1" fillId="0" borderId="2" xfId="1" applyNumberFormat="1" applyFont="1" applyFill="1" applyBorder="1" applyAlignment="1">
      <alignment horizontal="center" vertical="center"/>
    </xf>
    <xf numFmtId="0" fontId="79" fillId="0" borderId="0" xfId="0" applyFont="1" applyAlignment="1">
      <alignment vertical="top" wrapText="1"/>
    </xf>
    <xf numFmtId="0" fontId="81" fillId="0" borderId="33" xfId="0" applyFont="1" applyBorder="1" applyAlignment="1">
      <alignment horizontal="left" vertical="center" wrapText="1"/>
    </xf>
    <xf numFmtId="0" fontId="81" fillId="0" borderId="38" xfId="0" applyFont="1" applyBorder="1" applyAlignment="1">
      <alignment horizontal="left" vertical="center" wrapText="1"/>
    </xf>
    <xf numFmtId="0" fontId="59" fillId="18" borderId="91" xfId="0" applyFont="1" applyFill="1" applyBorder="1" applyAlignment="1" applyProtection="1">
      <alignment horizontal="center" vertical="center" wrapText="1"/>
      <protection locked="0"/>
    </xf>
    <xf numFmtId="0" fontId="59" fillId="18" borderId="92" xfId="0" applyFont="1" applyFill="1" applyBorder="1" applyAlignment="1" applyProtection="1">
      <alignment horizontal="center" vertical="center" wrapText="1"/>
      <protection locked="0"/>
    </xf>
    <xf numFmtId="0" fontId="81" fillId="0" borderId="41" xfId="0" applyFont="1" applyBorder="1" applyAlignment="1">
      <alignment horizontal="left" vertical="center" wrapText="1"/>
    </xf>
    <xf numFmtId="0" fontId="59" fillId="18" borderId="34" xfId="0" applyFont="1" applyFill="1" applyBorder="1" applyAlignment="1" applyProtection="1">
      <alignment horizontal="center" vertical="center" wrapText="1"/>
      <protection locked="0"/>
    </xf>
    <xf numFmtId="0" fontId="59" fillId="18" borderId="43" xfId="0" applyFont="1" applyFill="1" applyBorder="1" applyAlignment="1" applyProtection="1">
      <alignment horizontal="center" vertical="center" wrapText="1"/>
      <protection locked="0"/>
    </xf>
    <xf numFmtId="0" fontId="58" fillId="17" borderId="42" xfId="0" applyFont="1" applyFill="1" applyBorder="1" applyAlignment="1">
      <alignment horizontal="center" vertical="center" wrapText="1"/>
    </xf>
    <xf numFmtId="0" fontId="2" fillId="0" borderId="2" xfId="0" applyFont="1" applyBorder="1" applyAlignment="1">
      <alignment horizontal="left" vertical="center" wrapText="1"/>
    </xf>
    <xf numFmtId="0" fontId="81" fillId="0" borderId="34" xfId="0" applyFont="1" applyBorder="1" applyAlignment="1">
      <alignment horizontal="left" vertical="center" wrapText="1"/>
    </xf>
    <xf numFmtId="0" fontId="81" fillId="0" borderId="40" xfId="0" applyFont="1" applyBorder="1" applyAlignment="1">
      <alignment horizontal="left" vertical="center" wrapText="1"/>
    </xf>
    <xf numFmtId="0" fontId="60" fillId="3" borderId="48" xfId="2" applyFont="1" applyFill="1" applyBorder="1" applyAlignment="1">
      <alignment horizontal="center" vertical="center" wrapText="1"/>
    </xf>
    <xf numFmtId="0" fontId="60" fillId="3" borderId="49" xfId="2" applyFont="1" applyFill="1" applyBorder="1" applyAlignment="1">
      <alignment horizontal="center" vertical="center" wrapText="1"/>
    </xf>
    <xf numFmtId="0" fontId="60" fillId="3"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0" fillId="0" borderId="0" xfId="0" applyAlignment="1">
      <alignment horizontal="center" vertical="top" wrapText="1"/>
    </xf>
    <xf numFmtId="49" fontId="56" fillId="16" borderId="0" xfId="0" applyNumberFormat="1" applyFont="1" applyFill="1" applyAlignment="1" applyProtection="1">
      <alignment horizontal="right" vertical="center" wrapText="1"/>
      <protection locked="0"/>
    </xf>
    <xf numFmtId="0" fontId="58" fillId="17" borderId="42" xfId="0" applyFont="1" applyFill="1" applyBorder="1" applyAlignment="1">
      <alignment horizontal="center" vertical="center" wrapText="1"/>
    </xf>
    <xf numFmtId="0" fontId="58" fillId="17" borderId="37" xfId="0" applyFont="1" applyFill="1" applyBorder="1" applyAlignment="1">
      <alignment horizontal="center" vertical="center" wrapText="1"/>
    </xf>
    <xf numFmtId="0" fontId="58" fillId="17" borderId="90"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49" fontId="75" fillId="19" borderId="0" xfId="0" applyNumberFormat="1" applyFont="1" applyFill="1" applyAlignment="1" applyProtection="1">
      <alignment horizontal="center" vertical="center" wrapText="1"/>
      <protection locked="0"/>
    </xf>
    <xf numFmtId="2" fontId="66" fillId="20" borderId="0" xfId="0" applyNumberFormat="1" applyFont="1" applyFill="1" applyAlignment="1" applyProtection="1">
      <alignment horizontal="center" vertical="center" wrapText="1"/>
      <protection hidden="1"/>
    </xf>
    <xf numFmtId="0" fontId="74" fillId="19" borderId="0" xfId="0" applyFont="1" applyFill="1" applyAlignment="1" applyProtection="1">
      <alignment horizontal="left" vertical="top"/>
      <protection locked="0"/>
    </xf>
    <xf numFmtId="0" fontId="67" fillId="0" borderId="75" xfId="0" applyFont="1" applyBorder="1" applyAlignment="1" applyProtection="1">
      <alignment horizontal="center" vertical="center" wrapText="1"/>
      <protection locked="0"/>
    </xf>
    <xf numFmtId="0" fontId="72" fillId="20" borderId="0" xfId="0" applyFont="1" applyFill="1" applyAlignment="1" applyProtection="1">
      <alignment horizontal="center" vertical="center" wrapText="1"/>
      <protection locked="0"/>
    </xf>
    <xf numFmtId="0" fontId="67" fillId="0" borderId="76" xfId="0" applyFont="1" applyBorder="1" applyAlignment="1" applyProtection="1">
      <alignment horizontal="center" vertical="center" wrapText="1"/>
      <protection locked="0"/>
    </xf>
    <xf numFmtId="0" fontId="67" fillId="0" borderId="77" xfId="0" applyFont="1" applyBorder="1" applyAlignment="1" applyProtection="1">
      <alignment horizontal="center" vertical="center" wrapText="1"/>
      <protection locked="0"/>
    </xf>
    <xf numFmtId="0" fontId="67" fillId="0" borderId="78" xfId="0" applyFont="1" applyBorder="1" applyAlignment="1" applyProtection="1">
      <alignment horizontal="center" vertical="center" wrapText="1"/>
      <protection locked="0"/>
    </xf>
    <xf numFmtId="0" fontId="2" fillId="19" borderId="76" xfId="0" applyFont="1" applyFill="1" applyBorder="1" applyAlignment="1" applyProtection="1">
      <alignment horizontal="left" vertical="center" wrapText="1"/>
      <protection locked="0"/>
    </xf>
    <xf numFmtId="0" fontId="2" fillId="19" borderId="77" xfId="0" applyFont="1" applyFill="1" applyBorder="1" applyAlignment="1" applyProtection="1">
      <alignment horizontal="left" vertical="center" wrapText="1"/>
      <protection locked="0"/>
    </xf>
    <xf numFmtId="0" fontId="2" fillId="19" borderId="78" xfId="0" applyFont="1" applyFill="1" applyBorder="1" applyAlignment="1" applyProtection="1">
      <alignment horizontal="left" vertical="center" wrapText="1"/>
      <protection locked="0"/>
    </xf>
    <xf numFmtId="0" fontId="2" fillId="0" borderId="76" xfId="0" applyFont="1" applyBorder="1" applyAlignment="1" applyProtection="1">
      <alignment horizontal="left" vertical="center" wrapText="1"/>
      <protection locked="0"/>
    </xf>
    <xf numFmtId="0" fontId="2" fillId="0" borderId="77"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6" fillId="2" borderId="4" xfId="0" applyFont="1" applyFill="1" applyBorder="1" applyAlignment="1">
      <alignment horizontal="center" vertical="center" textRotation="90"/>
    </xf>
    <xf numFmtId="0" fontId="26"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80" fillId="0" borderId="4" xfId="0" applyFont="1" applyBorder="1" applyAlignment="1" applyProtection="1">
      <alignment horizontal="center" vertical="center" wrapText="1"/>
      <protection locked="0"/>
    </xf>
    <xf numFmtId="0" fontId="80" fillId="0" borderId="8" xfId="0" applyFont="1" applyBorder="1" applyAlignment="1" applyProtection="1">
      <alignment horizontal="center" vertical="center" wrapText="1"/>
      <protection locked="0"/>
    </xf>
    <xf numFmtId="0" fontId="80" fillId="0" borderId="5" xfId="0" applyFont="1" applyBorder="1" applyAlignment="1" applyProtection="1">
      <alignment horizontal="center" vertical="center" wrapText="1"/>
      <protection locked="0"/>
    </xf>
    <xf numFmtId="9" fontId="2" fillId="0" borderId="4"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80" fillId="0" borderId="4" xfId="0" applyNumberFormat="1" applyFont="1" applyBorder="1" applyAlignment="1" applyProtection="1">
      <alignment horizontal="center" vertical="center" wrapText="1"/>
      <protection hidden="1"/>
    </xf>
    <xf numFmtId="9" fontId="80" fillId="0" borderId="8" xfId="0" applyNumberFormat="1" applyFont="1" applyBorder="1" applyAlignment="1" applyProtection="1">
      <alignment horizontal="center" vertical="center" wrapText="1"/>
      <protection hidden="1"/>
    </xf>
    <xf numFmtId="9" fontId="80" fillId="0" borderId="5" xfId="0" applyNumberFormat="1" applyFont="1" applyBorder="1" applyAlignment="1" applyProtection="1">
      <alignment horizontal="center" vertical="center" wrapText="1"/>
      <protection hidden="1"/>
    </xf>
    <xf numFmtId="0" fontId="7" fillId="3" borderId="6"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wrapText="1"/>
      <protection hidden="1"/>
    </xf>
    <xf numFmtId="9" fontId="1" fillId="0" borderId="5" xfId="0" applyNumberFormat="1" applyFont="1" applyBorder="1" applyAlignment="1" applyProtection="1">
      <alignment horizontal="center" vertical="center"/>
      <protection hidden="1"/>
    </xf>
    <xf numFmtId="0" fontId="4" fillId="0" borderId="5" xfId="0" applyFont="1" applyBorder="1" applyAlignment="1" applyProtection="1">
      <alignment horizontal="center" vertical="center" textRotation="90"/>
      <protection hidden="1"/>
    </xf>
    <xf numFmtId="0" fontId="1" fillId="0" borderId="5"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lignment horizontal="center" vertical="center"/>
    </xf>
    <xf numFmtId="0" fontId="1" fillId="0" borderId="5" xfId="0" applyFont="1" applyBorder="1" applyAlignment="1" applyProtection="1">
      <alignment horizontal="center" vertical="center"/>
      <protection hidden="1"/>
    </xf>
    <xf numFmtId="0" fontId="49" fillId="0" borderId="4" xfId="0" applyFont="1" applyBorder="1" applyAlignment="1" applyProtection="1">
      <alignment horizontal="left" vertical="center" wrapText="1"/>
      <protection locked="0"/>
    </xf>
    <xf numFmtId="0" fontId="49" fillId="0" borderId="8" xfId="0" applyFont="1" applyBorder="1" applyAlignment="1" applyProtection="1">
      <alignment horizontal="left" vertical="center" wrapText="1"/>
      <protection locked="0"/>
    </xf>
    <xf numFmtId="0" fontId="49"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protection locked="0"/>
    </xf>
    <xf numFmtId="0" fontId="25"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77" fillId="22" borderId="87" xfId="0" applyFont="1" applyFill="1" applyBorder="1" applyAlignment="1">
      <alignment horizontal="center" vertical="center" wrapText="1"/>
    </xf>
    <xf numFmtId="0" fontId="77" fillId="22" borderId="82" xfId="0" applyFont="1" applyFill="1" applyBorder="1" applyAlignment="1">
      <alignment horizontal="center" vertical="center" wrapText="1"/>
    </xf>
    <xf numFmtId="0" fontId="76" fillId="0" borderId="87" xfId="0" applyFont="1" applyBorder="1" applyAlignment="1">
      <alignment horizontal="center" vertical="center" wrapText="1"/>
    </xf>
    <xf numFmtId="0" fontId="76" fillId="0" borderId="82" xfId="0" applyFont="1" applyBorder="1" applyAlignment="1">
      <alignment horizontal="center" vertical="center" wrapText="1"/>
    </xf>
    <xf numFmtId="0" fontId="77" fillId="21" borderId="86" xfId="0" applyFont="1" applyFill="1" applyBorder="1" applyAlignment="1">
      <alignment horizontal="center" vertical="center" wrapText="1"/>
    </xf>
    <xf numFmtId="0" fontId="77" fillId="21" borderId="81" xfId="0" applyFont="1" applyFill="1" applyBorder="1" applyAlignment="1">
      <alignment horizontal="center" vertical="center" wrapText="1"/>
    </xf>
    <xf numFmtId="0" fontId="77" fillId="21" borderId="80" xfId="0" applyFont="1" applyFill="1" applyBorder="1" applyAlignment="1">
      <alignment horizontal="center" vertical="center" wrapText="1"/>
    </xf>
    <xf numFmtId="0" fontId="77" fillId="22" borderId="83" xfId="0" applyFont="1" applyFill="1" applyBorder="1" applyAlignment="1">
      <alignment horizontal="center" vertical="center" wrapText="1"/>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0" fillId="0" borderId="0" xfId="0" applyFill="1"/>
    <xf numFmtId="0" fontId="78" fillId="0" borderId="0" xfId="0" applyFont="1" applyFill="1" applyAlignment="1">
      <alignment horizontal="left" vertical="center" wrapText="1"/>
    </xf>
    <xf numFmtId="0" fontId="82" fillId="3" borderId="6" xfId="0" applyFont="1" applyFill="1" applyBorder="1" applyAlignment="1" applyProtection="1">
      <alignment horizontal="left" vertical="center" wrapText="1"/>
      <protection locked="0"/>
    </xf>
    <xf numFmtId="0" fontId="82" fillId="3" borderId="10" xfId="0" applyFont="1" applyFill="1" applyBorder="1" applyAlignment="1" applyProtection="1">
      <alignment horizontal="left" vertical="center" wrapText="1"/>
      <protection locked="0"/>
    </xf>
    <xf numFmtId="0" fontId="82" fillId="3" borderId="7" xfId="0" applyFont="1" applyFill="1" applyBorder="1" applyAlignment="1" applyProtection="1">
      <alignment horizontal="left" vertical="center" wrapText="1"/>
      <protection locked="0"/>
    </xf>
    <xf numFmtId="0" fontId="49" fillId="0" borderId="2" xfId="0" applyFont="1" applyBorder="1" applyAlignment="1" applyProtection="1">
      <alignment horizontal="justify" vertical="center" wrapText="1"/>
      <protection locked="0"/>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51" fillId="0" borderId="4" xfId="0" applyFont="1" applyBorder="1" applyAlignment="1" applyProtection="1">
      <alignment horizontal="center" vertical="center"/>
      <protection hidden="1"/>
    </xf>
    <xf numFmtId="0" fontId="51" fillId="0" borderId="8" xfId="0" applyFont="1" applyBorder="1" applyAlignment="1" applyProtection="1">
      <alignment horizontal="center" vertical="center"/>
      <protection hidden="1"/>
    </xf>
    <xf numFmtId="0" fontId="51" fillId="0" borderId="5" xfId="0" applyFont="1" applyBorder="1" applyAlignment="1" applyProtection="1">
      <alignment horizontal="center" vertical="center"/>
      <protection hidden="1"/>
    </xf>
    <xf numFmtId="0" fontId="51" fillId="0" borderId="4" xfId="0" applyFont="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wrapText="1"/>
      <protection hidden="1"/>
    </xf>
    <xf numFmtId="0" fontId="51" fillId="0" borderId="8" xfId="0" applyFont="1" applyBorder="1" applyAlignment="1" applyProtection="1">
      <alignment horizontal="center" vertical="center" wrapText="1"/>
      <protection hidden="1"/>
    </xf>
    <xf numFmtId="9" fontId="2" fillId="0" borderId="8" xfId="0" applyNumberFormat="1" applyFont="1" applyBorder="1" applyAlignment="1" applyProtection="1">
      <alignment horizontal="center" vertical="center" wrapText="1"/>
      <protection hidden="1"/>
    </xf>
    <xf numFmtId="0" fontId="51" fillId="0" borderId="5" xfId="0"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9" fontId="2"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9" fontId="2" fillId="0" borderId="4" xfId="0" applyNumberFormat="1" applyFont="1" applyBorder="1" applyAlignment="1" applyProtection="1">
      <alignment horizontal="center" vertical="center"/>
      <protection hidden="1"/>
    </xf>
    <xf numFmtId="164" fontId="2" fillId="0" borderId="2" xfId="1" applyNumberFormat="1" applyFont="1" applyBorder="1" applyAlignment="1">
      <alignment horizontal="center" vertical="center"/>
    </xf>
    <xf numFmtId="0" fontId="51" fillId="0" borderId="4" xfId="0" applyFont="1" applyBorder="1" applyAlignment="1" applyProtection="1">
      <alignment horizontal="center" vertical="center" textRotation="90" wrapText="1"/>
      <protection hidden="1"/>
    </xf>
    <xf numFmtId="0" fontId="51" fillId="0" borderId="4" xfId="0" applyFont="1" applyBorder="1" applyAlignment="1" applyProtection="1">
      <alignment horizontal="center" vertical="center" textRotation="90"/>
      <protection hidden="1"/>
    </xf>
    <xf numFmtId="0" fontId="2" fillId="0" borderId="8" xfId="0" applyFont="1" applyBorder="1" applyAlignment="1" applyProtection="1">
      <alignment horizontal="center" vertical="center"/>
      <protection hidden="1"/>
    </xf>
    <xf numFmtId="0" fontId="2" fillId="0" borderId="8" xfId="0" applyFont="1" applyBorder="1" applyAlignment="1" applyProtection="1">
      <alignment horizontal="center" vertical="center" textRotation="90"/>
      <protection locked="0"/>
    </xf>
    <xf numFmtId="9" fontId="2" fillId="0" borderId="8" xfId="0" applyNumberFormat="1" applyFont="1" applyBorder="1" applyAlignment="1" applyProtection="1">
      <alignment horizontal="center" vertical="center"/>
      <protection hidden="1"/>
    </xf>
    <xf numFmtId="164" fontId="2" fillId="9" borderId="2" xfId="1" applyNumberFormat="1" applyFont="1" applyFill="1" applyBorder="1" applyAlignment="1">
      <alignment horizontal="center" vertical="center"/>
    </xf>
    <xf numFmtId="0" fontId="51" fillId="0" borderId="8" xfId="0" applyFont="1" applyBorder="1" applyAlignment="1" applyProtection="1">
      <alignment horizontal="center" vertical="center" textRotation="90" wrapText="1"/>
      <protection hidden="1"/>
    </xf>
    <xf numFmtId="0" fontId="51" fillId="0" borderId="8" xfId="0" applyFont="1" applyBorder="1" applyAlignment="1" applyProtection="1">
      <alignment horizontal="center" vertical="center" textRotation="90"/>
      <protection hidden="1"/>
    </xf>
    <xf numFmtId="0" fontId="2"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textRotation="90"/>
      <protection locked="0"/>
    </xf>
    <xf numFmtId="9" fontId="2" fillId="0" borderId="5" xfId="0" applyNumberFormat="1" applyFont="1" applyBorder="1" applyAlignment="1" applyProtection="1">
      <alignment horizontal="center" vertical="center"/>
      <protection hidden="1"/>
    </xf>
    <xf numFmtId="0" fontId="51" fillId="0" borderId="5" xfId="0" applyFont="1" applyBorder="1" applyAlignment="1" applyProtection="1">
      <alignment horizontal="center" vertical="center" textRotation="90" wrapText="1"/>
      <protection hidden="1"/>
    </xf>
    <xf numFmtId="0" fontId="51" fillId="0" borderId="5" xfId="0" applyFont="1" applyBorder="1" applyAlignment="1" applyProtection="1">
      <alignment horizontal="center" vertical="center" textRotation="90"/>
      <protection hidden="1"/>
    </xf>
    <xf numFmtId="0" fontId="2" fillId="0" borderId="33" xfId="0" applyFont="1" applyFill="1" applyBorder="1" applyAlignment="1" applyProtection="1">
      <alignment horizontal="center" vertical="center" wrapText="1"/>
      <protection locked="0"/>
    </xf>
    <xf numFmtId="14" fontId="2" fillId="0" borderId="33" xfId="0" applyNumberFormat="1" applyFont="1" applyFill="1" applyBorder="1" applyAlignment="1" applyProtection="1">
      <alignment horizontal="center" vertical="center" wrapText="1"/>
      <protection locked="0"/>
    </xf>
    <xf numFmtId="0" fontId="2" fillId="0" borderId="76" xfId="0" applyFont="1" applyFill="1" applyBorder="1" applyAlignment="1" applyProtection="1">
      <alignment horizontal="left" vertical="center" wrapText="1"/>
      <protection locked="0"/>
    </xf>
    <xf numFmtId="0" fontId="2" fillId="0" borderId="77" xfId="0" applyFont="1" applyFill="1" applyBorder="1" applyAlignment="1" applyProtection="1">
      <alignment horizontal="left" vertical="center" wrapText="1"/>
      <protection locked="0"/>
    </xf>
    <xf numFmtId="0" fontId="2" fillId="0" borderId="78"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57">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228600</xdr:colOff>
      <xdr:row>2</xdr:row>
      <xdr:rowOff>9526</xdr:rowOff>
    </xdr:from>
    <xdr:to>
      <xdr:col>2</xdr:col>
      <xdr:colOff>2667000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15</xdr:row>
      <xdr:rowOff>0</xdr:rowOff>
    </xdr:from>
    <xdr:to>
      <xdr:col>16</xdr:col>
      <xdr:colOff>320675</xdr:colOff>
      <xdr:row>16</xdr:row>
      <xdr:rowOff>61118</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15</xdr:row>
      <xdr:rowOff>0</xdr:rowOff>
    </xdr:from>
    <xdr:to>
      <xdr:col>16</xdr:col>
      <xdr:colOff>320675</xdr:colOff>
      <xdr:row>16</xdr:row>
      <xdr:rowOff>61118</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15</xdr:row>
      <xdr:rowOff>0</xdr:rowOff>
    </xdr:from>
    <xdr:to>
      <xdr:col>16</xdr:col>
      <xdr:colOff>320675</xdr:colOff>
      <xdr:row>16</xdr:row>
      <xdr:rowOff>61118</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15</xdr:row>
      <xdr:rowOff>0</xdr:rowOff>
    </xdr:from>
    <xdr:to>
      <xdr:col>16</xdr:col>
      <xdr:colOff>320675</xdr:colOff>
      <xdr:row>16</xdr:row>
      <xdr:rowOff>61118</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1024442</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1092994</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9" name="AutoShape 38" descr="Resultado de imagen para boton agregar icono">
          <a:extLst>
            <a:ext uri="{FF2B5EF4-FFF2-40B4-BE49-F238E27FC236}">
              <a16:creationId xmlns:a16="http://schemas.microsoft.com/office/drawing/2014/main" id="{56A52ACF-EEE5-45AB-A1B2-1B5FB8C4D5C0}"/>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0" name="AutoShape 39" descr="Resultado de imagen para boton agregar icono">
          <a:extLst>
            <a:ext uri="{FF2B5EF4-FFF2-40B4-BE49-F238E27FC236}">
              <a16:creationId xmlns:a16="http://schemas.microsoft.com/office/drawing/2014/main" id="{11774C26-099A-4CA5-80E9-6A7DB5594775}"/>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1" name="AutoShape 40" descr="Resultado de imagen para boton agregar icono">
          <a:extLst>
            <a:ext uri="{FF2B5EF4-FFF2-40B4-BE49-F238E27FC236}">
              <a16:creationId xmlns:a16="http://schemas.microsoft.com/office/drawing/2014/main" id="{12C3AFEB-8960-48E1-BD94-9C013CD1C5BD}"/>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2" name="AutoShape 42" descr="Z">
          <a:extLst>
            <a:ext uri="{FF2B5EF4-FFF2-40B4-BE49-F238E27FC236}">
              <a16:creationId xmlns:a16="http://schemas.microsoft.com/office/drawing/2014/main" id="{96523EB4-0BE0-49A1-8684-CA69F009B0B7}"/>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13" name="Rectangle 53">
          <a:extLst>
            <a:ext uri="{FF2B5EF4-FFF2-40B4-BE49-F238E27FC236}">
              <a16:creationId xmlns:a16="http://schemas.microsoft.com/office/drawing/2014/main" id="{45594D03-C4BC-4A66-97CA-1171F01C7711}"/>
            </a:ext>
          </a:extLst>
        </xdr:cNvPr>
        <xdr:cNvSpPr>
          <a:spLocks noChangeArrowheads="1"/>
        </xdr:cNvSpPr>
      </xdr:nvSpPr>
      <xdr:spPr bwMode="auto">
        <a:xfrm>
          <a:off x="2426652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4" name="AutoShape 38" descr="Resultado de imagen para boton agregar icono">
          <a:extLst>
            <a:ext uri="{FF2B5EF4-FFF2-40B4-BE49-F238E27FC236}">
              <a16:creationId xmlns:a16="http://schemas.microsoft.com/office/drawing/2014/main" id="{B87D2715-A174-4AF1-97AE-FDADC9AFA116}"/>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5" name="AutoShape 39" descr="Resultado de imagen para boton agregar icono">
          <a:extLst>
            <a:ext uri="{FF2B5EF4-FFF2-40B4-BE49-F238E27FC236}">
              <a16:creationId xmlns:a16="http://schemas.microsoft.com/office/drawing/2014/main" id="{20A6CDB8-CF54-45C3-8890-27F717C85987}"/>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6" name="AutoShape 40" descr="Resultado de imagen para boton agregar icono">
          <a:extLst>
            <a:ext uri="{FF2B5EF4-FFF2-40B4-BE49-F238E27FC236}">
              <a16:creationId xmlns:a16="http://schemas.microsoft.com/office/drawing/2014/main" id="{E33812D7-20E4-4038-BD81-BB7D9E23061D}"/>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309562</xdr:rowOff>
    </xdr:to>
    <xdr:sp macro="" textlink="">
      <xdr:nvSpPr>
        <xdr:cNvPr id="17" name="AutoShape 42" descr="Z">
          <a:extLst>
            <a:ext uri="{FF2B5EF4-FFF2-40B4-BE49-F238E27FC236}">
              <a16:creationId xmlns:a16="http://schemas.microsoft.com/office/drawing/2014/main" id="{B69FC23A-6C40-4F75-95C7-0FFB86A6A97E}"/>
            </a:ext>
          </a:extLst>
        </xdr:cNvPr>
        <xdr:cNvSpPr>
          <a:spLocks noChangeAspect="1" noChangeArrowheads="1"/>
        </xdr:cNvSpPr>
      </xdr:nvSpPr>
      <xdr:spPr bwMode="auto">
        <a:xfrm>
          <a:off x="24266525" y="59721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18" name="Rectangle 53">
          <a:extLst>
            <a:ext uri="{FF2B5EF4-FFF2-40B4-BE49-F238E27FC236}">
              <a16:creationId xmlns:a16="http://schemas.microsoft.com/office/drawing/2014/main" id="{4514E5F7-251F-48B4-BCFF-C473D20B9224}"/>
            </a:ext>
          </a:extLst>
        </xdr:cNvPr>
        <xdr:cNvSpPr>
          <a:spLocks noChangeArrowheads="1"/>
        </xdr:cNvSpPr>
      </xdr:nvSpPr>
      <xdr:spPr bwMode="auto">
        <a:xfrm>
          <a:off x="2426652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9</xdr:row>
      <xdr:rowOff>127000</xdr:rowOff>
    </xdr:from>
    <xdr:ext cx="0" cy="277957"/>
    <xdr:sp macro="" textlink="">
      <xdr:nvSpPr>
        <xdr:cNvPr id="19" name="Rectangle 53">
          <a:extLst>
            <a:ext uri="{FF2B5EF4-FFF2-40B4-BE49-F238E27FC236}">
              <a16:creationId xmlns:a16="http://schemas.microsoft.com/office/drawing/2014/main" id="{07598933-54ED-41C1-BD4A-3D9DFEEB0180}"/>
            </a:ext>
          </a:extLst>
        </xdr:cNvPr>
        <xdr:cNvSpPr>
          <a:spLocks noChangeArrowheads="1"/>
        </xdr:cNvSpPr>
      </xdr:nvSpPr>
      <xdr:spPr bwMode="auto">
        <a:xfrm>
          <a:off x="24266525" y="269875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20" name="Rectangle 53">
          <a:extLst>
            <a:ext uri="{FF2B5EF4-FFF2-40B4-BE49-F238E27FC236}">
              <a16:creationId xmlns:a16="http://schemas.microsoft.com/office/drawing/2014/main" id="{02A1156B-3FF3-45FF-8D66-8AA152F2350F}"/>
            </a:ext>
          </a:extLst>
        </xdr:cNvPr>
        <xdr:cNvSpPr>
          <a:spLocks noChangeArrowheads="1"/>
        </xdr:cNvSpPr>
      </xdr:nvSpPr>
      <xdr:spPr bwMode="auto">
        <a:xfrm>
          <a:off x="24266525" y="609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7957"/>
    <xdr:sp macro="" textlink="">
      <xdr:nvSpPr>
        <xdr:cNvPr id="21" name="Rectangle 53">
          <a:extLst>
            <a:ext uri="{FF2B5EF4-FFF2-40B4-BE49-F238E27FC236}">
              <a16:creationId xmlns:a16="http://schemas.microsoft.com/office/drawing/2014/main" id="{3DEAB5DC-34B9-4666-947F-35A35B107539}"/>
            </a:ext>
          </a:extLst>
        </xdr:cNvPr>
        <xdr:cNvSpPr>
          <a:spLocks noChangeArrowheads="1"/>
        </xdr:cNvSpPr>
      </xdr:nvSpPr>
      <xdr:spPr bwMode="auto">
        <a:xfrm>
          <a:off x="24266525" y="336550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7957"/>
    <xdr:sp macro="" textlink="">
      <xdr:nvSpPr>
        <xdr:cNvPr id="22" name="Rectangle 53">
          <a:extLst>
            <a:ext uri="{FF2B5EF4-FFF2-40B4-BE49-F238E27FC236}">
              <a16:creationId xmlns:a16="http://schemas.microsoft.com/office/drawing/2014/main" id="{22C3AE22-9AB4-4BAF-AF52-675DB2EB9980}"/>
            </a:ext>
          </a:extLst>
        </xdr:cNvPr>
        <xdr:cNvSpPr>
          <a:spLocks noChangeArrowheads="1"/>
        </xdr:cNvSpPr>
      </xdr:nvSpPr>
      <xdr:spPr bwMode="auto">
        <a:xfrm>
          <a:off x="24266525" y="435610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23" name="Rectangle 53">
          <a:extLst>
            <a:ext uri="{FF2B5EF4-FFF2-40B4-BE49-F238E27FC236}">
              <a16:creationId xmlns:a16="http://schemas.microsoft.com/office/drawing/2014/main" id="{3DAD45F5-8A08-45D6-AE07-24522B132F6F}"/>
            </a:ext>
          </a:extLst>
        </xdr:cNvPr>
        <xdr:cNvSpPr>
          <a:spLocks noChangeArrowheads="1"/>
        </xdr:cNvSpPr>
      </xdr:nvSpPr>
      <xdr:spPr bwMode="auto">
        <a:xfrm>
          <a:off x="24266525" y="51085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24" name="Rectangle 53">
          <a:extLst>
            <a:ext uri="{FF2B5EF4-FFF2-40B4-BE49-F238E27FC236}">
              <a16:creationId xmlns:a16="http://schemas.microsoft.com/office/drawing/2014/main" id="{35CB5FBC-AE70-4E29-8D91-4F4D480AB8D3}"/>
            </a:ext>
          </a:extLst>
        </xdr:cNvPr>
        <xdr:cNvSpPr>
          <a:spLocks noChangeArrowheads="1"/>
        </xdr:cNvSpPr>
      </xdr:nvSpPr>
      <xdr:spPr bwMode="auto">
        <a:xfrm>
          <a:off x="24266525" y="51085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25" name="Rectangle 53">
          <a:extLst>
            <a:ext uri="{FF2B5EF4-FFF2-40B4-BE49-F238E27FC236}">
              <a16:creationId xmlns:a16="http://schemas.microsoft.com/office/drawing/2014/main" id="{3F776A60-3E10-42AD-B9A7-E3C7179C8B78}"/>
            </a:ext>
          </a:extLst>
        </xdr:cNvPr>
        <xdr:cNvSpPr>
          <a:spLocks noChangeArrowheads="1"/>
        </xdr:cNvSpPr>
      </xdr:nvSpPr>
      <xdr:spPr bwMode="auto">
        <a:xfrm>
          <a:off x="24266525" y="609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twoCellAnchor editAs="oneCell">
    <xdr:from>
      <xdr:col>16</xdr:col>
      <xdr:colOff>25400</xdr:colOff>
      <xdr:row>14</xdr:row>
      <xdr:rowOff>0</xdr:rowOff>
    </xdr:from>
    <xdr:to>
      <xdr:col>16</xdr:col>
      <xdr:colOff>320675</xdr:colOff>
      <xdr:row>14</xdr:row>
      <xdr:rowOff>309562</xdr:rowOff>
    </xdr:to>
    <xdr:sp macro="" textlink="">
      <xdr:nvSpPr>
        <xdr:cNvPr id="26" name="AutoShape 38" descr="Resultado de imagen para boton agregar icono">
          <a:extLst>
            <a:ext uri="{FF2B5EF4-FFF2-40B4-BE49-F238E27FC236}">
              <a16:creationId xmlns:a16="http://schemas.microsoft.com/office/drawing/2014/main" id="{AB97C767-7F3C-437B-AFA9-B25F1B27B469}"/>
            </a:ext>
            <a:ext uri="{147F2762-F138-4A5C-976F-8EAC2B608ADB}">
              <a16:predDERef xmlns:a16="http://schemas.microsoft.com/office/drawing/2014/main" pred="{3F776A60-3E10-42AD-B9A7-E3C7179C8B78}"/>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27" name="AutoShape 39" descr="Resultado de imagen para boton agregar icono">
          <a:extLst>
            <a:ext uri="{FF2B5EF4-FFF2-40B4-BE49-F238E27FC236}">
              <a16:creationId xmlns:a16="http://schemas.microsoft.com/office/drawing/2014/main" id="{44A9F73A-68C7-4EB6-8D03-389FD926AD2C}"/>
            </a:ext>
            <a:ext uri="{147F2762-F138-4A5C-976F-8EAC2B608ADB}">
              <a16:predDERef xmlns:a16="http://schemas.microsoft.com/office/drawing/2014/main" pred="{AB97C767-7F3C-437B-AFA9-B25F1B27B469}"/>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28" name="AutoShape 40" descr="Resultado de imagen para boton agregar icono">
          <a:extLst>
            <a:ext uri="{FF2B5EF4-FFF2-40B4-BE49-F238E27FC236}">
              <a16:creationId xmlns:a16="http://schemas.microsoft.com/office/drawing/2014/main" id="{775F2A90-CD42-4EE5-964A-4A9DAE1BF8E3}"/>
            </a:ext>
            <a:ext uri="{147F2762-F138-4A5C-976F-8EAC2B608ADB}">
              <a16:predDERef xmlns:a16="http://schemas.microsoft.com/office/drawing/2014/main" pred="{44A9F73A-68C7-4EB6-8D03-389FD926AD2C}"/>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29" name="AutoShape 42" descr="Z">
          <a:extLst>
            <a:ext uri="{FF2B5EF4-FFF2-40B4-BE49-F238E27FC236}">
              <a16:creationId xmlns:a16="http://schemas.microsoft.com/office/drawing/2014/main" id="{265CD9CA-150D-44FD-A11F-FC631350E9AC}"/>
            </a:ext>
            <a:ext uri="{147F2762-F138-4A5C-976F-8EAC2B608ADB}">
              <a16:predDERef xmlns:a16="http://schemas.microsoft.com/office/drawing/2014/main" pred="{775F2A90-CD42-4EE5-964A-4A9DAE1BF8E3}"/>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30" name="AutoShape 38" descr="Resultado de imagen para boton agregar icono">
          <a:extLst>
            <a:ext uri="{FF2B5EF4-FFF2-40B4-BE49-F238E27FC236}">
              <a16:creationId xmlns:a16="http://schemas.microsoft.com/office/drawing/2014/main" id="{A88BEFBF-240B-47DC-9C43-29A3D12F17DE}"/>
            </a:ext>
            <a:ext uri="{147F2762-F138-4A5C-976F-8EAC2B608ADB}">
              <a16:predDERef xmlns:a16="http://schemas.microsoft.com/office/drawing/2014/main" pred="{265CD9CA-150D-44FD-A11F-FC631350E9AC}"/>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31" name="AutoShape 39" descr="Resultado de imagen para boton agregar icono">
          <a:extLst>
            <a:ext uri="{FF2B5EF4-FFF2-40B4-BE49-F238E27FC236}">
              <a16:creationId xmlns:a16="http://schemas.microsoft.com/office/drawing/2014/main" id="{C30931FE-31BE-4211-B617-CE99EA3E5746}"/>
            </a:ext>
            <a:ext uri="{147F2762-F138-4A5C-976F-8EAC2B608ADB}">
              <a16:predDERef xmlns:a16="http://schemas.microsoft.com/office/drawing/2014/main" pred="{A88BEFBF-240B-47DC-9C43-29A3D12F17DE}"/>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32" name="AutoShape 40" descr="Resultado de imagen para boton agregar icono">
          <a:extLst>
            <a:ext uri="{FF2B5EF4-FFF2-40B4-BE49-F238E27FC236}">
              <a16:creationId xmlns:a16="http://schemas.microsoft.com/office/drawing/2014/main" id="{CB497908-8712-4FBA-9EBF-CBCBE925AABE}"/>
            </a:ext>
            <a:ext uri="{147F2762-F138-4A5C-976F-8EAC2B608ADB}">
              <a16:predDERef xmlns:a16="http://schemas.microsoft.com/office/drawing/2014/main" pred="{C30931FE-31BE-4211-B617-CE99EA3E5746}"/>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14</xdr:row>
      <xdr:rowOff>0</xdr:rowOff>
    </xdr:from>
    <xdr:to>
      <xdr:col>16</xdr:col>
      <xdr:colOff>320675</xdr:colOff>
      <xdr:row>14</xdr:row>
      <xdr:rowOff>309562</xdr:rowOff>
    </xdr:to>
    <xdr:sp macro="" textlink="">
      <xdr:nvSpPr>
        <xdr:cNvPr id="33" name="AutoShape 42" descr="Z">
          <a:extLst>
            <a:ext uri="{FF2B5EF4-FFF2-40B4-BE49-F238E27FC236}">
              <a16:creationId xmlns:a16="http://schemas.microsoft.com/office/drawing/2014/main" id="{F870A374-075A-4CF7-9A26-FED5BC211E76}"/>
            </a:ext>
            <a:ext uri="{147F2762-F138-4A5C-976F-8EAC2B608ADB}">
              <a16:predDERef xmlns:a16="http://schemas.microsoft.com/office/drawing/2014/main" pred="{CB497908-8712-4FBA-9EBF-CBCBE925AABE}"/>
            </a:ext>
          </a:extLst>
        </xdr:cNvPr>
        <xdr:cNvSpPr>
          <a:spLocks noChangeAspect="1" noChangeArrowheads="1"/>
        </xdr:cNvSpPr>
      </xdr:nvSpPr>
      <xdr:spPr bwMode="auto">
        <a:xfrm>
          <a:off x="22847300" y="68389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oneCellAnchor>
    <xdr:from>
      <xdr:col>16</xdr:col>
      <xdr:colOff>25400</xdr:colOff>
      <xdr:row>14</xdr:row>
      <xdr:rowOff>127000</xdr:rowOff>
    </xdr:from>
    <xdr:ext cx="0" cy="277957"/>
    <xdr:sp macro="" textlink="">
      <xdr:nvSpPr>
        <xdr:cNvPr id="34" name="Rectangle 53">
          <a:extLst>
            <a:ext uri="{FF2B5EF4-FFF2-40B4-BE49-F238E27FC236}">
              <a16:creationId xmlns:a16="http://schemas.microsoft.com/office/drawing/2014/main" id="{B5505AAE-DE68-49CC-A9AB-B91984001302}"/>
            </a:ext>
            <a:ext uri="{147F2762-F138-4A5C-976F-8EAC2B608ADB}">
              <a16:predDERef xmlns:a16="http://schemas.microsoft.com/office/drawing/2014/main" pred="{F870A374-075A-4CF7-9A26-FED5BC211E76}"/>
            </a:ext>
          </a:extLst>
        </xdr:cNvPr>
        <xdr:cNvSpPr>
          <a:spLocks noChangeArrowheads="1"/>
        </xdr:cNvSpPr>
      </xdr:nvSpPr>
      <xdr:spPr bwMode="auto">
        <a:xfrm>
          <a:off x="22847300" y="696595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7957"/>
    <xdr:sp macro="" textlink="">
      <xdr:nvSpPr>
        <xdr:cNvPr id="35" name="Rectangle 53">
          <a:extLst>
            <a:ext uri="{FF2B5EF4-FFF2-40B4-BE49-F238E27FC236}">
              <a16:creationId xmlns:a16="http://schemas.microsoft.com/office/drawing/2014/main" id="{C88F8346-568F-44DE-B4E3-EBF8CA6F2D01}"/>
            </a:ext>
            <a:ext uri="{147F2762-F138-4A5C-976F-8EAC2B608ADB}">
              <a16:predDERef xmlns:a16="http://schemas.microsoft.com/office/drawing/2014/main" pred="{B5505AAE-DE68-49CC-A9AB-B91984001302}"/>
            </a:ext>
          </a:extLst>
        </xdr:cNvPr>
        <xdr:cNvSpPr>
          <a:spLocks noChangeArrowheads="1"/>
        </xdr:cNvSpPr>
      </xdr:nvSpPr>
      <xdr:spPr bwMode="auto">
        <a:xfrm>
          <a:off x="22847300" y="6965950"/>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56" dataDxfId="155">
  <autoFilter ref="B209:C219" xr:uid="{00000000-0009-0000-0100-000001000000}"/>
  <tableColumns count="2">
    <tableColumn id="1" xr3:uid="{00000000-0010-0000-0000-000001000000}" name="Criterios" dataDxfId="154"/>
    <tableColumn id="2" xr3:uid="{00000000-0010-0000-0000-000002000000}" name="Subcriterios" dataDxfId="15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26" zoomScale="110" zoomScaleNormal="110" workbookViewId="0">
      <selection activeCell="E30" sqref="E30:F30"/>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01" t="s">
        <v>0</v>
      </c>
      <c r="C12" s="202"/>
      <c r="D12" s="202"/>
      <c r="E12" s="202"/>
      <c r="F12" s="202"/>
      <c r="G12" s="202"/>
      <c r="H12" s="203"/>
    </row>
    <row r="13" spans="2:8" ht="11.1" customHeight="1" x14ac:dyDescent="0.25">
      <c r="B13" s="84"/>
      <c r="C13" s="85"/>
      <c r="D13" s="85"/>
      <c r="E13" s="85"/>
      <c r="F13" s="85"/>
      <c r="G13" s="85"/>
      <c r="H13" s="86"/>
    </row>
    <row r="14" spans="2:8" ht="29.1" hidden="1" customHeight="1" x14ac:dyDescent="0.25">
      <c r="B14" s="204" t="s">
        <v>1</v>
      </c>
      <c r="C14" s="205"/>
      <c r="D14" s="205"/>
      <c r="E14" s="205"/>
      <c r="F14" s="205"/>
      <c r="G14" s="205"/>
      <c r="H14" s="206"/>
    </row>
    <row r="15" spans="2:8" ht="63" hidden="1" customHeight="1" x14ac:dyDescent="0.25">
      <c r="B15" s="207"/>
      <c r="C15" s="208"/>
      <c r="D15" s="208"/>
      <c r="E15" s="208"/>
      <c r="F15" s="208"/>
      <c r="G15" s="208"/>
      <c r="H15" s="209"/>
    </row>
    <row r="16" spans="2:8" ht="16.5" x14ac:dyDescent="0.25">
      <c r="B16" s="210" t="s">
        <v>2</v>
      </c>
      <c r="C16" s="211"/>
      <c r="D16" s="211"/>
      <c r="E16" s="211"/>
      <c r="F16" s="211"/>
      <c r="G16" s="211"/>
      <c r="H16" s="212"/>
    </row>
    <row r="17" spans="2:8" ht="95.25" customHeight="1" x14ac:dyDescent="0.25">
      <c r="B17" s="220" t="s">
        <v>3</v>
      </c>
      <c r="C17" s="221"/>
      <c r="D17" s="221"/>
      <c r="E17" s="221"/>
      <c r="F17" s="221"/>
      <c r="G17" s="221"/>
      <c r="H17" s="222"/>
    </row>
    <row r="18" spans="2:8" ht="16.5" x14ac:dyDescent="0.25">
      <c r="B18" s="120"/>
      <c r="C18" s="121"/>
      <c r="D18" s="121"/>
      <c r="E18" s="121"/>
      <c r="F18" s="121"/>
      <c r="G18" s="121"/>
      <c r="H18" s="122"/>
    </row>
    <row r="19" spans="2:8" ht="16.5" customHeight="1" x14ac:dyDescent="0.25">
      <c r="B19" s="213" t="s">
        <v>4</v>
      </c>
      <c r="C19" s="214"/>
      <c r="D19" s="214"/>
      <c r="E19" s="214"/>
      <c r="F19" s="214"/>
      <c r="G19" s="214"/>
      <c r="H19" s="215"/>
    </row>
    <row r="20" spans="2:8" ht="44.25" customHeight="1" x14ac:dyDescent="0.25">
      <c r="B20" s="213"/>
      <c r="C20" s="214"/>
      <c r="D20" s="214"/>
      <c r="E20" s="214"/>
      <c r="F20" s="214"/>
      <c r="G20" s="214"/>
      <c r="H20" s="215"/>
    </row>
    <row r="21" spans="2:8" ht="15.75" thickBot="1" x14ac:dyDescent="0.3">
      <c r="B21" s="109"/>
      <c r="C21" s="112"/>
      <c r="D21" s="117"/>
      <c r="E21" s="118"/>
      <c r="F21" s="118"/>
      <c r="G21" s="119"/>
      <c r="H21" s="113"/>
    </row>
    <row r="22" spans="2:8" ht="15.75" thickTop="1" x14ac:dyDescent="0.25">
      <c r="B22" s="109"/>
      <c r="C22" s="216" t="s">
        <v>5</v>
      </c>
      <c r="D22" s="217"/>
      <c r="E22" s="218" t="s">
        <v>6</v>
      </c>
      <c r="F22" s="219"/>
      <c r="G22" s="112"/>
      <c r="H22" s="113"/>
    </row>
    <row r="23" spans="2:8" ht="35.25" customHeight="1" x14ac:dyDescent="0.25">
      <c r="B23" s="109"/>
      <c r="C23" s="223" t="s">
        <v>7</v>
      </c>
      <c r="D23" s="224"/>
      <c r="E23" s="225" t="s">
        <v>8</v>
      </c>
      <c r="F23" s="226"/>
      <c r="G23" s="112"/>
      <c r="H23" s="113"/>
    </row>
    <row r="24" spans="2:8" ht="17.25" customHeight="1" x14ac:dyDescent="0.25">
      <c r="B24" s="109"/>
      <c r="C24" s="223" t="s">
        <v>9</v>
      </c>
      <c r="D24" s="224"/>
      <c r="E24" s="225" t="s">
        <v>10</v>
      </c>
      <c r="F24" s="226"/>
      <c r="G24" s="112"/>
      <c r="H24" s="113"/>
    </row>
    <row r="25" spans="2:8" ht="19.5" customHeight="1" x14ac:dyDescent="0.25">
      <c r="B25" s="109"/>
      <c r="C25" s="223" t="s">
        <v>11</v>
      </c>
      <c r="D25" s="224"/>
      <c r="E25" s="225" t="s">
        <v>12</v>
      </c>
      <c r="F25" s="226"/>
      <c r="G25" s="112"/>
      <c r="H25" s="113"/>
    </row>
    <row r="26" spans="2:8" ht="69.75" customHeight="1" x14ac:dyDescent="0.25">
      <c r="B26" s="109"/>
      <c r="C26" s="223" t="s">
        <v>13</v>
      </c>
      <c r="D26" s="224"/>
      <c r="E26" s="225" t="s">
        <v>14</v>
      </c>
      <c r="F26" s="226"/>
      <c r="G26" s="112"/>
      <c r="H26" s="113"/>
    </row>
    <row r="27" spans="2:8" ht="34.5" customHeight="1" x14ac:dyDescent="0.25">
      <c r="B27" s="109"/>
      <c r="C27" s="227" t="s">
        <v>15</v>
      </c>
      <c r="D27" s="228"/>
      <c r="E27" s="229" t="s">
        <v>16</v>
      </c>
      <c r="F27" s="230"/>
      <c r="G27" s="112"/>
      <c r="H27" s="113"/>
    </row>
    <row r="28" spans="2:8" ht="27.75" customHeight="1" x14ac:dyDescent="0.25">
      <c r="B28" s="109"/>
      <c r="C28" s="227" t="s">
        <v>17</v>
      </c>
      <c r="D28" s="228"/>
      <c r="E28" s="229" t="s">
        <v>18</v>
      </c>
      <c r="F28" s="230"/>
      <c r="G28" s="112"/>
      <c r="H28" s="113"/>
    </row>
    <row r="29" spans="2:8" ht="28.5" customHeight="1" x14ac:dyDescent="0.25">
      <c r="B29" s="109"/>
      <c r="C29" s="227" t="s">
        <v>19</v>
      </c>
      <c r="D29" s="228"/>
      <c r="E29" s="229" t="s">
        <v>20</v>
      </c>
      <c r="F29" s="230"/>
      <c r="G29" s="112"/>
      <c r="H29" s="113"/>
    </row>
    <row r="30" spans="2:8" ht="72.75" customHeight="1" x14ac:dyDescent="0.25">
      <c r="B30" s="109"/>
      <c r="C30" s="227" t="s">
        <v>21</v>
      </c>
      <c r="D30" s="228"/>
      <c r="E30" s="229" t="s">
        <v>22</v>
      </c>
      <c r="F30" s="230"/>
      <c r="G30" s="112"/>
      <c r="H30" s="113"/>
    </row>
    <row r="31" spans="2:8" ht="64.5" customHeight="1" x14ac:dyDescent="0.25">
      <c r="B31" s="109"/>
      <c r="C31" s="227" t="s">
        <v>23</v>
      </c>
      <c r="D31" s="228"/>
      <c r="E31" s="229" t="s">
        <v>24</v>
      </c>
      <c r="F31" s="230"/>
      <c r="G31" s="112"/>
      <c r="H31" s="113"/>
    </row>
    <row r="32" spans="2:8" ht="71.25" customHeight="1" x14ac:dyDescent="0.25">
      <c r="B32" s="109"/>
      <c r="C32" s="227" t="s">
        <v>25</v>
      </c>
      <c r="D32" s="228"/>
      <c r="E32" s="229" t="s">
        <v>26</v>
      </c>
      <c r="F32" s="230"/>
      <c r="G32" s="112"/>
      <c r="H32" s="113"/>
    </row>
    <row r="33" spans="2:8" ht="55.5" customHeight="1" x14ac:dyDescent="0.25">
      <c r="B33" s="109"/>
      <c r="C33" s="234" t="s">
        <v>27</v>
      </c>
      <c r="D33" s="235"/>
      <c r="E33" s="229" t="s">
        <v>28</v>
      </c>
      <c r="F33" s="230"/>
      <c r="G33" s="112"/>
      <c r="H33" s="113"/>
    </row>
    <row r="34" spans="2:8" ht="42" customHeight="1" x14ac:dyDescent="0.25">
      <c r="B34" s="109"/>
      <c r="C34" s="234" t="s">
        <v>29</v>
      </c>
      <c r="D34" s="235"/>
      <c r="E34" s="229" t="s">
        <v>30</v>
      </c>
      <c r="F34" s="230"/>
      <c r="G34" s="112"/>
      <c r="H34" s="113"/>
    </row>
    <row r="35" spans="2:8" ht="59.25" customHeight="1" x14ac:dyDescent="0.25">
      <c r="B35" s="109"/>
      <c r="C35" s="234" t="s">
        <v>31</v>
      </c>
      <c r="D35" s="235"/>
      <c r="E35" s="229" t="s">
        <v>32</v>
      </c>
      <c r="F35" s="230"/>
      <c r="G35" s="112"/>
      <c r="H35" s="113"/>
    </row>
    <row r="36" spans="2:8" ht="23.25" customHeight="1" x14ac:dyDescent="0.25">
      <c r="B36" s="109"/>
      <c r="C36" s="234" t="s">
        <v>33</v>
      </c>
      <c r="D36" s="235"/>
      <c r="E36" s="229" t="s">
        <v>34</v>
      </c>
      <c r="F36" s="230"/>
      <c r="G36" s="112"/>
      <c r="H36" s="113"/>
    </row>
    <row r="37" spans="2:8" ht="30.75" customHeight="1" x14ac:dyDescent="0.25">
      <c r="B37" s="109"/>
      <c r="C37" s="234" t="s">
        <v>35</v>
      </c>
      <c r="D37" s="235"/>
      <c r="E37" s="229" t="s">
        <v>36</v>
      </c>
      <c r="F37" s="230"/>
      <c r="G37" s="112"/>
      <c r="H37" s="113"/>
    </row>
    <row r="38" spans="2:8" ht="35.25" customHeight="1" x14ac:dyDescent="0.25">
      <c r="B38" s="109"/>
      <c r="C38" s="234" t="s">
        <v>37</v>
      </c>
      <c r="D38" s="235"/>
      <c r="E38" s="229" t="s">
        <v>38</v>
      </c>
      <c r="F38" s="230"/>
      <c r="G38" s="112"/>
      <c r="H38" s="113"/>
    </row>
    <row r="39" spans="2:8" ht="33" customHeight="1" x14ac:dyDescent="0.25">
      <c r="B39" s="109"/>
      <c r="C39" s="234" t="s">
        <v>37</v>
      </c>
      <c r="D39" s="235"/>
      <c r="E39" s="229" t="s">
        <v>38</v>
      </c>
      <c r="F39" s="230"/>
      <c r="G39" s="112"/>
      <c r="H39" s="113"/>
    </row>
    <row r="40" spans="2:8" ht="30" customHeight="1" x14ac:dyDescent="0.25">
      <c r="B40" s="109"/>
      <c r="C40" s="234" t="s">
        <v>39</v>
      </c>
      <c r="D40" s="235"/>
      <c r="E40" s="229" t="s">
        <v>40</v>
      </c>
      <c r="F40" s="230"/>
      <c r="G40" s="112"/>
      <c r="H40" s="113"/>
    </row>
    <row r="41" spans="2:8" ht="35.25" customHeight="1" x14ac:dyDescent="0.25">
      <c r="B41" s="109"/>
      <c r="C41" s="234" t="s">
        <v>41</v>
      </c>
      <c r="D41" s="235"/>
      <c r="E41" s="229" t="s">
        <v>42</v>
      </c>
      <c r="F41" s="230"/>
      <c r="G41" s="112"/>
      <c r="H41" s="113"/>
    </row>
    <row r="42" spans="2:8" ht="31.5" customHeight="1" x14ac:dyDescent="0.25">
      <c r="B42" s="109"/>
      <c r="C42" s="234" t="s">
        <v>43</v>
      </c>
      <c r="D42" s="235"/>
      <c r="E42" s="229" t="s">
        <v>44</v>
      </c>
      <c r="F42" s="230"/>
      <c r="G42" s="112"/>
      <c r="H42" s="113"/>
    </row>
    <row r="43" spans="2:8" ht="35.25" customHeight="1" x14ac:dyDescent="0.25">
      <c r="B43" s="109"/>
      <c r="C43" s="234" t="s">
        <v>45</v>
      </c>
      <c r="D43" s="235"/>
      <c r="E43" s="229" t="s">
        <v>46</v>
      </c>
      <c r="F43" s="230"/>
      <c r="G43" s="112"/>
      <c r="H43" s="113"/>
    </row>
    <row r="44" spans="2:8" ht="59.25" customHeight="1" x14ac:dyDescent="0.25">
      <c r="B44" s="109"/>
      <c r="C44" s="234" t="s">
        <v>47</v>
      </c>
      <c r="D44" s="235"/>
      <c r="E44" s="229" t="s">
        <v>48</v>
      </c>
      <c r="F44" s="230"/>
      <c r="G44" s="112"/>
      <c r="H44" s="113"/>
    </row>
    <row r="45" spans="2:8" ht="29.25" customHeight="1" x14ac:dyDescent="0.25">
      <c r="B45" s="109"/>
      <c r="C45" s="234" t="s">
        <v>49</v>
      </c>
      <c r="D45" s="235"/>
      <c r="E45" s="229" t="s">
        <v>50</v>
      </c>
      <c r="F45" s="230"/>
      <c r="G45" s="112"/>
      <c r="H45" s="113"/>
    </row>
    <row r="46" spans="2:8" ht="82.5" customHeight="1" x14ac:dyDescent="0.25">
      <c r="B46" s="109"/>
      <c r="C46" s="234" t="s">
        <v>51</v>
      </c>
      <c r="D46" s="235"/>
      <c r="E46" s="229" t="s">
        <v>52</v>
      </c>
      <c r="F46" s="230"/>
      <c r="G46" s="112"/>
      <c r="H46" s="113"/>
    </row>
    <row r="47" spans="2:8" ht="46.5" customHeight="1" x14ac:dyDescent="0.25">
      <c r="B47" s="109"/>
      <c r="C47" s="234" t="s">
        <v>53</v>
      </c>
      <c r="D47" s="235"/>
      <c r="E47" s="229" t="s">
        <v>54</v>
      </c>
      <c r="F47" s="230"/>
      <c r="G47" s="112"/>
      <c r="H47" s="113"/>
    </row>
    <row r="48" spans="2:8" ht="6.75" customHeight="1" thickBot="1" x14ac:dyDescent="0.3">
      <c r="B48" s="109"/>
      <c r="C48" s="236"/>
      <c r="D48" s="237"/>
      <c r="E48" s="238"/>
      <c r="F48" s="239"/>
      <c r="G48" s="112"/>
      <c r="H48" s="113"/>
    </row>
    <row r="49" spans="2:8" ht="15.75" thickTop="1" x14ac:dyDescent="0.25">
      <c r="B49" s="109"/>
      <c r="C49" s="110"/>
      <c r="D49" s="110"/>
      <c r="E49" s="111"/>
      <c r="F49" s="111"/>
      <c r="G49" s="112"/>
      <c r="H49" s="113"/>
    </row>
    <row r="50" spans="2:8" ht="21" customHeight="1" x14ac:dyDescent="0.25">
      <c r="B50" s="231" t="s">
        <v>55</v>
      </c>
      <c r="C50" s="232"/>
      <c r="D50" s="232"/>
      <c r="E50" s="232"/>
      <c r="F50" s="232"/>
      <c r="G50" s="232"/>
      <c r="H50" s="233"/>
    </row>
    <row r="51" spans="2:8" ht="20.25" customHeight="1" x14ac:dyDescent="0.25">
      <c r="B51" s="231" t="s">
        <v>56</v>
      </c>
      <c r="C51" s="232"/>
      <c r="D51" s="232"/>
      <c r="E51" s="232"/>
      <c r="F51" s="232"/>
      <c r="G51" s="232"/>
      <c r="H51" s="233"/>
    </row>
    <row r="52" spans="2:8" ht="20.25" customHeight="1" x14ac:dyDescent="0.25">
      <c r="B52" s="231" t="s">
        <v>57</v>
      </c>
      <c r="C52" s="232"/>
      <c r="D52" s="232"/>
      <c r="E52" s="232"/>
      <c r="F52" s="232"/>
      <c r="G52" s="232"/>
      <c r="H52" s="233"/>
    </row>
    <row r="53" spans="2:8" ht="20.25" customHeight="1" x14ac:dyDescent="0.25">
      <c r="B53" s="231" t="s">
        <v>58</v>
      </c>
      <c r="C53" s="232"/>
      <c r="D53" s="232"/>
      <c r="E53" s="232"/>
      <c r="F53" s="232"/>
      <c r="G53" s="232"/>
      <c r="H53" s="233"/>
    </row>
    <row r="54" spans="2:8" x14ac:dyDescent="0.25">
      <c r="B54" s="231" t="s">
        <v>59</v>
      </c>
      <c r="C54" s="232"/>
      <c r="D54" s="232"/>
      <c r="E54" s="232"/>
      <c r="F54" s="232"/>
      <c r="G54" s="232"/>
      <c r="H54" s="233"/>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83" t="s">
        <v>301</v>
      </c>
      <c r="C1" s="484"/>
      <c r="D1" s="484"/>
      <c r="E1" s="484"/>
      <c r="F1" s="485"/>
    </row>
    <row r="2" spans="2:6" ht="16.5" thickBot="1" x14ac:dyDescent="0.3">
      <c r="B2" s="89"/>
      <c r="C2" s="89"/>
      <c r="D2" s="89"/>
      <c r="E2" s="89"/>
      <c r="F2" s="89"/>
    </row>
    <row r="3" spans="2:6" ht="16.5" thickBot="1" x14ac:dyDescent="0.25">
      <c r="B3" s="487" t="s">
        <v>302</v>
      </c>
      <c r="C3" s="488"/>
      <c r="D3" s="488"/>
      <c r="E3" s="101" t="s">
        <v>303</v>
      </c>
      <c r="F3" s="102" t="s">
        <v>304</v>
      </c>
    </row>
    <row r="4" spans="2:6" ht="31.5" x14ac:dyDescent="0.2">
      <c r="B4" s="489" t="s">
        <v>305</v>
      </c>
      <c r="C4" s="491" t="s">
        <v>117</v>
      </c>
      <c r="D4" s="90" t="s">
        <v>129</v>
      </c>
      <c r="E4" s="91" t="s">
        <v>306</v>
      </c>
      <c r="F4" s="92">
        <v>0.25</v>
      </c>
    </row>
    <row r="5" spans="2:6" ht="47.25" x14ac:dyDescent="0.2">
      <c r="B5" s="490"/>
      <c r="C5" s="492"/>
      <c r="D5" s="93" t="s">
        <v>166</v>
      </c>
      <c r="E5" s="94" t="s">
        <v>307</v>
      </c>
      <c r="F5" s="95">
        <v>0.15</v>
      </c>
    </row>
    <row r="6" spans="2:6" ht="47.25" x14ac:dyDescent="0.2">
      <c r="B6" s="490"/>
      <c r="C6" s="492"/>
      <c r="D6" s="93" t="s">
        <v>308</v>
      </c>
      <c r="E6" s="94" t="s">
        <v>309</v>
      </c>
      <c r="F6" s="95">
        <v>0.1</v>
      </c>
    </row>
    <row r="7" spans="2:6" ht="63" x14ac:dyDescent="0.2">
      <c r="B7" s="490"/>
      <c r="C7" s="492" t="s">
        <v>118</v>
      </c>
      <c r="D7" s="93" t="s">
        <v>138</v>
      </c>
      <c r="E7" s="94" t="s">
        <v>310</v>
      </c>
      <c r="F7" s="95">
        <v>0.25</v>
      </c>
    </row>
    <row r="8" spans="2:6" ht="31.5" x14ac:dyDescent="0.2">
      <c r="B8" s="490"/>
      <c r="C8" s="492"/>
      <c r="D8" s="93" t="s">
        <v>130</v>
      </c>
      <c r="E8" s="94" t="s">
        <v>311</v>
      </c>
      <c r="F8" s="95">
        <v>0.15</v>
      </c>
    </row>
    <row r="9" spans="2:6" ht="47.25" x14ac:dyDescent="0.2">
      <c r="B9" s="490" t="s">
        <v>312</v>
      </c>
      <c r="C9" s="492" t="s">
        <v>120</v>
      </c>
      <c r="D9" s="93" t="s">
        <v>131</v>
      </c>
      <c r="E9" s="94" t="s">
        <v>313</v>
      </c>
      <c r="F9" s="96" t="s">
        <v>314</v>
      </c>
    </row>
    <row r="10" spans="2:6" ht="63" x14ac:dyDescent="0.2">
      <c r="B10" s="490"/>
      <c r="C10" s="492"/>
      <c r="D10" s="93" t="s">
        <v>315</v>
      </c>
      <c r="E10" s="94" t="s">
        <v>316</v>
      </c>
      <c r="F10" s="96" t="s">
        <v>314</v>
      </c>
    </row>
    <row r="11" spans="2:6" ht="47.25" x14ac:dyDescent="0.2">
      <c r="B11" s="490"/>
      <c r="C11" s="492" t="s">
        <v>121</v>
      </c>
      <c r="D11" s="93" t="s">
        <v>132</v>
      </c>
      <c r="E11" s="94" t="s">
        <v>317</v>
      </c>
      <c r="F11" s="96" t="s">
        <v>314</v>
      </c>
    </row>
    <row r="12" spans="2:6" ht="47.25" x14ac:dyDescent="0.2">
      <c r="B12" s="490"/>
      <c r="C12" s="492"/>
      <c r="D12" s="93" t="s">
        <v>318</v>
      </c>
      <c r="E12" s="94" t="s">
        <v>319</v>
      </c>
      <c r="F12" s="96" t="s">
        <v>314</v>
      </c>
    </row>
    <row r="13" spans="2:6" ht="31.5" x14ac:dyDescent="0.2">
      <c r="B13" s="490"/>
      <c r="C13" s="492" t="s">
        <v>122</v>
      </c>
      <c r="D13" s="93" t="s">
        <v>133</v>
      </c>
      <c r="E13" s="94" t="s">
        <v>320</v>
      </c>
      <c r="F13" s="96" t="s">
        <v>314</v>
      </c>
    </row>
    <row r="14" spans="2:6" ht="32.25" thickBot="1" x14ac:dyDescent="0.25">
      <c r="B14" s="493"/>
      <c r="C14" s="494"/>
      <c r="D14" s="97" t="s">
        <v>321</v>
      </c>
      <c r="E14" s="98" t="s">
        <v>322</v>
      </c>
      <c r="F14" s="99" t="s">
        <v>314</v>
      </c>
    </row>
    <row r="15" spans="2:6" ht="49.5" customHeight="1" x14ac:dyDescent="0.2">
      <c r="B15" s="486" t="s">
        <v>323</v>
      </c>
      <c r="C15" s="486"/>
      <c r="D15" s="486"/>
      <c r="E15" s="486"/>
      <c r="F15" s="48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139</v>
      </c>
      <c r="E2" t="s">
        <v>177</v>
      </c>
    </row>
    <row r="3" spans="2:5" x14ac:dyDescent="0.25">
      <c r="B3" t="s">
        <v>324</v>
      </c>
      <c r="E3" t="s">
        <v>123</v>
      </c>
    </row>
    <row r="4" spans="2:5" x14ac:dyDescent="0.25">
      <c r="B4" t="s">
        <v>325</v>
      </c>
      <c r="E4" t="s">
        <v>179</v>
      </c>
    </row>
    <row r="5" spans="2:5" x14ac:dyDescent="0.25">
      <c r="B5" t="s">
        <v>134</v>
      </c>
    </row>
    <row r="8" spans="2:5" x14ac:dyDescent="0.25">
      <c r="B8" t="s">
        <v>326</v>
      </c>
    </row>
    <row r="9" spans="2:5" x14ac:dyDescent="0.25">
      <c r="B9" t="s">
        <v>327</v>
      </c>
    </row>
    <row r="10" spans="2:5" x14ac:dyDescent="0.25">
      <c r="B10" t="s">
        <v>328</v>
      </c>
    </row>
    <row r="13" spans="2:5" x14ac:dyDescent="0.25">
      <c r="B13" t="s">
        <v>329</v>
      </c>
    </row>
    <row r="14" spans="2:5" x14ac:dyDescent="0.25">
      <c r="B14" t="s">
        <v>330</v>
      </c>
    </row>
    <row r="15" spans="2:5" x14ac:dyDescent="0.25">
      <c r="B15" t="s">
        <v>331</v>
      </c>
    </row>
    <row r="16" spans="2:5" x14ac:dyDescent="0.25">
      <c r="B16" t="s">
        <v>181</v>
      </c>
    </row>
    <row r="17" spans="2:2" x14ac:dyDescent="0.25">
      <c r="B17" t="s">
        <v>182</v>
      </c>
    </row>
    <row r="18" spans="2:2" x14ac:dyDescent="0.25">
      <c r="B18" t="s">
        <v>183</v>
      </c>
    </row>
    <row r="19" spans="2:2" x14ac:dyDescent="0.25">
      <c r="B19" t="s">
        <v>332</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129</v>
      </c>
    </row>
    <row r="4" spans="1:1" x14ac:dyDescent="0.2">
      <c r="A4" s="10" t="s">
        <v>166</v>
      </c>
    </row>
    <row r="5" spans="1:1" x14ac:dyDescent="0.2">
      <c r="A5" s="10" t="s">
        <v>308</v>
      </c>
    </row>
    <row r="6" spans="1:1" x14ac:dyDescent="0.2">
      <c r="A6" s="10" t="s">
        <v>138</v>
      </c>
    </row>
    <row r="7" spans="1:1" x14ac:dyDescent="0.2">
      <c r="A7" s="10" t="s">
        <v>130</v>
      </c>
    </row>
    <row r="8" spans="1:1" x14ac:dyDescent="0.2">
      <c r="A8" s="10" t="s">
        <v>131</v>
      </c>
    </row>
    <row r="9" spans="1:1" x14ac:dyDescent="0.2">
      <c r="A9" s="10" t="s">
        <v>315</v>
      </c>
    </row>
    <row r="10" spans="1:1" x14ac:dyDescent="0.2">
      <c r="A10" s="10" t="s">
        <v>132</v>
      </c>
    </row>
    <row r="11" spans="1:1" x14ac:dyDescent="0.2">
      <c r="A11" s="10" t="s">
        <v>318</v>
      </c>
    </row>
    <row r="12" spans="1:1" x14ac:dyDescent="0.2">
      <c r="A12" s="10" t="s">
        <v>333</v>
      </c>
    </row>
    <row r="13" spans="1:1" x14ac:dyDescent="0.2">
      <c r="A13" s="10" t="s">
        <v>334</v>
      </c>
    </row>
    <row r="14" spans="1:1" x14ac:dyDescent="0.2">
      <c r="A14" s="10" t="s">
        <v>335</v>
      </c>
    </row>
    <row r="16" spans="1:1" x14ac:dyDescent="0.2">
      <c r="A16" s="10" t="s">
        <v>336</v>
      </c>
    </row>
    <row r="17" spans="1:1" x14ac:dyDescent="0.2">
      <c r="A17" s="10" t="s">
        <v>139</v>
      </c>
    </row>
    <row r="18" spans="1:1" x14ac:dyDescent="0.2">
      <c r="A18" s="10" t="s">
        <v>324</v>
      </c>
    </row>
    <row r="20" spans="1:1" x14ac:dyDescent="0.2">
      <c r="A20" s="10" t="s">
        <v>327</v>
      </c>
    </row>
    <row r="21" spans="1:1" x14ac:dyDescent="0.2">
      <c r="A21" s="10" t="s">
        <v>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J18"/>
  <sheetViews>
    <sheetView showGridLines="0" topLeftCell="A18" zoomScaleNormal="100" workbookViewId="0">
      <selection activeCell="D7" sqref="D7"/>
    </sheetView>
  </sheetViews>
  <sheetFormatPr baseColWidth="10" defaultColWidth="11.42578125" defaultRowHeight="15" x14ac:dyDescent="0.25"/>
  <cols>
    <col min="1" max="1" width="4" customWidth="1"/>
    <col min="3" max="4" width="55.7109375" customWidth="1"/>
    <col min="6" max="6" width="66.140625" customWidth="1"/>
  </cols>
  <sheetData>
    <row r="4" spans="2:10" ht="52.5" customHeight="1" x14ac:dyDescent="0.25">
      <c r="B4" s="241" t="s">
        <v>60</v>
      </c>
      <c r="C4" s="241"/>
      <c r="D4" s="241"/>
    </row>
    <row r="5" spans="2:10" ht="6.75" customHeight="1" thickBot="1" x14ac:dyDescent="0.3">
      <c r="D5" s="123"/>
    </row>
    <row r="6" spans="2:10" ht="15" customHeight="1" x14ac:dyDescent="0.25">
      <c r="B6" s="244" t="s">
        <v>61</v>
      </c>
      <c r="C6" s="192" t="s">
        <v>62</v>
      </c>
      <c r="D6" s="193" t="s">
        <v>63</v>
      </c>
    </row>
    <row r="7" spans="2:10" ht="60" customHeight="1" x14ac:dyDescent="0.25">
      <c r="B7" s="243"/>
      <c r="C7" s="190" t="s">
        <v>339</v>
      </c>
      <c r="D7" s="191" t="s">
        <v>340</v>
      </c>
      <c r="F7" s="495"/>
    </row>
    <row r="8" spans="2:10" ht="60" customHeight="1" x14ac:dyDescent="0.25">
      <c r="B8" s="243"/>
      <c r="C8" s="190" t="s">
        <v>351</v>
      </c>
      <c r="D8" s="191" t="s">
        <v>352</v>
      </c>
      <c r="F8" s="496"/>
      <c r="G8" s="240"/>
      <c r="H8" s="240"/>
      <c r="I8" s="240"/>
      <c r="J8" s="240"/>
    </row>
    <row r="9" spans="2:10" ht="60" customHeight="1" x14ac:dyDescent="0.25">
      <c r="B9" s="243"/>
      <c r="C9" s="190" t="s">
        <v>345</v>
      </c>
      <c r="D9" s="191" t="s">
        <v>353</v>
      </c>
      <c r="F9" s="496"/>
      <c r="G9" s="240"/>
      <c r="H9" s="240"/>
      <c r="I9" s="240"/>
      <c r="J9" s="240"/>
    </row>
    <row r="10" spans="2:10" ht="60" customHeight="1" x14ac:dyDescent="0.25">
      <c r="B10" s="243"/>
      <c r="C10" s="190"/>
      <c r="D10" s="191" t="s">
        <v>354</v>
      </c>
      <c r="F10" s="495"/>
    </row>
    <row r="11" spans="2:10" ht="60" customHeight="1" x14ac:dyDescent="0.25">
      <c r="B11" s="243"/>
      <c r="C11" s="190"/>
      <c r="D11" s="191" t="s">
        <v>355</v>
      </c>
    </row>
    <row r="12" spans="2:10" ht="60" customHeight="1" thickBot="1" x14ac:dyDescent="0.3">
      <c r="B12" s="197"/>
      <c r="C12" s="199"/>
      <c r="D12" s="194" t="s">
        <v>356</v>
      </c>
    </row>
    <row r="13" spans="2:10" ht="15" customHeight="1" x14ac:dyDescent="0.25">
      <c r="B13" s="242" t="s">
        <v>64</v>
      </c>
      <c r="C13" s="195" t="s">
        <v>65</v>
      </c>
      <c r="D13" s="196" t="s">
        <v>66</v>
      </c>
      <c r="F13" s="189"/>
    </row>
    <row r="14" spans="2:10" ht="60" customHeight="1" x14ac:dyDescent="0.25">
      <c r="B14" s="243"/>
      <c r="C14" s="190" t="s">
        <v>347</v>
      </c>
      <c r="D14" s="191" t="s">
        <v>341</v>
      </c>
      <c r="F14" s="189"/>
    </row>
    <row r="15" spans="2:10" ht="60" customHeight="1" x14ac:dyDescent="0.25">
      <c r="B15" s="243"/>
      <c r="C15" s="190" t="s">
        <v>67</v>
      </c>
      <c r="D15" s="191" t="s">
        <v>338</v>
      </c>
    </row>
    <row r="16" spans="2:10" ht="60" customHeight="1" x14ac:dyDescent="0.25">
      <c r="B16" s="243"/>
      <c r="C16" s="190" t="s">
        <v>68</v>
      </c>
      <c r="D16" s="191" t="s">
        <v>346</v>
      </c>
    </row>
    <row r="17" spans="2:4" ht="60" customHeight="1" x14ac:dyDescent="0.25">
      <c r="B17" s="243"/>
      <c r="C17" s="190" t="s">
        <v>69</v>
      </c>
      <c r="D17" s="191"/>
    </row>
    <row r="18" spans="2:4" ht="168" customHeight="1" thickBot="1" x14ac:dyDescent="0.3">
      <c r="B18" s="243"/>
      <c r="C18" s="200" t="s">
        <v>348</v>
      </c>
      <c r="D18" s="194"/>
    </row>
  </sheetData>
  <mergeCells count="5">
    <mergeCell ref="G8:J9"/>
    <mergeCell ref="B4:D4"/>
    <mergeCell ref="F8:F9"/>
    <mergeCell ref="B13:B18"/>
    <mergeCell ref="B6: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50"/>
  <sheetViews>
    <sheetView showGridLines="0" tabSelected="1" topLeftCell="A18" zoomScale="80" zoomScaleNormal="80" workbookViewId="0">
      <selection activeCell="P15" sqref="P15:S15"/>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33.42578125" style="2" customWidth="1"/>
    <col min="5" max="5" width="45.1406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75.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251" t="s">
        <v>70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126" t="s">
        <v>71</v>
      </c>
      <c r="AG1" s="131" t="s">
        <v>72</v>
      </c>
      <c r="AH1" s="153"/>
      <c r="AI1" s="153"/>
      <c r="AJ1" s="153"/>
      <c r="AK1" s="153"/>
      <c r="AL1" s="124"/>
      <c r="AM1" s="124"/>
      <c r="AN1" s="124"/>
      <c r="AO1" s="124"/>
      <c r="AP1" s="125"/>
      <c r="AQ1" s="125"/>
      <c r="AR1" s="125"/>
      <c r="AS1" s="125"/>
      <c r="AT1" s="125"/>
      <c r="AU1" s="125"/>
      <c r="AV1" s="125"/>
      <c r="AW1" s="125"/>
      <c r="AX1" s="125"/>
      <c r="AY1" s="125"/>
      <c r="AZ1" s="125"/>
    </row>
    <row r="2" spans="1:52" x14ac:dyDescent="0.3">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126" t="s">
        <v>73</v>
      </c>
      <c r="AG2" s="182">
        <v>7</v>
      </c>
      <c r="AH2" s="127"/>
      <c r="AI2" s="128"/>
      <c r="AJ2" s="128"/>
      <c r="AK2" s="129"/>
      <c r="AL2" s="128"/>
      <c r="AM2" s="128"/>
      <c r="AN2" s="125"/>
      <c r="AO2" s="130"/>
      <c r="AP2" s="125"/>
      <c r="AQ2" s="125"/>
      <c r="AR2" s="125"/>
      <c r="AS2" s="125"/>
      <c r="AT2" s="125"/>
      <c r="AU2" s="125"/>
      <c r="AV2" s="125"/>
      <c r="AW2" s="125"/>
      <c r="AX2" s="125"/>
      <c r="AY2" s="125"/>
      <c r="AZ2" s="125"/>
    </row>
    <row r="3" spans="1:52" x14ac:dyDescent="0.3">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126" t="s">
        <v>74</v>
      </c>
      <c r="AG3" s="183" t="s">
        <v>75</v>
      </c>
      <c r="AH3" s="127"/>
      <c r="AI3" s="128"/>
      <c r="AJ3" s="128"/>
      <c r="AK3" s="129"/>
      <c r="AL3" s="128"/>
      <c r="AM3" s="128"/>
      <c r="AN3" s="125"/>
      <c r="AO3" s="130"/>
      <c r="AP3" s="125"/>
      <c r="AQ3" s="125"/>
      <c r="AR3" s="125"/>
      <c r="AS3" s="125"/>
      <c r="AT3" s="125"/>
      <c r="AU3" s="125"/>
      <c r="AV3" s="125"/>
      <c r="AW3" s="125"/>
      <c r="AX3" s="125"/>
      <c r="AY3" s="125"/>
      <c r="AZ3" s="125"/>
    </row>
    <row r="4" spans="1:52" ht="15.95" customHeight="1" x14ac:dyDescent="0.3">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134" t="s">
        <v>76</v>
      </c>
      <c r="AG4" s="184" t="s">
        <v>77</v>
      </c>
      <c r="AH4" s="127"/>
      <c r="AI4" s="128"/>
      <c r="AJ4" s="128"/>
      <c r="AK4" s="129"/>
      <c r="AL4" s="128"/>
      <c r="AM4" s="128"/>
      <c r="AN4" s="125"/>
      <c r="AO4" s="130"/>
      <c r="AP4" s="125"/>
      <c r="AQ4" s="125"/>
      <c r="AR4" s="125"/>
      <c r="AS4" s="125"/>
      <c r="AT4" s="125"/>
      <c r="AU4" s="125"/>
      <c r="AV4" s="125"/>
      <c r="AW4" s="125"/>
      <c r="AX4" s="125"/>
      <c r="AY4" s="125"/>
      <c r="AZ4" s="125"/>
    </row>
    <row r="5" spans="1:52" ht="24" customHeight="1" x14ac:dyDescent="0.3">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H5" s="127"/>
      <c r="AI5" s="128"/>
      <c r="AJ5" s="128"/>
      <c r="AK5" s="129"/>
      <c r="AL5" s="128"/>
      <c r="AM5" s="128"/>
      <c r="AN5" s="125"/>
      <c r="AO5" s="130"/>
      <c r="AP5" s="125"/>
      <c r="AQ5" s="125"/>
      <c r="AR5" s="125"/>
      <c r="AS5" s="125"/>
      <c r="AT5" s="125"/>
      <c r="AU5" s="125"/>
      <c r="AV5" s="125"/>
      <c r="AW5" s="125"/>
      <c r="AX5" s="125"/>
      <c r="AY5" s="125"/>
      <c r="AZ5" s="125"/>
    </row>
    <row r="6" spans="1:52" x14ac:dyDescent="0.3">
      <c r="A6" s="132"/>
      <c r="B6" s="132"/>
      <c r="C6" s="152"/>
      <c r="D6" s="133"/>
      <c r="E6" s="133"/>
      <c r="F6" s="133"/>
      <c r="G6" s="133"/>
      <c r="H6" s="133"/>
      <c r="I6" s="133"/>
      <c r="J6" s="133"/>
      <c r="K6" s="150"/>
      <c r="L6" s="133"/>
      <c r="M6" s="125"/>
      <c r="N6" s="125"/>
      <c r="O6" s="125"/>
      <c r="P6" s="133"/>
      <c r="Q6" s="132"/>
      <c r="R6" s="132"/>
      <c r="S6" s="132"/>
      <c r="T6" s="135"/>
      <c r="U6" s="135"/>
      <c r="V6" s="135"/>
      <c r="W6" s="135"/>
      <c r="X6" s="135"/>
      <c r="Y6" s="135"/>
      <c r="Z6" s="135"/>
      <c r="AA6" s="136"/>
      <c r="AB6" s="136"/>
      <c r="AC6" s="136"/>
      <c r="AD6" s="136"/>
      <c r="AE6" s="136"/>
      <c r="AH6" s="137"/>
      <c r="AI6" s="138"/>
      <c r="AJ6" s="138"/>
      <c r="AK6" s="138"/>
      <c r="AL6" s="138"/>
      <c r="AM6" s="138"/>
      <c r="AN6" s="139"/>
      <c r="AO6" s="139"/>
      <c r="AP6" s="139"/>
      <c r="AQ6" s="139"/>
      <c r="AR6" s="136"/>
      <c r="AS6" s="136"/>
      <c r="AT6" s="136"/>
      <c r="AU6" s="136"/>
      <c r="AV6" s="136"/>
      <c r="AW6" s="136"/>
      <c r="AX6" s="136"/>
      <c r="AY6" s="136"/>
      <c r="AZ6" s="136"/>
    </row>
    <row r="7" spans="1:52" ht="27.95" customHeight="1" x14ac:dyDescent="0.3">
      <c r="A7" s="143"/>
      <c r="B7" s="143"/>
      <c r="C7" s="125"/>
      <c r="D7" s="125"/>
      <c r="E7" s="125"/>
      <c r="F7" s="125"/>
      <c r="G7" s="125"/>
      <c r="H7" s="125"/>
      <c r="I7" s="125"/>
      <c r="J7" s="125"/>
      <c r="L7" s="125"/>
      <c r="M7" s="125"/>
      <c r="N7" s="254" t="s">
        <v>78</v>
      </c>
      <c r="O7" s="254"/>
      <c r="P7" s="254"/>
      <c r="Q7" s="254"/>
      <c r="R7" s="254"/>
      <c r="S7" s="254"/>
      <c r="T7" s="126"/>
      <c r="U7" s="126"/>
      <c r="V7" s="126"/>
      <c r="W7" s="126"/>
      <c r="X7" s="126"/>
      <c r="Y7" s="126"/>
      <c r="Z7" s="126"/>
      <c r="AA7" s="140"/>
      <c r="AB7" s="140"/>
      <c r="AC7" s="140"/>
      <c r="AD7" s="140"/>
      <c r="AE7" s="140"/>
      <c r="AF7" s="140"/>
      <c r="AG7" s="140"/>
      <c r="AH7" s="127"/>
      <c r="AI7" s="128"/>
      <c r="AJ7" s="128"/>
      <c r="AK7" s="128"/>
      <c r="AL7" s="128"/>
      <c r="AM7" s="128"/>
      <c r="AN7" s="141">
        <v>0</v>
      </c>
      <c r="AO7" s="142"/>
      <c r="AP7" s="141"/>
      <c r="AQ7" s="141"/>
      <c r="AR7" s="125"/>
      <c r="AS7" s="125"/>
      <c r="AT7" s="125"/>
      <c r="AU7" s="125"/>
      <c r="AV7" s="125"/>
      <c r="AW7" s="125"/>
      <c r="AX7" s="125"/>
      <c r="AY7" s="125"/>
      <c r="AZ7" s="125"/>
    </row>
    <row r="8" spans="1:52" ht="16.5" customHeight="1" x14ac:dyDescent="0.3">
      <c r="A8" s="143"/>
      <c r="B8" s="143"/>
      <c r="C8" s="125"/>
      <c r="D8" s="125"/>
      <c r="E8" s="125"/>
      <c r="F8" s="125"/>
      <c r="G8" s="125"/>
      <c r="H8" s="125"/>
      <c r="I8" s="125"/>
      <c r="J8" s="125"/>
      <c r="L8" s="125"/>
      <c r="M8" s="125"/>
      <c r="N8" s="151" t="s">
        <v>79</v>
      </c>
      <c r="O8" s="151" t="s">
        <v>80</v>
      </c>
      <c r="P8" s="256" t="s">
        <v>81</v>
      </c>
      <c r="Q8" s="257"/>
      <c r="R8" s="257"/>
      <c r="S8" s="258"/>
      <c r="T8" s="126"/>
      <c r="U8" s="126"/>
      <c r="V8" s="126"/>
      <c r="W8" s="126"/>
      <c r="X8" s="126"/>
      <c r="Y8" s="126"/>
      <c r="Z8" s="126"/>
      <c r="AA8" s="140"/>
      <c r="AB8" s="140"/>
      <c r="AC8" s="140"/>
      <c r="AD8" s="140"/>
      <c r="AE8" s="140"/>
      <c r="AF8" s="140"/>
      <c r="AG8" s="140"/>
      <c r="AH8" s="127"/>
      <c r="AI8" s="128"/>
      <c r="AJ8" s="128"/>
      <c r="AK8" s="128"/>
      <c r="AL8" s="128"/>
      <c r="AM8" s="128"/>
      <c r="AN8" s="141">
        <v>0</v>
      </c>
      <c r="AO8" s="142"/>
      <c r="AP8" s="141"/>
      <c r="AQ8" s="141"/>
      <c r="AR8" s="125"/>
      <c r="AS8" s="125"/>
      <c r="AT8" s="125"/>
      <c r="AU8" s="125"/>
      <c r="AV8" s="125"/>
      <c r="AW8" s="125"/>
      <c r="AX8" s="125"/>
      <c r="AY8" s="125"/>
      <c r="AZ8" s="125"/>
    </row>
    <row r="9" spans="1:52" ht="28.5" customHeight="1" x14ac:dyDescent="0.3">
      <c r="A9" s="143"/>
      <c r="B9" s="143"/>
      <c r="C9" s="125"/>
      <c r="D9" s="125"/>
      <c r="E9" s="125"/>
      <c r="F9" s="125"/>
      <c r="G9" s="125"/>
      <c r="H9" s="125"/>
      <c r="I9" s="125"/>
      <c r="J9" s="125"/>
      <c r="L9" s="125"/>
      <c r="M9" s="125"/>
      <c r="N9" s="172">
        <v>4</v>
      </c>
      <c r="O9" s="173">
        <v>41570</v>
      </c>
      <c r="P9" s="259" t="s">
        <v>82</v>
      </c>
      <c r="Q9" s="260"/>
      <c r="R9" s="260"/>
      <c r="S9" s="261"/>
      <c r="T9" s="126"/>
      <c r="U9" s="126"/>
      <c r="V9" s="126"/>
      <c r="W9" s="255"/>
      <c r="X9" s="255"/>
      <c r="Y9" s="255"/>
      <c r="Z9" s="255"/>
      <c r="AA9" s="255"/>
      <c r="AB9" s="255"/>
      <c r="AC9" s="147"/>
      <c r="AD9" s="147"/>
      <c r="AE9" s="147"/>
      <c r="AF9" s="125"/>
      <c r="AG9" s="125"/>
      <c r="AH9" s="127"/>
      <c r="AI9" s="128"/>
      <c r="AJ9" s="128"/>
      <c r="AK9" s="128"/>
      <c r="AL9" s="128"/>
      <c r="AM9" s="128"/>
      <c r="AN9" s="141">
        <v>0</v>
      </c>
      <c r="AO9" s="142"/>
      <c r="AP9" s="141"/>
      <c r="AQ9" s="141"/>
      <c r="AR9" s="125"/>
      <c r="AS9" s="125"/>
      <c r="AT9" s="125"/>
      <c r="AU9" s="125"/>
      <c r="AV9" s="125"/>
      <c r="AW9" s="125"/>
      <c r="AX9" s="125"/>
      <c r="AY9" s="125"/>
      <c r="AZ9" s="125"/>
    </row>
    <row r="10" spans="1:52" ht="62.25" customHeight="1" x14ac:dyDescent="0.3">
      <c r="A10" s="143"/>
      <c r="B10" s="143"/>
      <c r="C10" s="125"/>
      <c r="D10" s="125"/>
      <c r="E10" s="125"/>
      <c r="F10" s="125"/>
      <c r="G10" s="125"/>
      <c r="H10" s="125"/>
      <c r="I10" s="125"/>
      <c r="J10" s="125"/>
      <c r="L10" s="125"/>
      <c r="M10" s="125"/>
      <c r="N10" s="172">
        <v>1</v>
      </c>
      <c r="O10" s="173">
        <v>43034</v>
      </c>
      <c r="P10" s="259" t="s">
        <v>83</v>
      </c>
      <c r="Q10" s="260"/>
      <c r="R10" s="260"/>
      <c r="S10" s="261"/>
      <c r="T10" s="126"/>
      <c r="U10" s="126"/>
      <c r="V10" s="126"/>
      <c r="W10" s="147"/>
      <c r="X10" s="147"/>
      <c r="Y10" s="147"/>
      <c r="Z10" s="147"/>
      <c r="AA10" s="147"/>
      <c r="AB10" s="147"/>
      <c r="AC10" s="147"/>
      <c r="AD10" s="147"/>
      <c r="AE10" s="147"/>
      <c r="AF10" s="125"/>
      <c r="AG10" s="125"/>
      <c r="AH10" s="127"/>
      <c r="AI10" s="128"/>
      <c r="AJ10" s="128"/>
      <c r="AK10" s="128"/>
      <c r="AL10" s="128"/>
      <c r="AM10" s="128"/>
      <c r="AN10" s="141"/>
      <c r="AO10" s="142"/>
      <c r="AP10" s="141"/>
      <c r="AQ10" s="141"/>
      <c r="AR10" s="125"/>
      <c r="AS10" s="125"/>
      <c r="AT10" s="125"/>
      <c r="AU10" s="125"/>
      <c r="AV10" s="125"/>
      <c r="AW10" s="125"/>
      <c r="AX10" s="125"/>
      <c r="AY10" s="125"/>
      <c r="AZ10" s="125"/>
    </row>
    <row r="11" spans="1:52" ht="87" customHeight="1" x14ac:dyDescent="0.3">
      <c r="A11" s="143"/>
      <c r="B11" s="143"/>
      <c r="C11" s="125"/>
      <c r="D11" s="125"/>
      <c r="E11" s="125"/>
      <c r="F11" s="125"/>
      <c r="G11" s="125"/>
      <c r="H11" s="125"/>
      <c r="I11" s="125"/>
      <c r="J11" s="125"/>
      <c r="L11" s="125"/>
      <c r="M11" s="125"/>
      <c r="N11" s="172">
        <v>2</v>
      </c>
      <c r="O11" s="173">
        <v>43761</v>
      </c>
      <c r="P11" s="259" t="s">
        <v>84</v>
      </c>
      <c r="Q11" s="260"/>
      <c r="R11" s="260"/>
      <c r="S11" s="261"/>
      <c r="T11" s="126"/>
      <c r="U11" s="126"/>
      <c r="V11" s="126"/>
      <c r="W11" s="147"/>
      <c r="X11" s="147"/>
      <c r="Y11" s="147"/>
      <c r="Z11" s="147"/>
      <c r="AA11" s="147"/>
      <c r="AB11" s="147"/>
      <c r="AC11" s="147"/>
      <c r="AD11" s="147"/>
      <c r="AE11" s="147"/>
      <c r="AF11" s="125"/>
      <c r="AG11" s="125"/>
      <c r="AH11" s="127"/>
      <c r="AI11" s="128"/>
      <c r="AJ11" s="128"/>
      <c r="AK11" s="128"/>
      <c r="AL11" s="128"/>
      <c r="AM11" s="128"/>
      <c r="AN11" s="141"/>
      <c r="AO11" s="142"/>
      <c r="AP11" s="141"/>
      <c r="AQ11" s="141"/>
      <c r="AR11" s="125"/>
      <c r="AS11" s="125"/>
      <c r="AT11" s="125"/>
      <c r="AU11" s="125"/>
      <c r="AV11" s="125"/>
      <c r="AW11" s="125"/>
      <c r="AX11" s="125"/>
      <c r="AY11" s="125"/>
      <c r="AZ11" s="125"/>
    </row>
    <row r="12" spans="1:52" ht="93.75" customHeight="1" x14ac:dyDescent="0.3">
      <c r="A12" s="143"/>
      <c r="B12" s="143"/>
      <c r="C12" s="125"/>
      <c r="D12" s="125"/>
      <c r="E12" s="125"/>
      <c r="F12" s="125"/>
      <c r="G12" s="125"/>
      <c r="H12" s="125"/>
      <c r="I12" s="125"/>
      <c r="J12" s="125"/>
      <c r="L12" s="125"/>
      <c r="M12" s="125"/>
      <c r="N12" s="172">
        <v>3</v>
      </c>
      <c r="O12" s="173">
        <v>43980</v>
      </c>
      <c r="P12" s="259" t="s">
        <v>85</v>
      </c>
      <c r="Q12" s="260"/>
      <c r="R12" s="260"/>
      <c r="S12" s="261"/>
      <c r="T12" s="126"/>
      <c r="U12" s="126"/>
      <c r="V12" s="126"/>
      <c r="W12" s="147"/>
      <c r="X12" s="147"/>
      <c r="Y12" s="147"/>
      <c r="Z12" s="147"/>
      <c r="AA12" s="147"/>
      <c r="AB12" s="147"/>
      <c r="AC12" s="147"/>
      <c r="AD12" s="147"/>
      <c r="AE12" s="147"/>
      <c r="AF12" s="125"/>
      <c r="AG12" s="125"/>
      <c r="AH12" s="127"/>
      <c r="AI12" s="128"/>
      <c r="AJ12" s="128"/>
      <c r="AK12" s="128"/>
      <c r="AL12" s="128"/>
      <c r="AM12" s="128"/>
      <c r="AN12" s="141"/>
      <c r="AO12" s="142"/>
      <c r="AP12" s="141"/>
      <c r="AQ12" s="141"/>
      <c r="AR12" s="125"/>
      <c r="AS12" s="125"/>
      <c r="AT12" s="125"/>
      <c r="AU12" s="125"/>
      <c r="AV12" s="125"/>
      <c r="AW12" s="125"/>
      <c r="AX12" s="125"/>
      <c r="AY12" s="125"/>
      <c r="AZ12" s="125"/>
    </row>
    <row r="13" spans="1:52" ht="96.75" customHeight="1" x14ac:dyDescent="0.3">
      <c r="A13" s="143"/>
      <c r="B13" s="143"/>
      <c r="C13" s="125"/>
      <c r="D13" s="125"/>
      <c r="E13" s="125"/>
      <c r="F13" s="125"/>
      <c r="G13" s="125"/>
      <c r="H13" s="125"/>
      <c r="I13" s="125"/>
      <c r="J13" s="125"/>
      <c r="L13" s="125"/>
      <c r="M13" s="125"/>
      <c r="N13" s="172">
        <v>4</v>
      </c>
      <c r="O13" s="173">
        <v>44165</v>
      </c>
      <c r="P13" s="259" t="s">
        <v>86</v>
      </c>
      <c r="Q13" s="260"/>
      <c r="R13" s="260"/>
      <c r="S13" s="261"/>
      <c r="T13" s="126"/>
      <c r="U13" s="126"/>
      <c r="V13" s="126"/>
      <c r="W13" s="147"/>
      <c r="X13" s="147"/>
      <c r="Y13" s="147"/>
      <c r="Z13" s="147"/>
      <c r="AA13" s="147"/>
      <c r="AB13" s="147"/>
      <c r="AC13" s="147"/>
      <c r="AD13" s="147"/>
      <c r="AE13" s="147"/>
      <c r="AF13" s="125"/>
      <c r="AG13" s="125"/>
      <c r="AH13" s="127"/>
      <c r="AI13" s="128"/>
      <c r="AJ13" s="128"/>
      <c r="AK13" s="128"/>
      <c r="AL13" s="128"/>
      <c r="AM13" s="128"/>
      <c r="AN13" s="141"/>
      <c r="AO13" s="142"/>
      <c r="AP13" s="141"/>
      <c r="AQ13" s="141"/>
      <c r="AR13" s="125"/>
      <c r="AS13" s="125"/>
      <c r="AT13" s="125"/>
      <c r="AU13" s="125"/>
      <c r="AV13" s="125"/>
      <c r="AW13" s="125"/>
      <c r="AX13" s="125"/>
      <c r="AY13" s="125"/>
      <c r="AZ13" s="125"/>
    </row>
    <row r="14" spans="1:52" ht="75" customHeight="1" x14ac:dyDescent="0.3">
      <c r="A14" s="143"/>
      <c r="B14" s="143"/>
      <c r="C14" s="125"/>
      <c r="D14" s="125"/>
      <c r="E14" s="125"/>
      <c r="F14" s="125"/>
      <c r="G14" s="125"/>
      <c r="H14" s="125"/>
      <c r="I14" s="125"/>
      <c r="J14" s="125"/>
      <c r="L14" s="126"/>
      <c r="M14" s="126"/>
      <c r="N14" s="174">
        <v>5</v>
      </c>
      <c r="O14" s="175">
        <v>44680</v>
      </c>
      <c r="P14" s="262" t="s">
        <v>87</v>
      </c>
      <c r="Q14" s="263"/>
      <c r="R14" s="263"/>
      <c r="S14" s="264"/>
      <c r="T14" s="126"/>
      <c r="U14" s="126"/>
      <c r="V14" s="126"/>
      <c r="W14" s="252"/>
      <c r="X14" s="252"/>
      <c r="Y14" s="252"/>
      <c r="Z14" s="252"/>
      <c r="AA14" s="252"/>
      <c r="AB14" s="252"/>
      <c r="AC14" s="148"/>
      <c r="AD14" s="148"/>
      <c r="AE14" s="149"/>
      <c r="AF14" s="125"/>
      <c r="AG14" s="125"/>
      <c r="AH14" s="127"/>
      <c r="AI14" s="128"/>
      <c r="AJ14" s="128"/>
      <c r="AK14" s="128"/>
      <c r="AL14" s="128"/>
      <c r="AM14" s="128"/>
      <c r="AN14" s="141">
        <v>0</v>
      </c>
      <c r="AO14" s="142"/>
      <c r="AP14" s="141"/>
      <c r="AQ14" s="141"/>
      <c r="AR14" s="125"/>
      <c r="AS14" s="125"/>
      <c r="AT14" s="125"/>
      <c r="AU14" s="125"/>
      <c r="AV14" s="125"/>
      <c r="AW14" s="125"/>
      <c r="AX14" s="125"/>
      <c r="AY14" s="125"/>
      <c r="AZ14" s="125"/>
    </row>
    <row r="15" spans="1:52" ht="142.5" customHeight="1" x14ac:dyDescent="0.3">
      <c r="A15" s="143"/>
      <c r="B15" s="143"/>
      <c r="C15" s="125"/>
      <c r="D15" s="125"/>
      <c r="E15" s="125"/>
      <c r="F15" s="125"/>
      <c r="G15" s="125"/>
      <c r="H15" s="125"/>
      <c r="I15" s="125"/>
      <c r="J15" s="125"/>
      <c r="L15" s="126"/>
      <c r="M15" s="126"/>
      <c r="N15" s="538">
        <v>6</v>
      </c>
      <c r="O15" s="539">
        <v>45272</v>
      </c>
      <c r="P15" s="540" t="s">
        <v>360</v>
      </c>
      <c r="Q15" s="541"/>
      <c r="R15" s="541"/>
      <c r="S15" s="542"/>
      <c r="T15" s="126"/>
      <c r="U15" s="126"/>
      <c r="V15" s="126"/>
      <c r="W15" s="148"/>
      <c r="X15" s="148"/>
      <c r="Y15" s="148"/>
      <c r="Z15" s="148"/>
      <c r="AA15" s="148"/>
      <c r="AB15" s="148"/>
      <c r="AC15" s="148"/>
      <c r="AD15" s="148"/>
      <c r="AE15" s="149"/>
      <c r="AF15" s="125"/>
      <c r="AG15" s="125"/>
      <c r="AH15" s="127"/>
      <c r="AI15" s="128"/>
      <c r="AJ15" s="128"/>
      <c r="AK15" s="128"/>
      <c r="AL15" s="128"/>
      <c r="AM15" s="128"/>
      <c r="AN15" s="141"/>
      <c r="AO15" s="142"/>
      <c r="AP15" s="141"/>
      <c r="AQ15" s="141"/>
      <c r="AR15" s="125"/>
      <c r="AS15" s="125"/>
      <c r="AT15" s="125"/>
      <c r="AU15" s="125"/>
      <c r="AV15" s="125"/>
      <c r="AW15" s="125"/>
      <c r="AX15" s="125"/>
      <c r="AY15" s="125"/>
      <c r="AZ15" s="125"/>
    </row>
    <row r="16" spans="1:52" ht="18.75" x14ac:dyDescent="0.3">
      <c r="A16" s="253" t="s">
        <v>88</v>
      </c>
      <c r="B16" s="253"/>
      <c r="C16" s="253"/>
      <c r="D16" s="253"/>
      <c r="E16" s="253"/>
      <c r="F16" s="253"/>
      <c r="G16" s="253"/>
      <c r="H16" s="253"/>
      <c r="I16" s="253"/>
      <c r="J16" s="253"/>
      <c r="K16" s="126"/>
      <c r="L16" s="126"/>
      <c r="M16" s="126"/>
      <c r="N16" s="126"/>
      <c r="O16" s="144"/>
      <c r="P16" s="126"/>
      <c r="Q16" s="126"/>
      <c r="R16" s="126"/>
      <c r="S16" s="126"/>
      <c r="T16" s="126"/>
      <c r="U16" s="126"/>
      <c r="V16" s="126"/>
      <c r="W16" s="140"/>
      <c r="X16" s="140"/>
      <c r="Y16" s="140"/>
      <c r="Z16" s="140"/>
      <c r="AA16" s="140"/>
      <c r="AB16" s="145"/>
      <c r="AC16" s="145"/>
      <c r="AD16" s="145"/>
      <c r="AE16" s="145"/>
      <c r="AF16" s="146"/>
      <c r="AG16" s="146"/>
      <c r="AH16" s="128"/>
      <c r="AI16" s="128"/>
      <c r="AJ16" s="128"/>
      <c r="AK16" s="128"/>
      <c r="AL16" s="128"/>
      <c r="AM16" s="129"/>
      <c r="AN16" s="141"/>
      <c r="AO16" s="141"/>
      <c r="AP16" s="125"/>
      <c r="AQ16" s="125"/>
      <c r="AR16" s="125"/>
      <c r="AS16" s="125"/>
      <c r="AT16" s="125"/>
      <c r="AU16" s="125"/>
      <c r="AV16" s="125"/>
      <c r="AW16" s="125"/>
      <c r="AX16" s="125"/>
      <c r="AY16" s="125"/>
      <c r="AZ16" s="125"/>
    </row>
    <row r="17" spans="1:68" ht="16.5" customHeight="1" x14ac:dyDescent="0.3">
      <c r="A17" s="305"/>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7"/>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24" customHeight="1" x14ac:dyDescent="0.3">
      <c r="A18" s="308"/>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10"/>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x14ac:dyDescent="0.3">
      <c r="A19" s="28"/>
      <c r="B19" s="29"/>
      <c r="C19" s="28"/>
      <c r="D19" s="28"/>
      <c r="E19" s="8"/>
      <c r="F19" s="27"/>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26.25" customHeight="1" x14ac:dyDescent="0.3">
      <c r="A20" s="265" t="s">
        <v>89</v>
      </c>
      <c r="B20" s="266"/>
      <c r="C20" s="301" t="s">
        <v>90</v>
      </c>
      <c r="D20" s="302"/>
      <c r="E20" s="302"/>
      <c r="F20" s="302"/>
      <c r="G20" s="302"/>
      <c r="H20" s="302"/>
      <c r="I20" s="302"/>
      <c r="J20" s="302"/>
      <c r="K20" s="302"/>
      <c r="L20" s="302"/>
      <c r="M20" s="302"/>
      <c r="N20" s="303"/>
      <c r="O20" s="304"/>
      <c r="P20" s="304"/>
      <c r="Q20" s="304"/>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92.25" customHeight="1" x14ac:dyDescent="0.3">
      <c r="A21" s="265" t="s">
        <v>91</v>
      </c>
      <c r="B21" s="266"/>
      <c r="C21" s="497" t="s">
        <v>92</v>
      </c>
      <c r="D21" s="498"/>
      <c r="E21" s="498"/>
      <c r="F21" s="498"/>
      <c r="G21" s="498"/>
      <c r="H21" s="498"/>
      <c r="I21" s="498"/>
      <c r="J21" s="498"/>
      <c r="K21" s="498"/>
      <c r="L21" s="498"/>
      <c r="M21" s="498"/>
      <c r="N21" s="49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49.5" customHeight="1" x14ac:dyDescent="0.3">
      <c r="A22" s="265" t="s">
        <v>93</v>
      </c>
      <c r="B22" s="266"/>
      <c r="C22" s="497" t="s">
        <v>94</v>
      </c>
      <c r="D22" s="498"/>
      <c r="E22" s="498"/>
      <c r="F22" s="498"/>
      <c r="G22" s="498"/>
      <c r="H22" s="498"/>
      <c r="I22" s="498"/>
      <c r="J22" s="498"/>
      <c r="K22" s="498"/>
      <c r="L22" s="498"/>
      <c r="M22" s="498"/>
      <c r="N22" s="499"/>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x14ac:dyDescent="0.3">
      <c r="A23" s="311" t="s">
        <v>95</v>
      </c>
      <c r="B23" s="312"/>
      <c r="C23" s="312"/>
      <c r="D23" s="312"/>
      <c r="E23" s="312"/>
      <c r="F23" s="312"/>
      <c r="G23" s="313"/>
      <c r="H23" s="311" t="s">
        <v>96</v>
      </c>
      <c r="I23" s="312"/>
      <c r="J23" s="312"/>
      <c r="K23" s="312"/>
      <c r="L23" s="312"/>
      <c r="M23" s="312"/>
      <c r="N23" s="313"/>
      <c r="O23" s="311" t="s">
        <v>97</v>
      </c>
      <c r="P23" s="312"/>
      <c r="Q23" s="312"/>
      <c r="R23" s="312"/>
      <c r="S23" s="312"/>
      <c r="T23" s="312"/>
      <c r="U23" s="312"/>
      <c r="V23" s="312"/>
      <c r="W23" s="313"/>
      <c r="X23" s="311" t="s">
        <v>98</v>
      </c>
      <c r="Y23" s="312"/>
      <c r="Z23" s="312"/>
      <c r="AA23" s="312"/>
      <c r="AB23" s="312"/>
      <c r="AC23" s="312"/>
      <c r="AD23" s="313"/>
      <c r="AE23" s="311" t="s">
        <v>99</v>
      </c>
      <c r="AF23" s="312"/>
      <c r="AG23" s="312"/>
      <c r="AH23" s="312"/>
      <c r="AI23" s="312"/>
      <c r="AJ23" s="313"/>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6.5" customHeight="1" x14ac:dyDescent="0.3">
      <c r="A24" s="267" t="s">
        <v>100</v>
      </c>
      <c r="B24" s="272" t="s">
        <v>15</v>
      </c>
      <c r="C24" s="270" t="s">
        <v>17</v>
      </c>
      <c r="D24" s="270" t="s">
        <v>19</v>
      </c>
      <c r="E24" s="271" t="s">
        <v>21</v>
      </c>
      <c r="F24" s="269" t="s">
        <v>23</v>
      </c>
      <c r="G24" s="270" t="s">
        <v>101</v>
      </c>
      <c r="H24" s="277" t="s">
        <v>102</v>
      </c>
      <c r="I24" s="278" t="s">
        <v>103</v>
      </c>
      <c r="J24" s="269" t="s">
        <v>104</v>
      </c>
      <c r="K24" s="269" t="s">
        <v>105</v>
      </c>
      <c r="L24" s="280" t="s">
        <v>106</v>
      </c>
      <c r="M24" s="278" t="s">
        <v>103</v>
      </c>
      <c r="N24" s="270" t="s">
        <v>29</v>
      </c>
      <c r="O24" s="274" t="s">
        <v>107</v>
      </c>
      <c r="P24" s="273" t="s">
        <v>31</v>
      </c>
      <c r="Q24" s="269" t="s">
        <v>33</v>
      </c>
      <c r="R24" s="273" t="s">
        <v>108</v>
      </c>
      <c r="S24" s="273"/>
      <c r="T24" s="273"/>
      <c r="U24" s="273"/>
      <c r="V24" s="273"/>
      <c r="W24" s="273"/>
      <c r="X24" s="276" t="s">
        <v>109</v>
      </c>
      <c r="Y24" s="276" t="s">
        <v>110</v>
      </c>
      <c r="Z24" s="276" t="s">
        <v>103</v>
      </c>
      <c r="AA24" s="276" t="s">
        <v>111</v>
      </c>
      <c r="AB24" s="276" t="s">
        <v>103</v>
      </c>
      <c r="AC24" s="276" t="s">
        <v>112</v>
      </c>
      <c r="AD24" s="274" t="s">
        <v>49</v>
      </c>
      <c r="AE24" s="273" t="s">
        <v>99</v>
      </c>
      <c r="AF24" s="273" t="s">
        <v>113</v>
      </c>
      <c r="AG24" s="273" t="s">
        <v>114</v>
      </c>
      <c r="AH24" s="273" t="s">
        <v>115</v>
      </c>
      <c r="AI24" s="273" t="s">
        <v>116</v>
      </c>
      <c r="AJ24" s="273" t="s">
        <v>53</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s="4" customFormat="1" ht="94.5" customHeight="1" x14ac:dyDescent="0.25">
      <c r="A25" s="268"/>
      <c r="B25" s="272"/>
      <c r="C25" s="273"/>
      <c r="D25" s="273"/>
      <c r="E25" s="272"/>
      <c r="F25" s="270"/>
      <c r="G25" s="273"/>
      <c r="H25" s="270"/>
      <c r="I25" s="279"/>
      <c r="J25" s="270"/>
      <c r="K25" s="270"/>
      <c r="L25" s="279"/>
      <c r="M25" s="279"/>
      <c r="N25" s="273"/>
      <c r="O25" s="275"/>
      <c r="P25" s="273"/>
      <c r="Q25" s="270"/>
      <c r="R25" s="7" t="s">
        <v>117</v>
      </c>
      <c r="S25" s="7" t="s">
        <v>118</v>
      </c>
      <c r="T25" s="7" t="s">
        <v>119</v>
      </c>
      <c r="U25" s="7" t="s">
        <v>120</v>
      </c>
      <c r="V25" s="7" t="s">
        <v>121</v>
      </c>
      <c r="W25" s="7" t="s">
        <v>122</v>
      </c>
      <c r="X25" s="276"/>
      <c r="Y25" s="276"/>
      <c r="Z25" s="276"/>
      <c r="AA25" s="276"/>
      <c r="AB25" s="276"/>
      <c r="AC25" s="276"/>
      <c r="AD25" s="275"/>
      <c r="AE25" s="273"/>
      <c r="AF25" s="273"/>
      <c r="AG25" s="273"/>
      <c r="AH25" s="273"/>
      <c r="AI25" s="273"/>
      <c r="AJ25" s="273"/>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row>
    <row r="26" spans="1:68" s="3" customFormat="1" ht="141.75" customHeight="1" x14ac:dyDescent="0.25">
      <c r="A26" s="281">
        <v>1</v>
      </c>
      <c r="B26" s="283" t="s">
        <v>123</v>
      </c>
      <c r="C26" s="181" t="s">
        <v>124</v>
      </c>
      <c r="D26" s="285" t="s">
        <v>125</v>
      </c>
      <c r="E26" s="289" t="s">
        <v>126</v>
      </c>
      <c r="F26" s="283" t="s">
        <v>127</v>
      </c>
      <c r="G26" s="287">
        <v>500</v>
      </c>
      <c r="H26" s="249" t="str">
        <f>IF(G26&lt;=0,"",IF(G26&lt;=2,"Muy Baja",IF(G26&lt;=24,"Baja",IF(G26&lt;=500,"Media",IF(G26&lt;=5000,"Alta","Muy Alta")))))</f>
        <v>Media</v>
      </c>
      <c r="I26" s="245">
        <f>IF(H26="","",IF(H26="Muy Baja",0.2,IF(H26="Baja",0.4,IF(H26="Media",0.6,IF(H26="Alta",0.8,IF(H26="Muy Alta",1,))))))</f>
        <v>0.6</v>
      </c>
      <c r="J26" s="247" t="s">
        <v>128</v>
      </c>
      <c r="K26" s="245" t="str">
        <f>IF(NOT(ISERROR(MATCH(J26,'Tabla Impacto'!$B$221:$B$223,0))),'Tabla Impacto'!$F$228&amp;"Por favor no seleccionar los criterios de impacto(Afectación Económica o presupuestal y Pérdida Reputacional)",J26)</f>
        <v xml:space="preserve">     El riesgo afecta la imagen de la entidad con algunos usuarios de relevancia frente al logro de los objetivos</v>
      </c>
      <c r="L26" s="249" t="str">
        <f>IF(OR(K26='Tabla Impacto'!$C$11,K26='Tabla Impacto'!$D$11),"Leve",IF(OR(K26='Tabla Impacto'!$C$12,K26='Tabla Impacto'!$D$12),"Menor",IF(OR(K26='Tabla Impacto'!$C$13,K26='Tabla Impacto'!$D$13),"Moderado",IF(OR(K26='Tabla Impacto'!$C$14,K26='Tabla Impacto'!$D$14),"Mayor",IF(OR(K26='Tabla Impacto'!$C$15,K26='Tabla Impacto'!$D$15),"Catastrófico","")))))</f>
        <v>Moderado</v>
      </c>
      <c r="M26" s="245">
        <f>IF(L26="","",IF(L26="Leve",0.2,IF(L26="Menor",0.4,IF(L26="Moderado",0.6,IF(L26="Mayor",0.8,IF(L26="Catastrófico",1,))))))</f>
        <v>0.6</v>
      </c>
      <c r="N26" s="291"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Moderado</v>
      </c>
      <c r="O26" s="6">
        <v>1</v>
      </c>
      <c r="P26" s="500" t="s">
        <v>349</v>
      </c>
      <c r="Q26" s="176" t="str">
        <f>IF(OR(R26="Preventivo",R26="Detectivo"),"Probabilidad",IF(R26="Correctivo","Impacto",""))</f>
        <v>Probabilidad</v>
      </c>
      <c r="R26" s="177" t="s">
        <v>129</v>
      </c>
      <c r="S26" s="177" t="s">
        <v>130</v>
      </c>
      <c r="T26" s="178" t="str">
        <f>IF(AND(R26="Preventivo",S26="Automático"),"50%",IF(AND(R26="Preventivo",S26="Manual"),"40%",IF(AND(R26="Detectivo",S26="Automático"),"40%",IF(AND(R26="Detectivo",S26="Manual"),"30%",IF(AND(R26="Correctivo",S26="Automático"),"35%",IF(AND(R26="Correctivo",S26="Manual"),"25%",""))))))</f>
        <v>40%</v>
      </c>
      <c r="U26" s="177" t="s">
        <v>131</v>
      </c>
      <c r="V26" s="177" t="s">
        <v>132</v>
      </c>
      <c r="W26" s="177" t="s">
        <v>133</v>
      </c>
      <c r="X26" s="165">
        <f>IFERROR(IF(Q26="Probabilidad",(I26-(+I26*T26)),IF(Q26="Impacto",I26,"")),"")</f>
        <v>0.36</v>
      </c>
      <c r="Y26" s="179" t="str">
        <f>IFERROR(IF(X26="","",IF(X26&lt;=0.2,"Muy Baja",IF(X26&lt;=0.4,"Baja",IF(X26&lt;=0.6,"Media",IF(X26&lt;=0.8,"Alta","Muy Alta"))))),"")</f>
        <v>Baja</v>
      </c>
      <c r="Z26" s="171">
        <f>+X26</f>
        <v>0.36</v>
      </c>
      <c r="AA26" s="179" t="str">
        <f>IFERROR(IF(AB26="","",IF(AB26&lt;=0.2,"Leve",IF(AB26&lt;=0.4,"Menor",IF(AB26&lt;=0.6,"Moderado",IF(AB26&lt;=0.8,"Mayor","Catastrófico"))))),"")</f>
        <v>Moderado</v>
      </c>
      <c r="AB26" s="171">
        <f>IFERROR(IF(Q26="Impacto",(M26-(+M26*T26)),IF(Q26="Probabilidad",M26,"")),"")</f>
        <v>0.6</v>
      </c>
      <c r="AC26" s="180"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87" t="s">
        <v>139</v>
      </c>
      <c r="AE26" s="283"/>
      <c r="AF26" s="283"/>
      <c r="AG26" s="283"/>
      <c r="AH26" s="283"/>
      <c r="AI26" s="283"/>
      <c r="AJ26" s="283"/>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row>
    <row r="27" spans="1:68" ht="133.5" customHeight="1" x14ac:dyDescent="0.3">
      <c r="A27" s="282"/>
      <c r="B27" s="284"/>
      <c r="C27" s="198" t="s">
        <v>337</v>
      </c>
      <c r="D27" s="286"/>
      <c r="E27" s="290"/>
      <c r="F27" s="284"/>
      <c r="G27" s="288"/>
      <c r="H27" s="250"/>
      <c r="I27" s="246"/>
      <c r="J27" s="248"/>
      <c r="K27" s="246">
        <f>IF(NOT(ISERROR(MATCH(J27,_xlfn.ANCHORARRAY(E31),0))),I33&amp;"Por favor no seleccionar los criterios de impacto",J27)</f>
        <v>0</v>
      </c>
      <c r="L27" s="250"/>
      <c r="M27" s="246"/>
      <c r="N27" s="292"/>
      <c r="O27" s="6">
        <v>2</v>
      </c>
      <c r="P27" s="500" t="s">
        <v>350</v>
      </c>
      <c r="Q27" s="176" t="str">
        <f>IF(OR(R27="Preventivo",R27="Detectivo"),"Probabilidad",IF(R27="Correctivo","Impacto",""))</f>
        <v>Probabilidad</v>
      </c>
      <c r="R27" s="177" t="s">
        <v>129</v>
      </c>
      <c r="S27" s="177" t="s">
        <v>130</v>
      </c>
      <c r="T27" s="178" t="str">
        <f t="shared" ref="T27" si="0">IF(AND(R27="Preventivo",S27="Automático"),"50%",IF(AND(R27="Preventivo",S27="Manual"),"40%",IF(AND(R27="Detectivo",S27="Automático"),"40%",IF(AND(R27="Detectivo",S27="Manual"),"30%",IF(AND(R27="Correctivo",S27="Automático"),"35%",IF(AND(R27="Correctivo",S27="Manual"),"25%",""))))))</f>
        <v>40%</v>
      </c>
      <c r="U27" s="177" t="s">
        <v>131</v>
      </c>
      <c r="V27" s="177" t="s">
        <v>132</v>
      </c>
      <c r="W27" s="177" t="s">
        <v>133</v>
      </c>
      <c r="X27" s="188">
        <f>IFERROR(IF(AND(Q26="Probabilidad",Q27="Probabilidad"),(Z26-(+Z26*T27)),IF(Q27="Probabilidad",(I26-(+I26*T27)),IF(Q27="Impacto",Z26,""))),"")</f>
        <v>0.216</v>
      </c>
      <c r="Y27" s="179" t="str">
        <f t="shared" ref="Y27" si="1">IFERROR(IF(X27="","",IF(X27&lt;=0.2,"Muy Baja",IF(X27&lt;=0.4,"Baja",IF(X27&lt;=0.6,"Media",IF(X27&lt;=0.8,"Alta","Muy Alta"))))),"")</f>
        <v>Baja</v>
      </c>
      <c r="Z27" s="171">
        <f t="shared" ref="Z27" si="2">+X27</f>
        <v>0.216</v>
      </c>
      <c r="AA27" s="179" t="str">
        <f t="shared" ref="AA27" si="3">IFERROR(IF(AB27="","",IF(AB27&lt;=0.2,"Leve",IF(AB27&lt;=0.4,"Menor",IF(AB27&lt;=0.6,"Moderado",IF(AB27&lt;=0.8,"Mayor","Catastrófico"))))),"")</f>
        <v>Moderado</v>
      </c>
      <c r="AB27" s="171">
        <f>IFERROR(IF(AND(Q26="Impacto",Q27="Impacto"),(AB26-(+AB26*T27)),IF(Q27="Impacto",(M26-(+M26*T27)),IF(Q27="Probabilidad",AB26,""))),"")</f>
        <v>0.6</v>
      </c>
      <c r="AC27" s="180" t="str">
        <f t="shared" ref="AC27" si="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187" t="s">
        <v>139</v>
      </c>
      <c r="AE27" s="331"/>
      <c r="AF27" s="331"/>
      <c r="AG27" s="331"/>
      <c r="AH27" s="331"/>
      <c r="AI27" s="331"/>
      <c r="AJ27" s="331"/>
    </row>
    <row r="28" spans="1:68" ht="102" customHeight="1" x14ac:dyDescent="0.3">
      <c r="A28" s="281">
        <v>2</v>
      </c>
      <c r="B28" s="283" t="s">
        <v>123</v>
      </c>
      <c r="C28" s="181" t="s">
        <v>135</v>
      </c>
      <c r="D28" s="285" t="s">
        <v>136</v>
      </c>
      <c r="E28" s="289" t="s">
        <v>357</v>
      </c>
      <c r="F28" s="283" t="s">
        <v>127</v>
      </c>
      <c r="G28" s="287">
        <v>3000</v>
      </c>
      <c r="H28" s="249" t="str">
        <f>IF(G28&lt;=0,"",IF(G28&lt;=2,"Muy Baja",IF(G28&lt;=24,"Baja",IF(G28&lt;=500,"Media",IF(G28&lt;=5000,"Alta","Muy Alta")))))</f>
        <v>Alta</v>
      </c>
      <c r="I28" s="245">
        <f>IF(H28="","",IF(H28="Muy Baja",0.2,IF(H28="Baja",0.4,IF(H28="Media",0.6,IF(H28="Alta",0.8,IF(H28="Muy Alta",1,))))))</f>
        <v>0.8</v>
      </c>
      <c r="J28" s="247" t="s">
        <v>137</v>
      </c>
      <c r="K28" s="245" t="str">
        <f>IF(NOT(ISERROR(MATCH(J28,'Tabla Impacto'!$B$221:$B$223,0))),'Tabla Impacto'!$F$228&amp;"Por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49" t="str">
        <f>IF(OR(K28='Tabla Impacto'!$C$11,K28='Tabla Impacto'!$D$11),"Leve",IF(OR(K28='Tabla Impacto'!$C$12,K28='Tabla Impacto'!$D$12),"Menor",IF(OR(K28='Tabla Impacto'!$C$13,K28='Tabla Impacto'!$D$13),"Moderado",IF(OR(K28='Tabla Impacto'!$C$14,K28='Tabla Impacto'!$D$14),"Mayor",IF(OR(K28='Tabla Impacto'!$C$15,K28='Tabla Impacto'!$D$15),"Catastrófico","")))))</f>
        <v>Menor</v>
      </c>
      <c r="M28" s="245">
        <f>IF(L28="","",IF(L28="Leve",0.2,IF(L28="Menor",0.4,IF(L28="Moderado",0.6,IF(L28="Mayor",0.8,IF(L28="Catastrófico",1,))))))</f>
        <v>0.4</v>
      </c>
      <c r="N28" s="291"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281">
        <v>1</v>
      </c>
      <c r="P28" s="334" t="s">
        <v>358</v>
      </c>
      <c r="Q28" s="317" t="str">
        <f>IF(OR(R28="Preventivo",R28="Detectivo"),"Probabilidad",IF(R28="Correctivo","Impacto",""))</f>
        <v>Probabilidad</v>
      </c>
      <c r="R28" s="319" t="s">
        <v>129</v>
      </c>
      <c r="S28" s="319" t="s">
        <v>138</v>
      </c>
      <c r="T28" s="321" t="str">
        <f>IF(AND(R28="Preventivo",S28="Automático"),"50%",IF(AND(R28="Preventivo",S28="Manual"),"40%",IF(AND(R28="Detectivo",S28="Automático"),"40%",IF(AND(R28="Detectivo",S28="Manual"),"30%",IF(AND(R28="Correctivo",S28="Automático"),"35%",IF(AND(R28="Correctivo",S28="Manual"),"25%",""))))))</f>
        <v>50%</v>
      </c>
      <c r="U28" s="319" t="s">
        <v>131</v>
      </c>
      <c r="V28" s="319" t="s">
        <v>132</v>
      </c>
      <c r="W28" s="319" t="s">
        <v>133</v>
      </c>
      <c r="X28" s="165">
        <f>IFERROR(IF(Q28="Probabilidad",(I28-(+I28*T28)),IF(Q28="Impacto",I28,"")),"")</f>
        <v>0.4</v>
      </c>
      <c r="Y28" s="323" t="str">
        <f>IFERROR(IF(X28="","",IF(X28&lt;=0.2,"Muy Baja",IF(X28&lt;=0.4,"Baja",IF(X28&lt;=0.6,"Media",IF(X28&lt;=0.8,"Alta","Muy Alta"))))),"")</f>
        <v>Baja</v>
      </c>
      <c r="Z28" s="321">
        <f>+X28</f>
        <v>0.4</v>
      </c>
      <c r="AA28" s="323" t="str">
        <f>IFERROR(IF(AB28="","",IF(AB28&lt;=0.2,"Leve",IF(AB28&lt;=0.4,"Menor",IF(AB28&lt;=0.6,"Moderado",IF(AB28&lt;=0.8,"Mayor","Catastrófico"))))),"")</f>
        <v>Menor</v>
      </c>
      <c r="AB28" s="321">
        <f>IFERROR(IF(Q28="Impacto",(M28-(+M28*T28)),IF(Q28="Probabilidad",M28,"")),"")</f>
        <v>0.4</v>
      </c>
      <c r="AC28" s="32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19" t="s">
        <v>139</v>
      </c>
      <c r="AE28" s="283"/>
      <c r="AF28" s="283"/>
      <c r="AG28" s="283"/>
      <c r="AH28" s="283"/>
      <c r="AI28" s="283"/>
      <c r="AJ28" s="283"/>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02" customHeight="1" x14ac:dyDescent="0.3">
      <c r="A29" s="282"/>
      <c r="B29" s="284"/>
      <c r="C29" s="181" t="s">
        <v>140</v>
      </c>
      <c r="D29" s="286"/>
      <c r="E29" s="290"/>
      <c r="F29" s="284"/>
      <c r="G29" s="288"/>
      <c r="H29" s="250"/>
      <c r="I29" s="246"/>
      <c r="J29" s="248"/>
      <c r="K29" s="246"/>
      <c r="L29" s="250"/>
      <c r="M29" s="246"/>
      <c r="N29" s="292"/>
      <c r="O29" s="282"/>
      <c r="P29" s="335"/>
      <c r="Q29" s="318"/>
      <c r="R29" s="320"/>
      <c r="S29" s="320"/>
      <c r="T29" s="322"/>
      <c r="U29" s="320"/>
      <c r="V29" s="320"/>
      <c r="W29" s="320"/>
      <c r="X29" s="165"/>
      <c r="Y29" s="324"/>
      <c r="Z29" s="322"/>
      <c r="AA29" s="324"/>
      <c r="AB29" s="322"/>
      <c r="AC29" s="326"/>
      <c r="AD29" s="320"/>
      <c r="AE29" s="284"/>
      <c r="AF29" s="284"/>
      <c r="AG29" s="284"/>
      <c r="AH29" s="284"/>
      <c r="AI29" s="284"/>
      <c r="AJ29" s="28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48.75" customHeight="1" x14ac:dyDescent="0.3">
      <c r="A30" s="282"/>
      <c r="B30" s="284"/>
      <c r="C30" s="181" t="s">
        <v>141</v>
      </c>
      <c r="D30" s="286"/>
      <c r="E30" s="290"/>
      <c r="F30" s="284"/>
      <c r="G30" s="288"/>
      <c r="H30" s="250"/>
      <c r="I30" s="246"/>
      <c r="J30" s="248"/>
      <c r="K30" s="246">
        <f>IF(NOT(ISERROR(MATCH(J30,_xlfn.ANCHORARRAY(E35),0))),I37&amp;"Por favor no seleccionar los criterios de impacto",J30)</f>
        <v>0</v>
      </c>
      <c r="L30" s="250"/>
      <c r="M30" s="246"/>
      <c r="N30" s="292"/>
      <c r="O30" s="332"/>
      <c r="P30" s="336"/>
      <c r="Q30" s="333"/>
      <c r="R30" s="330"/>
      <c r="S30" s="330"/>
      <c r="T30" s="328"/>
      <c r="U30" s="330"/>
      <c r="V30" s="330"/>
      <c r="W30" s="330"/>
      <c r="X30" s="165" t="str">
        <f>IFERROR(IF(AND(Q28="Probabilidad",Q30="Probabilidad"),(Z28-(+Z28*T30)),IF(Q30="Probabilidad",(I28-(+I28*T30)),IF(Q30="Impacto",Z28,""))),"")</f>
        <v/>
      </c>
      <c r="Y30" s="327"/>
      <c r="Z30" s="328"/>
      <c r="AA30" s="327"/>
      <c r="AB30" s="328"/>
      <c r="AC30" s="329"/>
      <c r="AD30" s="330"/>
      <c r="AE30" s="331"/>
      <c r="AF30" s="331"/>
      <c r="AG30" s="331"/>
      <c r="AH30" s="331"/>
      <c r="AI30" s="331"/>
      <c r="AJ30" s="331"/>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s="186" customFormat="1" ht="95.25" customHeight="1" x14ac:dyDescent="0.3">
      <c r="A31" s="501">
        <v>3</v>
      </c>
      <c r="B31" s="513" t="s">
        <v>123</v>
      </c>
      <c r="C31" s="198" t="s">
        <v>142</v>
      </c>
      <c r="D31" s="289" t="s">
        <v>143</v>
      </c>
      <c r="E31" s="289" t="s">
        <v>144</v>
      </c>
      <c r="F31" s="513" t="s">
        <v>127</v>
      </c>
      <c r="G31" s="514">
        <v>2</v>
      </c>
      <c r="H31" s="507" t="str">
        <f>IF(G31&lt;=0,"",IF(G31&lt;=2,"Muy Baja",IF(G31&lt;=24,"Baja",IF(G31&lt;=500,"Media",IF(G31&lt;=5000,"Alta","Muy Alta")))))</f>
        <v>Muy Baja</v>
      </c>
      <c r="I31" s="508">
        <f>IF(H31="","",IF(H31="Muy Baja",0.2,IF(H31="Baja",0.4,IF(H31="Media",0.6,IF(H31="Alta",0.8,IF(H31="Muy Alta",1,))))))</f>
        <v>0.2</v>
      </c>
      <c r="J31" s="296" t="s">
        <v>137</v>
      </c>
      <c r="K31" s="298" t="str">
        <f>IF(NOT(ISERROR(MATCH(J31,'Tabla Impacto'!$B$221:$B$223,0))),'Tabla Impacto'!$F$228&amp;"Por favor no seleccionar los criterios de impacto(Afectación Económica o presupuestal y Pérdida Reputacional)",J31)</f>
        <v xml:space="preserve">     El riesgo afecta la imagen de la entidad internamente, de conocimiento general, nivel interno, de junta dircetiva y accionistas y/o de provedores</v>
      </c>
      <c r="L31" s="507" t="str">
        <f>IF(OR(K31='Tabla Impacto'!$C$11,K31='Tabla Impacto'!$D$11),"Leve",IF(OR(K31='Tabla Impacto'!$C$12,K31='Tabla Impacto'!$D$12),"Menor",IF(OR(K31='Tabla Impacto'!$C$13,K31='Tabla Impacto'!$D$13),"Moderado",IF(OR(K31='Tabla Impacto'!$C$14,K31='Tabla Impacto'!$D$14),"Mayor",IF(OR(K31='Tabla Impacto'!$C$15,K31='Tabla Impacto'!$D$15),"Catastrófico","")))))</f>
        <v>Menor</v>
      </c>
      <c r="M31" s="508">
        <f>IF(L31="","",IF(L31="Leve",0.2,IF(L31="Menor",0.4,IF(L31="Moderado",0.6,IF(L31="Mayor",0.8,IF(L31="Catastrófico",1,))))))</f>
        <v>0.4</v>
      </c>
      <c r="N31" s="504"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Bajo</v>
      </c>
      <c r="O31" s="501">
        <v>1</v>
      </c>
      <c r="P31" s="334" t="s">
        <v>145</v>
      </c>
      <c r="Q31" s="521" t="str">
        <f>IF(OR(R31="Preventivo",R31="Detectivo"),"Probabilidad",IF(R31="Correctivo","Impacto",""))</f>
        <v>Probabilidad</v>
      </c>
      <c r="R31" s="522" t="s">
        <v>129</v>
      </c>
      <c r="S31" s="522" t="s">
        <v>130</v>
      </c>
      <c r="T31" s="523" t="str">
        <f>IF(AND(R31="Preventivo",S31="Automático"),"50%",IF(AND(R31="Preventivo",S31="Manual"),"40%",IF(AND(R31="Detectivo",S31="Automático"),"40%",IF(AND(R31="Detectivo",S31="Manual"),"30%",IF(AND(R31="Correctivo",S31="Automático"),"35%",IF(AND(R31="Correctivo",S31="Manual"),"25%",""))))))</f>
        <v>40%</v>
      </c>
      <c r="U31" s="522" t="s">
        <v>131</v>
      </c>
      <c r="V31" s="522" t="s">
        <v>132</v>
      </c>
      <c r="W31" s="522" t="s">
        <v>133</v>
      </c>
      <c r="X31" s="524">
        <f>IFERROR(IF(Q31="Probabilidad",(I31-(+I31*T31)),IF(Q31="Impacto",I31,"")),"")</f>
        <v>0.12</v>
      </c>
      <c r="Y31" s="525" t="str">
        <f>IFERROR(IF(X31="","",IF(X31&lt;=0.2,"Muy Baja",IF(X31&lt;=0.4,"Baja",IF(X31&lt;=0.6,"Media",IF(X31&lt;=0.8,"Alta","Muy Alta"))))),"")</f>
        <v>Muy Baja</v>
      </c>
      <c r="Z31" s="523">
        <f>+X31</f>
        <v>0.12</v>
      </c>
      <c r="AA31" s="525" t="str">
        <f>IFERROR(IF(AB31="","",IF(AB31&lt;=0.2,"Leve",IF(AB31&lt;=0.4,"Menor",IF(AB31&lt;=0.6,"Moderado",IF(AB31&lt;=0.8,"Mayor","Catastrófico"))))),"")</f>
        <v>Menor</v>
      </c>
      <c r="AB31" s="523">
        <f>IFERROR(IF(Q31="Impacto",(M31-(+M31*T31)),IF(Q31="Probabilidad",M31,"")),"")</f>
        <v>0.4</v>
      </c>
      <c r="AC31" s="52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522" t="s">
        <v>139</v>
      </c>
      <c r="AE31" s="293"/>
      <c r="AF31" s="293"/>
      <c r="AG31" s="293"/>
      <c r="AH31" s="293"/>
      <c r="AI31" s="293"/>
      <c r="AJ31" s="293"/>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row>
    <row r="32" spans="1:68" s="186" customFormat="1" ht="78" customHeight="1" x14ac:dyDescent="0.3">
      <c r="A32" s="502"/>
      <c r="B32" s="515"/>
      <c r="C32" s="198" t="s">
        <v>146</v>
      </c>
      <c r="D32" s="290"/>
      <c r="E32" s="290"/>
      <c r="F32" s="515"/>
      <c r="G32" s="516"/>
      <c r="H32" s="509"/>
      <c r="I32" s="510"/>
      <c r="J32" s="297"/>
      <c r="K32" s="299">
        <f>IF(NOT(ISERROR(MATCH(J32,_xlfn.ANCHORARRAY(E39),0))),#REF!&amp;"Por favor no seleccionar los criterios de impacto",J32)</f>
        <v>0</v>
      </c>
      <c r="L32" s="509"/>
      <c r="M32" s="510"/>
      <c r="N32" s="505"/>
      <c r="O32" s="502"/>
      <c r="P32" s="335"/>
      <c r="Q32" s="527"/>
      <c r="R32" s="528"/>
      <c r="S32" s="528"/>
      <c r="T32" s="529"/>
      <c r="U32" s="528"/>
      <c r="V32" s="528"/>
      <c r="W32" s="528"/>
      <c r="X32" s="530" t="str">
        <f>IFERROR(IF(AND(Q31="Probabilidad",Q32="Probabilidad"),(Z31-(+Z31*T32)),IF(Q32="Probabilidad",(I31-(+I31*T32)),IF(Q32="Impacto",Z31,""))),"")</f>
        <v/>
      </c>
      <c r="Y32" s="531"/>
      <c r="Z32" s="529"/>
      <c r="AA32" s="531"/>
      <c r="AB32" s="529"/>
      <c r="AC32" s="532"/>
      <c r="AD32" s="528"/>
      <c r="AE32" s="294"/>
      <c r="AF32" s="294"/>
      <c r="AG32" s="294"/>
      <c r="AH32" s="294"/>
      <c r="AI32" s="294"/>
      <c r="AJ32" s="294"/>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row>
    <row r="33" spans="1:68" s="186" customFormat="1" ht="83.25" customHeight="1" x14ac:dyDescent="0.3">
      <c r="A33" s="502"/>
      <c r="B33" s="515"/>
      <c r="C33" s="198" t="s">
        <v>147</v>
      </c>
      <c r="D33" s="290"/>
      <c r="E33" s="290"/>
      <c r="F33" s="515"/>
      <c r="G33" s="516"/>
      <c r="H33" s="509"/>
      <c r="I33" s="510"/>
      <c r="J33" s="297"/>
      <c r="K33" s="299">
        <f>IF(NOT(ISERROR(MATCH(J33,_xlfn.ANCHORARRAY(E40),0))),#REF!&amp;"Por favor no seleccionar los criterios de impacto",J33)</f>
        <v>0</v>
      </c>
      <c r="L33" s="509"/>
      <c r="M33" s="510"/>
      <c r="N33" s="505"/>
      <c r="O33" s="502"/>
      <c r="P33" s="335"/>
      <c r="Q33" s="527"/>
      <c r="R33" s="528"/>
      <c r="S33" s="528"/>
      <c r="T33" s="529"/>
      <c r="U33" s="528"/>
      <c r="V33" s="528"/>
      <c r="W33" s="528"/>
      <c r="X33" s="524" t="str">
        <f>IFERROR(IF(AND(Q32="Probabilidad",Q33="Probabilidad"),(Z32-(+Z32*T33)),IF(AND(Q32="Impacto",Q33="Probabilidad"),(Z31-(+Z31*T33)),IF(Q33="Impacto",Z32,""))),"")</f>
        <v/>
      </c>
      <c r="Y33" s="531"/>
      <c r="Z33" s="529"/>
      <c r="AA33" s="531"/>
      <c r="AB33" s="529"/>
      <c r="AC33" s="532"/>
      <c r="AD33" s="528"/>
      <c r="AE33" s="294"/>
      <c r="AF33" s="294"/>
      <c r="AG33" s="294"/>
      <c r="AH33" s="294"/>
      <c r="AI33" s="294"/>
      <c r="AJ33" s="294"/>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row>
    <row r="34" spans="1:68" s="186" customFormat="1" ht="69" customHeight="1" x14ac:dyDescent="0.3">
      <c r="A34" s="503"/>
      <c r="B34" s="517"/>
      <c r="C34" s="198" t="s">
        <v>148</v>
      </c>
      <c r="D34" s="518"/>
      <c r="E34" s="518"/>
      <c r="F34" s="517"/>
      <c r="G34" s="519"/>
      <c r="H34" s="511"/>
      <c r="I34" s="512"/>
      <c r="J34" s="520"/>
      <c r="K34" s="300">
        <f>IF(NOT(ISERROR(MATCH(J34,_xlfn.ANCHORARRAY(#REF!),0))),#REF!&amp;"Por favor no seleccionar los criterios de impacto",J34)</f>
        <v>0</v>
      </c>
      <c r="L34" s="511"/>
      <c r="M34" s="512"/>
      <c r="N34" s="506"/>
      <c r="O34" s="503"/>
      <c r="P34" s="336"/>
      <c r="Q34" s="533"/>
      <c r="R34" s="534"/>
      <c r="S34" s="534"/>
      <c r="T34" s="535"/>
      <c r="U34" s="534"/>
      <c r="V34" s="534"/>
      <c r="W34" s="534"/>
      <c r="X34" s="524" t="str">
        <f t="shared" ref="X34" si="5">IFERROR(IF(AND(Q33="Probabilidad",Q34="Probabilidad"),(Z33-(+Z33*T34)),IF(AND(Q33="Impacto",Q34="Probabilidad"),(Z32-(+Z32*T34)),IF(Q34="Impacto",Z33,""))),"")</f>
        <v/>
      </c>
      <c r="Y34" s="536"/>
      <c r="Z34" s="535"/>
      <c r="AA34" s="536"/>
      <c r="AB34" s="535"/>
      <c r="AC34" s="537"/>
      <c r="AD34" s="534"/>
      <c r="AE34" s="295"/>
      <c r="AF34" s="295"/>
      <c r="AG34" s="295"/>
      <c r="AH34" s="295"/>
      <c r="AI34" s="295"/>
      <c r="AJ34" s="29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row>
    <row r="35" spans="1:68" ht="92.25" customHeight="1" x14ac:dyDescent="0.3">
      <c r="A35" s="281">
        <v>4</v>
      </c>
      <c r="B35" s="283" t="s">
        <v>123</v>
      </c>
      <c r="C35" s="181" t="s">
        <v>149</v>
      </c>
      <c r="D35" s="285" t="s">
        <v>150</v>
      </c>
      <c r="E35" s="289" t="s">
        <v>151</v>
      </c>
      <c r="F35" s="283" t="s">
        <v>127</v>
      </c>
      <c r="G35" s="287">
        <v>12</v>
      </c>
      <c r="H35" s="249" t="str">
        <f>IF(G35&lt;=0,"",IF(G35&lt;=2,"Muy Baja",IF(G35&lt;=24,"Baja",IF(G35&lt;=500,"Media",IF(G35&lt;=5000,"Alta","Muy Alta")))))</f>
        <v>Baja</v>
      </c>
      <c r="I35" s="245">
        <f>IF(H35="","",IF(H35="Muy Baja",0.2,IF(H35="Baja",0.4,IF(H35="Media",0.6,IF(H35="Alta",0.8,IF(H35="Muy Alta",1,))))))</f>
        <v>0.4</v>
      </c>
      <c r="J35" s="296" t="s">
        <v>152</v>
      </c>
      <c r="K35" s="245" t="str">
        <f>IF(NOT(ISERROR(MATCH(J35,'Tabla Impacto'!$B$221:$B$223,0))),'Tabla Impacto'!$F$228&amp;"Por favor no seleccionar los criterios de impacto(Afectación Económica o presupuestal y Pérdida Reputacional)",J35)</f>
        <v xml:space="preserve">     El riesgo afecta la imagen de alguna área de la organización</v>
      </c>
      <c r="L35" s="249" t="str">
        <f>IF(OR(K35='Tabla Impacto'!$C$11,K35='Tabla Impacto'!$D$11),"Leve",IF(OR(K35='Tabla Impacto'!$C$12,K35='Tabla Impacto'!$D$12),"Menor",IF(OR(K35='Tabla Impacto'!$C$13,K35='Tabla Impacto'!$D$13),"Moderado",IF(OR(K35='Tabla Impacto'!$C$14,K35='Tabla Impacto'!$D$14),"Mayor",IF(OR(K35='Tabla Impacto'!$C$15,K35='Tabla Impacto'!$D$15),"Catastrófico","")))))</f>
        <v>Leve</v>
      </c>
      <c r="M35" s="245">
        <f>IF(L35="","",IF(L35="Leve",0.2,IF(L35="Menor",0.4,IF(L35="Moderado",0.6,IF(L35="Mayor",0.8,IF(L35="Catastrófico",1,))))))</f>
        <v>0.2</v>
      </c>
      <c r="N35" s="291"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Bajo</v>
      </c>
      <c r="O35" s="281">
        <v>1</v>
      </c>
      <c r="P35" s="334" t="s">
        <v>342</v>
      </c>
      <c r="Q35" s="317" t="str">
        <f>IF(OR(R35="Preventivo",R35="Detectivo"),"Probabilidad",IF(R35="Correctivo","Impacto",""))</f>
        <v>Probabilidad</v>
      </c>
      <c r="R35" s="319" t="s">
        <v>129</v>
      </c>
      <c r="S35" s="319" t="s">
        <v>130</v>
      </c>
      <c r="T35" s="321" t="str">
        <f>IF(AND(R35="Preventivo",S35="Automático"),"50%",IF(AND(R35="Preventivo",S35="Manual"),"40%",IF(AND(R35="Detectivo",S35="Automático"),"40%",IF(AND(R35="Detectivo",S35="Manual"),"30%",IF(AND(R35="Correctivo",S35="Automático"),"35%",IF(AND(R35="Correctivo",S35="Manual"),"25%",""))))))</f>
        <v>40%</v>
      </c>
      <c r="U35" s="319" t="s">
        <v>131</v>
      </c>
      <c r="V35" s="319" t="s">
        <v>132</v>
      </c>
      <c r="W35" s="319" t="s">
        <v>133</v>
      </c>
      <c r="X35" s="165">
        <f>IFERROR(IF(Q35="Probabilidad",(I35-(+I35*T35)),IF(Q35="Impacto",I35,"")),"")</f>
        <v>0.24</v>
      </c>
      <c r="Y35" s="323" t="str">
        <f>IFERROR(IF(X35="","",IF(X35&lt;=0.2,"Muy Baja",IF(X35&lt;=0.4,"Baja",IF(X35&lt;=0.6,"Media",IF(X35&lt;=0.8,"Alta","Muy Alta"))))),"")</f>
        <v>Baja</v>
      </c>
      <c r="Z35" s="321">
        <f>+X35</f>
        <v>0.24</v>
      </c>
      <c r="AA35" s="323" t="str">
        <f>IFERROR(IF(AB35="","",IF(AB35&lt;=0.2,"Leve",IF(AB35&lt;=0.4,"Menor",IF(AB35&lt;=0.6,"Moderado",IF(AB35&lt;=0.8,"Mayor","Catastrófico"))))),"")</f>
        <v>Leve</v>
      </c>
      <c r="AB35" s="321">
        <f>IFERROR(IF(Q35="Impacto",(M35-(+M35*T35)),IF(Q35="Probabilidad",M35,"")),"")</f>
        <v>0.2</v>
      </c>
      <c r="AC35" s="325"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319" t="s">
        <v>139</v>
      </c>
      <c r="AE35" s="283"/>
      <c r="AF35" s="287"/>
      <c r="AG35" s="283"/>
      <c r="AH35" s="283"/>
      <c r="AI35" s="283"/>
      <c r="AJ35" s="283"/>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81" customHeight="1" x14ac:dyDescent="0.3">
      <c r="A36" s="282"/>
      <c r="B36" s="284"/>
      <c r="C36" s="181" t="s">
        <v>153</v>
      </c>
      <c r="D36" s="286"/>
      <c r="E36" s="290"/>
      <c r="F36" s="284"/>
      <c r="G36" s="288"/>
      <c r="H36" s="250"/>
      <c r="I36" s="246"/>
      <c r="J36" s="297"/>
      <c r="K36" s="246">
        <f>IF(NOT(ISERROR(MATCH(J36,_xlfn.ANCHORARRAY(E41),0))),#REF!&amp;"Por favor no seleccionar los criterios de impacto",J36)</f>
        <v>0</v>
      </c>
      <c r="L36" s="250"/>
      <c r="M36" s="246"/>
      <c r="N36" s="292"/>
      <c r="O36" s="282"/>
      <c r="P36" s="335"/>
      <c r="Q36" s="318"/>
      <c r="R36" s="320"/>
      <c r="S36" s="320"/>
      <c r="T36" s="322"/>
      <c r="U36" s="320"/>
      <c r="V36" s="320"/>
      <c r="W36" s="320"/>
      <c r="X36" s="165" t="str">
        <f>IFERROR(IF(AND(Q35="Probabilidad",Q36="Probabilidad"),(Z35-(+Z35*T36)),IF(Q36="Probabilidad",(I35-(+I35*T36)),IF(Q36="Impacto",Z35,""))),"")</f>
        <v/>
      </c>
      <c r="Y36" s="324"/>
      <c r="Z36" s="322"/>
      <c r="AA36" s="324"/>
      <c r="AB36" s="322"/>
      <c r="AC36" s="326"/>
      <c r="AD36" s="320"/>
      <c r="AE36" s="284"/>
      <c r="AF36" s="288"/>
      <c r="AG36" s="284"/>
      <c r="AH36" s="284"/>
      <c r="AI36" s="284"/>
      <c r="AJ36" s="28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63.75" customHeight="1" x14ac:dyDescent="0.3">
      <c r="A37" s="282"/>
      <c r="B37" s="284"/>
      <c r="C37" s="181" t="s">
        <v>154</v>
      </c>
      <c r="D37" s="286"/>
      <c r="E37" s="290"/>
      <c r="F37" s="284"/>
      <c r="G37" s="288"/>
      <c r="H37" s="250"/>
      <c r="I37" s="246"/>
      <c r="J37" s="297"/>
      <c r="K37" s="246">
        <f>IF(NOT(ISERROR(MATCH(J37,_xlfn.ANCHORARRAY(E42),0))),#REF!&amp;"Por favor no seleccionar los criterios de impacto",J37)</f>
        <v>0</v>
      </c>
      <c r="L37" s="250"/>
      <c r="M37" s="246"/>
      <c r="N37" s="292"/>
      <c r="O37" s="282"/>
      <c r="P37" s="335"/>
      <c r="Q37" s="318"/>
      <c r="R37" s="320"/>
      <c r="S37" s="320"/>
      <c r="T37" s="322"/>
      <c r="U37" s="320"/>
      <c r="V37" s="320"/>
      <c r="W37" s="320"/>
      <c r="X37" s="165" t="str">
        <f>IFERROR(IF(AND(Q36="Probabilidad",Q37="Probabilidad"),(Z36-(+Z36*T37)),IF(AND(Q36="Impacto",Q37="Probabilidad"),(Z35-(+Z35*T37)),IF(Q37="Impacto",Z36,""))),"")</f>
        <v/>
      </c>
      <c r="Y37" s="324"/>
      <c r="Z37" s="322"/>
      <c r="AA37" s="324"/>
      <c r="AB37" s="322"/>
      <c r="AC37" s="326"/>
      <c r="AD37" s="320"/>
      <c r="AE37" s="284"/>
      <c r="AF37" s="288"/>
      <c r="AG37" s="284"/>
      <c r="AH37" s="284"/>
      <c r="AI37" s="284"/>
      <c r="AJ37" s="28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50.25" customHeight="1" x14ac:dyDescent="0.3">
      <c r="A38" s="282"/>
      <c r="B38" s="284"/>
      <c r="C38" s="181" t="s">
        <v>150</v>
      </c>
      <c r="D38" s="286"/>
      <c r="E38" s="290"/>
      <c r="F38" s="284"/>
      <c r="G38" s="288"/>
      <c r="H38" s="250"/>
      <c r="I38" s="246"/>
      <c r="J38" s="297"/>
      <c r="K38" s="246">
        <f>IF(NOT(ISERROR(MATCH(J38,_xlfn.ANCHORARRAY(#REF!),0))),#REF!&amp;"Por favor no seleccionar los criterios de impacto",J38)</f>
        <v>0</v>
      </c>
      <c r="L38" s="250"/>
      <c r="M38" s="246"/>
      <c r="N38" s="292"/>
      <c r="O38" s="332"/>
      <c r="P38" s="336"/>
      <c r="Q38" s="333"/>
      <c r="R38" s="330"/>
      <c r="S38" s="330"/>
      <c r="T38" s="328"/>
      <c r="U38" s="330"/>
      <c r="V38" s="330"/>
      <c r="W38" s="330"/>
      <c r="X38" s="165" t="str">
        <f t="shared" ref="X38" si="6">IFERROR(IF(AND(Q37="Probabilidad",Q38="Probabilidad"),(Z37-(+Z37*T38)),IF(AND(Q37="Impacto",Q38="Probabilidad"),(Z36-(+Z36*T38)),IF(Q38="Impacto",Z37,""))),"")</f>
        <v/>
      </c>
      <c r="Y38" s="327"/>
      <c r="Z38" s="328"/>
      <c r="AA38" s="327"/>
      <c r="AB38" s="328"/>
      <c r="AC38" s="329"/>
      <c r="AD38" s="330"/>
      <c r="AE38" s="331"/>
      <c r="AF38" s="337"/>
      <c r="AG38" s="331"/>
      <c r="AH38" s="331"/>
      <c r="AI38" s="331"/>
      <c r="AJ38" s="331"/>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78" customHeight="1" x14ac:dyDescent="0.3">
      <c r="A39" s="281">
        <v>5</v>
      </c>
      <c r="B39" s="283" t="s">
        <v>123</v>
      </c>
      <c r="C39" s="181" t="s">
        <v>155</v>
      </c>
      <c r="D39" s="285" t="s">
        <v>156</v>
      </c>
      <c r="E39" s="289" t="s">
        <v>157</v>
      </c>
      <c r="F39" s="283" t="s">
        <v>127</v>
      </c>
      <c r="G39" s="287">
        <v>12</v>
      </c>
      <c r="H39" s="249" t="str">
        <f>IF(G39&lt;=0,"",IF(G39&lt;=2,"Muy Baja",IF(G39&lt;=24,"Baja",IF(G39&lt;=500,"Media",IF(G39&lt;=5000,"Alta","Muy Alta")))))</f>
        <v>Baja</v>
      </c>
      <c r="I39" s="245">
        <f>IF(H39="","",IF(H39="Muy Baja",0.2,IF(H39="Baja",0.4,IF(H39="Media",0.6,IF(H39="Alta",0.8,IF(H39="Muy Alta",1,))))))</f>
        <v>0.4</v>
      </c>
      <c r="J39" s="247" t="s">
        <v>152</v>
      </c>
      <c r="K39" s="245" t="str">
        <f>IF(NOT(ISERROR(MATCH(J39,'Tabla Impacto'!$B$221:$B$223,0))),'Tabla Impacto'!$F$228&amp;"Por favor no seleccionar los criterios de impacto(Afectación Económica o presupuestal y Pérdida Reputacional)",J39)</f>
        <v xml:space="preserve">     El riesgo afecta la imagen de alguna área de la organización</v>
      </c>
      <c r="L39" s="249" t="str">
        <f>IF(OR(K39='Tabla Impacto'!$C$11,K39='Tabla Impacto'!$D$11),"Leve",IF(OR(K39='Tabla Impacto'!$C$12,K39='Tabla Impacto'!$D$12),"Menor",IF(OR(K39='Tabla Impacto'!$C$13,K39='Tabla Impacto'!$D$13),"Moderado",IF(OR(K39='Tabla Impacto'!$C$14,K39='Tabla Impacto'!$D$14),"Mayor",IF(OR(K39='Tabla Impacto'!$C$15,K39='Tabla Impacto'!$D$15),"Catastrófico","")))))</f>
        <v>Leve</v>
      </c>
      <c r="M39" s="245">
        <f>IF(L39="","",IF(L39="Leve",0.2,IF(L39="Menor",0.4,IF(L39="Moderado",0.6,IF(L39="Mayor",0.8,IF(L39="Catastrófico",1,))))))</f>
        <v>0.2</v>
      </c>
      <c r="N39" s="291"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Bajo</v>
      </c>
      <c r="O39" s="281">
        <v>1</v>
      </c>
      <c r="P39" s="334" t="s">
        <v>343</v>
      </c>
      <c r="Q39" s="317" t="str">
        <f>IF(OR(R39="Preventivo",R39="Detectivo"),"Probabilidad",IF(R39="Correctivo","Impacto",""))</f>
        <v>Probabilidad</v>
      </c>
      <c r="R39" s="319" t="s">
        <v>129</v>
      </c>
      <c r="S39" s="319" t="s">
        <v>138</v>
      </c>
      <c r="T39" s="321" t="str">
        <f>IF(AND(R39="Preventivo",S39="Automático"),"50%",IF(AND(R39="Preventivo",S39="Manual"),"40%",IF(AND(R39="Detectivo",S39="Automático"),"40%",IF(AND(R39="Detectivo",S39="Manual"),"30%",IF(AND(R39="Correctivo",S39="Automático"),"35%",IF(AND(R39="Correctivo",S39="Manual"),"25%",""))))))</f>
        <v>50%</v>
      </c>
      <c r="U39" s="319" t="s">
        <v>131</v>
      </c>
      <c r="V39" s="319" t="s">
        <v>132</v>
      </c>
      <c r="W39" s="319" t="s">
        <v>133</v>
      </c>
      <c r="X39" s="165">
        <f>IFERROR(IF(Q39="Probabilidad",(I39-(+I39*T39)),IF(Q39="Impacto",I39,"")),"")</f>
        <v>0.2</v>
      </c>
      <c r="Y39" s="323" t="str">
        <f>IFERROR(IF(X39="","",IF(X39&lt;=0.2,"Muy Baja",IF(X39&lt;=0.4,"Baja",IF(X39&lt;=0.6,"Media",IF(X39&lt;=0.8,"Alta","Muy Alta"))))),"")</f>
        <v>Muy Baja</v>
      </c>
      <c r="Z39" s="321">
        <f>+X39</f>
        <v>0.2</v>
      </c>
      <c r="AA39" s="323" t="str">
        <f>IFERROR(IF(AB39="","",IF(AB39&lt;=0.2,"Leve",IF(AB39&lt;=0.4,"Menor",IF(AB39&lt;=0.6,"Moderado",IF(AB39&lt;=0.8,"Mayor","Catastrófico"))))),"")</f>
        <v>Leve</v>
      </c>
      <c r="AB39" s="321">
        <f>IFERROR(IF(Q39="Impacto",(M39-(+M39*T39)),IF(Q39="Probabilidad",M39,"")),"")</f>
        <v>0.2</v>
      </c>
      <c r="AC39" s="325"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Bajo</v>
      </c>
      <c r="AD39" s="319" t="s">
        <v>139</v>
      </c>
      <c r="AE39" s="283"/>
      <c r="AF39" s="283"/>
      <c r="AG39" s="283"/>
      <c r="AH39" s="283"/>
      <c r="AI39" s="283"/>
      <c r="AJ39" s="283"/>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72.75" customHeight="1" x14ac:dyDescent="0.3">
      <c r="A40" s="282"/>
      <c r="B40" s="284"/>
      <c r="C40" s="181" t="s">
        <v>158</v>
      </c>
      <c r="D40" s="286"/>
      <c r="E40" s="290"/>
      <c r="F40" s="284"/>
      <c r="G40" s="288"/>
      <c r="H40" s="250"/>
      <c r="I40" s="246"/>
      <c r="J40" s="248"/>
      <c r="K40" s="246">
        <f>IF(NOT(ISERROR(MATCH(J40,_xlfn.ANCHORARRAY(E43),0))),#REF!&amp;"Por favor no seleccionar los criterios de impacto",J40)</f>
        <v>0</v>
      </c>
      <c r="L40" s="250"/>
      <c r="M40" s="246"/>
      <c r="N40" s="292"/>
      <c r="O40" s="282"/>
      <c r="P40" s="335"/>
      <c r="Q40" s="318"/>
      <c r="R40" s="320"/>
      <c r="S40" s="320"/>
      <c r="T40" s="322"/>
      <c r="U40" s="320"/>
      <c r="V40" s="320"/>
      <c r="W40" s="320"/>
      <c r="X40" s="165" t="str">
        <f>IFERROR(IF(AND(Q39="Probabilidad",Q40="Probabilidad"),(Z39-(+Z39*T40)),IF(Q40="Probabilidad",(I39-(+I39*T40)),IF(Q40="Impacto",Z39,""))),"")</f>
        <v/>
      </c>
      <c r="Y40" s="324"/>
      <c r="Z40" s="322"/>
      <c r="AA40" s="324"/>
      <c r="AB40" s="322"/>
      <c r="AC40" s="326"/>
      <c r="AD40" s="320"/>
      <c r="AE40" s="284"/>
      <c r="AF40" s="284"/>
      <c r="AG40" s="284"/>
      <c r="AH40" s="284"/>
      <c r="AI40" s="284"/>
      <c r="AJ40" s="28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93.75" customHeight="1" x14ac:dyDescent="0.3">
      <c r="A41" s="281">
        <v>6</v>
      </c>
      <c r="B41" s="283" t="s">
        <v>159</v>
      </c>
      <c r="C41" s="181" t="s">
        <v>160</v>
      </c>
      <c r="D41" s="285" t="s">
        <v>161</v>
      </c>
      <c r="E41" s="289" t="s">
        <v>162</v>
      </c>
      <c r="F41" s="283" t="s">
        <v>163</v>
      </c>
      <c r="G41" s="287">
        <v>313</v>
      </c>
      <c r="H41" s="249" t="str">
        <f>IF(G41&lt;=0,"",IF(G41&lt;=2,"Muy Baja",IF(G41&lt;=24,"Baja",IF(G41&lt;=500,"Media",IF(G41&lt;=5000,"Alta","Muy Alta")))))</f>
        <v>Media</v>
      </c>
      <c r="I41" s="245">
        <f>IF(H41="","",IF(H41="Muy Baja",0.2,IF(H41="Baja",0.4,IF(H41="Media",0.6,IF(H41="Alta",0.8,IF(H41="Muy Alta",1,))))))</f>
        <v>0.6</v>
      </c>
      <c r="J41" s="247" t="s">
        <v>164</v>
      </c>
      <c r="K41" s="245" t="str">
        <f>IF(NOT(ISERROR(MATCH(J41,'Tabla Impacto'!$B$221:$B$223,0))),'Tabla Impacto'!$F$228&amp;"Por favor no seleccionar los criterios de impacto(Afectación Económica o presupuestal y Pérdida Reputacional)",J41)</f>
        <v>Entre 1-12.500</v>
      </c>
      <c r="L41" s="249" t="s">
        <v>165</v>
      </c>
      <c r="M41" s="245">
        <f>IF(L41="","",IF(L41="Leve",0.2,IF(L41="Menor",0.4,IF(L41="Moderado",0.6,IF(L41="Mayor",0.8,IF(L41="Catastrófico",1,))))))</f>
        <v>0.2</v>
      </c>
      <c r="N41" s="291"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281">
        <v>1</v>
      </c>
      <c r="P41" s="334" t="s">
        <v>344</v>
      </c>
      <c r="Q41" s="317" t="str">
        <f>IF(OR(R41="Preventivo",R41="Detectivo"),"Probabilidad",IF(R41="Correctivo","Impacto",""))</f>
        <v>Probabilidad</v>
      </c>
      <c r="R41" s="319" t="s">
        <v>166</v>
      </c>
      <c r="S41" s="319" t="s">
        <v>130</v>
      </c>
      <c r="T41" s="321" t="str">
        <f>IF(AND(R41="Preventivo",S41="Automático"),"50%",IF(AND(R41="Preventivo",S41="Manual"),"40%",IF(AND(R41="Detectivo",S41="Automático"),"40%",IF(AND(R41="Detectivo",S41="Manual"),"30%",IF(AND(R41="Correctivo",S41="Automático"),"35%",IF(AND(R41="Correctivo",S41="Manual"),"25%",""))))))</f>
        <v>30%</v>
      </c>
      <c r="U41" s="319" t="s">
        <v>131</v>
      </c>
      <c r="V41" s="319" t="s">
        <v>132</v>
      </c>
      <c r="W41" s="319" t="s">
        <v>133</v>
      </c>
      <c r="X41" s="165">
        <f>IFERROR(IF(Q41="Probabilidad",(I41-(+I41*T41)),IF(Q41="Impacto",I41,"")),"")</f>
        <v>0.42</v>
      </c>
      <c r="Y41" s="323" t="str">
        <f>IFERROR(IF(X41="","",IF(X41&lt;=0.2,"Muy Baja",IF(X41&lt;=0.4,"Baja",IF(X41&lt;=0.6,"Media",IF(X41&lt;=0.8,"Alta","Muy Alta"))))),"")</f>
        <v>Media</v>
      </c>
      <c r="Z41" s="321">
        <f>+X41</f>
        <v>0.42</v>
      </c>
      <c r="AA41" s="323" t="str">
        <f>IFERROR(IF(AB41="","",IF(AB41&lt;=0.2,"Leve",IF(AB41&lt;=0.4,"Menor",IF(AB41&lt;=0.6,"Moderado",IF(AB41&lt;=0.8,"Mayor","Catastrófico"))))),"")</f>
        <v>Leve</v>
      </c>
      <c r="AB41" s="321">
        <f>IFERROR(IF(Q41="Impacto",(M41-(+M41*T41)),IF(Q41="Probabilidad",M41,"")),"")</f>
        <v>0.2</v>
      </c>
      <c r="AC41" s="325"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319" t="s">
        <v>139</v>
      </c>
      <c r="AE41" s="283"/>
      <c r="AF41" s="283"/>
      <c r="AG41" s="283"/>
      <c r="AH41" s="283"/>
      <c r="AI41" s="283"/>
      <c r="AJ41" s="283"/>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07.25" customHeight="1" x14ac:dyDescent="0.3">
      <c r="A42" s="282"/>
      <c r="B42" s="284"/>
      <c r="C42" s="181" t="s">
        <v>167</v>
      </c>
      <c r="D42" s="286"/>
      <c r="E42" s="290"/>
      <c r="F42" s="284"/>
      <c r="G42" s="288"/>
      <c r="H42" s="250"/>
      <c r="I42" s="246"/>
      <c r="J42" s="248"/>
      <c r="K42" s="246">
        <f>IF(NOT(ISERROR(MATCH(J42,_xlfn.ANCHORARRAY(#REF!),0))),#REF!&amp;"Por favor no seleccionar los criterios de impacto",J42)</f>
        <v>0</v>
      </c>
      <c r="L42" s="250"/>
      <c r="M42" s="246"/>
      <c r="N42" s="292"/>
      <c r="O42" s="332"/>
      <c r="P42" s="336"/>
      <c r="Q42" s="333"/>
      <c r="R42" s="330"/>
      <c r="S42" s="330"/>
      <c r="T42" s="328"/>
      <c r="U42" s="330"/>
      <c r="V42" s="330"/>
      <c r="W42" s="330"/>
      <c r="X42" s="165" t="str">
        <f>IFERROR(IF(AND(Q41="Probabilidad",Q42="Probabilidad"),(Z41-(+Z41*T42)),IF(Q42="Probabilidad",(I41-(+I41*T42)),IF(Q42="Impacto",Z41,""))),"")</f>
        <v/>
      </c>
      <c r="Y42" s="327"/>
      <c r="Z42" s="328"/>
      <c r="AA42" s="327"/>
      <c r="AB42" s="328"/>
      <c r="AC42" s="329"/>
      <c r="AD42" s="330"/>
      <c r="AE42" s="331"/>
      <c r="AF42" s="331"/>
      <c r="AG42" s="331"/>
      <c r="AH42" s="331"/>
      <c r="AI42" s="331"/>
      <c r="AJ42" s="331"/>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63.75" customHeight="1" x14ac:dyDescent="0.3">
      <c r="A43" s="281">
        <v>7</v>
      </c>
      <c r="B43" s="283" t="s">
        <v>123</v>
      </c>
      <c r="C43" s="181" t="s">
        <v>168</v>
      </c>
      <c r="D43" s="285" t="s">
        <v>169</v>
      </c>
      <c r="E43" s="289" t="s">
        <v>170</v>
      </c>
      <c r="F43" s="283" t="s">
        <v>171</v>
      </c>
      <c r="G43" s="287">
        <v>150</v>
      </c>
      <c r="H43" s="249" t="str">
        <f>IF(G43&lt;=0,"",IF(G43&lt;=2,"Muy Baja",IF(G43&lt;=24,"Baja",IF(G43&lt;=500,"Media",IF(G43&lt;=5000,"Alta","Muy Alta")))))</f>
        <v>Media</v>
      </c>
      <c r="I43" s="245">
        <f>IF(H43="","",IF(H43="Muy Baja",0.2,IF(H43="Baja",0.4,IF(H43="Media",0.6,IF(H43="Alta",0.8,IF(H43="Muy Alta",1,))))))</f>
        <v>0.6</v>
      </c>
      <c r="J43" s="247" t="s">
        <v>152</v>
      </c>
      <c r="K43" s="245" t="str">
        <f>IF(NOT(ISERROR(MATCH(J43,'Tabla Impacto'!$B$221:$B$223,0))),'Tabla Impacto'!$F$228&amp;"Por favor no seleccionar los criterios de impacto(Afectación Económica o presupuestal y Pérdida Reputacional)",J43)</f>
        <v xml:space="preserve">     El riesgo afecta la imagen de alguna área de la organización</v>
      </c>
      <c r="L43" s="249" t="s">
        <v>165</v>
      </c>
      <c r="M43" s="245">
        <f>IF(L43="","",IF(L43="Leve",0.2,IF(L43="Menor",0.4,IF(L43="Moderado",0.6,IF(L43="Mayor",0.8,IF(L43="Catastrófico",1,))))))</f>
        <v>0.2</v>
      </c>
      <c r="N43" s="291"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281">
        <v>1</v>
      </c>
      <c r="P43" s="334" t="s">
        <v>359</v>
      </c>
      <c r="Q43" s="317" t="str">
        <f>IF(OR(R43="Preventivo",R43="Detectivo"),"Probabilidad",IF(R43="Correctivo","Impacto",""))</f>
        <v>Probabilidad</v>
      </c>
      <c r="R43" s="319" t="s">
        <v>129</v>
      </c>
      <c r="S43" s="319" t="s">
        <v>130</v>
      </c>
      <c r="T43" s="321" t="str">
        <f>IF(AND(R43="Preventivo",S43="Automático"),"50%",IF(AND(R43="Preventivo",S43="Manual"),"40%",IF(AND(R43="Detectivo",S43="Automático"),"40%",IF(AND(R43="Detectivo",S43="Manual"),"30%",IF(AND(R43="Correctivo",S43="Automático"),"35%",IF(AND(R43="Correctivo",S43="Manual"),"25%",""))))))</f>
        <v>40%</v>
      </c>
      <c r="U43" s="319" t="s">
        <v>131</v>
      </c>
      <c r="V43" s="319" t="s">
        <v>132</v>
      </c>
      <c r="W43" s="319" t="s">
        <v>133</v>
      </c>
      <c r="X43" s="165">
        <f>IFERROR(IF(Q43="Probabilidad",(I43-(+I43*T43)),IF(Q43="Impacto",I43,"")),"")</f>
        <v>0.36</v>
      </c>
      <c r="Y43" s="323" t="str">
        <f>IFERROR(IF(X43="","",IF(X43&lt;=0.2,"Muy Baja",IF(X43&lt;=0.4,"Baja",IF(X43&lt;=0.6,"Media",IF(X43&lt;=0.8,"Alta","Muy Alta"))))),"")</f>
        <v>Baja</v>
      </c>
      <c r="Z43" s="321">
        <f>+X43</f>
        <v>0.36</v>
      </c>
      <c r="AA43" s="323" t="str">
        <f>IFERROR(IF(AB43="","",IF(AB43&lt;=0.2,"Leve",IF(AB43&lt;=0.4,"Menor",IF(AB43&lt;=0.6,"Moderado",IF(AB43&lt;=0.8,"Mayor","Catastrófico"))))),"")</f>
        <v>Leve</v>
      </c>
      <c r="AB43" s="321">
        <f>IFERROR(IF(Q43="Impacto",(M43-(+M43*T43)),IF(Q43="Probabilidad",M43,"")),"")</f>
        <v>0.2</v>
      </c>
      <c r="AC43" s="325"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Bajo</v>
      </c>
      <c r="AD43" s="319" t="s">
        <v>139</v>
      </c>
      <c r="AE43" s="283"/>
      <c r="AF43" s="283"/>
      <c r="AG43" s="283"/>
      <c r="AH43" s="283"/>
      <c r="AI43" s="283"/>
      <c r="AJ43" s="283"/>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63.75" customHeight="1" x14ac:dyDescent="0.3">
      <c r="A44" s="282"/>
      <c r="B44" s="284"/>
      <c r="C44" s="181" t="s">
        <v>172</v>
      </c>
      <c r="D44" s="286"/>
      <c r="E44" s="290"/>
      <c r="F44" s="284"/>
      <c r="G44" s="288"/>
      <c r="H44" s="250"/>
      <c r="I44" s="246"/>
      <c r="J44" s="248"/>
      <c r="K44" s="246"/>
      <c r="L44" s="250"/>
      <c r="M44" s="246"/>
      <c r="N44" s="292"/>
      <c r="O44" s="282"/>
      <c r="P44" s="335"/>
      <c r="Q44" s="318"/>
      <c r="R44" s="320"/>
      <c r="S44" s="320"/>
      <c r="T44" s="322"/>
      <c r="U44" s="320"/>
      <c r="V44" s="320"/>
      <c r="W44" s="320"/>
      <c r="X44" s="165"/>
      <c r="Y44" s="324"/>
      <c r="Z44" s="322"/>
      <c r="AA44" s="324"/>
      <c r="AB44" s="322"/>
      <c r="AC44" s="326"/>
      <c r="AD44" s="320"/>
      <c r="AE44" s="284"/>
      <c r="AF44" s="284"/>
      <c r="AG44" s="284"/>
      <c r="AH44" s="284"/>
      <c r="AI44" s="284"/>
      <c r="AJ44" s="28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63.75" customHeight="1" x14ac:dyDescent="0.3">
      <c r="A45" s="282"/>
      <c r="B45" s="284"/>
      <c r="C45" s="181" t="s">
        <v>173</v>
      </c>
      <c r="D45" s="286"/>
      <c r="E45" s="290"/>
      <c r="F45" s="284"/>
      <c r="G45" s="288"/>
      <c r="H45" s="250"/>
      <c r="I45" s="246"/>
      <c r="J45" s="248"/>
      <c r="K45" s="246"/>
      <c r="L45" s="250"/>
      <c r="M45" s="246"/>
      <c r="N45" s="292"/>
      <c r="O45" s="282"/>
      <c r="P45" s="335"/>
      <c r="Q45" s="318"/>
      <c r="R45" s="320"/>
      <c r="S45" s="320"/>
      <c r="T45" s="322"/>
      <c r="U45" s="320"/>
      <c r="V45" s="320"/>
      <c r="W45" s="320"/>
      <c r="X45" s="165"/>
      <c r="Y45" s="324"/>
      <c r="Z45" s="322"/>
      <c r="AA45" s="324"/>
      <c r="AB45" s="322"/>
      <c r="AC45" s="326"/>
      <c r="AD45" s="320"/>
      <c r="AE45" s="284"/>
      <c r="AF45" s="284"/>
      <c r="AG45" s="284"/>
      <c r="AH45" s="284"/>
      <c r="AI45" s="284"/>
      <c r="AJ45" s="28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82"/>
      <c r="B46" s="284"/>
      <c r="C46" s="181" t="s">
        <v>174</v>
      </c>
      <c r="D46" s="286"/>
      <c r="E46" s="290"/>
      <c r="F46" s="284"/>
      <c r="G46" s="288"/>
      <c r="H46" s="250"/>
      <c r="I46" s="246"/>
      <c r="J46" s="248"/>
      <c r="K46" s="246"/>
      <c r="L46" s="250"/>
      <c r="M46" s="246"/>
      <c r="N46" s="292"/>
      <c r="O46" s="282"/>
      <c r="P46" s="335"/>
      <c r="Q46" s="318"/>
      <c r="R46" s="320"/>
      <c r="S46" s="320"/>
      <c r="T46" s="322"/>
      <c r="U46" s="320"/>
      <c r="V46" s="320"/>
      <c r="W46" s="320"/>
      <c r="X46" s="165"/>
      <c r="Y46" s="324"/>
      <c r="Z46" s="322"/>
      <c r="AA46" s="324"/>
      <c r="AB46" s="322"/>
      <c r="AC46" s="326"/>
      <c r="AD46" s="320"/>
      <c r="AE46" s="284"/>
      <c r="AF46" s="284"/>
      <c r="AG46" s="284"/>
      <c r="AH46" s="284"/>
      <c r="AI46" s="284"/>
      <c r="AJ46" s="28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63.75" customHeight="1" x14ac:dyDescent="0.3">
      <c r="A47" s="282"/>
      <c r="B47" s="284"/>
      <c r="C47" s="181" t="s">
        <v>175</v>
      </c>
      <c r="D47" s="286"/>
      <c r="E47" s="290"/>
      <c r="F47" s="284"/>
      <c r="G47" s="288"/>
      <c r="H47" s="250"/>
      <c r="I47" s="246"/>
      <c r="J47" s="248"/>
      <c r="K47" s="246"/>
      <c r="L47" s="250"/>
      <c r="M47" s="246"/>
      <c r="N47" s="292"/>
      <c r="O47" s="282"/>
      <c r="P47" s="335"/>
      <c r="Q47" s="318"/>
      <c r="R47" s="320"/>
      <c r="S47" s="320"/>
      <c r="T47" s="322"/>
      <c r="U47" s="320"/>
      <c r="V47" s="320"/>
      <c r="W47" s="320"/>
      <c r="X47" s="165"/>
      <c r="Y47" s="324"/>
      <c r="Z47" s="322"/>
      <c r="AA47" s="324"/>
      <c r="AB47" s="322"/>
      <c r="AC47" s="326"/>
      <c r="AD47" s="320"/>
      <c r="AE47" s="284"/>
      <c r="AF47" s="284"/>
      <c r="AG47" s="284"/>
      <c r="AH47" s="284"/>
      <c r="AI47" s="284"/>
      <c r="AJ47" s="28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49.5" customHeight="1" x14ac:dyDescent="0.3">
      <c r="A48" s="6"/>
      <c r="B48" s="314" t="s">
        <v>176</v>
      </c>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6"/>
    </row>
    <row r="50" spans="2:2" s="1" customFormat="1" x14ac:dyDescent="0.3">
      <c r="B50" s="24"/>
    </row>
  </sheetData>
  <dataConsolidate/>
  <mergeCells count="281">
    <mergeCell ref="T31:T34"/>
    <mergeCell ref="S31:S34"/>
    <mergeCell ref="R31:R34"/>
    <mergeCell ref="Q31:Q34"/>
    <mergeCell ref="P31:P34"/>
    <mergeCell ref="O31:O34"/>
    <mergeCell ref="L31:L34"/>
    <mergeCell ref="K31:K34"/>
    <mergeCell ref="J31:J34"/>
    <mergeCell ref="M31:M34"/>
    <mergeCell ref="N31:N34"/>
    <mergeCell ref="AD31:AD34"/>
    <mergeCell ref="AC31:AC34"/>
    <mergeCell ref="AB31:AB34"/>
    <mergeCell ref="AA31:AA34"/>
    <mergeCell ref="Z31:Z34"/>
    <mergeCell ref="Y31:Y34"/>
    <mergeCell ref="W31:W34"/>
    <mergeCell ref="V31:V34"/>
    <mergeCell ref="U31:U34"/>
    <mergeCell ref="P39:P40"/>
    <mergeCell ref="O39:O40"/>
    <mergeCell ref="Q39:Q40"/>
    <mergeCell ref="R39:R40"/>
    <mergeCell ref="S39:S40"/>
    <mergeCell ref="T39:T40"/>
    <mergeCell ref="U39:U40"/>
    <mergeCell ref="AI39:AI40"/>
    <mergeCell ref="AJ39:AJ40"/>
    <mergeCell ref="AH39:AH40"/>
    <mergeCell ref="Z39:Z40"/>
    <mergeCell ref="AA39:AA40"/>
    <mergeCell ref="AB39:AB40"/>
    <mergeCell ref="AC39:AC40"/>
    <mergeCell ref="AD39:AD40"/>
    <mergeCell ref="AE39:AE40"/>
    <mergeCell ref="AF39:AF40"/>
    <mergeCell ref="AG39:AG40"/>
    <mergeCell ref="P41:P42"/>
    <mergeCell ref="O41:O42"/>
    <mergeCell ref="Q41:Q42"/>
    <mergeCell ref="R41:R42"/>
    <mergeCell ref="S41:S42"/>
    <mergeCell ref="T41:T42"/>
    <mergeCell ref="U41:U42"/>
    <mergeCell ref="V41:V42"/>
    <mergeCell ref="W41:W42"/>
    <mergeCell ref="Y41:Y42"/>
    <mergeCell ref="Z41:Z42"/>
    <mergeCell ref="AA41:AA42"/>
    <mergeCell ref="AB41:AB42"/>
    <mergeCell ref="AC41:AC42"/>
    <mergeCell ref="AD41:AD42"/>
    <mergeCell ref="AE41:AE42"/>
    <mergeCell ref="AF41:AF42"/>
    <mergeCell ref="AG41:AG42"/>
    <mergeCell ref="AH41:AH42"/>
    <mergeCell ref="AI41:AI42"/>
    <mergeCell ref="AJ41:AJ42"/>
    <mergeCell ref="Y39:Y40"/>
    <mergeCell ref="V39:V40"/>
    <mergeCell ref="W39:W40"/>
    <mergeCell ref="P35:P38"/>
    <mergeCell ref="O35:O38"/>
    <mergeCell ref="Q35:Q38"/>
    <mergeCell ref="R35:R38"/>
    <mergeCell ref="S35:S38"/>
    <mergeCell ref="T35:T38"/>
    <mergeCell ref="U35:U38"/>
    <mergeCell ref="V35:V38"/>
    <mergeCell ref="W35:W38"/>
    <mergeCell ref="Y35:Y38"/>
    <mergeCell ref="Z35:Z38"/>
    <mergeCell ref="AA35:AA38"/>
    <mergeCell ref="AB35:AB38"/>
    <mergeCell ref="AC35:AC38"/>
    <mergeCell ref="AD35:AD38"/>
    <mergeCell ref="AE35:AE38"/>
    <mergeCell ref="AF35:AF38"/>
    <mergeCell ref="AG35:AG38"/>
    <mergeCell ref="AH35:AH38"/>
    <mergeCell ref="AI35:AI38"/>
    <mergeCell ref="AJ35:AJ38"/>
    <mergeCell ref="AH28:AH30"/>
    <mergeCell ref="AI28:AI30"/>
    <mergeCell ref="AJ28:AJ30"/>
    <mergeCell ref="AE26:AE27"/>
    <mergeCell ref="AF26:AF27"/>
    <mergeCell ref="AG26:AG27"/>
    <mergeCell ref="AH26:AH27"/>
    <mergeCell ref="AI26:AI27"/>
    <mergeCell ref="AJ26:AJ27"/>
    <mergeCell ref="AJ31:AJ34"/>
    <mergeCell ref="AI31:AI34"/>
    <mergeCell ref="AH31:AH34"/>
    <mergeCell ref="AG31:AG34"/>
    <mergeCell ref="AF31:AF34"/>
    <mergeCell ref="AE31:AE34"/>
    <mergeCell ref="P28:P30"/>
    <mergeCell ref="O28:O30"/>
    <mergeCell ref="Q28:Q30"/>
    <mergeCell ref="R28:R30"/>
    <mergeCell ref="S28:S30"/>
    <mergeCell ref="T28:T30"/>
    <mergeCell ref="U28:U30"/>
    <mergeCell ref="V28:V30"/>
    <mergeCell ref="W28:W30"/>
    <mergeCell ref="Y28:Y30"/>
    <mergeCell ref="Z28:Z30"/>
    <mergeCell ref="AA28:AA30"/>
    <mergeCell ref="AB28:AB30"/>
    <mergeCell ref="AC28:AC30"/>
    <mergeCell ref="AD28:AD30"/>
    <mergeCell ref="AE28:AE30"/>
    <mergeCell ref="AF28:AF30"/>
    <mergeCell ref="AG28:AG30"/>
    <mergeCell ref="AH43:AH47"/>
    <mergeCell ref="AI43:AI47"/>
    <mergeCell ref="AJ43:AJ47"/>
    <mergeCell ref="Y43:Y47"/>
    <mergeCell ref="Z43:Z47"/>
    <mergeCell ref="AA43:AA47"/>
    <mergeCell ref="AB43:AB47"/>
    <mergeCell ref="AC43:AC47"/>
    <mergeCell ref="AD43:AD47"/>
    <mergeCell ref="AE43:AE47"/>
    <mergeCell ref="AF43:AF47"/>
    <mergeCell ref="AG43:AG47"/>
    <mergeCell ref="O43:O47"/>
    <mergeCell ref="P43:P47"/>
    <mergeCell ref="Q43:Q47"/>
    <mergeCell ref="R43:R47"/>
    <mergeCell ref="S43:S47"/>
    <mergeCell ref="T43:T47"/>
    <mergeCell ref="U43:U47"/>
    <mergeCell ref="V43:V47"/>
    <mergeCell ref="W43:W47"/>
    <mergeCell ref="C20:N20"/>
    <mergeCell ref="O20:Q20"/>
    <mergeCell ref="A17:AJ18"/>
    <mergeCell ref="A23:G23"/>
    <mergeCell ref="H23:N23"/>
    <mergeCell ref="O23:W23"/>
    <mergeCell ref="X23:AD23"/>
    <mergeCell ref="AE23:AJ23"/>
    <mergeCell ref="B48:AJ48"/>
    <mergeCell ref="M43:M47"/>
    <mergeCell ref="N43:N47"/>
    <mergeCell ref="F43:F47"/>
    <mergeCell ref="G43:G47"/>
    <mergeCell ref="H43:H47"/>
    <mergeCell ref="I43:I47"/>
    <mergeCell ref="G41:G42"/>
    <mergeCell ref="H41:H42"/>
    <mergeCell ref="I41:I42"/>
    <mergeCell ref="K39:K40"/>
    <mergeCell ref="L39:L40"/>
    <mergeCell ref="A43:A47"/>
    <mergeCell ref="B43:B47"/>
    <mergeCell ref="D43:D47"/>
    <mergeCell ref="E43:E47"/>
    <mergeCell ref="M39:M40"/>
    <mergeCell ref="N39:N40"/>
    <mergeCell ref="M41:M42"/>
    <mergeCell ref="N41:N42"/>
    <mergeCell ref="J43:J47"/>
    <mergeCell ref="K43:K47"/>
    <mergeCell ref="L43:L47"/>
    <mergeCell ref="A39:A40"/>
    <mergeCell ref="B39:B40"/>
    <mergeCell ref="A41:A42"/>
    <mergeCell ref="B41:B42"/>
    <mergeCell ref="D41:D42"/>
    <mergeCell ref="E41:E42"/>
    <mergeCell ref="F41:F42"/>
    <mergeCell ref="D39:D40"/>
    <mergeCell ref="E39:E40"/>
    <mergeCell ref="J41:J42"/>
    <mergeCell ref="K41:K42"/>
    <mergeCell ref="L41:L42"/>
    <mergeCell ref="F39:F40"/>
    <mergeCell ref="G39:G40"/>
    <mergeCell ref="H39:H40"/>
    <mergeCell ref="I39:I40"/>
    <mergeCell ref="J39:J40"/>
    <mergeCell ref="K35:K38"/>
    <mergeCell ref="L35:L38"/>
    <mergeCell ref="M35:M38"/>
    <mergeCell ref="N35:N38"/>
    <mergeCell ref="F31:F34"/>
    <mergeCell ref="E31:E34"/>
    <mergeCell ref="D31:D34"/>
    <mergeCell ref="B31:B34"/>
    <mergeCell ref="A31:A34"/>
    <mergeCell ref="A35:A38"/>
    <mergeCell ref="B35:B38"/>
    <mergeCell ref="D35:D38"/>
    <mergeCell ref="E35:E38"/>
    <mergeCell ref="F35:F38"/>
    <mergeCell ref="G35:G38"/>
    <mergeCell ref="H35:H38"/>
    <mergeCell ref="I35:I38"/>
    <mergeCell ref="J35:J38"/>
    <mergeCell ref="I31:I34"/>
    <mergeCell ref="H31:H34"/>
    <mergeCell ref="G31:G34"/>
    <mergeCell ref="K28:K30"/>
    <mergeCell ref="L28:L30"/>
    <mergeCell ref="M28:M30"/>
    <mergeCell ref="N28:N30"/>
    <mergeCell ref="F28:F30"/>
    <mergeCell ref="G28:G30"/>
    <mergeCell ref="H28:H30"/>
    <mergeCell ref="I28:I30"/>
    <mergeCell ref="J28:J30"/>
    <mergeCell ref="A28:A30"/>
    <mergeCell ref="B28:B30"/>
    <mergeCell ref="D28:D30"/>
    <mergeCell ref="E28:E30"/>
    <mergeCell ref="AE24:AE25"/>
    <mergeCell ref="AJ24:AJ25"/>
    <mergeCell ref="AI24:AI25"/>
    <mergeCell ref="AH24:AH25"/>
    <mergeCell ref="AG24:AG25"/>
    <mergeCell ref="AF24:AF25"/>
    <mergeCell ref="B24:B25"/>
    <mergeCell ref="N24:N25"/>
    <mergeCell ref="J24:J25"/>
    <mergeCell ref="K24:K25"/>
    <mergeCell ref="Q24:Q25"/>
    <mergeCell ref="R24:W24"/>
    <mergeCell ref="F26:F27"/>
    <mergeCell ref="G26:G27"/>
    <mergeCell ref="H26:H27"/>
    <mergeCell ref="A26:A27"/>
    <mergeCell ref="B26:B27"/>
    <mergeCell ref="D26:D27"/>
    <mergeCell ref="E26:E27"/>
    <mergeCell ref="N26:N27"/>
    <mergeCell ref="D24:D25"/>
    <mergeCell ref="C24:C25"/>
    <mergeCell ref="AD24:AD25"/>
    <mergeCell ref="C21:N21"/>
    <mergeCell ref="C22:N22"/>
    <mergeCell ref="O24:O25"/>
    <mergeCell ref="AC24:AC25"/>
    <mergeCell ref="AB24:AB25"/>
    <mergeCell ref="X24:X25"/>
    <mergeCell ref="P24:P25"/>
    <mergeCell ref="AA24:AA25"/>
    <mergeCell ref="Y24:Y25"/>
    <mergeCell ref="Z24:Z25"/>
    <mergeCell ref="G24:G25"/>
    <mergeCell ref="H24:H25"/>
    <mergeCell ref="I24:I25"/>
    <mergeCell ref="L24:L25"/>
    <mergeCell ref="M24:M25"/>
    <mergeCell ref="I26:I27"/>
    <mergeCell ref="J26:J27"/>
    <mergeCell ref="K26:K27"/>
    <mergeCell ref="L26:L27"/>
    <mergeCell ref="M26:M27"/>
    <mergeCell ref="A1:AE5"/>
    <mergeCell ref="W14:AB14"/>
    <mergeCell ref="A16:J16"/>
    <mergeCell ref="N7:S7"/>
    <mergeCell ref="W9:AB9"/>
    <mergeCell ref="P8:S8"/>
    <mergeCell ref="P9:S9"/>
    <mergeCell ref="P14:S14"/>
    <mergeCell ref="P10:S10"/>
    <mergeCell ref="P11:S11"/>
    <mergeCell ref="P12:S12"/>
    <mergeCell ref="P13:S13"/>
    <mergeCell ref="P15:S15"/>
    <mergeCell ref="A20:B20"/>
    <mergeCell ref="A21:B21"/>
    <mergeCell ref="A22:B22"/>
    <mergeCell ref="A24:A25"/>
    <mergeCell ref="F24:F25"/>
    <mergeCell ref="E24:E25"/>
  </mergeCells>
  <conditionalFormatting sqref="H26 H28:H29">
    <cfRule type="cellIs" dxfId="152" priority="337" operator="equal">
      <formula>"Muy Baja"</formula>
    </cfRule>
    <cfRule type="cellIs" dxfId="151" priority="333" operator="equal">
      <formula>"Muy Alta"</formula>
    </cfRule>
    <cfRule type="cellIs" dxfId="150" priority="336" operator="equal">
      <formula>"Baja"</formula>
    </cfRule>
    <cfRule type="cellIs" dxfId="149" priority="335" operator="equal">
      <formula>"Media"</formula>
    </cfRule>
    <cfRule type="cellIs" dxfId="148" priority="334" operator="equal">
      <formula>"Alta"</formula>
    </cfRule>
  </conditionalFormatting>
  <conditionalFormatting sqref="H31">
    <cfRule type="cellIs" dxfId="147" priority="235" operator="equal">
      <formula>"Muy Alta"</formula>
    </cfRule>
    <cfRule type="cellIs" dxfId="146" priority="239" operator="equal">
      <formula>"Muy Baja"</formula>
    </cfRule>
    <cfRule type="cellIs" dxfId="145" priority="238" operator="equal">
      <formula>"Baja"</formula>
    </cfRule>
    <cfRule type="cellIs" dxfId="144" priority="236" operator="equal">
      <formula>"Alta"</formula>
    </cfRule>
    <cfRule type="cellIs" dxfId="143" priority="237" operator="equal">
      <formula>"Media"</formula>
    </cfRule>
  </conditionalFormatting>
  <conditionalFormatting sqref="H35">
    <cfRule type="cellIs" dxfId="142" priority="209" operator="equal">
      <formula>"Media"</formula>
    </cfRule>
    <cfRule type="cellIs" dxfId="141" priority="210" operator="equal">
      <formula>"Baja"</formula>
    </cfRule>
    <cfRule type="cellIs" dxfId="140" priority="211" operator="equal">
      <formula>"Muy Baja"</formula>
    </cfRule>
    <cfRule type="cellIs" dxfId="139" priority="208" operator="equal">
      <formula>"Alta"</formula>
    </cfRule>
    <cfRule type="cellIs" dxfId="138" priority="207" operator="equal">
      <formula>"Muy Alta"</formula>
    </cfRule>
  </conditionalFormatting>
  <conditionalFormatting sqref="H39">
    <cfRule type="cellIs" dxfId="137" priority="183" operator="equal">
      <formula>"Muy Baja"</formula>
    </cfRule>
    <cfRule type="cellIs" dxfId="136" priority="179" operator="equal">
      <formula>"Muy Alta"</formula>
    </cfRule>
    <cfRule type="cellIs" dxfId="135" priority="180" operator="equal">
      <formula>"Alta"</formula>
    </cfRule>
    <cfRule type="cellIs" dxfId="134" priority="182" operator="equal">
      <formula>"Baja"</formula>
    </cfRule>
    <cfRule type="cellIs" dxfId="133" priority="181" operator="equal">
      <formula>"Media"</formula>
    </cfRule>
  </conditionalFormatting>
  <conditionalFormatting sqref="H41">
    <cfRule type="cellIs" dxfId="132" priority="154" operator="equal">
      <formula>"Baja"</formula>
    </cfRule>
    <cfRule type="cellIs" dxfId="131" priority="153" operator="equal">
      <formula>"Media"</formula>
    </cfRule>
    <cfRule type="cellIs" dxfId="130" priority="152" operator="equal">
      <formula>"Alta"</formula>
    </cfRule>
    <cfRule type="cellIs" dxfId="129" priority="151" operator="equal">
      <formula>"Muy Alta"</formula>
    </cfRule>
    <cfRule type="cellIs" dxfId="128" priority="155" operator="equal">
      <formula>"Muy Baja"</formula>
    </cfRule>
  </conditionalFormatting>
  <conditionalFormatting sqref="H43:H47">
    <cfRule type="cellIs" dxfId="127" priority="95" operator="equal">
      <formula>"Muy Alta"</formula>
    </cfRule>
    <cfRule type="cellIs" dxfId="126" priority="96" operator="equal">
      <formula>"Alta"</formula>
    </cfRule>
    <cfRule type="cellIs" dxfId="125" priority="97" operator="equal">
      <formula>"Media"</formula>
    </cfRule>
    <cfRule type="cellIs" dxfId="124" priority="98" operator="equal">
      <formula>"Baja"</formula>
    </cfRule>
    <cfRule type="cellIs" dxfId="123" priority="99" operator="equal">
      <formula>"Muy Baja"</formula>
    </cfRule>
  </conditionalFormatting>
  <conditionalFormatting sqref="K26:K47">
    <cfRule type="containsText" dxfId="122" priority="15" operator="containsText" text="❌">
      <formula>NOT(ISERROR(SEARCH("❌",K26)))</formula>
    </cfRule>
  </conditionalFormatting>
  <conditionalFormatting sqref="L26">
    <cfRule type="cellIs" dxfId="121" priority="5" operator="equal">
      <formula>"Catastrófico"</formula>
    </cfRule>
    <cfRule type="cellIs" dxfId="120" priority="9" operator="equal">
      <formula>"Leve"</formula>
    </cfRule>
    <cfRule type="cellIs" dxfId="119" priority="8" operator="equal">
      <formula>"Menor"</formula>
    </cfRule>
    <cfRule type="cellIs" dxfId="118" priority="7" operator="equal">
      <formula>"Moderado"</formula>
    </cfRule>
    <cfRule type="cellIs" dxfId="117" priority="6" operator="equal">
      <formula>"Mayor"</formula>
    </cfRule>
  </conditionalFormatting>
  <conditionalFormatting sqref="L28:L29 L31 L35 L39 L41 L43:L47">
    <cfRule type="cellIs" dxfId="116" priority="328" operator="equal">
      <formula>"Catastrófico"</formula>
    </cfRule>
    <cfRule type="cellIs" dxfId="115" priority="330" operator="equal">
      <formula>"Moderado"</formula>
    </cfRule>
    <cfRule type="cellIs" dxfId="114" priority="332" operator="equal">
      <formula>"Leve"</formula>
    </cfRule>
    <cfRule type="cellIs" dxfId="113" priority="331" operator="equal">
      <formula>"Menor"</formula>
    </cfRule>
    <cfRule type="cellIs" dxfId="112" priority="329" operator="equal">
      <formula>"Mayor"</formula>
    </cfRule>
  </conditionalFormatting>
  <conditionalFormatting sqref="N26">
    <cfRule type="cellIs" dxfId="111" priority="2" operator="equal">
      <formula>"Alto"</formula>
    </cfRule>
    <cfRule type="cellIs" dxfId="110" priority="3" operator="equal">
      <formula>"Moderado"</formula>
    </cfRule>
    <cfRule type="cellIs" dxfId="109" priority="4" operator="equal">
      <formula>"Bajo"</formula>
    </cfRule>
    <cfRule type="cellIs" dxfId="108" priority="1" operator="equal">
      <formula>"Extremo"</formula>
    </cfRule>
  </conditionalFormatting>
  <conditionalFormatting sqref="N28:N29">
    <cfRule type="cellIs" dxfId="107" priority="254" operator="equal">
      <formula>"Extremo"</formula>
    </cfRule>
    <cfRule type="cellIs" dxfId="106" priority="255" operator="equal">
      <formula>"Alto"</formula>
    </cfRule>
    <cfRule type="cellIs" dxfId="105" priority="256" operator="equal">
      <formula>"Moderado"</formula>
    </cfRule>
    <cfRule type="cellIs" dxfId="104" priority="257" operator="equal">
      <formula>"Bajo"</formula>
    </cfRule>
  </conditionalFormatting>
  <conditionalFormatting sqref="N31">
    <cfRule type="cellIs" dxfId="103" priority="229" operator="equal">
      <formula>"Bajo"</formula>
    </cfRule>
    <cfRule type="cellIs" dxfId="102" priority="228" operator="equal">
      <formula>"Moderado"</formula>
    </cfRule>
    <cfRule type="cellIs" dxfId="101" priority="226" operator="equal">
      <formula>"Extremo"</formula>
    </cfRule>
    <cfRule type="cellIs" dxfId="100" priority="227" operator="equal">
      <formula>"Alto"</formula>
    </cfRule>
  </conditionalFormatting>
  <conditionalFormatting sqref="N35">
    <cfRule type="cellIs" dxfId="99" priority="200" operator="equal">
      <formula>"Moderado"</formula>
    </cfRule>
    <cfRule type="cellIs" dxfId="98" priority="198" operator="equal">
      <formula>"Extremo"</formula>
    </cfRule>
    <cfRule type="cellIs" dxfId="97" priority="199" operator="equal">
      <formula>"Alto"</formula>
    </cfRule>
    <cfRule type="cellIs" dxfId="96" priority="201" operator="equal">
      <formula>"Bajo"</formula>
    </cfRule>
  </conditionalFormatting>
  <conditionalFormatting sqref="N39">
    <cfRule type="cellIs" dxfId="95" priority="173" operator="equal">
      <formula>"Bajo"</formula>
    </cfRule>
    <cfRule type="cellIs" dxfId="94" priority="170" operator="equal">
      <formula>"Extremo"</formula>
    </cfRule>
    <cfRule type="cellIs" dxfId="93" priority="171" operator="equal">
      <formula>"Alto"</formula>
    </cfRule>
    <cfRule type="cellIs" dxfId="92" priority="172" operator="equal">
      <formula>"Moderado"</formula>
    </cfRule>
  </conditionalFormatting>
  <conditionalFormatting sqref="N41">
    <cfRule type="cellIs" dxfId="91" priority="145" operator="equal">
      <formula>"Bajo"</formula>
    </cfRule>
    <cfRule type="cellIs" dxfId="90" priority="144" operator="equal">
      <formula>"Moderado"</formula>
    </cfRule>
    <cfRule type="cellIs" dxfId="89" priority="143" operator="equal">
      <formula>"Alto"</formula>
    </cfRule>
    <cfRule type="cellIs" dxfId="88" priority="142" operator="equal">
      <formula>"Extremo"</formula>
    </cfRule>
  </conditionalFormatting>
  <conditionalFormatting sqref="N43:N47">
    <cfRule type="cellIs" dxfId="87" priority="89" operator="equal">
      <formula>"Bajo"</formula>
    </cfRule>
    <cfRule type="cellIs" dxfId="86" priority="86" operator="equal">
      <formula>"Extremo"</formula>
    </cfRule>
    <cfRule type="cellIs" dxfId="85" priority="87" operator="equal">
      <formula>"Alto"</formula>
    </cfRule>
    <cfRule type="cellIs" dxfId="84" priority="88" operator="equal">
      <formula>"Moderado"</formula>
    </cfRule>
  </conditionalFormatting>
  <conditionalFormatting sqref="Y26:Y29">
    <cfRule type="cellIs" dxfId="83" priority="250" operator="equal">
      <formula>"Alta"</formula>
    </cfRule>
    <cfRule type="cellIs" dxfId="82" priority="251" operator="equal">
      <formula>"Media"</formula>
    </cfRule>
    <cfRule type="cellIs" dxfId="81" priority="249" operator="equal">
      <formula>"Muy Alta"</formula>
    </cfRule>
    <cfRule type="cellIs" dxfId="80" priority="252" operator="equal">
      <formula>"Baja"</formula>
    </cfRule>
    <cfRule type="cellIs" dxfId="79" priority="253" operator="equal">
      <formula>"Muy Baja"</formula>
    </cfRule>
  </conditionalFormatting>
  <conditionalFormatting sqref="Y31">
    <cfRule type="cellIs" dxfId="78" priority="223" operator="equal">
      <formula>"Media"</formula>
    </cfRule>
    <cfRule type="cellIs" dxfId="77" priority="225" operator="equal">
      <formula>"Muy Baja"</formula>
    </cfRule>
    <cfRule type="cellIs" dxfId="76" priority="224" operator="equal">
      <formula>"Baja"</formula>
    </cfRule>
    <cfRule type="cellIs" dxfId="75" priority="221" operator="equal">
      <formula>"Muy Alta"</formula>
    </cfRule>
    <cfRule type="cellIs" dxfId="74" priority="222" operator="equal">
      <formula>"Alta"</formula>
    </cfRule>
  </conditionalFormatting>
  <conditionalFormatting sqref="Y35">
    <cfRule type="cellIs" dxfId="73" priority="193" operator="equal">
      <formula>"Muy Alta"</formula>
    </cfRule>
    <cfRule type="cellIs" dxfId="72" priority="197" operator="equal">
      <formula>"Muy Baja"</formula>
    </cfRule>
    <cfRule type="cellIs" dxfId="71" priority="194" operator="equal">
      <formula>"Alta"</formula>
    </cfRule>
    <cfRule type="cellIs" dxfId="70" priority="195" operator="equal">
      <formula>"Media"</formula>
    </cfRule>
    <cfRule type="cellIs" dxfId="69" priority="196" operator="equal">
      <formula>"Baja"</formula>
    </cfRule>
  </conditionalFormatting>
  <conditionalFormatting sqref="Y39">
    <cfRule type="cellIs" dxfId="68" priority="166" operator="equal">
      <formula>"Alta"</formula>
    </cfRule>
    <cfRule type="cellIs" dxfId="67" priority="169" operator="equal">
      <formula>"Muy Baja"</formula>
    </cfRule>
    <cfRule type="cellIs" dxfId="66" priority="165" operator="equal">
      <formula>"Muy Alta"</formula>
    </cfRule>
    <cfRule type="cellIs" dxfId="65" priority="168" operator="equal">
      <formula>"Baja"</formula>
    </cfRule>
    <cfRule type="cellIs" dxfId="64" priority="167" operator="equal">
      <formula>"Media"</formula>
    </cfRule>
  </conditionalFormatting>
  <conditionalFormatting sqref="Y41">
    <cfRule type="cellIs" dxfId="63" priority="139" operator="equal">
      <formula>"Media"</formula>
    </cfRule>
    <cfRule type="cellIs" dxfId="62" priority="140" operator="equal">
      <formula>"Baja"</formula>
    </cfRule>
    <cfRule type="cellIs" dxfId="61" priority="141" operator="equal">
      <formula>"Muy Baja"</formula>
    </cfRule>
    <cfRule type="cellIs" dxfId="60" priority="137" operator="equal">
      <formula>"Muy Alta"</formula>
    </cfRule>
    <cfRule type="cellIs" dxfId="59" priority="138" operator="equal">
      <formula>"Alta"</formula>
    </cfRule>
  </conditionalFormatting>
  <conditionalFormatting sqref="Y43:Y47">
    <cfRule type="cellIs" dxfId="58" priority="85" operator="equal">
      <formula>"Muy Baja"</formula>
    </cfRule>
    <cfRule type="cellIs" dxfId="57" priority="83" operator="equal">
      <formula>"Media"</formula>
    </cfRule>
    <cfRule type="cellIs" dxfId="56" priority="81" operator="equal">
      <formula>"Muy Alta"</formula>
    </cfRule>
    <cfRule type="cellIs" dxfId="55" priority="84" operator="equal">
      <formula>"Baja"</formula>
    </cfRule>
    <cfRule type="cellIs" dxfId="54" priority="82" operator="equal">
      <formula>"Alta"</formula>
    </cfRule>
  </conditionalFormatting>
  <conditionalFormatting sqref="AA26:AA29">
    <cfRule type="cellIs" dxfId="53" priority="248" operator="equal">
      <formula>"Leve"</formula>
    </cfRule>
    <cfRule type="cellIs" dxfId="52" priority="247" operator="equal">
      <formula>"Menor"</formula>
    </cfRule>
    <cfRule type="cellIs" dxfId="51" priority="245" operator="equal">
      <formula>"Mayor"</formula>
    </cfRule>
    <cfRule type="cellIs" dxfId="50" priority="244" operator="equal">
      <formula>"Catastrófico"</formula>
    </cfRule>
    <cfRule type="cellIs" dxfId="49" priority="246" operator="equal">
      <formula>"Moderado"</formula>
    </cfRule>
  </conditionalFormatting>
  <conditionalFormatting sqref="AA31">
    <cfRule type="cellIs" dxfId="48" priority="216" operator="equal">
      <formula>"Catastrófico"</formula>
    </cfRule>
    <cfRule type="cellIs" dxfId="47" priority="217" operator="equal">
      <formula>"Mayor"</formula>
    </cfRule>
    <cfRule type="cellIs" dxfId="46" priority="218" operator="equal">
      <formula>"Moderado"</formula>
    </cfRule>
    <cfRule type="cellIs" dxfId="45" priority="219" operator="equal">
      <formula>"Menor"</formula>
    </cfRule>
    <cfRule type="cellIs" dxfId="44" priority="220" operator="equal">
      <formula>"Leve"</formula>
    </cfRule>
  </conditionalFormatting>
  <conditionalFormatting sqref="AA35">
    <cfRule type="cellIs" dxfId="43" priority="188" operator="equal">
      <formula>"Catastrófico"</formula>
    </cfRule>
    <cfRule type="cellIs" dxfId="42" priority="189" operator="equal">
      <formula>"Mayor"</formula>
    </cfRule>
    <cfRule type="cellIs" dxfId="41" priority="190" operator="equal">
      <formula>"Moderado"</formula>
    </cfRule>
    <cfRule type="cellIs" dxfId="40" priority="191" operator="equal">
      <formula>"Menor"</formula>
    </cfRule>
    <cfRule type="cellIs" dxfId="39" priority="192" operator="equal">
      <formula>"Leve"</formula>
    </cfRule>
  </conditionalFormatting>
  <conditionalFormatting sqref="AA39">
    <cfRule type="cellIs" dxfId="38" priority="161" operator="equal">
      <formula>"Mayor"</formula>
    </cfRule>
    <cfRule type="cellIs" dxfId="37" priority="160" operator="equal">
      <formula>"Catastrófico"</formula>
    </cfRule>
    <cfRule type="cellIs" dxfId="36" priority="164" operator="equal">
      <formula>"Leve"</formula>
    </cfRule>
    <cfRule type="cellIs" dxfId="35" priority="163" operator="equal">
      <formula>"Menor"</formula>
    </cfRule>
    <cfRule type="cellIs" dxfId="34" priority="162" operator="equal">
      <formula>"Moderado"</formula>
    </cfRule>
  </conditionalFormatting>
  <conditionalFormatting sqref="AA41">
    <cfRule type="cellIs" dxfId="33" priority="132" operator="equal">
      <formula>"Catastrófico"</formula>
    </cfRule>
    <cfRule type="cellIs" dxfId="32" priority="135" operator="equal">
      <formula>"Menor"</formula>
    </cfRule>
    <cfRule type="cellIs" dxfId="31" priority="133" operator="equal">
      <formula>"Mayor"</formula>
    </cfRule>
    <cfRule type="cellIs" dxfId="30" priority="134" operator="equal">
      <formula>"Moderado"</formula>
    </cfRule>
    <cfRule type="cellIs" dxfId="29" priority="136" operator="equal">
      <formula>"Leve"</formula>
    </cfRule>
  </conditionalFormatting>
  <conditionalFormatting sqref="AA43:AA47">
    <cfRule type="cellIs" dxfId="28" priority="80" operator="equal">
      <formula>"Leve"</formula>
    </cfRule>
    <cfRule type="cellIs" dxfId="27" priority="79" operator="equal">
      <formula>"Menor"</formula>
    </cfRule>
    <cfRule type="cellIs" dxfId="26" priority="78" operator="equal">
      <formula>"Moderado"</formula>
    </cfRule>
    <cfRule type="cellIs" dxfId="25" priority="77" operator="equal">
      <formula>"Mayor"</formula>
    </cfRule>
    <cfRule type="cellIs" dxfId="24" priority="76" operator="equal">
      <formula>"Catastrófico"</formula>
    </cfRule>
  </conditionalFormatting>
  <conditionalFormatting sqref="AC26:AC29">
    <cfRule type="cellIs" dxfId="23" priority="241" operator="equal">
      <formula>"Alto"</formula>
    </cfRule>
    <cfRule type="cellIs" dxfId="22" priority="242" operator="equal">
      <formula>"Moderado"</formula>
    </cfRule>
    <cfRule type="cellIs" dxfId="21" priority="243" operator="equal">
      <formula>"Bajo"</formula>
    </cfRule>
    <cfRule type="cellIs" dxfId="20" priority="240" operator="equal">
      <formula>"Extremo"</formula>
    </cfRule>
  </conditionalFormatting>
  <conditionalFormatting sqref="AC31">
    <cfRule type="cellIs" dxfId="19" priority="215" operator="equal">
      <formula>"Bajo"</formula>
    </cfRule>
    <cfRule type="cellIs" dxfId="18" priority="214" operator="equal">
      <formula>"Moderado"</formula>
    </cfRule>
    <cfRule type="cellIs" dxfId="17" priority="213" operator="equal">
      <formula>"Alto"</formula>
    </cfRule>
    <cfRule type="cellIs" dxfId="16" priority="212" operator="equal">
      <formula>"Extremo"</formula>
    </cfRule>
  </conditionalFormatting>
  <conditionalFormatting sqref="AC35">
    <cfRule type="cellIs" dxfId="15" priority="184" operator="equal">
      <formula>"Extremo"</formula>
    </cfRule>
    <cfRule type="cellIs" dxfId="14" priority="187" operator="equal">
      <formula>"Bajo"</formula>
    </cfRule>
    <cfRule type="cellIs" dxfId="13" priority="186" operator="equal">
      <formula>"Moderado"</formula>
    </cfRule>
    <cfRule type="cellIs" dxfId="12" priority="185" operator="equal">
      <formula>"Alto"</formula>
    </cfRule>
  </conditionalFormatting>
  <conditionalFormatting sqref="AC39">
    <cfRule type="cellIs" dxfId="11" priority="158" operator="equal">
      <formula>"Moderado"</formula>
    </cfRule>
    <cfRule type="cellIs" dxfId="10" priority="157" operator="equal">
      <formula>"Alto"</formula>
    </cfRule>
    <cfRule type="cellIs" dxfId="9" priority="156" operator="equal">
      <formula>"Extremo"</formula>
    </cfRule>
    <cfRule type="cellIs" dxfId="8" priority="159" operator="equal">
      <formula>"Bajo"</formula>
    </cfRule>
  </conditionalFormatting>
  <conditionalFormatting sqref="AC41">
    <cfRule type="cellIs" dxfId="7" priority="131" operator="equal">
      <formula>"Bajo"</formula>
    </cfRule>
    <cfRule type="cellIs" dxfId="6" priority="130" operator="equal">
      <formula>"Moderado"</formula>
    </cfRule>
    <cfRule type="cellIs" dxfId="5" priority="129" operator="equal">
      <formula>"Alto"</formula>
    </cfRule>
    <cfRule type="cellIs" dxfId="4" priority="128" operator="equal">
      <formula>"Extremo"</formula>
    </cfRule>
  </conditionalFormatting>
  <conditionalFormatting sqref="AC43:AC47">
    <cfRule type="cellIs" dxfId="3" priority="72" operator="equal">
      <formula>"Extremo"</formula>
    </cfRule>
    <cfRule type="cellIs" dxfId="2" priority="73" operator="equal">
      <formula>"Alto"</formula>
    </cfRule>
    <cfRule type="cellIs" dxfId="1" priority="75" operator="equal">
      <formula>"Bajo"</formula>
    </cfRule>
    <cfRule type="cellIs" dxfId="0" priority="74" operator="equal">
      <formula>"Moderado"</formula>
    </cfRule>
  </conditionalFormatting>
  <pageMargins left="0.7" right="0.7" top="0.75" bottom="0.75" header="0.3" footer="0.3"/>
  <pageSetup orientation="portrait" r:id="rId1"/>
  <ignoredErrors>
    <ignoredError sqref="AB27"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AJ26:AJ32 AJ34:AJ36 AJ38:AJ47</xm:sqref>
        </x14:dataValidation>
        <x14:dataValidation type="list" allowBlank="1" showInputMessage="1" showErrorMessage="1" xr:uid="{00000000-0002-0000-0200-000001000000}">
          <x14:formula1>
            <xm:f>'Tabla Valoración controles'!$D$4:$D$6</xm:f>
          </x14:formula1>
          <xm:sqref>R26:R29 R31 R35 R39 R41 R43:R47</xm:sqref>
        </x14:dataValidation>
        <x14:dataValidation type="list" allowBlank="1" showInputMessage="1" showErrorMessage="1" xr:uid="{00000000-0002-0000-0200-000002000000}">
          <x14:formula1>
            <xm:f>'Tabla Valoración controles'!$D$7:$D$8</xm:f>
          </x14:formula1>
          <xm:sqref>S26:S29 S31 S35 S39 S41 S43:S47</xm:sqref>
        </x14:dataValidation>
        <x14:dataValidation type="list" allowBlank="1" showInputMessage="1" showErrorMessage="1" xr:uid="{00000000-0002-0000-0200-000003000000}">
          <x14:formula1>
            <xm:f>'Tabla Valoración controles'!$D$9:$D$10</xm:f>
          </x14:formula1>
          <xm:sqref>U26:U29 U31 U35 U39 U41 U43:U47</xm:sqref>
        </x14:dataValidation>
        <x14:dataValidation type="list" allowBlank="1" showInputMessage="1" showErrorMessage="1" xr:uid="{00000000-0002-0000-0200-000004000000}">
          <x14:formula1>
            <xm:f>'Tabla Valoración controles'!$D$11:$D$12</xm:f>
          </x14:formula1>
          <xm:sqref>V26:V29 V31 V35 V39 V41 V43:V47</xm:sqref>
        </x14:dataValidation>
        <x14:dataValidation type="list" allowBlank="1" showInputMessage="1" showErrorMessage="1" xr:uid="{00000000-0002-0000-0200-000005000000}">
          <x14:formula1>
            <xm:f>'Tabla Valoración controles'!$D$13:$D$14</xm:f>
          </x14:formula1>
          <xm:sqref>W26:W29 W31 W35 W39 W41 W43:W47</xm:sqref>
        </x14:dataValidation>
        <x14:dataValidation type="list" allowBlank="1" showInputMessage="1" showErrorMessage="1" xr:uid="{00000000-0002-0000-0200-000006000000}">
          <x14:formula1>
            <xm:f>'Opciones Tratamiento'!$B$2:$B$5</xm:f>
          </x14:formula1>
          <xm:sqref>AD26:AD29 AD31 AD35 AD39 AD41 AD43:AD47</xm:sqref>
        </x14:dataValidation>
        <x14:dataValidation type="custom" allowBlank="1" showInputMessage="1" showErrorMessage="1" error="Recuerde que las acciones se generan bajo la medida de mitigar el riesgo" xr:uid="{00000000-0002-0000-0200-000007000000}">
          <x14:formula1>
            <xm:f>IF(OR(AD26='Opciones Tratamiento'!$B$2,AD26='Opciones Tratamiento'!$B$3,AD26='Opciones Tratamiento'!$B$4),ISBLANK(AD26),ISTEXT(AD26))</xm:f>
          </x14:formula1>
          <xm:sqref>AE26 AE28:AE29 AE31 AE35 AE39 AE41 AE43:AE47</xm:sqref>
        </x14:dataValidation>
        <x14:dataValidation type="custom" allowBlank="1" showInputMessage="1" showErrorMessage="1" error="Recuerde que las acciones se generan bajo la medida de mitigar el riesgo" xr:uid="{00000000-0002-0000-0200-000008000000}">
          <x14:formula1>
            <xm:f>IF(OR(AD26='Opciones Tratamiento'!$B$2,AD26='Opciones Tratamiento'!$B$3,AD26='Opciones Tratamiento'!$B$4),ISBLANK(AD26),ISTEXT(AD26))</xm:f>
          </x14:formula1>
          <xm:sqref>AF26:AF35 AF39:AF47</xm:sqref>
        </x14:dataValidation>
        <x14:dataValidation type="list" allowBlank="1" showInputMessage="1" showErrorMessage="1" xr:uid="{00000000-0002-0000-0200-000009000000}">
          <x14:formula1>
            <xm:f>'Impacto-clasificacion'!$D$3:$D$10</xm:f>
          </x14:formula1>
          <xm:sqref>F26:F47</xm:sqref>
        </x14:dataValidation>
        <x14:dataValidation type="list" allowBlank="1" showInputMessage="1" showErrorMessage="1" xr:uid="{00000000-0002-0000-0200-00000A000000}">
          <x14:formula1>
            <xm:f>'Impacto-clasificacion'!$A$3:$A$6</xm:f>
          </x14:formula1>
          <xm:sqref>B26:B47</xm:sqref>
        </x14:dataValidation>
        <x14:dataValidation type="list" allowBlank="1" showInputMessage="1" showErrorMessage="1" xr:uid="{00000000-0002-0000-0200-00000B000000}">
          <x14:formula1>
            <xm:f>'Tabla Impacto'!$F$210:$F$227</xm:f>
          </x14:formula1>
          <xm:sqref>J26:J47</xm:sqref>
        </x14:dataValidation>
        <x14:dataValidation type="custom" allowBlank="1" showInputMessage="1" showErrorMessage="1" error="Recuerde que las acciones se generan bajo la medida de mitigar el riesgo" xr:uid="{00000000-0002-0000-0200-00000C000000}">
          <x14:formula1>
            <xm:f>IF(OR(AD26='Opciones Tratamiento'!$B$2,AD26='Opciones Tratamiento'!$B$3,AD26='Opciones Tratamiento'!$B$4),ISBLANK(AD26),ISTEXT(AD26))</xm:f>
          </x14:formula1>
          <xm:sqref>AG26:AG47</xm:sqref>
        </x14:dataValidation>
        <x14:dataValidation type="custom" allowBlank="1" showInputMessage="1" showErrorMessage="1" error="Recuerde que las acciones se generan bajo la medida de mitigar el riesgo" xr:uid="{00000000-0002-0000-0200-00000D000000}">
          <x14:formula1>
            <xm:f>IF(OR(AD26='Opciones Tratamiento'!$B$2,AD26='Opciones Tratamiento'!$B$3,AD26='Opciones Tratamiento'!$B$4),ISBLANK(AD26),ISTEXT(AD26))</xm:f>
          </x14:formula1>
          <xm:sqref>AH26:AH47</xm:sqref>
        </x14:dataValidation>
        <x14:dataValidation type="custom" allowBlank="1" showInputMessage="1" showErrorMessage="1" error="Recuerde que las acciones se generan bajo la medida de mitigar el riesgo" xr:uid="{00000000-0002-0000-0200-00000E000000}">
          <x14:formula1>
            <xm:f>IF(OR(AD26='Opciones Tratamiento'!$B$2,AD26='Opciones Tratamiento'!$B$3,AD26='Opciones Tratamiento'!$B$4),ISBLANK(AD26),ISTEXT(AD26))</xm:f>
          </x14:formula1>
          <xm:sqref>AI26:AI47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0"/>
  <sheetViews>
    <sheetView workbookViewId="0">
      <selection activeCell="E12" sqref="E12"/>
    </sheetView>
  </sheetViews>
  <sheetFormatPr baseColWidth="10" defaultColWidth="11.42578125" defaultRowHeight="15" x14ac:dyDescent="0.25"/>
  <sheetData>
    <row r="2" spans="1:4" x14ac:dyDescent="0.25">
      <c r="A2" t="s">
        <v>15</v>
      </c>
    </row>
    <row r="3" spans="1:4" x14ac:dyDescent="0.25">
      <c r="A3" t="s">
        <v>177</v>
      </c>
      <c r="D3" t="s">
        <v>178</v>
      </c>
    </row>
    <row r="4" spans="1:4" x14ac:dyDescent="0.25">
      <c r="A4" t="s">
        <v>123</v>
      </c>
      <c r="D4" t="s">
        <v>127</v>
      </c>
    </row>
    <row r="5" spans="1:4" x14ac:dyDescent="0.25">
      <c r="A5" t="s">
        <v>179</v>
      </c>
      <c r="D5" t="s">
        <v>180</v>
      </c>
    </row>
    <row r="6" spans="1:4" x14ac:dyDescent="0.25">
      <c r="A6" t="s">
        <v>159</v>
      </c>
      <c r="D6" t="s">
        <v>181</v>
      </c>
    </row>
    <row r="7" spans="1:4" x14ac:dyDescent="0.25">
      <c r="D7" t="s">
        <v>182</v>
      </c>
    </row>
    <row r="8" spans="1:4" x14ac:dyDescent="0.25">
      <c r="D8" t="s">
        <v>183</v>
      </c>
    </row>
    <row r="9" spans="1:4" x14ac:dyDescent="0.25">
      <c r="D9" t="s">
        <v>171</v>
      </c>
    </row>
    <row r="10" spans="1:4" x14ac:dyDescent="0.25">
      <c r="D10"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7" zoomScale="50" zoomScaleNormal="50" workbookViewId="0">
      <selection activeCell="AJ22" sqref="AJ22:AK2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38" t="s">
        <v>184</v>
      </c>
      <c r="C2" s="338"/>
      <c r="D2" s="338"/>
      <c r="E2" s="338"/>
      <c r="F2" s="338"/>
      <c r="G2" s="338"/>
      <c r="H2" s="338"/>
      <c r="I2" s="338"/>
      <c r="J2" s="375" t="s">
        <v>15</v>
      </c>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38"/>
      <c r="C3" s="338"/>
      <c r="D3" s="338"/>
      <c r="E3" s="338"/>
      <c r="F3" s="338"/>
      <c r="G3" s="338"/>
      <c r="H3" s="338"/>
      <c r="I3" s="338"/>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38"/>
      <c r="C4" s="338"/>
      <c r="D4" s="338"/>
      <c r="E4" s="338"/>
      <c r="F4" s="338"/>
      <c r="G4" s="338"/>
      <c r="H4" s="338"/>
      <c r="I4" s="338"/>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86" t="s">
        <v>185</v>
      </c>
      <c r="C6" s="386"/>
      <c r="D6" s="387"/>
      <c r="E6" s="376" t="s">
        <v>186</v>
      </c>
      <c r="F6" s="377"/>
      <c r="G6" s="377"/>
      <c r="H6" s="377"/>
      <c r="I6" s="378"/>
      <c r="J6" s="372" t="str">
        <f>IF(AND('Mapa final'!$H$26="Muy Alta",'Mapa final'!$L$26="Leve"),CONCATENATE("R",'Mapa final'!$A$26),"")</f>
        <v/>
      </c>
      <c r="K6" s="373"/>
      <c r="L6" s="373" t="str">
        <f>IF(AND('Mapa final'!$H$28="Muy Alta",'Mapa final'!$L$28="Leve"),CONCATENATE("R",'Mapa final'!$A$28),"")</f>
        <v/>
      </c>
      <c r="M6" s="373"/>
      <c r="N6" s="373" t="str">
        <f>IF(AND('Mapa final'!$H$31="Muy Alta",'Mapa final'!$L$31="Leve"),CONCATENATE("R",'Mapa final'!$A$31),"")</f>
        <v/>
      </c>
      <c r="O6" s="374"/>
      <c r="P6" s="372" t="str">
        <f>IF(AND('Mapa final'!$H$26="Muy Alta",'Mapa final'!$L$26="Menor"),CONCATENATE("R",'Mapa final'!$A$26),"")</f>
        <v/>
      </c>
      <c r="Q6" s="373"/>
      <c r="R6" s="373" t="str">
        <f>IF(AND('Mapa final'!$H$28="Muy Alta",'Mapa final'!$L$28="Menor"),CONCATENATE("R",'Mapa final'!$A$28),"")</f>
        <v/>
      </c>
      <c r="S6" s="373"/>
      <c r="T6" s="373" t="str">
        <f>IF(AND('Mapa final'!$H$31="Muy Alta",'Mapa final'!$L$31="Menor"),CONCATENATE("R",'Mapa final'!$A$31),"")</f>
        <v/>
      </c>
      <c r="U6" s="374"/>
      <c r="V6" s="372" t="str">
        <f>IF(AND('Mapa final'!$H$26="Muy Alta",'Mapa final'!$L$26="Moderado"),CONCATENATE("R",'Mapa final'!$A$26),"")</f>
        <v/>
      </c>
      <c r="W6" s="373"/>
      <c r="X6" s="373" t="str">
        <f>IF(AND('Mapa final'!$H$28="Muy Alta",'Mapa final'!$L$28="Moderado"),CONCATENATE("R",'Mapa final'!$A$28),"")</f>
        <v/>
      </c>
      <c r="Y6" s="373"/>
      <c r="Z6" s="373" t="str">
        <f>IF(AND('Mapa final'!$H$31="Muy Alta",'Mapa final'!$L$31="Moderado"),CONCATENATE("R",'Mapa final'!$A$31),"")</f>
        <v/>
      </c>
      <c r="AA6" s="374"/>
      <c r="AB6" s="372" t="str">
        <f>IF(AND('Mapa final'!$H$26="Muy Alta",'Mapa final'!$L$26="Mayor"),CONCATENATE("R",'Mapa final'!$A$26),"")</f>
        <v/>
      </c>
      <c r="AC6" s="373"/>
      <c r="AD6" s="373" t="str">
        <f>IF(AND('Mapa final'!$H$28="Muy Alta",'Mapa final'!$L$28="Mayor"),CONCATENATE("R",'Mapa final'!$A$28),"")</f>
        <v/>
      </c>
      <c r="AE6" s="373"/>
      <c r="AF6" s="373" t="str">
        <f>IF(AND('Mapa final'!$H$31="Muy Alta",'Mapa final'!$L$31="Mayor"),CONCATENATE("R",'Mapa final'!$A$31),"")</f>
        <v/>
      </c>
      <c r="AG6" s="374"/>
      <c r="AH6" s="363" t="str">
        <f>IF(AND('Mapa final'!$H$26="Muy Alta",'Mapa final'!$L$26="Catastrófico"),CONCATENATE("R",'Mapa final'!$A$26),"")</f>
        <v/>
      </c>
      <c r="AI6" s="364"/>
      <c r="AJ6" s="364" t="str">
        <f>IF(AND('Mapa final'!$H$28="Muy Alta",'Mapa final'!$L$28="Catastrófico"),CONCATENATE("R",'Mapa final'!$A$28),"")</f>
        <v/>
      </c>
      <c r="AK6" s="364"/>
      <c r="AL6" s="364" t="str">
        <f>IF(AND('Mapa final'!$H$31="Muy Alta",'Mapa final'!$L$31="Catastrófico"),CONCATENATE("R",'Mapa final'!$A$31),"")</f>
        <v/>
      </c>
      <c r="AM6" s="365"/>
      <c r="AO6" s="388" t="s">
        <v>187</v>
      </c>
      <c r="AP6" s="389"/>
      <c r="AQ6" s="389"/>
      <c r="AR6" s="389"/>
      <c r="AS6" s="389"/>
      <c r="AT6" s="39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86"/>
      <c r="C7" s="386"/>
      <c r="D7" s="387"/>
      <c r="E7" s="379"/>
      <c r="F7" s="380"/>
      <c r="G7" s="380"/>
      <c r="H7" s="380"/>
      <c r="I7" s="381"/>
      <c r="J7" s="366"/>
      <c r="K7" s="367"/>
      <c r="L7" s="367"/>
      <c r="M7" s="367"/>
      <c r="N7" s="367"/>
      <c r="O7" s="368"/>
      <c r="P7" s="366"/>
      <c r="Q7" s="367"/>
      <c r="R7" s="367"/>
      <c r="S7" s="367"/>
      <c r="T7" s="367"/>
      <c r="U7" s="368"/>
      <c r="V7" s="366"/>
      <c r="W7" s="367"/>
      <c r="X7" s="367"/>
      <c r="Y7" s="367"/>
      <c r="Z7" s="367"/>
      <c r="AA7" s="368"/>
      <c r="AB7" s="366"/>
      <c r="AC7" s="367"/>
      <c r="AD7" s="367"/>
      <c r="AE7" s="367"/>
      <c r="AF7" s="367"/>
      <c r="AG7" s="368"/>
      <c r="AH7" s="357"/>
      <c r="AI7" s="358"/>
      <c r="AJ7" s="358"/>
      <c r="AK7" s="358"/>
      <c r="AL7" s="358"/>
      <c r="AM7" s="359"/>
      <c r="AN7" s="83"/>
      <c r="AO7" s="391"/>
      <c r="AP7" s="392"/>
      <c r="AQ7" s="392"/>
      <c r="AR7" s="392"/>
      <c r="AS7" s="392"/>
      <c r="AT7" s="39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86"/>
      <c r="C8" s="386"/>
      <c r="D8" s="387"/>
      <c r="E8" s="379"/>
      <c r="F8" s="380"/>
      <c r="G8" s="380"/>
      <c r="H8" s="380"/>
      <c r="I8" s="381"/>
      <c r="J8" s="366" t="str">
        <f>IF(AND('Mapa final'!$H$35="Muy Alta",'Mapa final'!$L$35="Leve"),CONCATENATE("R",'Mapa final'!$A$35),"")</f>
        <v/>
      </c>
      <c r="K8" s="367"/>
      <c r="L8" s="367" t="str">
        <f>IF(AND('Mapa final'!$H$39="Muy Alta",'Mapa final'!$L$39="Leve"),CONCATENATE("R",'Mapa final'!$A$39),"")</f>
        <v/>
      </c>
      <c r="M8" s="367"/>
      <c r="N8" s="367" t="str">
        <f>IF(AND('Mapa final'!$H$41="Muy Alta",'Mapa final'!$L$41="Leve"),CONCATENATE("R",'Mapa final'!$A$41),"")</f>
        <v/>
      </c>
      <c r="O8" s="368"/>
      <c r="P8" s="366" t="str">
        <f>IF(AND('Mapa final'!$H$35="Muy Alta",'Mapa final'!$L$35="Menor"),CONCATENATE("R",'Mapa final'!$A$35),"")</f>
        <v/>
      </c>
      <c r="Q8" s="367"/>
      <c r="R8" s="367" t="str">
        <f>IF(AND('Mapa final'!$H$39="Muy Alta",'Mapa final'!$L$39="Menor"),CONCATENATE("R",'Mapa final'!$A$39),"")</f>
        <v/>
      </c>
      <c r="S8" s="367"/>
      <c r="T8" s="367" t="str">
        <f>IF(AND('Mapa final'!$H$41="Muy Alta",'Mapa final'!$L$41="Menor"),CONCATENATE("R",'Mapa final'!$A$41),"")</f>
        <v/>
      </c>
      <c r="U8" s="368"/>
      <c r="V8" s="366" t="str">
        <f>IF(AND('Mapa final'!$H$35="Muy Alta",'Mapa final'!$L$35="Moderado"),CONCATENATE("R",'Mapa final'!$A$35),"")</f>
        <v/>
      </c>
      <c r="W8" s="367"/>
      <c r="X8" s="367" t="str">
        <f>IF(AND('Mapa final'!$H$39="Muy Alta",'Mapa final'!$L$39="Moderado"),CONCATENATE("R",'Mapa final'!$A$39),"")</f>
        <v/>
      </c>
      <c r="Y8" s="367"/>
      <c r="Z8" s="367" t="str">
        <f>IF(AND('Mapa final'!$H$41="Muy Alta",'Mapa final'!$L$41="Moderado"),CONCATENATE("R",'Mapa final'!$A$41),"")</f>
        <v/>
      </c>
      <c r="AA8" s="368"/>
      <c r="AB8" s="366" t="str">
        <f>IF(AND('Mapa final'!$H$35="Muy Alta",'Mapa final'!$L$35="Mayor"),CONCATENATE("R",'Mapa final'!$A$35),"")</f>
        <v/>
      </c>
      <c r="AC8" s="367"/>
      <c r="AD8" s="367" t="str">
        <f>IF(AND('Mapa final'!$H$39="Muy Alta",'Mapa final'!$L$39="Mayor"),CONCATENATE("R",'Mapa final'!$A$39),"")</f>
        <v/>
      </c>
      <c r="AE8" s="367"/>
      <c r="AF8" s="367" t="str">
        <f>IF(AND('Mapa final'!$H$41="Muy Alta",'Mapa final'!$L$41="Mayor"),CONCATENATE("R",'Mapa final'!$A$41),"")</f>
        <v/>
      </c>
      <c r="AG8" s="368"/>
      <c r="AH8" s="357" t="str">
        <f>IF(AND('Mapa final'!$H$35="Muy Alta",'Mapa final'!$L$35="Catastrófico"),CONCATENATE("R",'Mapa final'!$A$35),"")</f>
        <v/>
      </c>
      <c r="AI8" s="358"/>
      <c r="AJ8" s="358" t="str">
        <f>IF(AND('Mapa final'!$H$39="Muy Alta",'Mapa final'!$L$39="Catastrófico"),CONCATENATE("R",'Mapa final'!$A$39),"")</f>
        <v/>
      </c>
      <c r="AK8" s="358"/>
      <c r="AL8" s="358" t="str">
        <f>IF(AND('Mapa final'!$H$41="Muy Alta",'Mapa final'!$L$41="Catastrófico"),CONCATENATE("R",'Mapa final'!$A$41),"")</f>
        <v/>
      </c>
      <c r="AM8" s="359"/>
      <c r="AN8" s="83"/>
      <c r="AO8" s="391"/>
      <c r="AP8" s="392"/>
      <c r="AQ8" s="392"/>
      <c r="AR8" s="392"/>
      <c r="AS8" s="392"/>
      <c r="AT8" s="39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86"/>
      <c r="C9" s="386"/>
      <c r="D9" s="387"/>
      <c r="E9" s="379"/>
      <c r="F9" s="380"/>
      <c r="G9" s="380"/>
      <c r="H9" s="380"/>
      <c r="I9" s="381"/>
      <c r="J9" s="366"/>
      <c r="K9" s="367"/>
      <c r="L9" s="367"/>
      <c r="M9" s="367"/>
      <c r="N9" s="367"/>
      <c r="O9" s="368"/>
      <c r="P9" s="366"/>
      <c r="Q9" s="367"/>
      <c r="R9" s="367"/>
      <c r="S9" s="367"/>
      <c r="T9" s="367"/>
      <c r="U9" s="368"/>
      <c r="V9" s="366"/>
      <c r="W9" s="367"/>
      <c r="X9" s="367"/>
      <c r="Y9" s="367"/>
      <c r="Z9" s="367"/>
      <c r="AA9" s="368"/>
      <c r="AB9" s="366"/>
      <c r="AC9" s="367"/>
      <c r="AD9" s="367"/>
      <c r="AE9" s="367"/>
      <c r="AF9" s="367"/>
      <c r="AG9" s="368"/>
      <c r="AH9" s="357"/>
      <c r="AI9" s="358"/>
      <c r="AJ9" s="358"/>
      <c r="AK9" s="358"/>
      <c r="AL9" s="358"/>
      <c r="AM9" s="359"/>
      <c r="AN9" s="83"/>
      <c r="AO9" s="391"/>
      <c r="AP9" s="392"/>
      <c r="AQ9" s="392"/>
      <c r="AR9" s="392"/>
      <c r="AS9" s="392"/>
      <c r="AT9" s="39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86"/>
      <c r="C10" s="386"/>
      <c r="D10" s="387"/>
      <c r="E10" s="379"/>
      <c r="F10" s="380"/>
      <c r="G10" s="380"/>
      <c r="H10" s="380"/>
      <c r="I10" s="381"/>
      <c r="J10" s="366" t="str">
        <f>IF(AND('Mapa final'!$H$43="Muy Alta",'Mapa final'!$L$43="Leve"),CONCATENATE("R",'Mapa final'!$A$43),"")</f>
        <v/>
      </c>
      <c r="K10" s="367"/>
      <c r="L10" s="367" t="e">
        <f>IF(AND('Mapa final'!#REF!="Muy Alta",'Mapa final'!#REF!="Leve"),CONCATENATE("R",'Mapa final'!#REF!),"")</f>
        <v>#REF!</v>
      </c>
      <c r="M10" s="367"/>
      <c r="N10" s="367" t="e">
        <f>IF(AND('Mapa final'!#REF!="Muy Alta",'Mapa final'!#REF!="Leve"),CONCATENATE("R",'Mapa final'!#REF!),"")</f>
        <v>#REF!</v>
      </c>
      <c r="O10" s="368"/>
      <c r="P10" s="366" t="str">
        <f>IF(AND('Mapa final'!$H$43="Muy Alta",'Mapa final'!$L$43="Menor"),CONCATENATE("R",'Mapa final'!$A$43),"")</f>
        <v/>
      </c>
      <c r="Q10" s="367"/>
      <c r="R10" s="367" t="e">
        <f>IF(AND('Mapa final'!#REF!="Muy Alta",'Mapa final'!#REF!="Menor"),CONCATENATE("R",'Mapa final'!#REF!),"")</f>
        <v>#REF!</v>
      </c>
      <c r="S10" s="367"/>
      <c r="T10" s="367" t="e">
        <f>IF(AND('Mapa final'!#REF!="Muy Alta",'Mapa final'!#REF!="Menor"),CONCATENATE("R",'Mapa final'!#REF!),"")</f>
        <v>#REF!</v>
      </c>
      <c r="U10" s="368"/>
      <c r="V10" s="366" t="str">
        <f>IF(AND('Mapa final'!$H$43="Muy Alta",'Mapa final'!$L$43="Moderado"),CONCATENATE("R",'Mapa final'!$A$43),"")</f>
        <v/>
      </c>
      <c r="W10" s="367"/>
      <c r="X10" s="367" t="e">
        <f>IF(AND('Mapa final'!#REF!="Muy Alta",'Mapa final'!#REF!="Moderado"),CONCATENATE("R",'Mapa final'!#REF!),"")</f>
        <v>#REF!</v>
      </c>
      <c r="Y10" s="367"/>
      <c r="Z10" s="367" t="e">
        <f>IF(AND('Mapa final'!#REF!="Muy Alta",'Mapa final'!#REF!="Moderado"),CONCATENATE("R",'Mapa final'!#REF!),"")</f>
        <v>#REF!</v>
      </c>
      <c r="AA10" s="368"/>
      <c r="AB10" s="366" t="str">
        <f>IF(AND('Mapa final'!$H$43="Muy Alta",'Mapa final'!$L$43="Mayor"),CONCATENATE("R",'Mapa final'!$A$43),"")</f>
        <v/>
      </c>
      <c r="AC10" s="367"/>
      <c r="AD10" s="367" t="e">
        <f>IF(AND('Mapa final'!#REF!="Muy Alta",'Mapa final'!#REF!="Mayor"),CONCATENATE("R",'Mapa final'!#REF!),"")</f>
        <v>#REF!</v>
      </c>
      <c r="AE10" s="367"/>
      <c r="AF10" s="367" t="e">
        <f>IF(AND('Mapa final'!#REF!="Muy Alta",'Mapa final'!#REF!="Mayor"),CONCATENATE("R",'Mapa final'!#REF!),"")</f>
        <v>#REF!</v>
      </c>
      <c r="AG10" s="368"/>
      <c r="AH10" s="357" t="str">
        <f>IF(AND('Mapa final'!$H$43="Muy Alta",'Mapa final'!$L$43="Catastrófico"),CONCATENATE("R",'Mapa final'!$A$43),"")</f>
        <v/>
      </c>
      <c r="AI10" s="358"/>
      <c r="AJ10" s="358" t="e">
        <f>IF(AND('Mapa final'!#REF!="Muy Alta",'Mapa final'!#REF!="Catastrófico"),CONCATENATE("R",'Mapa final'!#REF!),"")</f>
        <v>#REF!</v>
      </c>
      <c r="AK10" s="358"/>
      <c r="AL10" s="358" t="e">
        <f>IF(AND('Mapa final'!#REF!="Muy Alta",'Mapa final'!#REF!="Catastrófico"),CONCATENATE("R",'Mapa final'!#REF!),"")</f>
        <v>#REF!</v>
      </c>
      <c r="AM10" s="359"/>
      <c r="AN10" s="83"/>
      <c r="AO10" s="391"/>
      <c r="AP10" s="392"/>
      <c r="AQ10" s="392"/>
      <c r="AR10" s="392"/>
      <c r="AS10" s="392"/>
      <c r="AT10" s="39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86"/>
      <c r="C11" s="386"/>
      <c r="D11" s="387"/>
      <c r="E11" s="379"/>
      <c r="F11" s="380"/>
      <c r="G11" s="380"/>
      <c r="H11" s="380"/>
      <c r="I11" s="381"/>
      <c r="J11" s="366"/>
      <c r="K11" s="367"/>
      <c r="L11" s="367"/>
      <c r="M11" s="367"/>
      <c r="N11" s="367"/>
      <c r="O11" s="368"/>
      <c r="P11" s="366"/>
      <c r="Q11" s="367"/>
      <c r="R11" s="367"/>
      <c r="S11" s="367"/>
      <c r="T11" s="367"/>
      <c r="U11" s="368"/>
      <c r="V11" s="366"/>
      <c r="W11" s="367"/>
      <c r="X11" s="367"/>
      <c r="Y11" s="367"/>
      <c r="Z11" s="367"/>
      <c r="AA11" s="368"/>
      <c r="AB11" s="366"/>
      <c r="AC11" s="367"/>
      <c r="AD11" s="367"/>
      <c r="AE11" s="367"/>
      <c r="AF11" s="367"/>
      <c r="AG11" s="368"/>
      <c r="AH11" s="357"/>
      <c r="AI11" s="358"/>
      <c r="AJ11" s="358"/>
      <c r="AK11" s="358"/>
      <c r="AL11" s="358"/>
      <c r="AM11" s="359"/>
      <c r="AN11" s="83"/>
      <c r="AO11" s="391"/>
      <c r="AP11" s="392"/>
      <c r="AQ11" s="392"/>
      <c r="AR11" s="392"/>
      <c r="AS11" s="392"/>
      <c r="AT11" s="39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86"/>
      <c r="C12" s="386"/>
      <c r="D12" s="387"/>
      <c r="E12" s="379"/>
      <c r="F12" s="380"/>
      <c r="G12" s="380"/>
      <c r="H12" s="380"/>
      <c r="I12" s="381"/>
      <c r="J12" s="366" t="e">
        <f>IF(AND('Mapa final'!#REF!="Muy Alta",'Mapa final'!#REF!="Leve"),CONCATENATE("R",'Mapa final'!#REF!),"")</f>
        <v>#REF!</v>
      </c>
      <c r="K12" s="367"/>
      <c r="L12" s="367" t="str">
        <f>IF(AND('Mapa final'!$H$48="Muy Alta",'Mapa final'!$L$48="Leve"),CONCATENATE("R",'Mapa final'!$A$48),"")</f>
        <v/>
      </c>
      <c r="M12" s="367"/>
      <c r="N12" s="367" t="str">
        <f>IF(AND('Mapa final'!$H$54="Muy Alta",'Mapa final'!$L$54="Leve"),CONCATENATE("R",'Mapa final'!$A$54),"")</f>
        <v/>
      </c>
      <c r="O12" s="368"/>
      <c r="P12" s="366" t="e">
        <f>IF(AND('Mapa final'!#REF!="Muy Alta",'Mapa final'!#REF!="Menor"),CONCATENATE("R",'Mapa final'!#REF!),"")</f>
        <v>#REF!</v>
      </c>
      <c r="Q12" s="367"/>
      <c r="R12" s="367" t="str">
        <f>IF(AND('Mapa final'!$H$48="Muy Alta",'Mapa final'!$L$48="Menor"),CONCATENATE("R",'Mapa final'!$A$48),"")</f>
        <v/>
      </c>
      <c r="S12" s="367"/>
      <c r="T12" s="367" t="str">
        <f>IF(AND('Mapa final'!$H$54="Muy Alta",'Mapa final'!$L$54="Menor"),CONCATENATE("R",'Mapa final'!$A$54),"")</f>
        <v/>
      </c>
      <c r="U12" s="368"/>
      <c r="V12" s="366" t="e">
        <f>IF(AND('Mapa final'!#REF!="Muy Alta",'Mapa final'!#REF!="Moderado"),CONCATENATE("R",'Mapa final'!#REF!),"")</f>
        <v>#REF!</v>
      </c>
      <c r="W12" s="367"/>
      <c r="X12" s="367" t="str">
        <f>IF(AND('Mapa final'!$H$48="Muy Alta",'Mapa final'!$L$48="Moderado"),CONCATENATE("R",'Mapa final'!$A$48),"")</f>
        <v/>
      </c>
      <c r="Y12" s="367"/>
      <c r="Z12" s="367" t="str">
        <f>IF(AND('Mapa final'!$H$54="Muy Alta",'Mapa final'!$L$54="Moderado"),CONCATENATE("R",'Mapa final'!$A$54),"")</f>
        <v/>
      </c>
      <c r="AA12" s="368"/>
      <c r="AB12" s="366" t="e">
        <f>IF(AND('Mapa final'!#REF!="Muy Alta",'Mapa final'!#REF!="Mayor"),CONCATENATE("R",'Mapa final'!#REF!),"")</f>
        <v>#REF!</v>
      </c>
      <c r="AC12" s="367"/>
      <c r="AD12" s="367" t="str">
        <f>IF(AND('Mapa final'!$H$48="Muy Alta",'Mapa final'!$L$48="Mayor"),CONCATENATE("R",'Mapa final'!$A$48),"")</f>
        <v/>
      </c>
      <c r="AE12" s="367"/>
      <c r="AF12" s="367" t="str">
        <f>IF(AND('Mapa final'!$H$54="Muy Alta",'Mapa final'!$L$54="Mayor"),CONCATENATE("R",'Mapa final'!$A$54),"")</f>
        <v/>
      </c>
      <c r="AG12" s="368"/>
      <c r="AH12" s="357" t="e">
        <f>IF(AND('Mapa final'!#REF!="Muy Alta",'Mapa final'!#REF!="Catastrófico"),CONCATENATE("R",'Mapa final'!#REF!),"")</f>
        <v>#REF!</v>
      </c>
      <c r="AI12" s="358"/>
      <c r="AJ12" s="358" t="str">
        <f>IF(AND('Mapa final'!$H$48="Muy Alta",'Mapa final'!$L$48="Catastrófico"),CONCATENATE("R",'Mapa final'!$A$48),"")</f>
        <v/>
      </c>
      <c r="AK12" s="358"/>
      <c r="AL12" s="358" t="str">
        <f>IF(AND('Mapa final'!$H$54="Muy Alta",'Mapa final'!$L$54="Catastrófico"),CONCATENATE("R",'Mapa final'!$A$54),"")</f>
        <v/>
      </c>
      <c r="AM12" s="359"/>
      <c r="AN12" s="83"/>
      <c r="AO12" s="391"/>
      <c r="AP12" s="392"/>
      <c r="AQ12" s="392"/>
      <c r="AR12" s="392"/>
      <c r="AS12" s="392"/>
      <c r="AT12" s="39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86"/>
      <c r="C13" s="386"/>
      <c r="D13" s="387"/>
      <c r="E13" s="382"/>
      <c r="F13" s="383"/>
      <c r="G13" s="383"/>
      <c r="H13" s="383"/>
      <c r="I13" s="384"/>
      <c r="J13" s="366"/>
      <c r="K13" s="367"/>
      <c r="L13" s="367"/>
      <c r="M13" s="367"/>
      <c r="N13" s="367"/>
      <c r="O13" s="368"/>
      <c r="P13" s="366"/>
      <c r="Q13" s="367"/>
      <c r="R13" s="367"/>
      <c r="S13" s="367"/>
      <c r="T13" s="367"/>
      <c r="U13" s="368"/>
      <c r="V13" s="366"/>
      <c r="W13" s="367"/>
      <c r="X13" s="367"/>
      <c r="Y13" s="367"/>
      <c r="Z13" s="367"/>
      <c r="AA13" s="368"/>
      <c r="AB13" s="366"/>
      <c r="AC13" s="367"/>
      <c r="AD13" s="367"/>
      <c r="AE13" s="367"/>
      <c r="AF13" s="367"/>
      <c r="AG13" s="368"/>
      <c r="AH13" s="360"/>
      <c r="AI13" s="361"/>
      <c r="AJ13" s="361"/>
      <c r="AK13" s="361"/>
      <c r="AL13" s="361"/>
      <c r="AM13" s="362"/>
      <c r="AN13" s="83"/>
      <c r="AO13" s="394"/>
      <c r="AP13" s="395"/>
      <c r="AQ13" s="395"/>
      <c r="AR13" s="395"/>
      <c r="AS13" s="395"/>
      <c r="AT13" s="39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86"/>
      <c r="C14" s="386"/>
      <c r="D14" s="387"/>
      <c r="E14" s="376" t="s">
        <v>188</v>
      </c>
      <c r="F14" s="377"/>
      <c r="G14" s="377"/>
      <c r="H14" s="377"/>
      <c r="I14" s="377"/>
      <c r="J14" s="354" t="str">
        <f>IF(AND('Mapa final'!$H$26="Alta",'Mapa final'!$L$26="Leve"),CONCATENATE("R",'Mapa final'!$A$26),"")</f>
        <v/>
      </c>
      <c r="K14" s="355"/>
      <c r="L14" s="355" t="str">
        <f>IF(AND('Mapa final'!$H$28="Alta",'Mapa final'!$L$28="Leve"),CONCATENATE("R",'Mapa final'!$A$28),"")</f>
        <v/>
      </c>
      <c r="M14" s="355"/>
      <c r="N14" s="355" t="str">
        <f>IF(AND('Mapa final'!$H$31="Alta",'Mapa final'!$L$31="Leve"),CONCATENATE("R",'Mapa final'!$A$31),"")</f>
        <v/>
      </c>
      <c r="O14" s="356"/>
      <c r="P14" s="354" t="str">
        <f>IF(AND('Mapa final'!$H$26="Alta",'Mapa final'!$L$26="Menor"),CONCATENATE("R",'Mapa final'!$A$26),"")</f>
        <v/>
      </c>
      <c r="Q14" s="355"/>
      <c r="R14" s="355" t="str">
        <f>IF(AND('Mapa final'!$H$28="Alta",'Mapa final'!$L$28="Menor"),CONCATENATE("R",'Mapa final'!$A$28),"")</f>
        <v>R2</v>
      </c>
      <c r="S14" s="355"/>
      <c r="T14" s="355" t="str">
        <f>IF(AND('Mapa final'!$H$31="Alta",'Mapa final'!$L$31="Menor"),CONCATENATE("R",'Mapa final'!$A$31),"")</f>
        <v/>
      </c>
      <c r="U14" s="356"/>
      <c r="V14" s="372" t="str">
        <f>IF(AND('Mapa final'!$H$26="Alta",'Mapa final'!$L$26="Moderado"),CONCATENATE("R",'Mapa final'!$A$26),"")</f>
        <v/>
      </c>
      <c r="W14" s="373"/>
      <c r="X14" s="373" t="str">
        <f>IF(AND('Mapa final'!$H$28="Alta",'Mapa final'!$L$28="Moderado"),CONCATENATE("R",'Mapa final'!$A$28),"")</f>
        <v/>
      </c>
      <c r="Y14" s="373"/>
      <c r="Z14" s="373" t="str">
        <f>IF(AND('Mapa final'!$H$31="Alta",'Mapa final'!$L$31="Moderado"),CONCATENATE("R",'Mapa final'!$A$31),"")</f>
        <v/>
      </c>
      <c r="AA14" s="374"/>
      <c r="AB14" s="372" t="str">
        <f>IF(AND('Mapa final'!$H$26="Alta",'Mapa final'!$L$26="Mayor"),CONCATENATE("R",'Mapa final'!$A$26),"")</f>
        <v/>
      </c>
      <c r="AC14" s="373"/>
      <c r="AD14" s="373" t="str">
        <f>IF(AND('Mapa final'!$H$28="Alta",'Mapa final'!$L$28="Mayor"),CONCATENATE("R",'Mapa final'!$A$28),"")</f>
        <v/>
      </c>
      <c r="AE14" s="373"/>
      <c r="AF14" s="373" t="str">
        <f>IF(AND('Mapa final'!$H$31="Alta",'Mapa final'!$L$31="Mayor"),CONCATENATE("R",'Mapa final'!$A$31),"")</f>
        <v/>
      </c>
      <c r="AG14" s="374"/>
      <c r="AH14" s="363" t="str">
        <f>IF(AND('Mapa final'!$H$26="Alta",'Mapa final'!$L$26="Catastrófico"),CONCATENATE("R",'Mapa final'!$A$26),"")</f>
        <v/>
      </c>
      <c r="AI14" s="364"/>
      <c r="AJ14" s="364" t="str">
        <f>IF(AND('Mapa final'!$H$28="Alta",'Mapa final'!$L$28="Catastrófico"),CONCATENATE("R",'Mapa final'!$A$28),"")</f>
        <v/>
      </c>
      <c r="AK14" s="364"/>
      <c r="AL14" s="364" t="str">
        <f>IF(AND('Mapa final'!$H$31="Alta",'Mapa final'!$L$31="Catastrófico"),CONCATENATE("R",'Mapa final'!$A$31),"")</f>
        <v/>
      </c>
      <c r="AM14" s="365"/>
      <c r="AN14" s="83"/>
      <c r="AO14" s="397" t="s">
        <v>189</v>
      </c>
      <c r="AP14" s="398"/>
      <c r="AQ14" s="398"/>
      <c r="AR14" s="398"/>
      <c r="AS14" s="398"/>
      <c r="AT14" s="39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86"/>
      <c r="C15" s="386"/>
      <c r="D15" s="387"/>
      <c r="E15" s="379"/>
      <c r="F15" s="380"/>
      <c r="G15" s="380"/>
      <c r="H15" s="380"/>
      <c r="I15" s="380"/>
      <c r="J15" s="348"/>
      <c r="K15" s="349"/>
      <c r="L15" s="349"/>
      <c r="M15" s="349"/>
      <c r="N15" s="349"/>
      <c r="O15" s="350"/>
      <c r="P15" s="348"/>
      <c r="Q15" s="349"/>
      <c r="R15" s="349"/>
      <c r="S15" s="349"/>
      <c r="T15" s="349"/>
      <c r="U15" s="350"/>
      <c r="V15" s="366"/>
      <c r="W15" s="367"/>
      <c r="X15" s="367"/>
      <c r="Y15" s="367"/>
      <c r="Z15" s="367"/>
      <c r="AA15" s="368"/>
      <c r="AB15" s="366"/>
      <c r="AC15" s="367"/>
      <c r="AD15" s="367"/>
      <c r="AE15" s="367"/>
      <c r="AF15" s="367"/>
      <c r="AG15" s="368"/>
      <c r="AH15" s="357"/>
      <c r="AI15" s="358"/>
      <c r="AJ15" s="358"/>
      <c r="AK15" s="358"/>
      <c r="AL15" s="358"/>
      <c r="AM15" s="359"/>
      <c r="AN15" s="83"/>
      <c r="AO15" s="400"/>
      <c r="AP15" s="401"/>
      <c r="AQ15" s="401"/>
      <c r="AR15" s="401"/>
      <c r="AS15" s="401"/>
      <c r="AT15" s="40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86"/>
      <c r="C16" s="386"/>
      <c r="D16" s="387"/>
      <c r="E16" s="379"/>
      <c r="F16" s="380"/>
      <c r="G16" s="380"/>
      <c r="H16" s="380"/>
      <c r="I16" s="380"/>
      <c r="J16" s="348" t="str">
        <f>IF(AND('Mapa final'!$H$35="Alta",'Mapa final'!$L$35="Leve"),CONCATENATE("R",'Mapa final'!$A$35),"")</f>
        <v/>
      </c>
      <c r="K16" s="349"/>
      <c r="L16" s="349" t="str">
        <f>IF(AND('Mapa final'!$H$39="Alta",'Mapa final'!$L$39="Leve"),CONCATENATE("R",'Mapa final'!$A$39),"")</f>
        <v/>
      </c>
      <c r="M16" s="349"/>
      <c r="N16" s="349" t="str">
        <f>IF(AND('Mapa final'!$H$41="Alta",'Mapa final'!$L$41="Leve"),CONCATENATE("R",'Mapa final'!$A$41),"")</f>
        <v/>
      </c>
      <c r="O16" s="350"/>
      <c r="P16" s="348" t="str">
        <f>IF(AND('Mapa final'!$H$35="Alta",'Mapa final'!$L$35="Menor"),CONCATENATE("R",'Mapa final'!$A$35),"")</f>
        <v/>
      </c>
      <c r="Q16" s="349"/>
      <c r="R16" s="349" t="str">
        <f>IF(AND('Mapa final'!$H$39="Alta",'Mapa final'!$L$39="Menor"),CONCATENATE("R",'Mapa final'!$A$39),"")</f>
        <v/>
      </c>
      <c r="S16" s="349"/>
      <c r="T16" s="349" t="str">
        <f>IF(AND('Mapa final'!$H$41="Alta",'Mapa final'!$L$41="Menor"),CONCATENATE("R",'Mapa final'!$A$41),"")</f>
        <v/>
      </c>
      <c r="U16" s="350"/>
      <c r="V16" s="366" t="str">
        <f>IF(AND('Mapa final'!$H$35="Alta",'Mapa final'!$L$35="Moderado"),CONCATENATE("R",'Mapa final'!$A$35),"")</f>
        <v/>
      </c>
      <c r="W16" s="367"/>
      <c r="X16" s="367" t="str">
        <f>IF(AND('Mapa final'!$H$39="Alta",'Mapa final'!$L$39="Moderado"),CONCATENATE("R",'Mapa final'!$A$39),"")</f>
        <v/>
      </c>
      <c r="Y16" s="367"/>
      <c r="Z16" s="367" t="str">
        <f>IF(AND('Mapa final'!$H$41="Alta",'Mapa final'!$L$41="Moderado"),CONCATENATE("R",'Mapa final'!$A$41),"")</f>
        <v/>
      </c>
      <c r="AA16" s="368"/>
      <c r="AB16" s="366" t="str">
        <f>IF(AND('Mapa final'!$H$35="Alta",'Mapa final'!$L$35="Mayor"),CONCATENATE("R",'Mapa final'!$A$35),"")</f>
        <v/>
      </c>
      <c r="AC16" s="367"/>
      <c r="AD16" s="367" t="str">
        <f>IF(AND('Mapa final'!$H$39="Alta",'Mapa final'!$L$39="Mayor"),CONCATENATE("R",'Mapa final'!$A$39),"")</f>
        <v/>
      </c>
      <c r="AE16" s="367"/>
      <c r="AF16" s="367" t="str">
        <f>IF(AND('Mapa final'!$H$41="Alta",'Mapa final'!$L$41="Mayor"),CONCATENATE("R",'Mapa final'!$A$41),"")</f>
        <v/>
      </c>
      <c r="AG16" s="368"/>
      <c r="AH16" s="357" t="str">
        <f>IF(AND('Mapa final'!$H$35="Alta",'Mapa final'!$L$35="Catastrófico"),CONCATENATE("R",'Mapa final'!$A$35),"")</f>
        <v/>
      </c>
      <c r="AI16" s="358"/>
      <c r="AJ16" s="358" t="str">
        <f>IF(AND('Mapa final'!$H$39="Alta",'Mapa final'!$L$39="Catastrófico"),CONCATENATE("R",'Mapa final'!$A$39),"")</f>
        <v/>
      </c>
      <c r="AK16" s="358"/>
      <c r="AL16" s="358" t="str">
        <f>IF(AND('Mapa final'!$H$41="Alta",'Mapa final'!$L$41="Catastrófico"),CONCATENATE("R",'Mapa final'!$A$41),"")</f>
        <v/>
      </c>
      <c r="AM16" s="359"/>
      <c r="AN16" s="83"/>
      <c r="AO16" s="400"/>
      <c r="AP16" s="401"/>
      <c r="AQ16" s="401"/>
      <c r="AR16" s="401"/>
      <c r="AS16" s="401"/>
      <c r="AT16" s="40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86"/>
      <c r="C17" s="386"/>
      <c r="D17" s="387"/>
      <c r="E17" s="379"/>
      <c r="F17" s="380"/>
      <c r="G17" s="380"/>
      <c r="H17" s="380"/>
      <c r="I17" s="380"/>
      <c r="J17" s="348"/>
      <c r="K17" s="349"/>
      <c r="L17" s="349"/>
      <c r="M17" s="349"/>
      <c r="N17" s="349"/>
      <c r="O17" s="350"/>
      <c r="P17" s="348"/>
      <c r="Q17" s="349"/>
      <c r="R17" s="349"/>
      <c r="S17" s="349"/>
      <c r="T17" s="349"/>
      <c r="U17" s="350"/>
      <c r="V17" s="366"/>
      <c r="W17" s="367"/>
      <c r="X17" s="367"/>
      <c r="Y17" s="367"/>
      <c r="Z17" s="367"/>
      <c r="AA17" s="368"/>
      <c r="AB17" s="366"/>
      <c r="AC17" s="367"/>
      <c r="AD17" s="367"/>
      <c r="AE17" s="367"/>
      <c r="AF17" s="367"/>
      <c r="AG17" s="368"/>
      <c r="AH17" s="357"/>
      <c r="AI17" s="358"/>
      <c r="AJ17" s="358"/>
      <c r="AK17" s="358"/>
      <c r="AL17" s="358"/>
      <c r="AM17" s="359"/>
      <c r="AN17" s="83"/>
      <c r="AO17" s="400"/>
      <c r="AP17" s="401"/>
      <c r="AQ17" s="401"/>
      <c r="AR17" s="401"/>
      <c r="AS17" s="401"/>
      <c r="AT17" s="40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86"/>
      <c r="C18" s="386"/>
      <c r="D18" s="387"/>
      <c r="E18" s="379"/>
      <c r="F18" s="380"/>
      <c r="G18" s="380"/>
      <c r="H18" s="380"/>
      <c r="I18" s="380"/>
      <c r="J18" s="348" t="str">
        <f>IF(AND('Mapa final'!$H$43="Alta",'Mapa final'!$L$43="Leve"),CONCATENATE("R",'Mapa final'!$A$43),"")</f>
        <v/>
      </c>
      <c r="K18" s="349"/>
      <c r="L18" s="349" t="e">
        <f>IF(AND('Mapa final'!#REF!="Alta",'Mapa final'!#REF!="Leve"),CONCATENATE("R",'Mapa final'!#REF!),"")</f>
        <v>#REF!</v>
      </c>
      <c r="M18" s="349"/>
      <c r="N18" s="349" t="e">
        <f>IF(AND('Mapa final'!#REF!="Alta",'Mapa final'!#REF!="Leve"),CONCATENATE("R",'Mapa final'!#REF!),"")</f>
        <v>#REF!</v>
      </c>
      <c r="O18" s="350"/>
      <c r="P18" s="348" t="str">
        <f>IF(AND('Mapa final'!$H$43="Alta",'Mapa final'!$L$43="Menor"),CONCATENATE("R",'Mapa final'!$A$43),"")</f>
        <v/>
      </c>
      <c r="Q18" s="349"/>
      <c r="R18" s="349" t="e">
        <f>IF(AND('Mapa final'!#REF!="Alta",'Mapa final'!#REF!="Menor"),CONCATENATE("R",'Mapa final'!#REF!),"")</f>
        <v>#REF!</v>
      </c>
      <c r="S18" s="349"/>
      <c r="T18" s="349" t="e">
        <f>IF(AND('Mapa final'!#REF!="Alta",'Mapa final'!#REF!="Menor"),CONCATENATE("R",'Mapa final'!#REF!),"")</f>
        <v>#REF!</v>
      </c>
      <c r="U18" s="350"/>
      <c r="V18" s="366" t="str">
        <f>IF(AND('Mapa final'!$H$43="Alta",'Mapa final'!$L$43="Moderado"),CONCATENATE("R",'Mapa final'!$A$43),"")</f>
        <v/>
      </c>
      <c r="W18" s="367"/>
      <c r="X18" s="367" t="e">
        <f>IF(AND('Mapa final'!#REF!="Alta",'Mapa final'!#REF!="Moderado"),CONCATENATE("R",'Mapa final'!#REF!),"")</f>
        <v>#REF!</v>
      </c>
      <c r="Y18" s="367"/>
      <c r="Z18" s="367" t="e">
        <f>IF(AND('Mapa final'!#REF!="Alta",'Mapa final'!#REF!="Moderado"),CONCATENATE("R",'Mapa final'!#REF!),"")</f>
        <v>#REF!</v>
      </c>
      <c r="AA18" s="368"/>
      <c r="AB18" s="366" t="str">
        <f>IF(AND('Mapa final'!$H$43="Alta",'Mapa final'!$L$43="Mayor"),CONCATENATE("R",'Mapa final'!$A$43),"")</f>
        <v/>
      </c>
      <c r="AC18" s="367"/>
      <c r="AD18" s="367" t="e">
        <f>IF(AND('Mapa final'!#REF!="Alta",'Mapa final'!#REF!="Mayor"),CONCATENATE("R",'Mapa final'!#REF!),"")</f>
        <v>#REF!</v>
      </c>
      <c r="AE18" s="367"/>
      <c r="AF18" s="367" t="e">
        <f>IF(AND('Mapa final'!#REF!="Alta",'Mapa final'!#REF!="Mayor"),CONCATENATE("R",'Mapa final'!#REF!),"")</f>
        <v>#REF!</v>
      </c>
      <c r="AG18" s="368"/>
      <c r="AH18" s="357" t="str">
        <f>IF(AND('Mapa final'!$H$43="Alta",'Mapa final'!$L$43="Catastrófico"),CONCATENATE("R",'Mapa final'!$A$43),"")</f>
        <v/>
      </c>
      <c r="AI18" s="358"/>
      <c r="AJ18" s="358" t="e">
        <f>IF(AND('Mapa final'!#REF!="Alta",'Mapa final'!#REF!="Catastrófico"),CONCATENATE("R",'Mapa final'!#REF!),"")</f>
        <v>#REF!</v>
      </c>
      <c r="AK18" s="358"/>
      <c r="AL18" s="358" t="e">
        <f>IF(AND('Mapa final'!#REF!="Alta",'Mapa final'!#REF!="Catastrófico"),CONCATENATE("R",'Mapa final'!#REF!),"")</f>
        <v>#REF!</v>
      </c>
      <c r="AM18" s="359"/>
      <c r="AN18" s="83"/>
      <c r="AO18" s="400"/>
      <c r="AP18" s="401"/>
      <c r="AQ18" s="401"/>
      <c r="AR18" s="401"/>
      <c r="AS18" s="401"/>
      <c r="AT18" s="40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86"/>
      <c r="C19" s="386"/>
      <c r="D19" s="387"/>
      <c r="E19" s="379"/>
      <c r="F19" s="380"/>
      <c r="G19" s="380"/>
      <c r="H19" s="380"/>
      <c r="I19" s="380"/>
      <c r="J19" s="348"/>
      <c r="K19" s="349"/>
      <c r="L19" s="349"/>
      <c r="M19" s="349"/>
      <c r="N19" s="349"/>
      <c r="O19" s="350"/>
      <c r="P19" s="348"/>
      <c r="Q19" s="349"/>
      <c r="R19" s="349"/>
      <c r="S19" s="349"/>
      <c r="T19" s="349"/>
      <c r="U19" s="350"/>
      <c r="V19" s="366"/>
      <c r="W19" s="367"/>
      <c r="X19" s="367"/>
      <c r="Y19" s="367"/>
      <c r="Z19" s="367"/>
      <c r="AA19" s="368"/>
      <c r="AB19" s="366"/>
      <c r="AC19" s="367"/>
      <c r="AD19" s="367"/>
      <c r="AE19" s="367"/>
      <c r="AF19" s="367"/>
      <c r="AG19" s="368"/>
      <c r="AH19" s="357"/>
      <c r="AI19" s="358"/>
      <c r="AJ19" s="358"/>
      <c r="AK19" s="358"/>
      <c r="AL19" s="358"/>
      <c r="AM19" s="359"/>
      <c r="AN19" s="83"/>
      <c r="AO19" s="400"/>
      <c r="AP19" s="401"/>
      <c r="AQ19" s="401"/>
      <c r="AR19" s="401"/>
      <c r="AS19" s="401"/>
      <c r="AT19" s="40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86"/>
      <c r="C20" s="386"/>
      <c r="D20" s="387"/>
      <c r="E20" s="379"/>
      <c r="F20" s="380"/>
      <c r="G20" s="380"/>
      <c r="H20" s="380"/>
      <c r="I20" s="380"/>
      <c r="J20" s="348" t="e">
        <f>IF(AND('Mapa final'!#REF!="Alta",'Mapa final'!#REF!="Leve"),CONCATENATE("R",'Mapa final'!#REF!),"")</f>
        <v>#REF!</v>
      </c>
      <c r="K20" s="349"/>
      <c r="L20" s="349" t="str">
        <f>IF(AND('Mapa final'!$H$48="Alta",'Mapa final'!$L$48="Leve"),CONCATENATE("R",'Mapa final'!$A$48),"")</f>
        <v/>
      </c>
      <c r="M20" s="349"/>
      <c r="N20" s="349" t="str">
        <f>IF(AND('Mapa final'!$H$54="Alta",'Mapa final'!$L$54="Leve"),CONCATENATE("R",'Mapa final'!$A$54),"")</f>
        <v/>
      </c>
      <c r="O20" s="350"/>
      <c r="P20" s="348" t="e">
        <f>IF(AND('Mapa final'!#REF!="Alta",'Mapa final'!#REF!="Menor"),CONCATENATE("R",'Mapa final'!#REF!),"")</f>
        <v>#REF!</v>
      </c>
      <c r="Q20" s="349"/>
      <c r="R20" s="349" t="str">
        <f>IF(AND('Mapa final'!$H$48="Alta",'Mapa final'!$L$48="Menor"),CONCATENATE("R",'Mapa final'!$A$48),"")</f>
        <v/>
      </c>
      <c r="S20" s="349"/>
      <c r="T20" s="349" t="str">
        <f>IF(AND('Mapa final'!$H$54="Alta",'Mapa final'!$L$54="Menor"),CONCATENATE("R",'Mapa final'!$A$54),"")</f>
        <v/>
      </c>
      <c r="U20" s="350"/>
      <c r="V20" s="366" t="e">
        <f>IF(AND('Mapa final'!#REF!="Alta",'Mapa final'!#REF!="Moderado"),CONCATENATE("R",'Mapa final'!#REF!),"")</f>
        <v>#REF!</v>
      </c>
      <c r="W20" s="367"/>
      <c r="X20" s="367" t="str">
        <f>IF(AND('Mapa final'!$H$48="Alta",'Mapa final'!$L$48="Moderado"),CONCATENATE("R",'Mapa final'!$A$48),"")</f>
        <v/>
      </c>
      <c r="Y20" s="367"/>
      <c r="Z20" s="367" t="str">
        <f>IF(AND('Mapa final'!$H$54="Alta",'Mapa final'!$L$54="Moderado"),CONCATENATE("R",'Mapa final'!$A$54),"")</f>
        <v/>
      </c>
      <c r="AA20" s="368"/>
      <c r="AB20" s="366" t="e">
        <f>IF(AND('Mapa final'!#REF!="Alta",'Mapa final'!#REF!="Mayor"),CONCATENATE("R",'Mapa final'!#REF!),"")</f>
        <v>#REF!</v>
      </c>
      <c r="AC20" s="367"/>
      <c r="AD20" s="367" t="str">
        <f>IF(AND('Mapa final'!$H$48="Alta",'Mapa final'!$L$48="Mayor"),CONCATENATE("R",'Mapa final'!$A$48),"")</f>
        <v/>
      </c>
      <c r="AE20" s="367"/>
      <c r="AF20" s="367" t="str">
        <f>IF(AND('Mapa final'!$H$54="Alta",'Mapa final'!$L$54="Mayor"),CONCATENATE("R",'Mapa final'!$A$54),"")</f>
        <v/>
      </c>
      <c r="AG20" s="368"/>
      <c r="AH20" s="357" t="e">
        <f>IF(AND('Mapa final'!#REF!="Alta",'Mapa final'!#REF!="Catastrófico"),CONCATENATE("R",'Mapa final'!#REF!),"")</f>
        <v>#REF!</v>
      </c>
      <c r="AI20" s="358"/>
      <c r="AJ20" s="358" t="str">
        <f>IF(AND('Mapa final'!$H$48="Alta",'Mapa final'!$L$48="Catastrófico"),CONCATENATE("R",'Mapa final'!$A$48),"")</f>
        <v/>
      </c>
      <c r="AK20" s="358"/>
      <c r="AL20" s="358" t="str">
        <f>IF(AND('Mapa final'!$H$54="Alta",'Mapa final'!$L$54="Catastrófico"),CONCATENATE("R",'Mapa final'!$A$54),"")</f>
        <v/>
      </c>
      <c r="AM20" s="359"/>
      <c r="AN20" s="83"/>
      <c r="AO20" s="400"/>
      <c r="AP20" s="401"/>
      <c r="AQ20" s="401"/>
      <c r="AR20" s="401"/>
      <c r="AS20" s="401"/>
      <c r="AT20" s="40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86"/>
      <c r="C21" s="386"/>
      <c r="D21" s="387"/>
      <c r="E21" s="382"/>
      <c r="F21" s="383"/>
      <c r="G21" s="383"/>
      <c r="H21" s="383"/>
      <c r="I21" s="383"/>
      <c r="J21" s="351"/>
      <c r="K21" s="352"/>
      <c r="L21" s="352"/>
      <c r="M21" s="352"/>
      <c r="N21" s="352"/>
      <c r="O21" s="353"/>
      <c r="P21" s="351"/>
      <c r="Q21" s="352"/>
      <c r="R21" s="352"/>
      <c r="S21" s="352"/>
      <c r="T21" s="352"/>
      <c r="U21" s="353"/>
      <c r="V21" s="369"/>
      <c r="W21" s="370"/>
      <c r="X21" s="370"/>
      <c r="Y21" s="370"/>
      <c r="Z21" s="370"/>
      <c r="AA21" s="371"/>
      <c r="AB21" s="369"/>
      <c r="AC21" s="370"/>
      <c r="AD21" s="370"/>
      <c r="AE21" s="370"/>
      <c r="AF21" s="370"/>
      <c r="AG21" s="371"/>
      <c r="AH21" s="360"/>
      <c r="AI21" s="361"/>
      <c r="AJ21" s="361"/>
      <c r="AK21" s="361"/>
      <c r="AL21" s="361"/>
      <c r="AM21" s="362"/>
      <c r="AN21" s="83"/>
      <c r="AO21" s="403"/>
      <c r="AP21" s="404"/>
      <c r="AQ21" s="404"/>
      <c r="AR21" s="404"/>
      <c r="AS21" s="404"/>
      <c r="AT21" s="40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86"/>
      <c r="C22" s="386"/>
      <c r="D22" s="387"/>
      <c r="E22" s="376" t="s">
        <v>190</v>
      </c>
      <c r="F22" s="377"/>
      <c r="G22" s="377"/>
      <c r="H22" s="377"/>
      <c r="I22" s="378"/>
      <c r="J22" s="354" t="str">
        <f>IF(AND('Mapa final'!$H$26="Media",'Mapa final'!$L$26="Leve"),CONCATENATE("R",'Mapa final'!$A$26),"")</f>
        <v/>
      </c>
      <c r="K22" s="355"/>
      <c r="L22" s="355" t="str">
        <f>IF(AND('Mapa final'!$H$28="Media",'Mapa final'!$L$28="Leve"),CONCATENATE("R",'Mapa final'!$A$28),"")</f>
        <v/>
      </c>
      <c r="M22" s="355"/>
      <c r="N22" s="355" t="str">
        <f>IF(AND('Mapa final'!$H$31="Media",'Mapa final'!$L$31="Leve"),CONCATENATE("R",'Mapa final'!$A$31),"")</f>
        <v/>
      </c>
      <c r="O22" s="356"/>
      <c r="P22" s="354" t="str">
        <f>IF(AND('Mapa final'!$H$26="Media",'Mapa final'!$L$26="Menor"),CONCATENATE("R",'Mapa final'!$A$26),"")</f>
        <v/>
      </c>
      <c r="Q22" s="355"/>
      <c r="R22" s="355" t="str">
        <f>IF(AND('Mapa final'!$H$28="Media",'Mapa final'!$L$28="Menor"),CONCATENATE("R",'Mapa final'!$A$28),"")</f>
        <v/>
      </c>
      <c r="S22" s="355"/>
      <c r="T22" s="355" t="str">
        <f>IF(AND('Mapa final'!$H$31="Media",'Mapa final'!$L$31="Menor"),CONCATENATE("R",'Mapa final'!$A$31),"")</f>
        <v/>
      </c>
      <c r="U22" s="356"/>
      <c r="V22" s="354" t="str">
        <f>IF(AND('Mapa final'!$H$26="Media",'Mapa final'!$L$26="Moderado"),CONCATENATE("R",'Mapa final'!$A$26),"")</f>
        <v>R1</v>
      </c>
      <c r="W22" s="355"/>
      <c r="X22" s="355" t="str">
        <f>IF(AND('Mapa final'!$H$28="Media",'Mapa final'!$L$28="Moderado"),CONCATENATE("R",'Mapa final'!$A$28),"")</f>
        <v/>
      </c>
      <c r="Y22" s="355"/>
      <c r="Z22" s="355" t="str">
        <f>IF(AND('Mapa final'!$H$31="Media",'Mapa final'!$L$31="Moderado"),CONCATENATE("R",'Mapa final'!$A$31),"")</f>
        <v/>
      </c>
      <c r="AA22" s="356"/>
      <c r="AB22" s="372" t="str">
        <f>IF(AND('Mapa final'!$H$26="Media",'Mapa final'!$L$26="Mayor"),CONCATENATE("R",'Mapa final'!$A$26),"")</f>
        <v/>
      </c>
      <c r="AC22" s="373"/>
      <c r="AD22" s="373" t="str">
        <f>IF(AND('Mapa final'!$H$28="Media",'Mapa final'!$L$28="Mayor"),CONCATENATE("R",'Mapa final'!$A$28),"")</f>
        <v/>
      </c>
      <c r="AE22" s="373"/>
      <c r="AF22" s="373" t="str">
        <f>IF(AND('Mapa final'!$H$31="Media",'Mapa final'!$L$31="Mayor"),CONCATENATE("R",'Mapa final'!$A$31),"")</f>
        <v/>
      </c>
      <c r="AG22" s="374"/>
      <c r="AH22" s="363" t="str">
        <f>IF(AND('Mapa final'!$H$26="Media",'Mapa final'!$L$26="Catastrófico"),CONCATENATE("R",'Mapa final'!$A$26),"")</f>
        <v/>
      </c>
      <c r="AI22" s="364"/>
      <c r="AJ22" s="364" t="str">
        <f>IF(AND('Mapa final'!$H$28="Media",'Mapa final'!$L$28="Catastrófico"),CONCATENATE("R",'Mapa final'!$A$28),"")</f>
        <v/>
      </c>
      <c r="AK22" s="364"/>
      <c r="AL22" s="364" t="str">
        <f>IF(AND('Mapa final'!$H$31="Media",'Mapa final'!$L$31="Catastrófico"),CONCATENATE("R",'Mapa final'!$A$31),"")</f>
        <v/>
      </c>
      <c r="AM22" s="365"/>
      <c r="AN22" s="83"/>
      <c r="AO22" s="406" t="s">
        <v>191</v>
      </c>
      <c r="AP22" s="407"/>
      <c r="AQ22" s="407"/>
      <c r="AR22" s="407"/>
      <c r="AS22" s="407"/>
      <c r="AT22" s="40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86"/>
      <c r="C23" s="386"/>
      <c r="D23" s="387"/>
      <c r="E23" s="379"/>
      <c r="F23" s="380"/>
      <c r="G23" s="380"/>
      <c r="H23" s="380"/>
      <c r="I23" s="381"/>
      <c r="J23" s="348"/>
      <c r="K23" s="349"/>
      <c r="L23" s="349"/>
      <c r="M23" s="349"/>
      <c r="N23" s="349"/>
      <c r="O23" s="350"/>
      <c r="P23" s="348"/>
      <c r="Q23" s="349"/>
      <c r="R23" s="349"/>
      <c r="S23" s="349"/>
      <c r="T23" s="349"/>
      <c r="U23" s="350"/>
      <c r="V23" s="348"/>
      <c r="W23" s="349"/>
      <c r="X23" s="349"/>
      <c r="Y23" s="349"/>
      <c r="Z23" s="349"/>
      <c r="AA23" s="350"/>
      <c r="AB23" s="366"/>
      <c r="AC23" s="367"/>
      <c r="AD23" s="367"/>
      <c r="AE23" s="367"/>
      <c r="AF23" s="367"/>
      <c r="AG23" s="368"/>
      <c r="AH23" s="357"/>
      <c r="AI23" s="358"/>
      <c r="AJ23" s="358"/>
      <c r="AK23" s="358"/>
      <c r="AL23" s="358"/>
      <c r="AM23" s="359"/>
      <c r="AN23" s="83"/>
      <c r="AO23" s="409"/>
      <c r="AP23" s="410"/>
      <c r="AQ23" s="410"/>
      <c r="AR23" s="410"/>
      <c r="AS23" s="410"/>
      <c r="AT23" s="41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86"/>
      <c r="C24" s="386"/>
      <c r="D24" s="387"/>
      <c r="E24" s="379"/>
      <c r="F24" s="380"/>
      <c r="G24" s="380"/>
      <c r="H24" s="380"/>
      <c r="I24" s="381"/>
      <c r="J24" s="348" t="str">
        <f>IF(AND('Mapa final'!$H$35="Media",'Mapa final'!$L$35="Leve"),CONCATENATE("R",'Mapa final'!$A$35),"")</f>
        <v/>
      </c>
      <c r="K24" s="349"/>
      <c r="L24" s="349" t="str">
        <f>IF(AND('Mapa final'!$H$39="Media",'Mapa final'!$L$39="Leve"),CONCATENATE("R",'Mapa final'!$A$39),"")</f>
        <v/>
      </c>
      <c r="M24" s="349"/>
      <c r="N24" s="349" t="str">
        <f>IF(AND('Mapa final'!$H$41="Media",'Mapa final'!$L$41="Leve"),CONCATENATE("R",'Mapa final'!$A$41),"")</f>
        <v>R6</v>
      </c>
      <c r="O24" s="350"/>
      <c r="P24" s="348" t="str">
        <f>IF(AND('Mapa final'!$H$35="Media",'Mapa final'!$L$35="Menor"),CONCATENATE("R",'Mapa final'!$A$35),"")</f>
        <v/>
      </c>
      <c r="Q24" s="349"/>
      <c r="R24" s="349" t="str">
        <f>IF(AND('Mapa final'!$H$39="Media",'Mapa final'!$L$39="Menor"),CONCATENATE("R",'Mapa final'!$A$39),"")</f>
        <v/>
      </c>
      <c r="S24" s="349"/>
      <c r="T24" s="349" t="str">
        <f>IF(AND('Mapa final'!$H$41="Media",'Mapa final'!$L$41="Menor"),CONCATENATE("R",'Mapa final'!$A$41),"")</f>
        <v/>
      </c>
      <c r="U24" s="350"/>
      <c r="V24" s="348" t="str">
        <f>IF(AND('Mapa final'!$H$35="Media",'Mapa final'!$L$35="Moderado"),CONCATENATE("R",'Mapa final'!$A$35),"")</f>
        <v/>
      </c>
      <c r="W24" s="349"/>
      <c r="X24" s="349" t="str">
        <f>IF(AND('Mapa final'!$H$39="Media",'Mapa final'!$L$39="Moderado"),CONCATENATE("R",'Mapa final'!$A$39),"")</f>
        <v/>
      </c>
      <c r="Y24" s="349"/>
      <c r="Z24" s="349" t="str">
        <f>IF(AND('Mapa final'!$H$41="Media",'Mapa final'!$L$41="Moderado"),CONCATENATE("R",'Mapa final'!$A$41),"")</f>
        <v/>
      </c>
      <c r="AA24" s="350"/>
      <c r="AB24" s="366" t="str">
        <f>IF(AND('Mapa final'!$H$35="Media",'Mapa final'!$L$35="Mayor"),CONCATENATE("R",'Mapa final'!$A$35),"")</f>
        <v/>
      </c>
      <c r="AC24" s="367"/>
      <c r="AD24" s="367" t="str">
        <f>IF(AND('Mapa final'!$H$39="Media",'Mapa final'!$L$39="Mayor"),CONCATENATE("R",'Mapa final'!$A$39),"")</f>
        <v/>
      </c>
      <c r="AE24" s="367"/>
      <c r="AF24" s="367" t="str">
        <f>IF(AND('Mapa final'!$H$41="Media",'Mapa final'!$L$41="Mayor"),CONCATENATE("R",'Mapa final'!$A$41),"")</f>
        <v/>
      </c>
      <c r="AG24" s="368"/>
      <c r="AH24" s="357" t="str">
        <f>IF(AND('Mapa final'!$H$35="Media",'Mapa final'!$L$35="Catastrófico"),CONCATENATE("R",'Mapa final'!$A$35),"")</f>
        <v/>
      </c>
      <c r="AI24" s="358"/>
      <c r="AJ24" s="358" t="str">
        <f>IF(AND('Mapa final'!$H$39="Media",'Mapa final'!$L$39="Catastrófico"),CONCATENATE("R",'Mapa final'!$A$39),"")</f>
        <v/>
      </c>
      <c r="AK24" s="358"/>
      <c r="AL24" s="358" t="str">
        <f>IF(AND('Mapa final'!$H$41="Media",'Mapa final'!$L$41="Catastrófico"),CONCATENATE("R",'Mapa final'!$A$41),"")</f>
        <v/>
      </c>
      <c r="AM24" s="359"/>
      <c r="AN24" s="83"/>
      <c r="AO24" s="409"/>
      <c r="AP24" s="410"/>
      <c r="AQ24" s="410"/>
      <c r="AR24" s="410"/>
      <c r="AS24" s="410"/>
      <c r="AT24" s="41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86"/>
      <c r="C25" s="386"/>
      <c r="D25" s="387"/>
      <c r="E25" s="379"/>
      <c r="F25" s="380"/>
      <c r="G25" s="380"/>
      <c r="H25" s="380"/>
      <c r="I25" s="381"/>
      <c r="J25" s="348"/>
      <c r="K25" s="349"/>
      <c r="L25" s="349"/>
      <c r="M25" s="349"/>
      <c r="N25" s="349"/>
      <c r="O25" s="350"/>
      <c r="P25" s="348"/>
      <c r="Q25" s="349"/>
      <c r="R25" s="349"/>
      <c r="S25" s="349"/>
      <c r="T25" s="349"/>
      <c r="U25" s="350"/>
      <c r="V25" s="348"/>
      <c r="W25" s="349"/>
      <c r="X25" s="349"/>
      <c r="Y25" s="349"/>
      <c r="Z25" s="349"/>
      <c r="AA25" s="350"/>
      <c r="AB25" s="366"/>
      <c r="AC25" s="367"/>
      <c r="AD25" s="367"/>
      <c r="AE25" s="367"/>
      <c r="AF25" s="367"/>
      <c r="AG25" s="368"/>
      <c r="AH25" s="357"/>
      <c r="AI25" s="358"/>
      <c r="AJ25" s="358"/>
      <c r="AK25" s="358"/>
      <c r="AL25" s="358"/>
      <c r="AM25" s="359"/>
      <c r="AN25" s="83"/>
      <c r="AO25" s="409"/>
      <c r="AP25" s="410"/>
      <c r="AQ25" s="410"/>
      <c r="AR25" s="410"/>
      <c r="AS25" s="410"/>
      <c r="AT25" s="41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86"/>
      <c r="C26" s="386"/>
      <c r="D26" s="387"/>
      <c r="E26" s="379"/>
      <c r="F26" s="380"/>
      <c r="G26" s="380"/>
      <c r="H26" s="380"/>
      <c r="I26" s="381"/>
      <c r="J26" s="348" t="str">
        <f>IF(AND('Mapa final'!$H$43="Media",'Mapa final'!$L$43="Leve"),CONCATENATE("R",'Mapa final'!$A$43),"")</f>
        <v>R7</v>
      </c>
      <c r="K26" s="349"/>
      <c r="L26" s="349" t="e">
        <f>IF(AND('Mapa final'!#REF!="Media",'Mapa final'!#REF!="Leve"),CONCATENATE("R",'Mapa final'!#REF!),"")</f>
        <v>#REF!</v>
      </c>
      <c r="M26" s="349"/>
      <c r="N26" s="349" t="e">
        <f>IF(AND('Mapa final'!#REF!="Media",'Mapa final'!#REF!="Leve"),CONCATENATE("R",'Mapa final'!#REF!),"")</f>
        <v>#REF!</v>
      </c>
      <c r="O26" s="350"/>
      <c r="P26" s="348" t="str">
        <f>IF(AND('Mapa final'!$H$43="Media",'Mapa final'!$L$43="Menor"),CONCATENATE("R",'Mapa final'!$A$43),"")</f>
        <v/>
      </c>
      <c r="Q26" s="349"/>
      <c r="R26" s="349" t="e">
        <f>IF(AND('Mapa final'!#REF!="Media",'Mapa final'!#REF!="Menor"),CONCATENATE("R",'Mapa final'!#REF!),"")</f>
        <v>#REF!</v>
      </c>
      <c r="S26" s="349"/>
      <c r="T26" s="349" t="e">
        <f>IF(AND('Mapa final'!#REF!="Media",'Mapa final'!#REF!="Menor"),CONCATENATE("R",'Mapa final'!#REF!),"")</f>
        <v>#REF!</v>
      </c>
      <c r="U26" s="350"/>
      <c r="V26" s="348" t="str">
        <f>IF(AND('Mapa final'!$H$43="Media",'Mapa final'!$L$43="Moderado"),CONCATENATE("R",'Mapa final'!$A$43),"")</f>
        <v/>
      </c>
      <c r="W26" s="349"/>
      <c r="X26" s="349" t="e">
        <f>IF(AND('Mapa final'!#REF!="Media",'Mapa final'!#REF!="Moderado"),CONCATENATE("R",'Mapa final'!#REF!),"")</f>
        <v>#REF!</v>
      </c>
      <c r="Y26" s="349"/>
      <c r="Z26" s="349" t="e">
        <f>IF(AND('Mapa final'!#REF!="Media",'Mapa final'!#REF!="Moderado"),CONCATENATE("R",'Mapa final'!#REF!),"")</f>
        <v>#REF!</v>
      </c>
      <c r="AA26" s="350"/>
      <c r="AB26" s="366" t="str">
        <f>IF(AND('Mapa final'!$H$43="Media",'Mapa final'!$L$43="Mayor"),CONCATENATE("R",'Mapa final'!$A$43),"")</f>
        <v/>
      </c>
      <c r="AC26" s="367"/>
      <c r="AD26" s="367" t="e">
        <f>IF(AND('Mapa final'!#REF!="Media",'Mapa final'!#REF!="Mayor"),CONCATENATE("R",'Mapa final'!#REF!),"")</f>
        <v>#REF!</v>
      </c>
      <c r="AE26" s="367"/>
      <c r="AF26" s="367" t="e">
        <f>IF(AND('Mapa final'!#REF!="Media",'Mapa final'!#REF!="Mayor"),CONCATENATE("R",'Mapa final'!#REF!),"")</f>
        <v>#REF!</v>
      </c>
      <c r="AG26" s="368"/>
      <c r="AH26" s="357" t="str">
        <f>IF(AND('Mapa final'!$H$43="Media",'Mapa final'!$L$43="Catastrófico"),CONCATENATE("R",'Mapa final'!$A$43),"")</f>
        <v/>
      </c>
      <c r="AI26" s="358"/>
      <c r="AJ26" s="358" t="e">
        <f>IF(AND('Mapa final'!#REF!="Media",'Mapa final'!#REF!="Catastrófico"),CONCATENATE("R",'Mapa final'!#REF!),"")</f>
        <v>#REF!</v>
      </c>
      <c r="AK26" s="358"/>
      <c r="AL26" s="358" t="e">
        <f>IF(AND('Mapa final'!#REF!="Media",'Mapa final'!#REF!="Catastrófico"),CONCATENATE("R",'Mapa final'!#REF!),"")</f>
        <v>#REF!</v>
      </c>
      <c r="AM26" s="359"/>
      <c r="AN26" s="83"/>
      <c r="AO26" s="409"/>
      <c r="AP26" s="410"/>
      <c r="AQ26" s="410"/>
      <c r="AR26" s="410"/>
      <c r="AS26" s="410"/>
      <c r="AT26" s="41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86"/>
      <c r="C27" s="386"/>
      <c r="D27" s="387"/>
      <c r="E27" s="379"/>
      <c r="F27" s="380"/>
      <c r="G27" s="380"/>
      <c r="H27" s="380"/>
      <c r="I27" s="381"/>
      <c r="J27" s="348"/>
      <c r="K27" s="349"/>
      <c r="L27" s="349"/>
      <c r="M27" s="349"/>
      <c r="N27" s="349"/>
      <c r="O27" s="350"/>
      <c r="P27" s="348"/>
      <c r="Q27" s="349"/>
      <c r="R27" s="349"/>
      <c r="S27" s="349"/>
      <c r="T27" s="349"/>
      <c r="U27" s="350"/>
      <c r="V27" s="348"/>
      <c r="W27" s="349"/>
      <c r="X27" s="349"/>
      <c r="Y27" s="349"/>
      <c r="Z27" s="349"/>
      <c r="AA27" s="350"/>
      <c r="AB27" s="366"/>
      <c r="AC27" s="367"/>
      <c r="AD27" s="367"/>
      <c r="AE27" s="367"/>
      <c r="AF27" s="367"/>
      <c r="AG27" s="368"/>
      <c r="AH27" s="357"/>
      <c r="AI27" s="358"/>
      <c r="AJ27" s="358"/>
      <c r="AK27" s="358"/>
      <c r="AL27" s="358"/>
      <c r="AM27" s="359"/>
      <c r="AN27" s="83"/>
      <c r="AO27" s="409"/>
      <c r="AP27" s="410"/>
      <c r="AQ27" s="410"/>
      <c r="AR27" s="410"/>
      <c r="AS27" s="410"/>
      <c r="AT27" s="41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86"/>
      <c r="C28" s="386"/>
      <c r="D28" s="387"/>
      <c r="E28" s="379"/>
      <c r="F28" s="380"/>
      <c r="G28" s="380"/>
      <c r="H28" s="380"/>
      <c r="I28" s="381"/>
      <c r="J28" s="348" t="e">
        <f>IF(AND('Mapa final'!#REF!="Media",'Mapa final'!#REF!="Leve"),CONCATENATE("R",'Mapa final'!#REF!),"")</f>
        <v>#REF!</v>
      </c>
      <c r="K28" s="349"/>
      <c r="L28" s="349" t="str">
        <f>IF(AND('Mapa final'!$H$48="Media",'Mapa final'!$L$48="Leve"),CONCATENATE("R",'Mapa final'!$A$48),"")</f>
        <v/>
      </c>
      <c r="M28" s="349"/>
      <c r="N28" s="349" t="str">
        <f>IF(AND('Mapa final'!$H$54="Media",'Mapa final'!$L$54="Leve"),CONCATENATE("R",'Mapa final'!$A$54),"")</f>
        <v/>
      </c>
      <c r="O28" s="350"/>
      <c r="P28" s="348" t="e">
        <f>IF(AND('Mapa final'!#REF!="Media",'Mapa final'!#REF!="Menor"),CONCATENATE("R",'Mapa final'!#REF!),"")</f>
        <v>#REF!</v>
      </c>
      <c r="Q28" s="349"/>
      <c r="R28" s="349" t="str">
        <f>IF(AND('Mapa final'!$H$48="Media",'Mapa final'!$L$48="Menor"),CONCATENATE("R",'Mapa final'!$A$48),"")</f>
        <v/>
      </c>
      <c r="S28" s="349"/>
      <c r="T28" s="349" t="str">
        <f>IF(AND('Mapa final'!$H$54="Media",'Mapa final'!$L$54="Menor"),CONCATENATE("R",'Mapa final'!$A$54),"")</f>
        <v/>
      </c>
      <c r="U28" s="350"/>
      <c r="V28" s="348" t="e">
        <f>IF(AND('Mapa final'!#REF!="Media",'Mapa final'!#REF!="Moderado"),CONCATENATE("R",'Mapa final'!#REF!),"")</f>
        <v>#REF!</v>
      </c>
      <c r="W28" s="349"/>
      <c r="X28" s="349" t="str">
        <f>IF(AND('Mapa final'!$H$48="Media",'Mapa final'!$L$48="Moderado"),CONCATENATE("R",'Mapa final'!$A$48),"")</f>
        <v/>
      </c>
      <c r="Y28" s="349"/>
      <c r="Z28" s="349" t="str">
        <f>IF(AND('Mapa final'!$H$54="Media",'Mapa final'!$L$54="Moderado"),CONCATENATE("R",'Mapa final'!$A$54),"")</f>
        <v/>
      </c>
      <c r="AA28" s="350"/>
      <c r="AB28" s="366" t="e">
        <f>IF(AND('Mapa final'!#REF!="Media",'Mapa final'!#REF!="Mayor"),CONCATENATE("R",'Mapa final'!#REF!),"")</f>
        <v>#REF!</v>
      </c>
      <c r="AC28" s="367"/>
      <c r="AD28" s="367" t="str">
        <f>IF(AND('Mapa final'!$H$48="Media",'Mapa final'!$L$48="Mayor"),CONCATENATE("R",'Mapa final'!$A$48),"")</f>
        <v/>
      </c>
      <c r="AE28" s="367"/>
      <c r="AF28" s="367" t="str">
        <f>IF(AND('Mapa final'!$H$54="Media",'Mapa final'!$L$54="Mayor"),CONCATENATE("R",'Mapa final'!$A$54),"")</f>
        <v/>
      </c>
      <c r="AG28" s="368"/>
      <c r="AH28" s="357" t="e">
        <f>IF(AND('Mapa final'!#REF!="Media",'Mapa final'!#REF!="Catastrófico"),CONCATENATE("R",'Mapa final'!#REF!),"")</f>
        <v>#REF!</v>
      </c>
      <c r="AI28" s="358"/>
      <c r="AJ28" s="358" t="str">
        <f>IF(AND('Mapa final'!$H$48="Media",'Mapa final'!$L$48="Catastrófico"),CONCATENATE("R",'Mapa final'!$A$48),"")</f>
        <v/>
      </c>
      <c r="AK28" s="358"/>
      <c r="AL28" s="358" t="str">
        <f>IF(AND('Mapa final'!$H$54="Media",'Mapa final'!$L$54="Catastrófico"),CONCATENATE("R",'Mapa final'!$A$54),"")</f>
        <v/>
      </c>
      <c r="AM28" s="359"/>
      <c r="AN28" s="83"/>
      <c r="AO28" s="409"/>
      <c r="AP28" s="410"/>
      <c r="AQ28" s="410"/>
      <c r="AR28" s="410"/>
      <c r="AS28" s="410"/>
      <c r="AT28" s="41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86"/>
      <c r="C29" s="386"/>
      <c r="D29" s="387"/>
      <c r="E29" s="382"/>
      <c r="F29" s="383"/>
      <c r="G29" s="383"/>
      <c r="H29" s="383"/>
      <c r="I29" s="384"/>
      <c r="J29" s="348"/>
      <c r="K29" s="349"/>
      <c r="L29" s="349"/>
      <c r="M29" s="349"/>
      <c r="N29" s="349"/>
      <c r="O29" s="350"/>
      <c r="P29" s="351"/>
      <c r="Q29" s="352"/>
      <c r="R29" s="352"/>
      <c r="S29" s="352"/>
      <c r="T29" s="352"/>
      <c r="U29" s="353"/>
      <c r="V29" s="351"/>
      <c r="W29" s="352"/>
      <c r="X29" s="352"/>
      <c r="Y29" s="352"/>
      <c r="Z29" s="352"/>
      <c r="AA29" s="353"/>
      <c r="AB29" s="369"/>
      <c r="AC29" s="370"/>
      <c r="AD29" s="370"/>
      <c r="AE29" s="370"/>
      <c r="AF29" s="370"/>
      <c r="AG29" s="371"/>
      <c r="AH29" s="360"/>
      <c r="AI29" s="361"/>
      <c r="AJ29" s="361"/>
      <c r="AK29" s="361"/>
      <c r="AL29" s="361"/>
      <c r="AM29" s="362"/>
      <c r="AN29" s="83"/>
      <c r="AO29" s="412"/>
      <c r="AP29" s="413"/>
      <c r="AQ29" s="413"/>
      <c r="AR29" s="413"/>
      <c r="AS29" s="413"/>
      <c r="AT29" s="41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86"/>
      <c r="C30" s="386"/>
      <c r="D30" s="387"/>
      <c r="E30" s="376" t="s">
        <v>192</v>
      </c>
      <c r="F30" s="377"/>
      <c r="G30" s="377"/>
      <c r="H30" s="377"/>
      <c r="I30" s="377"/>
      <c r="J30" s="345" t="str">
        <f>IF(AND('Mapa final'!$H$26="Baja",'Mapa final'!$L$26="Leve"),CONCATENATE("R",'Mapa final'!$A$26),"")</f>
        <v/>
      </c>
      <c r="K30" s="346"/>
      <c r="L30" s="346" t="str">
        <f>IF(AND('Mapa final'!$H$28="Baja",'Mapa final'!$L$28="Leve"),CONCATENATE("R",'Mapa final'!$A$28),"")</f>
        <v/>
      </c>
      <c r="M30" s="346"/>
      <c r="N30" s="346" t="str">
        <f>IF(AND('Mapa final'!$H$31="Baja",'Mapa final'!$L$31="Leve"),CONCATENATE("R",'Mapa final'!$A$31),"")</f>
        <v/>
      </c>
      <c r="O30" s="347"/>
      <c r="P30" s="355" t="str">
        <f>IF(AND('Mapa final'!$H$26="Baja",'Mapa final'!$L$26="Menor"),CONCATENATE("R",'Mapa final'!$A$26),"")</f>
        <v/>
      </c>
      <c r="Q30" s="355"/>
      <c r="R30" s="355" t="str">
        <f>IF(AND('Mapa final'!$H$28="Baja",'Mapa final'!$L$28="Menor"),CONCATENATE("R",'Mapa final'!$A$28),"")</f>
        <v/>
      </c>
      <c r="S30" s="355"/>
      <c r="T30" s="355" t="str">
        <f>IF(AND('Mapa final'!$H$31="Baja",'Mapa final'!$L$31="Menor"),CONCATENATE("R",'Mapa final'!$A$31),"")</f>
        <v/>
      </c>
      <c r="U30" s="356"/>
      <c r="V30" s="354" t="str">
        <f>IF(AND('Mapa final'!$H$26="Baja",'Mapa final'!$L$26="Moderado"),CONCATENATE("R",'Mapa final'!$A$26),"")</f>
        <v/>
      </c>
      <c r="W30" s="355"/>
      <c r="X30" s="355" t="str">
        <f>IF(AND('Mapa final'!$H$28="Baja",'Mapa final'!$L$28="Moderado"),CONCATENATE("R",'Mapa final'!$A$28),"")</f>
        <v/>
      </c>
      <c r="Y30" s="355"/>
      <c r="Z30" s="355" t="str">
        <f>IF(AND('Mapa final'!$H$31="Baja",'Mapa final'!$L$31="Moderado"),CONCATENATE("R",'Mapa final'!$A$31),"")</f>
        <v/>
      </c>
      <c r="AA30" s="356"/>
      <c r="AB30" s="372" t="str">
        <f>IF(AND('Mapa final'!$H$26="Baja",'Mapa final'!$L$26="Mayor"),CONCATENATE("R",'Mapa final'!$A$26),"")</f>
        <v/>
      </c>
      <c r="AC30" s="373"/>
      <c r="AD30" s="373" t="str">
        <f>IF(AND('Mapa final'!$H$28="Baja",'Mapa final'!$L$28="Mayor"),CONCATENATE("R",'Mapa final'!$A$28),"")</f>
        <v/>
      </c>
      <c r="AE30" s="373"/>
      <c r="AF30" s="373" t="str">
        <f>IF(AND('Mapa final'!$H$31="Baja",'Mapa final'!$L$31="Mayor"),CONCATENATE("R",'Mapa final'!$A$31),"")</f>
        <v/>
      </c>
      <c r="AG30" s="374"/>
      <c r="AH30" s="363" t="str">
        <f>IF(AND('Mapa final'!$H$26="Baja",'Mapa final'!$L$26="Catastrófico"),CONCATENATE("R",'Mapa final'!$A$26),"")</f>
        <v/>
      </c>
      <c r="AI30" s="364"/>
      <c r="AJ30" s="364" t="str">
        <f>IF(AND('Mapa final'!$H$28="Baja",'Mapa final'!$L$28="Catastrófico"),CONCATENATE("R",'Mapa final'!$A$28),"")</f>
        <v/>
      </c>
      <c r="AK30" s="364"/>
      <c r="AL30" s="364" t="str">
        <f>IF(AND('Mapa final'!$H$31="Baja",'Mapa final'!$L$31="Catastrófico"),CONCATENATE("R",'Mapa final'!$A$31),"")</f>
        <v/>
      </c>
      <c r="AM30" s="365"/>
      <c r="AN30" s="83"/>
      <c r="AO30" s="415" t="s">
        <v>193</v>
      </c>
      <c r="AP30" s="416"/>
      <c r="AQ30" s="416"/>
      <c r="AR30" s="416"/>
      <c r="AS30" s="416"/>
      <c r="AT30" s="41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86"/>
      <c r="C31" s="386"/>
      <c r="D31" s="387"/>
      <c r="E31" s="379"/>
      <c r="F31" s="380"/>
      <c r="G31" s="380"/>
      <c r="H31" s="380"/>
      <c r="I31" s="380"/>
      <c r="J31" s="339"/>
      <c r="K31" s="340"/>
      <c r="L31" s="340"/>
      <c r="M31" s="340"/>
      <c r="N31" s="340"/>
      <c r="O31" s="341"/>
      <c r="P31" s="349"/>
      <c r="Q31" s="349"/>
      <c r="R31" s="349"/>
      <c r="S31" s="349"/>
      <c r="T31" s="349"/>
      <c r="U31" s="350"/>
      <c r="V31" s="348"/>
      <c r="W31" s="349"/>
      <c r="X31" s="349"/>
      <c r="Y31" s="349"/>
      <c r="Z31" s="349"/>
      <c r="AA31" s="350"/>
      <c r="AB31" s="366"/>
      <c r="AC31" s="367"/>
      <c r="AD31" s="367"/>
      <c r="AE31" s="367"/>
      <c r="AF31" s="367"/>
      <c r="AG31" s="368"/>
      <c r="AH31" s="357"/>
      <c r="AI31" s="358"/>
      <c r="AJ31" s="358"/>
      <c r="AK31" s="358"/>
      <c r="AL31" s="358"/>
      <c r="AM31" s="359"/>
      <c r="AN31" s="83"/>
      <c r="AO31" s="418"/>
      <c r="AP31" s="419"/>
      <c r="AQ31" s="419"/>
      <c r="AR31" s="419"/>
      <c r="AS31" s="419"/>
      <c r="AT31" s="42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86"/>
      <c r="C32" s="386"/>
      <c r="D32" s="387"/>
      <c r="E32" s="379"/>
      <c r="F32" s="380"/>
      <c r="G32" s="380"/>
      <c r="H32" s="380"/>
      <c r="I32" s="380"/>
      <c r="J32" s="339" t="str">
        <f>IF(AND('Mapa final'!$H$35="Baja",'Mapa final'!$L$35="Leve"),CONCATENATE("R",'Mapa final'!$A$35),"")</f>
        <v>R4</v>
      </c>
      <c r="K32" s="340"/>
      <c r="L32" s="340" t="str">
        <f>IF(AND('Mapa final'!$H$39="Baja",'Mapa final'!$L$39="Leve"),CONCATENATE("R",'Mapa final'!$A$39),"")</f>
        <v>R5</v>
      </c>
      <c r="M32" s="340"/>
      <c r="N32" s="340" t="str">
        <f>IF(AND('Mapa final'!$H$41="Baja",'Mapa final'!$L$41="Leve"),CONCATENATE("R",'Mapa final'!$A$41),"")</f>
        <v/>
      </c>
      <c r="O32" s="341"/>
      <c r="P32" s="349" t="str">
        <f>IF(AND('Mapa final'!$H$35="Baja",'Mapa final'!$L$35="Menor"),CONCATENATE("R",'Mapa final'!$A$35),"")</f>
        <v/>
      </c>
      <c r="Q32" s="349"/>
      <c r="R32" s="349" t="str">
        <f>IF(AND('Mapa final'!$H$39="Baja",'Mapa final'!$L$39="Menor"),CONCATENATE("R",'Mapa final'!$A$39),"")</f>
        <v/>
      </c>
      <c r="S32" s="349"/>
      <c r="T32" s="349" t="str">
        <f>IF(AND('Mapa final'!$H$41="Baja",'Mapa final'!$L$41="Menor"),CONCATENATE("R",'Mapa final'!$A$41),"")</f>
        <v/>
      </c>
      <c r="U32" s="350"/>
      <c r="V32" s="348" t="str">
        <f>IF(AND('Mapa final'!$H$35="Baja",'Mapa final'!$L$35="Moderado"),CONCATENATE("R",'Mapa final'!$A$35),"")</f>
        <v/>
      </c>
      <c r="W32" s="349"/>
      <c r="X32" s="349" t="str">
        <f>IF(AND('Mapa final'!$H$39="Baja",'Mapa final'!$L$39="Moderado"),CONCATENATE("R",'Mapa final'!$A$39),"")</f>
        <v/>
      </c>
      <c r="Y32" s="349"/>
      <c r="Z32" s="349" t="str">
        <f>IF(AND('Mapa final'!$H$41="Baja",'Mapa final'!$L$41="Moderado"),CONCATENATE("R",'Mapa final'!$A$41),"")</f>
        <v/>
      </c>
      <c r="AA32" s="350"/>
      <c r="AB32" s="366" t="str">
        <f>IF(AND('Mapa final'!$H$35="Baja",'Mapa final'!$L$35="Mayor"),CONCATENATE("R",'Mapa final'!$A$35),"")</f>
        <v/>
      </c>
      <c r="AC32" s="367"/>
      <c r="AD32" s="367" t="str">
        <f>IF(AND('Mapa final'!$H$39="Baja",'Mapa final'!$L$39="Mayor"),CONCATENATE("R",'Mapa final'!$A$39),"")</f>
        <v/>
      </c>
      <c r="AE32" s="367"/>
      <c r="AF32" s="367" t="str">
        <f>IF(AND('Mapa final'!$H$41="Baja",'Mapa final'!$L$41="Mayor"),CONCATENATE("R",'Mapa final'!$A$41),"")</f>
        <v/>
      </c>
      <c r="AG32" s="368"/>
      <c r="AH32" s="357" t="str">
        <f>IF(AND('Mapa final'!$H$35="Baja",'Mapa final'!$L$35="Catastrófico"),CONCATENATE("R",'Mapa final'!$A$35),"")</f>
        <v/>
      </c>
      <c r="AI32" s="358"/>
      <c r="AJ32" s="358" t="str">
        <f>IF(AND('Mapa final'!$H$39="Baja",'Mapa final'!$L$39="Catastrófico"),CONCATENATE("R",'Mapa final'!$A$39),"")</f>
        <v/>
      </c>
      <c r="AK32" s="358"/>
      <c r="AL32" s="358" t="str">
        <f>IF(AND('Mapa final'!$H$41="Baja",'Mapa final'!$L$41="Catastrófico"),CONCATENATE("R",'Mapa final'!$A$41),"")</f>
        <v/>
      </c>
      <c r="AM32" s="359"/>
      <c r="AN32" s="83"/>
      <c r="AO32" s="418"/>
      <c r="AP32" s="419"/>
      <c r="AQ32" s="419"/>
      <c r="AR32" s="419"/>
      <c r="AS32" s="419"/>
      <c r="AT32" s="42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86"/>
      <c r="C33" s="386"/>
      <c r="D33" s="387"/>
      <c r="E33" s="379"/>
      <c r="F33" s="380"/>
      <c r="G33" s="380"/>
      <c r="H33" s="380"/>
      <c r="I33" s="380"/>
      <c r="J33" s="339"/>
      <c r="K33" s="340"/>
      <c r="L33" s="340"/>
      <c r="M33" s="340"/>
      <c r="N33" s="340"/>
      <c r="O33" s="341"/>
      <c r="P33" s="349"/>
      <c r="Q33" s="349"/>
      <c r="R33" s="349"/>
      <c r="S33" s="349"/>
      <c r="T33" s="349"/>
      <c r="U33" s="350"/>
      <c r="V33" s="348"/>
      <c r="W33" s="349"/>
      <c r="X33" s="349"/>
      <c r="Y33" s="349"/>
      <c r="Z33" s="349"/>
      <c r="AA33" s="350"/>
      <c r="AB33" s="366"/>
      <c r="AC33" s="367"/>
      <c r="AD33" s="367"/>
      <c r="AE33" s="367"/>
      <c r="AF33" s="367"/>
      <c r="AG33" s="368"/>
      <c r="AH33" s="357"/>
      <c r="AI33" s="358"/>
      <c r="AJ33" s="358"/>
      <c r="AK33" s="358"/>
      <c r="AL33" s="358"/>
      <c r="AM33" s="359"/>
      <c r="AN33" s="83"/>
      <c r="AO33" s="418"/>
      <c r="AP33" s="419"/>
      <c r="AQ33" s="419"/>
      <c r="AR33" s="419"/>
      <c r="AS33" s="419"/>
      <c r="AT33" s="42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86"/>
      <c r="C34" s="386"/>
      <c r="D34" s="387"/>
      <c r="E34" s="379"/>
      <c r="F34" s="380"/>
      <c r="G34" s="380"/>
      <c r="H34" s="380"/>
      <c r="I34" s="380"/>
      <c r="J34" s="339" t="str">
        <f>IF(AND('Mapa final'!$H$43="Baja",'Mapa final'!$L$43="Leve"),CONCATENATE("R",'Mapa final'!$A$43),"")</f>
        <v/>
      </c>
      <c r="K34" s="340"/>
      <c r="L34" s="340" t="e">
        <f>IF(AND('Mapa final'!#REF!="Baja",'Mapa final'!#REF!="Leve"),CONCATENATE("R",'Mapa final'!#REF!),"")</f>
        <v>#REF!</v>
      </c>
      <c r="M34" s="340"/>
      <c r="N34" s="340" t="e">
        <f>IF(AND('Mapa final'!#REF!="Baja",'Mapa final'!#REF!="Leve"),CONCATENATE("R",'Mapa final'!#REF!),"")</f>
        <v>#REF!</v>
      </c>
      <c r="O34" s="341"/>
      <c r="P34" s="349" t="str">
        <f>IF(AND('Mapa final'!$H$43="Baja",'Mapa final'!$L$43="Menor"),CONCATENATE("R",'Mapa final'!$A$43),"")</f>
        <v/>
      </c>
      <c r="Q34" s="349"/>
      <c r="R34" s="349" t="e">
        <f>IF(AND('Mapa final'!#REF!="Baja",'Mapa final'!#REF!="Menor"),CONCATENATE("R",'Mapa final'!#REF!),"")</f>
        <v>#REF!</v>
      </c>
      <c r="S34" s="349"/>
      <c r="T34" s="349" t="e">
        <f>IF(AND('Mapa final'!#REF!="Baja",'Mapa final'!#REF!="Menor"),CONCATENATE("R",'Mapa final'!#REF!),"")</f>
        <v>#REF!</v>
      </c>
      <c r="U34" s="350"/>
      <c r="V34" s="348" t="str">
        <f>IF(AND('Mapa final'!$H$43="Baja",'Mapa final'!$L$43="Moderado"),CONCATENATE("R",'Mapa final'!$A$43),"")</f>
        <v/>
      </c>
      <c r="W34" s="349"/>
      <c r="X34" s="349" t="e">
        <f>IF(AND('Mapa final'!#REF!="Baja",'Mapa final'!#REF!="Moderado"),CONCATENATE("R",'Mapa final'!#REF!),"")</f>
        <v>#REF!</v>
      </c>
      <c r="Y34" s="349"/>
      <c r="Z34" s="349" t="e">
        <f>IF(AND('Mapa final'!#REF!="Baja",'Mapa final'!#REF!="Moderado"),CONCATENATE("R",'Mapa final'!#REF!),"")</f>
        <v>#REF!</v>
      </c>
      <c r="AA34" s="350"/>
      <c r="AB34" s="366" t="str">
        <f>IF(AND('Mapa final'!$H$43="Baja",'Mapa final'!$L$43="Mayor"),CONCATENATE("R",'Mapa final'!$A$43),"")</f>
        <v/>
      </c>
      <c r="AC34" s="367"/>
      <c r="AD34" s="367" t="e">
        <f>IF(AND('Mapa final'!#REF!="Baja",'Mapa final'!#REF!="Mayor"),CONCATENATE("R",'Mapa final'!#REF!),"")</f>
        <v>#REF!</v>
      </c>
      <c r="AE34" s="367"/>
      <c r="AF34" s="367" t="e">
        <f>IF(AND('Mapa final'!#REF!="Baja",'Mapa final'!#REF!="Mayor"),CONCATENATE("R",'Mapa final'!#REF!),"")</f>
        <v>#REF!</v>
      </c>
      <c r="AG34" s="368"/>
      <c r="AH34" s="357" t="str">
        <f>IF(AND('Mapa final'!$H$43="Baja",'Mapa final'!$L$43="Catastrófico"),CONCATENATE("R",'Mapa final'!$A$43),"")</f>
        <v/>
      </c>
      <c r="AI34" s="358"/>
      <c r="AJ34" s="358" t="e">
        <f>IF(AND('Mapa final'!#REF!="Baja",'Mapa final'!#REF!="Catastrófico"),CONCATENATE("R",'Mapa final'!#REF!),"")</f>
        <v>#REF!</v>
      </c>
      <c r="AK34" s="358"/>
      <c r="AL34" s="358" t="e">
        <f>IF(AND('Mapa final'!#REF!="Baja",'Mapa final'!#REF!="Catastrófico"),CONCATENATE("R",'Mapa final'!#REF!),"")</f>
        <v>#REF!</v>
      </c>
      <c r="AM34" s="359"/>
      <c r="AN34" s="83"/>
      <c r="AO34" s="418"/>
      <c r="AP34" s="419"/>
      <c r="AQ34" s="419"/>
      <c r="AR34" s="419"/>
      <c r="AS34" s="419"/>
      <c r="AT34" s="42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86"/>
      <c r="C35" s="386"/>
      <c r="D35" s="387"/>
      <c r="E35" s="379"/>
      <c r="F35" s="380"/>
      <c r="G35" s="380"/>
      <c r="H35" s="380"/>
      <c r="I35" s="380"/>
      <c r="J35" s="339"/>
      <c r="K35" s="340"/>
      <c r="L35" s="340"/>
      <c r="M35" s="340"/>
      <c r="N35" s="340"/>
      <c r="O35" s="341"/>
      <c r="P35" s="349"/>
      <c r="Q35" s="349"/>
      <c r="R35" s="349"/>
      <c r="S35" s="349"/>
      <c r="T35" s="349"/>
      <c r="U35" s="350"/>
      <c r="V35" s="348"/>
      <c r="W35" s="349"/>
      <c r="X35" s="349"/>
      <c r="Y35" s="349"/>
      <c r="Z35" s="349"/>
      <c r="AA35" s="350"/>
      <c r="AB35" s="366"/>
      <c r="AC35" s="367"/>
      <c r="AD35" s="367"/>
      <c r="AE35" s="367"/>
      <c r="AF35" s="367"/>
      <c r="AG35" s="368"/>
      <c r="AH35" s="357"/>
      <c r="AI35" s="358"/>
      <c r="AJ35" s="358"/>
      <c r="AK35" s="358"/>
      <c r="AL35" s="358"/>
      <c r="AM35" s="359"/>
      <c r="AN35" s="83"/>
      <c r="AO35" s="418"/>
      <c r="AP35" s="419"/>
      <c r="AQ35" s="419"/>
      <c r="AR35" s="419"/>
      <c r="AS35" s="419"/>
      <c r="AT35" s="42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86"/>
      <c r="C36" s="386"/>
      <c r="D36" s="387"/>
      <c r="E36" s="379"/>
      <c r="F36" s="380"/>
      <c r="G36" s="380"/>
      <c r="H36" s="380"/>
      <c r="I36" s="380"/>
      <c r="J36" s="339" t="e">
        <f>IF(AND('Mapa final'!#REF!="Baja",'Mapa final'!#REF!="Leve"),CONCATENATE("R",'Mapa final'!#REF!),"")</f>
        <v>#REF!</v>
      </c>
      <c r="K36" s="340"/>
      <c r="L36" s="340" t="str">
        <f>IF(AND('Mapa final'!$H$48="Baja",'Mapa final'!$L$48="Leve"),CONCATENATE("R",'Mapa final'!$A$48),"")</f>
        <v/>
      </c>
      <c r="M36" s="340"/>
      <c r="N36" s="340" t="str">
        <f>IF(AND('Mapa final'!$H$54="Baja",'Mapa final'!$L$54="Leve"),CONCATENATE("R",'Mapa final'!$A$54),"")</f>
        <v/>
      </c>
      <c r="O36" s="341"/>
      <c r="P36" s="349" t="e">
        <f>IF(AND('Mapa final'!#REF!="Baja",'Mapa final'!#REF!="Menor"),CONCATENATE("R",'Mapa final'!#REF!),"")</f>
        <v>#REF!</v>
      </c>
      <c r="Q36" s="349"/>
      <c r="R36" s="349" t="str">
        <f>IF(AND('Mapa final'!$H$48="Baja",'Mapa final'!$L$48="Menor"),CONCATENATE("R",'Mapa final'!$A$48),"")</f>
        <v/>
      </c>
      <c r="S36" s="349"/>
      <c r="T36" s="349" t="str">
        <f>IF(AND('Mapa final'!$H$54="Baja",'Mapa final'!$L$54="Menor"),CONCATENATE("R",'Mapa final'!$A$54),"")</f>
        <v/>
      </c>
      <c r="U36" s="350"/>
      <c r="V36" s="348" t="e">
        <f>IF(AND('Mapa final'!#REF!="Baja",'Mapa final'!#REF!="Moderado"),CONCATENATE("R",'Mapa final'!#REF!),"")</f>
        <v>#REF!</v>
      </c>
      <c r="W36" s="349"/>
      <c r="X36" s="349" t="str">
        <f>IF(AND('Mapa final'!$H$48="Baja",'Mapa final'!$L$48="Moderado"),CONCATENATE("R",'Mapa final'!$A$48),"")</f>
        <v/>
      </c>
      <c r="Y36" s="349"/>
      <c r="Z36" s="349" t="str">
        <f>IF(AND('Mapa final'!$H$54="Baja",'Mapa final'!$L$54="Moderado"),CONCATENATE("R",'Mapa final'!$A$54),"")</f>
        <v/>
      </c>
      <c r="AA36" s="350"/>
      <c r="AB36" s="366" t="e">
        <f>IF(AND('Mapa final'!#REF!="Baja",'Mapa final'!#REF!="Mayor"),CONCATENATE("R",'Mapa final'!#REF!),"")</f>
        <v>#REF!</v>
      </c>
      <c r="AC36" s="367"/>
      <c r="AD36" s="367" t="str">
        <f>IF(AND('Mapa final'!$H$48="Baja",'Mapa final'!$L$48="Mayor"),CONCATENATE("R",'Mapa final'!$A$48),"")</f>
        <v/>
      </c>
      <c r="AE36" s="367"/>
      <c r="AF36" s="367" t="str">
        <f>IF(AND('Mapa final'!$H$54="Baja",'Mapa final'!$L$54="Mayor"),CONCATENATE("R",'Mapa final'!$A$54),"")</f>
        <v/>
      </c>
      <c r="AG36" s="368"/>
      <c r="AH36" s="357" t="e">
        <f>IF(AND('Mapa final'!#REF!="Baja",'Mapa final'!#REF!="Catastrófico"),CONCATENATE("R",'Mapa final'!#REF!),"")</f>
        <v>#REF!</v>
      </c>
      <c r="AI36" s="358"/>
      <c r="AJ36" s="358" t="str">
        <f>IF(AND('Mapa final'!$H$48="Baja",'Mapa final'!$L$48="Catastrófico"),CONCATENATE("R",'Mapa final'!$A$48),"")</f>
        <v/>
      </c>
      <c r="AK36" s="358"/>
      <c r="AL36" s="358" t="str">
        <f>IF(AND('Mapa final'!$H$54="Baja",'Mapa final'!$L$54="Catastrófico"),CONCATENATE("R",'Mapa final'!$A$54),"")</f>
        <v/>
      </c>
      <c r="AM36" s="359"/>
      <c r="AN36" s="83"/>
      <c r="AO36" s="418"/>
      <c r="AP36" s="419"/>
      <c r="AQ36" s="419"/>
      <c r="AR36" s="419"/>
      <c r="AS36" s="419"/>
      <c r="AT36" s="42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86"/>
      <c r="C37" s="386"/>
      <c r="D37" s="387"/>
      <c r="E37" s="382"/>
      <c r="F37" s="383"/>
      <c r="G37" s="383"/>
      <c r="H37" s="383"/>
      <c r="I37" s="383"/>
      <c r="J37" s="342"/>
      <c r="K37" s="343"/>
      <c r="L37" s="343"/>
      <c r="M37" s="343"/>
      <c r="N37" s="343"/>
      <c r="O37" s="344"/>
      <c r="P37" s="352"/>
      <c r="Q37" s="352"/>
      <c r="R37" s="352"/>
      <c r="S37" s="352"/>
      <c r="T37" s="352"/>
      <c r="U37" s="353"/>
      <c r="V37" s="351"/>
      <c r="W37" s="352"/>
      <c r="X37" s="352"/>
      <c r="Y37" s="352"/>
      <c r="Z37" s="352"/>
      <c r="AA37" s="353"/>
      <c r="AB37" s="369"/>
      <c r="AC37" s="370"/>
      <c r="AD37" s="370"/>
      <c r="AE37" s="370"/>
      <c r="AF37" s="370"/>
      <c r="AG37" s="371"/>
      <c r="AH37" s="360"/>
      <c r="AI37" s="361"/>
      <c r="AJ37" s="361"/>
      <c r="AK37" s="361"/>
      <c r="AL37" s="361"/>
      <c r="AM37" s="362"/>
      <c r="AN37" s="83"/>
      <c r="AO37" s="421"/>
      <c r="AP37" s="422"/>
      <c r="AQ37" s="422"/>
      <c r="AR37" s="422"/>
      <c r="AS37" s="422"/>
      <c r="AT37" s="42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86"/>
      <c r="C38" s="386"/>
      <c r="D38" s="387"/>
      <c r="E38" s="376" t="s">
        <v>194</v>
      </c>
      <c r="F38" s="377"/>
      <c r="G38" s="377"/>
      <c r="H38" s="377"/>
      <c r="I38" s="378"/>
      <c r="J38" s="345" t="str">
        <f>IF(AND('Mapa final'!$H$26="Muy Baja",'Mapa final'!$L$26="Leve"),CONCATENATE("R",'Mapa final'!$A$26),"")</f>
        <v/>
      </c>
      <c r="K38" s="346"/>
      <c r="L38" s="346" t="str">
        <f>IF(AND('Mapa final'!$H$28="Muy Baja",'Mapa final'!$L$28="Leve"),CONCATENATE("R",'Mapa final'!$A$28),"")</f>
        <v/>
      </c>
      <c r="M38" s="346"/>
      <c r="N38" s="346" t="str">
        <f>IF(AND('Mapa final'!$H$31="Muy Baja",'Mapa final'!$L$31="Leve"),CONCATENATE("R",'Mapa final'!$A$31),"")</f>
        <v/>
      </c>
      <c r="O38" s="347"/>
      <c r="P38" s="345" t="str">
        <f>IF(AND('Mapa final'!$H$26="Muy Baja",'Mapa final'!$L$26="Menor"),CONCATENATE("R",'Mapa final'!$A$26),"")</f>
        <v/>
      </c>
      <c r="Q38" s="346"/>
      <c r="R38" s="346" t="str">
        <f>IF(AND('Mapa final'!$H$28="Muy Baja",'Mapa final'!$L$28="Menor"),CONCATENATE("R",'Mapa final'!$A$28),"")</f>
        <v/>
      </c>
      <c r="S38" s="346"/>
      <c r="T38" s="346" t="str">
        <f>IF(AND('Mapa final'!$H$31="Muy Baja",'Mapa final'!$L$31="Menor"),CONCATENATE("R",'Mapa final'!$A$31),"")</f>
        <v>R3</v>
      </c>
      <c r="U38" s="347"/>
      <c r="V38" s="354" t="str">
        <f>IF(AND('Mapa final'!$H$26="Muy Baja",'Mapa final'!$L$26="Moderado"),CONCATENATE("R",'Mapa final'!$A$26),"")</f>
        <v/>
      </c>
      <c r="W38" s="355"/>
      <c r="X38" s="355" t="str">
        <f>IF(AND('Mapa final'!$H$28="Muy Baja",'Mapa final'!$L$28="Moderado"),CONCATENATE("R",'Mapa final'!$A$28),"")</f>
        <v/>
      </c>
      <c r="Y38" s="355"/>
      <c r="Z38" s="355" t="str">
        <f>IF(AND('Mapa final'!$H$31="Muy Baja",'Mapa final'!$L$31="Moderado"),CONCATENATE("R",'Mapa final'!$A$31),"")</f>
        <v/>
      </c>
      <c r="AA38" s="356"/>
      <c r="AB38" s="372" t="str">
        <f>IF(AND('Mapa final'!$H$26="Muy Baja",'Mapa final'!$L$26="Mayor"),CONCATENATE("R",'Mapa final'!$A$26),"")</f>
        <v/>
      </c>
      <c r="AC38" s="373"/>
      <c r="AD38" s="373" t="str">
        <f>IF(AND('Mapa final'!$H$28="Muy Baja",'Mapa final'!$L$28="Mayor"),CONCATENATE("R",'Mapa final'!$A$28),"")</f>
        <v/>
      </c>
      <c r="AE38" s="373"/>
      <c r="AF38" s="373" t="str">
        <f>IF(AND('Mapa final'!$H$31="Muy Baja",'Mapa final'!$L$31="Mayor"),CONCATENATE("R",'Mapa final'!$A$31),"")</f>
        <v/>
      </c>
      <c r="AG38" s="374"/>
      <c r="AH38" s="363" t="str">
        <f>IF(AND('Mapa final'!$H$26="Muy Baja",'Mapa final'!$L$26="Catastrófico"),CONCATENATE("R",'Mapa final'!$A$26),"")</f>
        <v/>
      </c>
      <c r="AI38" s="364"/>
      <c r="AJ38" s="364" t="str">
        <f>IF(AND('Mapa final'!$H$28="Muy Baja",'Mapa final'!$L$28="Catastrófico"),CONCATENATE("R",'Mapa final'!$A$28),"")</f>
        <v/>
      </c>
      <c r="AK38" s="364"/>
      <c r="AL38" s="364" t="str">
        <f>IF(AND('Mapa final'!$H$31="Muy Baja",'Mapa final'!$L$31="Catastrófico"),CONCATENATE("R",'Mapa final'!$A$31),"")</f>
        <v/>
      </c>
      <c r="AM38" s="36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86"/>
      <c r="C39" s="386"/>
      <c r="D39" s="387"/>
      <c r="E39" s="379"/>
      <c r="F39" s="380"/>
      <c r="G39" s="380"/>
      <c r="H39" s="380"/>
      <c r="I39" s="381"/>
      <c r="J39" s="339"/>
      <c r="K39" s="340"/>
      <c r="L39" s="340"/>
      <c r="M39" s="340"/>
      <c r="N39" s="340"/>
      <c r="O39" s="341"/>
      <c r="P39" s="339"/>
      <c r="Q39" s="340"/>
      <c r="R39" s="340"/>
      <c r="S39" s="340"/>
      <c r="T39" s="340"/>
      <c r="U39" s="341"/>
      <c r="V39" s="348"/>
      <c r="W39" s="349"/>
      <c r="X39" s="349"/>
      <c r="Y39" s="349"/>
      <c r="Z39" s="349"/>
      <c r="AA39" s="350"/>
      <c r="AB39" s="366"/>
      <c r="AC39" s="367"/>
      <c r="AD39" s="367"/>
      <c r="AE39" s="367"/>
      <c r="AF39" s="367"/>
      <c r="AG39" s="368"/>
      <c r="AH39" s="357"/>
      <c r="AI39" s="358"/>
      <c r="AJ39" s="358"/>
      <c r="AK39" s="358"/>
      <c r="AL39" s="358"/>
      <c r="AM39" s="35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86"/>
      <c r="C40" s="386"/>
      <c r="D40" s="387"/>
      <c r="E40" s="379"/>
      <c r="F40" s="380"/>
      <c r="G40" s="380"/>
      <c r="H40" s="380"/>
      <c r="I40" s="381"/>
      <c r="J40" s="339" t="str">
        <f>IF(AND('Mapa final'!$H$35="Muy Baja",'Mapa final'!$L$35="Leve"),CONCATENATE("R",'Mapa final'!$A$35),"")</f>
        <v/>
      </c>
      <c r="K40" s="340"/>
      <c r="L40" s="340" t="str">
        <f>IF(AND('Mapa final'!$H$39="Muy Baja",'Mapa final'!$L$39="Leve"),CONCATENATE("R",'Mapa final'!$A$39),"")</f>
        <v/>
      </c>
      <c r="M40" s="340"/>
      <c r="N40" s="340" t="str">
        <f>IF(AND('Mapa final'!$H$41="Muy Baja",'Mapa final'!$L$41="Leve"),CONCATENATE("R",'Mapa final'!$A$41),"")</f>
        <v/>
      </c>
      <c r="O40" s="341"/>
      <c r="P40" s="339" t="str">
        <f>IF(AND('Mapa final'!$H$35="Muy Baja",'Mapa final'!$L$35="Menor"),CONCATENATE("R",'Mapa final'!$A$35),"")</f>
        <v/>
      </c>
      <c r="Q40" s="340"/>
      <c r="R40" s="340" t="str">
        <f>IF(AND('Mapa final'!$H$39="Muy Baja",'Mapa final'!$L$39="Menor"),CONCATENATE("R",'Mapa final'!$A$39),"")</f>
        <v/>
      </c>
      <c r="S40" s="340"/>
      <c r="T40" s="340" t="str">
        <f>IF(AND('Mapa final'!$H$41="Muy Baja",'Mapa final'!$L$41="Menor"),CONCATENATE("R",'Mapa final'!$A$41),"")</f>
        <v/>
      </c>
      <c r="U40" s="341"/>
      <c r="V40" s="348" t="str">
        <f>IF(AND('Mapa final'!$H$35="Muy Baja",'Mapa final'!$L$35="Moderado"),CONCATENATE("R",'Mapa final'!$A$35),"")</f>
        <v/>
      </c>
      <c r="W40" s="349"/>
      <c r="X40" s="349" t="str">
        <f>IF(AND('Mapa final'!$H$39="Muy Baja",'Mapa final'!$L$39="Moderado"),CONCATENATE("R",'Mapa final'!$A$39),"")</f>
        <v/>
      </c>
      <c r="Y40" s="349"/>
      <c r="Z40" s="349" t="str">
        <f>IF(AND('Mapa final'!$H$41="Muy Baja",'Mapa final'!$L$41="Moderado"),CONCATENATE("R",'Mapa final'!$A$41),"")</f>
        <v/>
      </c>
      <c r="AA40" s="350"/>
      <c r="AB40" s="366" t="str">
        <f>IF(AND('Mapa final'!$H$35="Muy Baja",'Mapa final'!$L$35="Mayor"),CONCATENATE("R",'Mapa final'!$A$35),"")</f>
        <v/>
      </c>
      <c r="AC40" s="367"/>
      <c r="AD40" s="367" t="str">
        <f>IF(AND('Mapa final'!$H$39="Muy Baja",'Mapa final'!$L$39="Mayor"),CONCATENATE("R",'Mapa final'!$A$39),"")</f>
        <v/>
      </c>
      <c r="AE40" s="367"/>
      <c r="AF40" s="367" t="str">
        <f>IF(AND('Mapa final'!$H$41="Muy Baja",'Mapa final'!$L$41="Mayor"),CONCATENATE("R",'Mapa final'!$A$41),"")</f>
        <v/>
      </c>
      <c r="AG40" s="368"/>
      <c r="AH40" s="357" t="str">
        <f>IF(AND('Mapa final'!$H$35="Muy Baja",'Mapa final'!$L$35="Catastrófico"),CONCATENATE("R",'Mapa final'!$A$35),"")</f>
        <v/>
      </c>
      <c r="AI40" s="358"/>
      <c r="AJ40" s="358" t="str">
        <f>IF(AND('Mapa final'!$H$39="Muy Baja",'Mapa final'!$L$39="Catastrófico"),CONCATENATE("R",'Mapa final'!$A$39),"")</f>
        <v/>
      </c>
      <c r="AK40" s="358"/>
      <c r="AL40" s="358" t="str">
        <f>IF(AND('Mapa final'!$H$41="Muy Baja",'Mapa final'!$L$41="Catastrófico"),CONCATENATE("R",'Mapa final'!$A$41),"")</f>
        <v/>
      </c>
      <c r="AM40" s="35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86"/>
      <c r="C41" s="386"/>
      <c r="D41" s="387"/>
      <c r="E41" s="379"/>
      <c r="F41" s="380"/>
      <c r="G41" s="380"/>
      <c r="H41" s="380"/>
      <c r="I41" s="381"/>
      <c r="J41" s="339"/>
      <c r="K41" s="340"/>
      <c r="L41" s="340"/>
      <c r="M41" s="340"/>
      <c r="N41" s="340"/>
      <c r="O41" s="341"/>
      <c r="P41" s="339"/>
      <c r="Q41" s="340"/>
      <c r="R41" s="340"/>
      <c r="S41" s="340"/>
      <c r="T41" s="340"/>
      <c r="U41" s="341"/>
      <c r="V41" s="348"/>
      <c r="W41" s="349"/>
      <c r="X41" s="349"/>
      <c r="Y41" s="349"/>
      <c r="Z41" s="349"/>
      <c r="AA41" s="350"/>
      <c r="AB41" s="366"/>
      <c r="AC41" s="367"/>
      <c r="AD41" s="367"/>
      <c r="AE41" s="367"/>
      <c r="AF41" s="367"/>
      <c r="AG41" s="368"/>
      <c r="AH41" s="357"/>
      <c r="AI41" s="358"/>
      <c r="AJ41" s="358"/>
      <c r="AK41" s="358"/>
      <c r="AL41" s="358"/>
      <c r="AM41" s="35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86"/>
      <c r="C42" s="386"/>
      <c r="D42" s="387"/>
      <c r="E42" s="379"/>
      <c r="F42" s="380"/>
      <c r="G42" s="380"/>
      <c r="H42" s="380"/>
      <c r="I42" s="381"/>
      <c r="J42" s="339" t="str">
        <f>IF(AND('Mapa final'!$H$43="Muy Baja",'Mapa final'!$L$43="Leve"),CONCATENATE("R",'Mapa final'!$A$43),"")</f>
        <v/>
      </c>
      <c r="K42" s="340"/>
      <c r="L42" s="340" t="e">
        <f>IF(AND('Mapa final'!#REF!="Muy Baja",'Mapa final'!#REF!="Leve"),CONCATENATE("R",'Mapa final'!#REF!),"")</f>
        <v>#REF!</v>
      </c>
      <c r="M42" s="340"/>
      <c r="N42" s="340" t="e">
        <f>IF(AND('Mapa final'!#REF!="Muy Baja",'Mapa final'!#REF!="Leve"),CONCATENATE("R",'Mapa final'!#REF!),"")</f>
        <v>#REF!</v>
      </c>
      <c r="O42" s="341"/>
      <c r="P42" s="339" t="str">
        <f>IF(AND('Mapa final'!$H$43="Muy Baja",'Mapa final'!$L$43="Menor"),CONCATENATE("R",'Mapa final'!$A$43),"")</f>
        <v/>
      </c>
      <c r="Q42" s="340"/>
      <c r="R42" s="340" t="e">
        <f>IF(AND('Mapa final'!#REF!="Muy Baja",'Mapa final'!#REF!="Menor"),CONCATENATE("R",'Mapa final'!#REF!),"")</f>
        <v>#REF!</v>
      </c>
      <c r="S42" s="340"/>
      <c r="T42" s="340" t="e">
        <f>IF(AND('Mapa final'!#REF!="Muy Baja",'Mapa final'!#REF!="Menor"),CONCATENATE("R",'Mapa final'!#REF!),"")</f>
        <v>#REF!</v>
      </c>
      <c r="U42" s="341"/>
      <c r="V42" s="348" t="str">
        <f>IF(AND('Mapa final'!$H$43="Muy Baja",'Mapa final'!$L$43="Moderado"),CONCATENATE("R",'Mapa final'!$A$43),"")</f>
        <v/>
      </c>
      <c r="W42" s="349"/>
      <c r="X42" s="349" t="e">
        <f>IF(AND('Mapa final'!#REF!="Muy Baja",'Mapa final'!#REF!="Moderado"),CONCATENATE("R",'Mapa final'!#REF!),"")</f>
        <v>#REF!</v>
      </c>
      <c r="Y42" s="349"/>
      <c r="Z42" s="349" t="e">
        <f>IF(AND('Mapa final'!#REF!="Muy Baja",'Mapa final'!#REF!="Moderado"),CONCATENATE("R",'Mapa final'!#REF!),"")</f>
        <v>#REF!</v>
      </c>
      <c r="AA42" s="350"/>
      <c r="AB42" s="366" t="str">
        <f>IF(AND('Mapa final'!$H$43="Muy Baja",'Mapa final'!$L$43="Mayor"),CONCATENATE("R",'Mapa final'!$A$43),"")</f>
        <v/>
      </c>
      <c r="AC42" s="367"/>
      <c r="AD42" s="367" t="e">
        <f>IF(AND('Mapa final'!#REF!="Muy Baja",'Mapa final'!#REF!="Mayor"),CONCATENATE("R",'Mapa final'!#REF!),"")</f>
        <v>#REF!</v>
      </c>
      <c r="AE42" s="367"/>
      <c r="AF42" s="367" t="e">
        <f>IF(AND('Mapa final'!#REF!="Muy Baja",'Mapa final'!#REF!="Mayor"),CONCATENATE("R",'Mapa final'!#REF!),"")</f>
        <v>#REF!</v>
      </c>
      <c r="AG42" s="368"/>
      <c r="AH42" s="357" t="str">
        <f>IF(AND('Mapa final'!$H$43="Muy Baja",'Mapa final'!$L$43="Catastrófico"),CONCATENATE("R",'Mapa final'!$A$43),"")</f>
        <v/>
      </c>
      <c r="AI42" s="358"/>
      <c r="AJ42" s="358" t="e">
        <f>IF(AND('Mapa final'!#REF!="Muy Baja",'Mapa final'!#REF!="Catastrófico"),CONCATENATE("R",'Mapa final'!#REF!),"")</f>
        <v>#REF!</v>
      </c>
      <c r="AK42" s="358"/>
      <c r="AL42" s="358" t="e">
        <f>IF(AND('Mapa final'!#REF!="Muy Baja",'Mapa final'!#REF!="Catastrófico"),CONCATENATE("R",'Mapa final'!#REF!),"")</f>
        <v>#REF!</v>
      </c>
      <c r="AM42" s="35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86"/>
      <c r="C43" s="386"/>
      <c r="D43" s="387"/>
      <c r="E43" s="379"/>
      <c r="F43" s="380"/>
      <c r="G43" s="380"/>
      <c r="H43" s="380"/>
      <c r="I43" s="381"/>
      <c r="J43" s="339"/>
      <c r="K43" s="340"/>
      <c r="L43" s="340"/>
      <c r="M43" s="340"/>
      <c r="N43" s="340"/>
      <c r="O43" s="341"/>
      <c r="P43" s="339"/>
      <c r="Q43" s="340"/>
      <c r="R43" s="340"/>
      <c r="S43" s="340"/>
      <c r="T43" s="340"/>
      <c r="U43" s="341"/>
      <c r="V43" s="348"/>
      <c r="W43" s="349"/>
      <c r="X43" s="349"/>
      <c r="Y43" s="349"/>
      <c r="Z43" s="349"/>
      <c r="AA43" s="350"/>
      <c r="AB43" s="366"/>
      <c r="AC43" s="367"/>
      <c r="AD43" s="367"/>
      <c r="AE43" s="367"/>
      <c r="AF43" s="367"/>
      <c r="AG43" s="368"/>
      <c r="AH43" s="357"/>
      <c r="AI43" s="358"/>
      <c r="AJ43" s="358"/>
      <c r="AK43" s="358"/>
      <c r="AL43" s="358"/>
      <c r="AM43" s="35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86"/>
      <c r="C44" s="386"/>
      <c r="D44" s="387"/>
      <c r="E44" s="379"/>
      <c r="F44" s="380"/>
      <c r="G44" s="380"/>
      <c r="H44" s="380"/>
      <c r="I44" s="381"/>
      <c r="J44" s="339" t="e">
        <f>IF(AND('Mapa final'!#REF!="Muy Baja",'Mapa final'!#REF!="Leve"),CONCATENATE("R",'Mapa final'!#REF!),"")</f>
        <v>#REF!</v>
      </c>
      <c r="K44" s="340"/>
      <c r="L44" s="340" t="str">
        <f>IF(AND('Mapa final'!$H$48="Muy Baja",'Mapa final'!$L$48="Leve"),CONCATENATE("R",'Mapa final'!$A$48),"")</f>
        <v/>
      </c>
      <c r="M44" s="340"/>
      <c r="N44" s="340" t="str">
        <f>IF(AND('Mapa final'!$H$54="Muy Baja",'Mapa final'!$L$54="Leve"),CONCATENATE("R",'Mapa final'!$A$54),"")</f>
        <v/>
      </c>
      <c r="O44" s="341"/>
      <c r="P44" s="339" t="e">
        <f>IF(AND('Mapa final'!#REF!="Muy Baja",'Mapa final'!#REF!="Menor"),CONCATENATE("R",'Mapa final'!#REF!),"")</f>
        <v>#REF!</v>
      </c>
      <c r="Q44" s="340"/>
      <c r="R44" s="340" t="str">
        <f>IF(AND('Mapa final'!$H$48="Muy Baja",'Mapa final'!$L$48="Menor"),CONCATENATE("R",'Mapa final'!$A$48),"")</f>
        <v/>
      </c>
      <c r="S44" s="340"/>
      <c r="T44" s="340" t="str">
        <f>IF(AND('Mapa final'!$H$54="Muy Baja",'Mapa final'!$L$54="Menor"),CONCATENATE("R",'Mapa final'!$A$54),"")</f>
        <v/>
      </c>
      <c r="U44" s="341"/>
      <c r="V44" s="348" t="e">
        <f>IF(AND('Mapa final'!#REF!="Muy Baja",'Mapa final'!#REF!="Moderado"),CONCATENATE("R",'Mapa final'!#REF!),"")</f>
        <v>#REF!</v>
      </c>
      <c r="W44" s="349"/>
      <c r="X44" s="349" t="str">
        <f>IF(AND('Mapa final'!$H$48="Muy Baja",'Mapa final'!$L$48="Moderado"),CONCATENATE("R",'Mapa final'!$A$48),"")</f>
        <v/>
      </c>
      <c r="Y44" s="349"/>
      <c r="Z44" s="349" t="str">
        <f>IF(AND('Mapa final'!$H$54="Muy Baja",'Mapa final'!$L$54="Moderado"),CONCATENATE("R",'Mapa final'!$A$54),"")</f>
        <v/>
      </c>
      <c r="AA44" s="350"/>
      <c r="AB44" s="366" t="e">
        <f>IF(AND('Mapa final'!#REF!="Muy Baja",'Mapa final'!#REF!="Mayor"),CONCATENATE("R",'Mapa final'!#REF!),"")</f>
        <v>#REF!</v>
      </c>
      <c r="AC44" s="367"/>
      <c r="AD44" s="367" t="str">
        <f>IF(AND('Mapa final'!$H$48="Muy Baja",'Mapa final'!$L$48="Mayor"),CONCATENATE("R",'Mapa final'!$A$48),"")</f>
        <v/>
      </c>
      <c r="AE44" s="367"/>
      <c r="AF44" s="367" t="str">
        <f>IF(AND('Mapa final'!$H$54="Muy Baja",'Mapa final'!$L$54="Mayor"),CONCATENATE("R",'Mapa final'!$A$54),"")</f>
        <v/>
      </c>
      <c r="AG44" s="368"/>
      <c r="AH44" s="357" t="e">
        <f>IF(AND('Mapa final'!#REF!="Muy Baja",'Mapa final'!#REF!="Catastrófico"),CONCATENATE("R",'Mapa final'!#REF!),"")</f>
        <v>#REF!</v>
      </c>
      <c r="AI44" s="358"/>
      <c r="AJ44" s="358" t="str">
        <f>IF(AND('Mapa final'!$H$48="Muy Baja",'Mapa final'!$L$48="Catastrófico"),CONCATENATE("R",'Mapa final'!$A$48),"")</f>
        <v/>
      </c>
      <c r="AK44" s="358"/>
      <c r="AL44" s="358" t="str">
        <f>IF(AND('Mapa final'!$H$54="Muy Baja",'Mapa final'!$L$54="Catastrófico"),CONCATENATE("R",'Mapa final'!$A$54),"")</f>
        <v/>
      </c>
      <c r="AM44" s="35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86"/>
      <c r="C45" s="386"/>
      <c r="D45" s="387"/>
      <c r="E45" s="382"/>
      <c r="F45" s="383"/>
      <c r="G45" s="383"/>
      <c r="H45" s="383"/>
      <c r="I45" s="384"/>
      <c r="J45" s="342"/>
      <c r="K45" s="343"/>
      <c r="L45" s="343"/>
      <c r="M45" s="343"/>
      <c r="N45" s="343"/>
      <c r="O45" s="344"/>
      <c r="P45" s="342"/>
      <c r="Q45" s="343"/>
      <c r="R45" s="343"/>
      <c r="S45" s="343"/>
      <c r="T45" s="343"/>
      <c r="U45" s="344"/>
      <c r="V45" s="351"/>
      <c r="W45" s="352"/>
      <c r="X45" s="352"/>
      <c r="Y45" s="352"/>
      <c r="Z45" s="352"/>
      <c r="AA45" s="353"/>
      <c r="AB45" s="369"/>
      <c r="AC45" s="370"/>
      <c r="AD45" s="370"/>
      <c r="AE45" s="370"/>
      <c r="AF45" s="370"/>
      <c r="AG45" s="371"/>
      <c r="AH45" s="360"/>
      <c r="AI45" s="361"/>
      <c r="AJ45" s="361"/>
      <c r="AK45" s="361"/>
      <c r="AL45" s="361"/>
      <c r="AM45" s="36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76" t="s">
        <v>195</v>
      </c>
      <c r="K46" s="377"/>
      <c r="L46" s="377"/>
      <c r="M46" s="377"/>
      <c r="N46" s="377"/>
      <c r="O46" s="378"/>
      <c r="P46" s="376" t="s">
        <v>196</v>
      </c>
      <c r="Q46" s="377"/>
      <c r="R46" s="377"/>
      <c r="S46" s="377"/>
      <c r="T46" s="377"/>
      <c r="U46" s="378"/>
      <c r="V46" s="376" t="s">
        <v>197</v>
      </c>
      <c r="W46" s="377"/>
      <c r="X46" s="377"/>
      <c r="Y46" s="377"/>
      <c r="Z46" s="377"/>
      <c r="AA46" s="378"/>
      <c r="AB46" s="376" t="s">
        <v>198</v>
      </c>
      <c r="AC46" s="385"/>
      <c r="AD46" s="377"/>
      <c r="AE46" s="377"/>
      <c r="AF46" s="377"/>
      <c r="AG46" s="378"/>
      <c r="AH46" s="376" t="s">
        <v>199</v>
      </c>
      <c r="AI46" s="377"/>
      <c r="AJ46" s="377"/>
      <c r="AK46" s="377"/>
      <c r="AL46" s="377"/>
      <c r="AM46" s="37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79"/>
      <c r="K47" s="380"/>
      <c r="L47" s="380"/>
      <c r="M47" s="380"/>
      <c r="N47" s="380"/>
      <c r="O47" s="381"/>
      <c r="P47" s="379"/>
      <c r="Q47" s="380"/>
      <c r="R47" s="380"/>
      <c r="S47" s="380"/>
      <c r="T47" s="380"/>
      <c r="U47" s="381"/>
      <c r="V47" s="379"/>
      <c r="W47" s="380"/>
      <c r="X47" s="380"/>
      <c r="Y47" s="380"/>
      <c r="Z47" s="380"/>
      <c r="AA47" s="381"/>
      <c r="AB47" s="379"/>
      <c r="AC47" s="380"/>
      <c r="AD47" s="380"/>
      <c r="AE47" s="380"/>
      <c r="AF47" s="380"/>
      <c r="AG47" s="381"/>
      <c r="AH47" s="379"/>
      <c r="AI47" s="380"/>
      <c r="AJ47" s="380"/>
      <c r="AK47" s="380"/>
      <c r="AL47" s="380"/>
      <c r="AM47" s="38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79"/>
      <c r="K48" s="380"/>
      <c r="L48" s="380"/>
      <c r="M48" s="380"/>
      <c r="N48" s="380"/>
      <c r="O48" s="381"/>
      <c r="P48" s="379"/>
      <c r="Q48" s="380"/>
      <c r="R48" s="380"/>
      <c r="S48" s="380"/>
      <c r="T48" s="380"/>
      <c r="U48" s="381"/>
      <c r="V48" s="379"/>
      <c r="W48" s="380"/>
      <c r="X48" s="380"/>
      <c r="Y48" s="380"/>
      <c r="Z48" s="380"/>
      <c r="AA48" s="381"/>
      <c r="AB48" s="379"/>
      <c r="AC48" s="380"/>
      <c r="AD48" s="380"/>
      <c r="AE48" s="380"/>
      <c r="AF48" s="380"/>
      <c r="AG48" s="381"/>
      <c r="AH48" s="379"/>
      <c r="AI48" s="380"/>
      <c r="AJ48" s="380"/>
      <c r="AK48" s="380"/>
      <c r="AL48" s="380"/>
      <c r="AM48" s="38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79"/>
      <c r="K49" s="380"/>
      <c r="L49" s="380"/>
      <c r="M49" s="380"/>
      <c r="N49" s="380"/>
      <c r="O49" s="381"/>
      <c r="P49" s="379"/>
      <c r="Q49" s="380"/>
      <c r="R49" s="380"/>
      <c r="S49" s="380"/>
      <c r="T49" s="380"/>
      <c r="U49" s="381"/>
      <c r="V49" s="379"/>
      <c r="W49" s="380"/>
      <c r="X49" s="380"/>
      <c r="Y49" s="380"/>
      <c r="Z49" s="380"/>
      <c r="AA49" s="381"/>
      <c r="AB49" s="379"/>
      <c r="AC49" s="380"/>
      <c r="AD49" s="380"/>
      <c r="AE49" s="380"/>
      <c r="AF49" s="380"/>
      <c r="AG49" s="381"/>
      <c r="AH49" s="379"/>
      <c r="AI49" s="380"/>
      <c r="AJ49" s="380"/>
      <c r="AK49" s="380"/>
      <c r="AL49" s="380"/>
      <c r="AM49" s="38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79"/>
      <c r="K50" s="380"/>
      <c r="L50" s="380"/>
      <c r="M50" s="380"/>
      <c r="N50" s="380"/>
      <c r="O50" s="381"/>
      <c r="P50" s="379"/>
      <c r="Q50" s="380"/>
      <c r="R50" s="380"/>
      <c r="S50" s="380"/>
      <c r="T50" s="380"/>
      <c r="U50" s="381"/>
      <c r="V50" s="379"/>
      <c r="W50" s="380"/>
      <c r="X50" s="380"/>
      <c r="Y50" s="380"/>
      <c r="Z50" s="380"/>
      <c r="AA50" s="381"/>
      <c r="AB50" s="379"/>
      <c r="AC50" s="380"/>
      <c r="AD50" s="380"/>
      <c r="AE50" s="380"/>
      <c r="AF50" s="380"/>
      <c r="AG50" s="381"/>
      <c r="AH50" s="379"/>
      <c r="AI50" s="380"/>
      <c r="AJ50" s="380"/>
      <c r="AK50" s="380"/>
      <c r="AL50" s="380"/>
      <c r="AM50" s="38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82"/>
      <c r="K51" s="383"/>
      <c r="L51" s="383"/>
      <c r="M51" s="383"/>
      <c r="N51" s="383"/>
      <c r="O51" s="384"/>
      <c r="P51" s="382"/>
      <c r="Q51" s="383"/>
      <c r="R51" s="383"/>
      <c r="S51" s="383"/>
      <c r="T51" s="383"/>
      <c r="U51" s="384"/>
      <c r="V51" s="382"/>
      <c r="W51" s="383"/>
      <c r="X51" s="383"/>
      <c r="Y51" s="383"/>
      <c r="Z51" s="383"/>
      <c r="AA51" s="384"/>
      <c r="AB51" s="382"/>
      <c r="AC51" s="383"/>
      <c r="AD51" s="383"/>
      <c r="AE51" s="383"/>
      <c r="AF51" s="383"/>
      <c r="AG51" s="384"/>
      <c r="AH51" s="382"/>
      <c r="AI51" s="383"/>
      <c r="AJ51" s="383"/>
      <c r="AK51" s="383"/>
      <c r="AL51" s="383"/>
      <c r="AM51" s="38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S32" sqref="S32"/>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53" t="s">
        <v>200</v>
      </c>
      <c r="C2" s="454"/>
      <c r="D2" s="454"/>
      <c r="E2" s="454"/>
      <c r="F2" s="454"/>
      <c r="G2" s="454"/>
      <c r="H2" s="454"/>
      <c r="I2" s="454"/>
      <c r="J2" s="375" t="s">
        <v>15</v>
      </c>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54"/>
      <c r="C3" s="454"/>
      <c r="D3" s="454"/>
      <c r="E3" s="454"/>
      <c r="F3" s="454"/>
      <c r="G3" s="454"/>
      <c r="H3" s="454"/>
      <c r="I3" s="454"/>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54"/>
      <c r="C4" s="454"/>
      <c r="D4" s="454"/>
      <c r="E4" s="454"/>
      <c r="F4" s="454"/>
      <c r="G4" s="454"/>
      <c r="H4" s="454"/>
      <c r="I4" s="454"/>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86" t="s">
        <v>185</v>
      </c>
      <c r="C6" s="386"/>
      <c r="D6" s="387"/>
      <c r="E6" s="424" t="s">
        <v>186</v>
      </c>
      <c r="F6" s="425"/>
      <c r="G6" s="425"/>
      <c r="H6" s="425"/>
      <c r="I6" s="426"/>
      <c r="J6" s="46" t="str">
        <f>IF(AND('Mapa final'!$Y$26="Muy Alta",'Mapa final'!$AA$26="Leve"),CONCATENATE("R1C",'Mapa final'!$O$26),"")</f>
        <v/>
      </c>
      <c r="K6" s="47" t="str">
        <f>IF(AND('Mapa final'!$Y$27="Muy Alta",'Mapa final'!$AA$27="Leve"),CONCATENATE("R1C",'Mapa final'!$O$27),"")</f>
        <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final'!$Y$26="Muy Alta",'Mapa final'!$AA$26="Menor"),CONCATENATE("R1C",'Mapa final'!$O$26),"")</f>
        <v/>
      </c>
      <c r="Q6" s="47" t="str">
        <f>IF(AND('Mapa final'!$Y$27="Muy Alta",'Mapa final'!$AA$27="Menor"),CONCATENATE("R1C",'Mapa final'!$O$27),"")</f>
        <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final'!$Y$26="Muy Alta",'Mapa final'!$AA$26="Moderado"),CONCATENATE("R1C",'Mapa final'!$O$26),"")</f>
        <v/>
      </c>
      <c r="W6" s="47" t="str">
        <f>IF(AND('Mapa final'!$Y$27="Muy Alta",'Mapa final'!$AA$27="Moderado"),CONCATENATE("R1C",'Mapa final'!$O$27),"")</f>
        <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final'!$Y$26="Muy Alta",'Mapa final'!$AA$26="Mayor"),CONCATENATE("R1C",'Mapa final'!$O$26),"")</f>
        <v/>
      </c>
      <c r="AC6" s="47" t="str">
        <f>IF(AND('Mapa final'!$Y$27="Muy Alta",'Mapa final'!$AA$27="Mayor"),CONCATENATE("R1C",'Mapa final'!$O$27),"")</f>
        <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final'!$Y$26="Muy Alta",'Mapa final'!$AA$26="Catastrófico"),CONCATENATE("R1C",'Mapa final'!$O$26),"")</f>
        <v/>
      </c>
      <c r="AI6" s="50" t="str">
        <f>IF(AND('Mapa final'!$Y$27="Muy Alta",'Mapa final'!$AA$27="Catastrófico"),CONCATENATE("R1C",'Mapa final'!$O$27),"")</f>
        <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44" t="s">
        <v>187</v>
      </c>
      <c r="AP6" s="445"/>
      <c r="AQ6" s="445"/>
      <c r="AR6" s="445"/>
      <c r="AS6" s="445"/>
      <c r="AT6" s="44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86"/>
      <c r="C7" s="386"/>
      <c r="D7" s="387"/>
      <c r="E7" s="427"/>
      <c r="F7" s="428"/>
      <c r="G7" s="428"/>
      <c r="H7" s="428"/>
      <c r="I7" s="429"/>
      <c r="J7" s="52" t="str">
        <f>IF(AND('Mapa final'!$Y$28="Muy Alta",'Mapa final'!$AA$28="Leve"),CONCATENATE("R2C",'Mapa final'!$O$28),"")</f>
        <v/>
      </c>
      <c r="K7" s="53" t="str">
        <f>IF(AND('Mapa final'!$Y$30="Muy Alta",'Mapa final'!$AA$30="Leve"),CONCATENATE("R2C",'Mapa final'!$O$30),"")</f>
        <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final'!$Y$28="Muy Alta",'Mapa final'!$AA$28="Menor"),CONCATENATE("R2C",'Mapa final'!$O$28),"")</f>
        <v/>
      </c>
      <c r="Q7" s="53" t="str">
        <f>IF(AND('Mapa final'!$Y$30="Muy Alta",'Mapa final'!$AA$30="Menor"),CONCATENATE("R2C",'Mapa final'!$O$30),"")</f>
        <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final'!$Y$28="Muy Alta",'Mapa final'!$AA$28="Moderado"),CONCATENATE("R2C",'Mapa final'!$O$28),"")</f>
        <v/>
      </c>
      <c r="W7" s="53" t="str">
        <f>IF(AND('Mapa final'!$Y$30="Muy Alta",'Mapa final'!$AA$30="Moderado"),CONCATENATE("R2C",'Mapa final'!$O$30),"")</f>
        <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final'!$Y$28="Muy Alta",'Mapa final'!$AA$28="Mayor"),CONCATENATE("R2C",'Mapa final'!$O$28),"")</f>
        <v/>
      </c>
      <c r="AC7" s="53" t="str">
        <f>IF(AND('Mapa final'!$Y$30="Muy Alta",'Mapa final'!$AA$30="Mayor"),CONCATENATE("R2C",'Mapa final'!$O$30),"")</f>
        <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final'!$Y$28="Muy Alta",'Mapa final'!$AA$28="Catastrófico"),CONCATENATE("R2C",'Mapa final'!$O$28),"")</f>
        <v/>
      </c>
      <c r="AI7" s="56" t="str">
        <f>IF(AND('Mapa final'!$Y$30="Muy Alta",'Mapa final'!$AA$30="Catastrófico"),CONCATENATE("R2C",'Mapa final'!$O$30),"")</f>
        <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47"/>
      <c r="AP7" s="448"/>
      <c r="AQ7" s="448"/>
      <c r="AR7" s="448"/>
      <c r="AS7" s="448"/>
      <c r="AT7" s="44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86"/>
      <c r="C8" s="386"/>
      <c r="D8" s="387"/>
      <c r="E8" s="427"/>
      <c r="F8" s="428"/>
      <c r="G8" s="428"/>
      <c r="H8" s="428"/>
      <c r="I8" s="429"/>
      <c r="J8" s="52" t="str">
        <f>IF(AND('Mapa final'!$Y$31="Muy Alta",'Mapa final'!$AA$31="Leve"),CONCATENATE("R3C",'Mapa final'!$O$31),"")</f>
        <v/>
      </c>
      <c r="K8" s="53" t="str">
        <f>IF(AND('Mapa final'!$Y$32="Muy Alta",'Mapa final'!$AA$32="Leve"),CONCATENATE("R3C",'Mapa final'!$O$32),"")</f>
        <v/>
      </c>
      <c r="L8" s="53" t="str">
        <f>IF(AND('Mapa final'!$Y$33="Muy Alta",'Mapa final'!$AA$33="Leve"),CONCATENATE("R3C",'Mapa final'!$O$33),"")</f>
        <v/>
      </c>
      <c r="M8" s="53" t="str">
        <f>IF(AND('Mapa final'!$Y$34="Muy Alta",'Mapa final'!$AA$34="Leve"),CONCATENATE("R3C",'Mapa final'!$O$34),"")</f>
        <v/>
      </c>
      <c r="N8" s="53" t="e">
        <f>IF(AND('Mapa final'!#REF!="Muy Alta",'Mapa final'!#REF!="Leve"),CONCATENATE("R3C",'Mapa final'!#REF!),"")</f>
        <v>#REF!</v>
      </c>
      <c r="O8" s="54" t="e">
        <f>IF(AND('Mapa final'!#REF!="Muy Alta",'Mapa final'!#REF!="Leve"),CONCATENATE("R3C",'Mapa final'!#REF!),"")</f>
        <v>#REF!</v>
      </c>
      <c r="P8" s="52" t="str">
        <f>IF(AND('Mapa final'!$Y$31="Muy Alta",'Mapa final'!$AA$31="Menor"),CONCATENATE("R3C",'Mapa final'!$O$31),"")</f>
        <v/>
      </c>
      <c r="Q8" s="53" t="str">
        <f>IF(AND('Mapa final'!$Y$32="Muy Alta",'Mapa final'!$AA$32="Menor"),CONCATENATE("R3C",'Mapa final'!$O$32),"")</f>
        <v/>
      </c>
      <c r="R8" s="53" t="str">
        <f>IF(AND('Mapa final'!$Y$33="Muy Alta",'Mapa final'!$AA$33="Menor"),CONCATENATE("R3C",'Mapa final'!$O$33),"")</f>
        <v/>
      </c>
      <c r="S8" s="53" t="str">
        <f>IF(AND('Mapa final'!$Y$34="Muy Alta",'Mapa final'!$AA$34="Menor"),CONCATENATE("R3C",'Mapa final'!$O$34),"")</f>
        <v/>
      </c>
      <c r="T8" s="53" t="e">
        <f>IF(AND('Mapa final'!#REF!="Muy Alta",'Mapa final'!#REF!="Menor"),CONCATENATE("R3C",'Mapa final'!#REF!),"")</f>
        <v>#REF!</v>
      </c>
      <c r="U8" s="54" t="e">
        <f>IF(AND('Mapa final'!#REF!="Muy Alta",'Mapa final'!#REF!="Menor"),CONCATENATE("R3C",'Mapa final'!#REF!),"")</f>
        <v>#REF!</v>
      </c>
      <c r="V8" s="52" t="str">
        <f>IF(AND('Mapa final'!$Y$31="Muy Alta",'Mapa final'!$AA$31="Moderado"),CONCATENATE("R3C",'Mapa final'!$O$31),"")</f>
        <v/>
      </c>
      <c r="W8" s="53" t="str">
        <f>IF(AND('Mapa final'!$Y$32="Muy Alta",'Mapa final'!$AA$32="Moderado"),CONCATENATE("R3C",'Mapa final'!$O$32),"")</f>
        <v/>
      </c>
      <c r="X8" s="53" t="str">
        <f>IF(AND('Mapa final'!$Y$33="Muy Alta",'Mapa final'!$AA$33="Moderado"),CONCATENATE("R3C",'Mapa final'!$O$33),"")</f>
        <v/>
      </c>
      <c r="Y8" s="53" t="str">
        <f>IF(AND('Mapa final'!$Y$34="Muy Alta",'Mapa final'!$AA$34="Moderado"),CONCATENATE("R3C",'Mapa final'!$O$34),"")</f>
        <v/>
      </c>
      <c r="Z8" s="53" t="e">
        <f>IF(AND('Mapa final'!#REF!="Muy Alta",'Mapa final'!#REF!="Moderado"),CONCATENATE("R3C",'Mapa final'!#REF!),"")</f>
        <v>#REF!</v>
      </c>
      <c r="AA8" s="54" t="e">
        <f>IF(AND('Mapa final'!#REF!="Muy Alta",'Mapa final'!#REF!="Moderado"),CONCATENATE("R3C",'Mapa final'!#REF!),"")</f>
        <v>#REF!</v>
      </c>
      <c r="AB8" s="52" t="str">
        <f>IF(AND('Mapa final'!$Y$31="Muy Alta",'Mapa final'!$AA$31="Mayor"),CONCATENATE("R3C",'Mapa final'!$O$31),"")</f>
        <v/>
      </c>
      <c r="AC8" s="53" t="str">
        <f>IF(AND('Mapa final'!$Y$32="Muy Alta",'Mapa final'!$AA$32="Mayor"),CONCATENATE("R3C",'Mapa final'!$O$32),"")</f>
        <v/>
      </c>
      <c r="AD8" s="53" t="str">
        <f>IF(AND('Mapa final'!$Y$33="Muy Alta",'Mapa final'!$AA$33="Mayor"),CONCATENATE("R3C",'Mapa final'!$O$33),"")</f>
        <v/>
      </c>
      <c r="AE8" s="53" t="str">
        <f>IF(AND('Mapa final'!$Y$34="Muy Alta",'Mapa final'!$AA$34="Mayor"),CONCATENATE("R3C",'Mapa final'!$O$34),"")</f>
        <v/>
      </c>
      <c r="AF8" s="53" t="e">
        <f>IF(AND('Mapa final'!#REF!="Muy Alta",'Mapa final'!#REF!="Mayor"),CONCATENATE("R3C",'Mapa final'!#REF!),"")</f>
        <v>#REF!</v>
      </c>
      <c r="AG8" s="54" t="e">
        <f>IF(AND('Mapa final'!#REF!="Muy Alta",'Mapa final'!#REF!="Mayor"),CONCATENATE("R3C",'Mapa final'!#REF!),"")</f>
        <v>#REF!</v>
      </c>
      <c r="AH8" s="55" t="str">
        <f>IF(AND('Mapa final'!$Y$31="Muy Alta",'Mapa final'!$AA$31="Catastrófico"),CONCATENATE("R3C",'Mapa final'!$O$31),"")</f>
        <v/>
      </c>
      <c r="AI8" s="56" t="str">
        <f>IF(AND('Mapa final'!$Y$32="Muy Alta",'Mapa final'!$AA$32="Catastrófico"),CONCATENATE("R3C",'Mapa final'!$O$32),"")</f>
        <v/>
      </c>
      <c r="AJ8" s="56" t="str">
        <f>IF(AND('Mapa final'!$Y$33="Muy Alta",'Mapa final'!$AA$33="Catastrófico"),CONCATENATE("R3C",'Mapa final'!$O$33),"")</f>
        <v/>
      </c>
      <c r="AK8" s="56" t="str">
        <f>IF(AND('Mapa final'!$Y$34="Muy Alta",'Mapa final'!$AA$34="Catastrófico"),CONCATENATE("R3C",'Mapa final'!$O$34),"")</f>
        <v/>
      </c>
      <c r="AL8" s="56" t="e">
        <f>IF(AND('Mapa final'!#REF!="Muy Alta",'Mapa final'!#REF!="Catastrófico"),CONCATENATE("R3C",'Mapa final'!#REF!),"")</f>
        <v>#REF!</v>
      </c>
      <c r="AM8" s="57" t="e">
        <f>IF(AND('Mapa final'!#REF!="Muy Alta",'Mapa final'!#REF!="Catastrófico"),CONCATENATE("R3C",'Mapa final'!#REF!),"")</f>
        <v>#REF!</v>
      </c>
      <c r="AN8" s="83"/>
      <c r="AO8" s="447"/>
      <c r="AP8" s="448"/>
      <c r="AQ8" s="448"/>
      <c r="AR8" s="448"/>
      <c r="AS8" s="448"/>
      <c r="AT8" s="44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86"/>
      <c r="C9" s="386"/>
      <c r="D9" s="387"/>
      <c r="E9" s="427"/>
      <c r="F9" s="428"/>
      <c r="G9" s="428"/>
      <c r="H9" s="428"/>
      <c r="I9" s="429"/>
      <c r="J9" s="52" t="str">
        <f>IF(AND('Mapa final'!$Y$35="Muy Alta",'Mapa final'!$AA$35="Leve"),CONCATENATE("R4C",'Mapa final'!$O$35),"")</f>
        <v/>
      </c>
      <c r="K9" s="53" t="str">
        <f>IF(AND('Mapa final'!$Y$36="Muy Alta",'Mapa final'!$AA$36="Leve"),CONCATENATE("R4C",'Mapa final'!$O$36),"")</f>
        <v/>
      </c>
      <c r="L9" s="53" t="str">
        <f>IF(AND('Mapa final'!$Y$37="Muy Alta",'Mapa final'!$AA$37="Leve"),CONCATENATE("R4C",'Mapa final'!$O$37),"")</f>
        <v/>
      </c>
      <c r="M9" s="53" t="str">
        <f>IF(AND('Mapa final'!$Y$38="Muy Alta",'Mapa final'!$AA$38="Leve"),CONCATENATE("R4C",'Mapa final'!$O$38),"")</f>
        <v/>
      </c>
      <c r="N9" s="53" t="e">
        <f>IF(AND('Mapa final'!#REF!="Muy Alta",'Mapa final'!#REF!="Leve"),CONCATENATE("R4C",'Mapa final'!#REF!),"")</f>
        <v>#REF!</v>
      </c>
      <c r="O9" s="54" t="e">
        <f>IF(AND('Mapa final'!#REF!="Muy Alta",'Mapa final'!#REF!="Leve"),CONCATENATE("R4C",'Mapa final'!#REF!),"")</f>
        <v>#REF!</v>
      </c>
      <c r="P9" s="52" t="str">
        <f>IF(AND('Mapa final'!$Y$35="Muy Alta",'Mapa final'!$AA$35="Menor"),CONCATENATE("R4C",'Mapa final'!$O$35),"")</f>
        <v/>
      </c>
      <c r="Q9" s="53" t="str">
        <f>IF(AND('Mapa final'!$Y$36="Muy Alta",'Mapa final'!$AA$36="Menor"),CONCATENATE("R4C",'Mapa final'!$O$36),"")</f>
        <v/>
      </c>
      <c r="R9" s="53" t="str">
        <f>IF(AND('Mapa final'!$Y$37="Muy Alta",'Mapa final'!$AA$37="Menor"),CONCATENATE("R4C",'Mapa final'!$O$37),"")</f>
        <v/>
      </c>
      <c r="S9" s="53" t="str">
        <f>IF(AND('Mapa final'!$Y$38="Muy Alta",'Mapa final'!$AA$38="Menor"),CONCATENATE("R4C",'Mapa final'!$O$38),"")</f>
        <v/>
      </c>
      <c r="T9" s="53" t="e">
        <f>IF(AND('Mapa final'!#REF!="Muy Alta",'Mapa final'!#REF!="Menor"),CONCATENATE("R4C",'Mapa final'!#REF!),"")</f>
        <v>#REF!</v>
      </c>
      <c r="U9" s="54" t="e">
        <f>IF(AND('Mapa final'!#REF!="Muy Alta",'Mapa final'!#REF!="Menor"),CONCATENATE("R4C",'Mapa final'!#REF!),"")</f>
        <v>#REF!</v>
      </c>
      <c r="V9" s="52" t="str">
        <f>IF(AND('Mapa final'!$Y$35="Muy Alta",'Mapa final'!$AA$35="Moderado"),CONCATENATE("R4C",'Mapa final'!$O$35),"")</f>
        <v/>
      </c>
      <c r="W9" s="53" t="str">
        <f>IF(AND('Mapa final'!$Y$36="Muy Alta",'Mapa final'!$AA$36="Moderado"),CONCATENATE("R4C",'Mapa final'!$O$36),"")</f>
        <v/>
      </c>
      <c r="X9" s="53" t="str">
        <f>IF(AND('Mapa final'!$Y$37="Muy Alta",'Mapa final'!$AA$37="Moderado"),CONCATENATE("R4C",'Mapa final'!$O$37),"")</f>
        <v/>
      </c>
      <c r="Y9" s="53" t="str">
        <f>IF(AND('Mapa final'!$Y$38="Muy Alta",'Mapa final'!$AA$38="Moderado"),CONCATENATE("R4C",'Mapa final'!$O$38),"")</f>
        <v/>
      </c>
      <c r="Z9" s="53" t="e">
        <f>IF(AND('Mapa final'!#REF!="Muy Alta",'Mapa final'!#REF!="Moderado"),CONCATENATE("R4C",'Mapa final'!#REF!),"")</f>
        <v>#REF!</v>
      </c>
      <c r="AA9" s="54" t="e">
        <f>IF(AND('Mapa final'!#REF!="Muy Alta",'Mapa final'!#REF!="Moderado"),CONCATENATE("R4C",'Mapa final'!#REF!),"")</f>
        <v>#REF!</v>
      </c>
      <c r="AB9" s="52" t="str">
        <f>IF(AND('Mapa final'!$Y$35="Muy Alta",'Mapa final'!$AA$35="Mayor"),CONCATENATE("R4C",'Mapa final'!$O$35),"")</f>
        <v/>
      </c>
      <c r="AC9" s="53" t="str">
        <f>IF(AND('Mapa final'!$Y$36="Muy Alta",'Mapa final'!$AA$36="Mayor"),CONCATENATE("R4C",'Mapa final'!$O$36),"")</f>
        <v/>
      </c>
      <c r="AD9" s="53" t="str">
        <f>IF(AND('Mapa final'!$Y$37="Muy Alta",'Mapa final'!$AA$37="Mayor"),CONCATENATE("R4C",'Mapa final'!$O$37),"")</f>
        <v/>
      </c>
      <c r="AE9" s="53" t="str">
        <f>IF(AND('Mapa final'!$Y$38="Muy Alta",'Mapa final'!$AA$38="Mayor"),CONCATENATE("R4C",'Mapa final'!$O$38),"")</f>
        <v/>
      </c>
      <c r="AF9" s="53" t="e">
        <f>IF(AND('Mapa final'!#REF!="Muy Alta",'Mapa final'!#REF!="Mayor"),CONCATENATE("R4C",'Mapa final'!#REF!),"")</f>
        <v>#REF!</v>
      </c>
      <c r="AG9" s="54" t="e">
        <f>IF(AND('Mapa final'!#REF!="Muy Alta",'Mapa final'!#REF!="Mayor"),CONCATENATE("R4C",'Mapa final'!#REF!),"")</f>
        <v>#REF!</v>
      </c>
      <c r="AH9" s="55" t="str">
        <f>IF(AND('Mapa final'!$Y$35="Muy Alta",'Mapa final'!$AA$35="Catastrófico"),CONCATENATE("R4C",'Mapa final'!$O$35),"")</f>
        <v/>
      </c>
      <c r="AI9" s="56" t="str">
        <f>IF(AND('Mapa final'!$Y$36="Muy Alta",'Mapa final'!$AA$36="Catastrófico"),CONCATENATE("R4C",'Mapa final'!$O$36),"")</f>
        <v/>
      </c>
      <c r="AJ9" s="56" t="str">
        <f>IF(AND('Mapa final'!$Y$37="Muy Alta",'Mapa final'!$AA$37="Catastrófico"),CONCATENATE("R4C",'Mapa final'!$O$37),"")</f>
        <v/>
      </c>
      <c r="AK9" s="56" t="str">
        <f>IF(AND('Mapa final'!$Y$38="Muy Alta",'Mapa final'!$AA$38="Catastrófico"),CONCATENATE("R4C",'Mapa final'!$O$38),"")</f>
        <v/>
      </c>
      <c r="AL9" s="56" t="e">
        <f>IF(AND('Mapa final'!#REF!="Muy Alta",'Mapa final'!#REF!="Catastrófico"),CONCATENATE("R4C",'Mapa final'!#REF!),"")</f>
        <v>#REF!</v>
      </c>
      <c r="AM9" s="57" t="e">
        <f>IF(AND('Mapa final'!#REF!="Muy Alta",'Mapa final'!#REF!="Catastrófico"),CONCATENATE("R4C",'Mapa final'!#REF!),"")</f>
        <v>#REF!</v>
      </c>
      <c r="AN9" s="83"/>
      <c r="AO9" s="447"/>
      <c r="AP9" s="448"/>
      <c r="AQ9" s="448"/>
      <c r="AR9" s="448"/>
      <c r="AS9" s="448"/>
      <c r="AT9" s="44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86"/>
      <c r="C10" s="386"/>
      <c r="D10" s="387"/>
      <c r="E10" s="427"/>
      <c r="F10" s="428"/>
      <c r="G10" s="428"/>
      <c r="H10" s="428"/>
      <c r="I10" s="429"/>
      <c r="J10" s="52" t="str">
        <f>IF(AND('Mapa final'!$Y$39="Muy Alta",'Mapa final'!$AA$39="Leve"),CONCATENATE("R5C",'Mapa final'!$O$39),"")</f>
        <v/>
      </c>
      <c r="K10" s="53" t="str">
        <f>IF(AND('Mapa final'!$Y$40="Muy Alta",'Mapa final'!$AA$40="Leve"),CONCATENATE("R5C",'Mapa final'!$O$40),"")</f>
        <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final'!$Y$39="Muy Alta",'Mapa final'!$AA$39="Menor"),CONCATENATE("R5C",'Mapa final'!$O$39),"")</f>
        <v/>
      </c>
      <c r="Q10" s="53" t="str">
        <f>IF(AND('Mapa final'!$Y$40="Muy Alta",'Mapa final'!$AA$40="Menor"),CONCATENATE("R5C",'Mapa final'!$O$40),"")</f>
        <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final'!$Y$39="Muy Alta",'Mapa final'!$AA$39="Moderado"),CONCATENATE("R5C",'Mapa final'!$O$39),"")</f>
        <v/>
      </c>
      <c r="W10" s="53" t="str">
        <f>IF(AND('Mapa final'!$Y$40="Muy Alta",'Mapa final'!$AA$40="Moderado"),CONCATENATE("R5C",'Mapa final'!$O$40),"")</f>
        <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final'!$Y$39="Muy Alta",'Mapa final'!$AA$39="Mayor"),CONCATENATE("R5C",'Mapa final'!$O$39),"")</f>
        <v/>
      </c>
      <c r="AC10" s="53" t="str">
        <f>IF(AND('Mapa final'!$Y$40="Muy Alta",'Mapa final'!$AA$40="Mayor"),CONCATENATE("R5C",'Mapa final'!$O$40),"")</f>
        <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final'!$Y$39="Muy Alta",'Mapa final'!$AA$39="Catastrófico"),CONCATENATE("R5C",'Mapa final'!$O$39),"")</f>
        <v/>
      </c>
      <c r="AI10" s="56" t="str">
        <f>IF(AND('Mapa final'!$Y$40="Muy Alta",'Mapa final'!$AA$40="Catastrófico"),CONCATENATE("R5C",'Mapa final'!$O$40),"")</f>
        <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447"/>
      <c r="AP10" s="448"/>
      <c r="AQ10" s="448"/>
      <c r="AR10" s="448"/>
      <c r="AS10" s="448"/>
      <c r="AT10" s="44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86"/>
      <c r="C11" s="386"/>
      <c r="D11" s="387"/>
      <c r="E11" s="427"/>
      <c r="F11" s="428"/>
      <c r="G11" s="428"/>
      <c r="H11" s="428"/>
      <c r="I11" s="429"/>
      <c r="J11" s="52" t="str">
        <f>IF(AND('Mapa final'!$Y$41="Muy Alta",'Mapa final'!$AA$41="Leve"),CONCATENATE("R6C",'Mapa final'!$O$41),"")</f>
        <v/>
      </c>
      <c r="K11" s="53" t="str">
        <f>IF(AND('Mapa final'!$Y$42="Muy Alta",'Mapa final'!$AA$42="Leve"),CONCATENATE("R6C",'Mapa final'!$O$42),"")</f>
        <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str">
        <f>IF(AND('Mapa final'!$Y$41="Muy Alta",'Mapa final'!$AA$41="Menor"),CONCATENATE("R6C",'Mapa final'!$O$41),"")</f>
        <v/>
      </c>
      <c r="Q11" s="53" t="str">
        <f>IF(AND('Mapa final'!$Y$42="Muy Alta",'Mapa final'!$AA$42="Menor"),CONCATENATE("R6C",'Mapa final'!$O$42),"")</f>
        <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str">
        <f>IF(AND('Mapa final'!$Y$41="Muy Alta",'Mapa final'!$AA$41="Moderado"),CONCATENATE("R6C",'Mapa final'!$O$41),"")</f>
        <v/>
      </c>
      <c r="W11" s="53" t="str">
        <f>IF(AND('Mapa final'!$Y$42="Muy Alta",'Mapa final'!$AA$42="Moderado"),CONCATENATE("R6C",'Mapa final'!$O$42),"")</f>
        <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str">
        <f>IF(AND('Mapa final'!$Y$41="Muy Alta",'Mapa final'!$AA$41="Mayor"),CONCATENATE("R6C",'Mapa final'!$O$41),"")</f>
        <v/>
      </c>
      <c r="AC11" s="53" t="str">
        <f>IF(AND('Mapa final'!$Y$42="Muy Alta",'Mapa final'!$AA$42="Mayor"),CONCATENATE("R6C",'Mapa final'!$O$42),"")</f>
        <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str">
        <f>IF(AND('Mapa final'!$Y$41="Muy Alta",'Mapa final'!$AA$41="Catastrófico"),CONCATENATE("R6C",'Mapa final'!$O$41),"")</f>
        <v/>
      </c>
      <c r="AI11" s="56" t="str">
        <f>IF(AND('Mapa final'!$Y$42="Muy Alta",'Mapa final'!$AA$42="Catastrófico"),CONCATENATE("R6C",'Mapa final'!$O$42),"")</f>
        <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447"/>
      <c r="AP11" s="448"/>
      <c r="AQ11" s="448"/>
      <c r="AR11" s="448"/>
      <c r="AS11" s="448"/>
      <c r="AT11" s="44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86"/>
      <c r="C12" s="386"/>
      <c r="D12" s="387"/>
      <c r="E12" s="427"/>
      <c r="F12" s="428"/>
      <c r="G12" s="428"/>
      <c r="H12" s="428"/>
      <c r="I12" s="429"/>
      <c r="J12" s="52" t="str">
        <f>IF(AND('Mapa final'!$Y$43="Muy Alta",'Mapa final'!$AA$43="Leve"),CONCATENATE("R7C",'Mapa final'!$O$43),"")</f>
        <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str">
        <f>IF(AND('Mapa final'!$Y$43="Muy Alta",'Mapa final'!$AA$43="Menor"),CONCATENATE("R7C",'Mapa final'!$O$43),"")</f>
        <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str">
        <f>IF(AND('Mapa final'!$Y$43="Muy Alta",'Mapa final'!$AA$43="Moderado"),CONCATENATE("R7C",'Mapa final'!$O$43),"")</f>
        <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str">
        <f>IF(AND('Mapa final'!$Y$43="Muy Alta",'Mapa final'!$AA$43="Mayor"),CONCATENATE("R7C",'Mapa final'!$O$43),"")</f>
        <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str">
        <f>IF(AND('Mapa final'!$Y$43="Muy Alta",'Mapa final'!$AA$43="Catastrófico"),CONCATENATE("R7C",'Mapa final'!$O$43),"")</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47"/>
      <c r="AP12" s="448"/>
      <c r="AQ12" s="448"/>
      <c r="AR12" s="448"/>
      <c r="AS12" s="448"/>
      <c r="AT12" s="44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86"/>
      <c r="C13" s="386"/>
      <c r="D13" s="387"/>
      <c r="E13" s="427"/>
      <c r="F13" s="428"/>
      <c r="G13" s="428"/>
      <c r="H13" s="428"/>
      <c r="I13" s="429"/>
      <c r="J13" s="52" t="e">
        <f>IF(AND('Mapa final'!#REF!="Muy Alta",'Mapa final'!#REF!="Leve"),CONCATENATE("R8C",'Mapa final'!#REF!),"")</f>
        <v>#REF!</v>
      </c>
      <c r="K13" s="53" t="e">
        <f>IF(AND('Mapa final'!#REF!="Muy Alta",'Mapa final'!#REF!="Leve"),CONCATENATE("R8C",'Mapa final'!#REF!),"")</f>
        <v>#REF!</v>
      </c>
      <c r="L13" s="53" t="e">
        <f>IF(AND('Mapa final'!#REF!="Muy Alta",'Mapa final'!#REF!="Leve"),CONCATENATE("R8C",'Mapa final'!#REF!),"")</f>
        <v>#REF!</v>
      </c>
      <c r="M13" s="53" t="e">
        <f>IF(AND('Mapa final'!#REF!="Muy Alta",'Mapa final'!#REF!="Leve"),CONCATENATE("R8C",'Mapa final'!#REF!),"")</f>
        <v>#REF!</v>
      </c>
      <c r="N13" s="53" t="e">
        <f>IF(AND('Mapa final'!#REF!="Muy Alta",'Mapa final'!#REF!="Leve"),CONCATENATE("R8C",'Mapa final'!#REF!),"")</f>
        <v>#REF!</v>
      </c>
      <c r="O13" s="54" t="e">
        <f>IF(AND('Mapa final'!#REF!="Muy Alta",'Mapa final'!#REF!="Leve"),CONCATENATE("R8C",'Mapa final'!#REF!),"")</f>
        <v>#REF!</v>
      </c>
      <c r="P13" s="52" t="e">
        <f>IF(AND('Mapa final'!#REF!="Muy Alta",'Mapa final'!#REF!="Menor"),CONCATENATE("R8C",'Mapa final'!#REF!),"")</f>
        <v>#REF!</v>
      </c>
      <c r="Q13" s="53" t="e">
        <f>IF(AND('Mapa final'!#REF!="Muy Alta",'Mapa final'!#REF!="Menor"),CONCATENATE("R8C",'Mapa final'!#REF!),"")</f>
        <v>#REF!</v>
      </c>
      <c r="R13" s="53" t="e">
        <f>IF(AND('Mapa final'!#REF!="Muy Alta",'Mapa final'!#REF!="Menor"),CONCATENATE("R8C",'Mapa final'!#REF!),"")</f>
        <v>#REF!</v>
      </c>
      <c r="S13" s="53" t="e">
        <f>IF(AND('Mapa final'!#REF!="Muy Alta",'Mapa final'!#REF!="Menor"),CONCATENATE("R8C",'Mapa final'!#REF!),"")</f>
        <v>#REF!</v>
      </c>
      <c r="T13" s="53" t="e">
        <f>IF(AND('Mapa final'!#REF!="Muy Alta",'Mapa final'!#REF!="Menor"),CONCATENATE("R8C",'Mapa final'!#REF!),"")</f>
        <v>#REF!</v>
      </c>
      <c r="U13" s="54" t="e">
        <f>IF(AND('Mapa final'!#REF!="Muy Alta",'Mapa final'!#REF!="Menor"),CONCATENATE("R8C",'Mapa final'!#REF!),"")</f>
        <v>#REF!</v>
      </c>
      <c r="V13" s="52" t="e">
        <f>IF(AND('Mapa final'!#REF!="Muy Alta",'Mapa final'!#REF!="Moderado"),CONCATENATE("R8C",'Mapa final'!#REF!),"")</f>
        <v>#REF!</v>
      </c>
      <c r="W13" s="53" t="e">
        <f>IF(AND('Mapa final'!#REF!="Muy Alta",'Mapa final'!#REF!="Moderado"),CONCATENATE("R8C",'Mapa final'!#REF!),"")</f>
        <v>#REF!</v>
      </c>
      <c r="X13" s="53" t="e">
        <f>IF(AND('Mapa final'!#REF!="Muy Alta",'Mapa final'!#REF!="Moderado"),CONCATENATE("R8C",'Mapa final'!#REF!),"")</f>
        <v>#REF!</v>
      </c>
      <c r="Y13" s="53" t="e">
        <f>IF(AND('Mapa final'!#REF!="Muy Alta",'Mapa final'!#REF!="Moderado"),CONCATENATE("R8C",'Mapa final'!#REF!),"")</f>
        <v>#REF!</v>
      </c>
      <c r="Z13" s="53" t="e">
        <f>IF(AND('Mapa final'!#REF!="Muy Alta",'Mapa final'!#REF!="Moderado"),CONCATENATE("R8C",'Mapa final'!#REF!),"")</f>
        <v>#REF!</v>
      </c>
      <c r="AA13" s="54" t="e">
        <f>IF(AND('Mapa final'!#REF!="Muy Alta",'Mapa final'!#REF!="Moderado"),CONCATENATE("R8C",'Mapa final'!#REF!),"")</f>
        <v>#REF!</v>
      </c>
      <c r="AB13" s="52" t="e">
        <f>IF(AND('Mapa final'!#REF!="Muy Alta",'Mapa final'!#REF!="Mayor"),CONCATENATE("R8C",'Mapa final'!#REF!),"")</f>
        <v>#REF!</v>
      </c>
      <c r="AC13" s="53" t="e">
        <f>IF(AND('Mapa final'!#REF!="Muy Alta",'Mapa final'!#REF!="Mayor"),CONCATENATE("R8C",'Mapa final'!#REF!),"")</f>
        <v>#REF!</v>
      </c>
      <c r="AD13" s="53" t="e">
        <f>IF(AND('Mapa final'!#REF!="Muy Alta",'Mapa final'!#REF!="Mayor"),CONCATENATE("R8C",'Mapa final'!#REF!),"")</f>
        <v>#REF!</v>
      </c>
      <c r="AE13" s="53" t="e">
        <f>IF(AND('Mapa final'!#REF!="Muy Alta",'Mapa final'!#REF!="Mayor"),CONCATENATE("R8C",'Mapa final'!#REF!),"")</f>
        <v>#REF!</v>
      </c>
      <c r="AF13" s="53" t="e">
        <f>IF(AND('Mapa final'!#REF!="Muy Alta",'Mapa final'!#REF!="Mayor"),CONCATENATE("R8C",'Mapa final'!#REF!),"")</f>
        <v>#REF!</v>
      </c>
      <c r="AG13" s="54" t="e">
        <f>IF(AND('Mapa final'!#REF!="Muy Alta",'Mapa final'!#REF!="Mayor"),CONCATENATE("R8C",'Mapa final'!#REF!),"")</f>
        <v>#REF!</v>
      </c>
      <c r="AH13" s="55" t="e">
        <f>IF(AND('Mapa final'!#REF!="Muy Alta",'Mapa final'!#REF!="Catastrófico"),CONCATENATE("R8C",'Mapa final'!#REF!),"")</f>
        <v>#REF!</v>
      </c>
      <c r="AI13" s="56" t="e">
        <f>IF(AND('Mapa final'!#REF!="Muy Alta",'Mapa final'!#REF!="Catastrófico"),CONCATENATE("R8C",'Mapa final'!#REF!),"")</f>
        <v>#REF!</v>
      </c>
      <c r="AJ13" s="56" t="e">
        <f>IF(AND('Mapa final'!#REF!="Muy Alta",'Mapa final'!#REF!="Catastrófico"),CONCATENATE("R8C",'Mapa final'!#REF!),"")</f>
        <v>#REF!</v>
      </c>
      <c r="AK13" s="56" t="e">
        <f>IF(AND('Mapa final'!#REF!="Muy Alta",'Mapa final'!#REF!="Catastrófico"),CONCATENATE("R8C",'Mapa final'!#REF!),"")</f>
        <v>#REF!</v>
      </c>
      <c r="AL13" s="56" t="e">
        <f>IF(AND('Mapa final'!#REF!="Muy Alta",'Mapa final'!#REF!="Catastrófico"),CONCATENATE("R8C",'Mapa final'!#REF!),"")</f>
        <v>#REF!</v>
      </c>
      <c r="AM13" s="57" t="e">
        <f>IF(AND('Mapa final'!#REF!="Muy Alta",'Mapa final'!#REF!="Catastrófico"),CONCATENATE("R8C",'Mapa final'!#REF!),"")</f>
        <v>#REF!</v>
      </c>
      <c r="AN13" s="83"/>
      <c r="AO13" s="447"/>
      <c r="AP13" s="448"/>
      <c r="AQ13" s="448"/>
      <c r="AR13" s="448"/>
      <c r="AS13" s="448"/>
      <c r="AT13" s="44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86"/>
      <c r="C14" s="386"/>
      <c r="D14" s="387"/>
      <c r="E14" s="427"/>
      <c r="F14" s="428"/>
      <c r="G14" s="428"/>
      <c r="H14" s="428"/>
      <c r="I14" s="429"/>
      <c r="J14" s="52" t="e">
        <f>IF(AND('Mapa final'!#REF!="Muy Alta",'Mapa final'!#REF!="Leve"),CONCATENATE("R9C",'Mapa final'!#REF!),"")</f>
        <v>#REF!</v>
      </c>
      <c r="K14" s="53" t="e">
        <f>IF(AND('Mapa final'!#REF!="Muy Alta",'Mapa final'!#REF!="Leve"),CONCATENATE("R9C",'Mapa final'!#REF!),"")</f>
        <v>#REF!</v>
      </c>
      <c r="L14" s="53" t="e">
        <f>IF(AND('Mapa final'!#REF!="Muy Alta",'Mapa final'!#REF!="Leve"),CONCATENATE("R9C",'Mapa final'!#REF!),"")</f>
        <v>#REF!</v>
      </c>
      <c r="M14" s="53" t="e">
        <f>IF(AND('Mapa final'!#REF!="Muy Alta",'Mapa final'!#REF!="Leve"),CONCATENATE("R9C",'Mapa final'!#REF!),"")</f>
        <v>#REF!</v>
      </c>
      <c r="N14" s="53" t="e">
        <f>IF(AND('Mapa final'!#REF!="Muy Alta",'Mapa final'!#REF!="Leve"),CONCATENATE("R9C",'Mapa final'!#REF!),"")</f>
        <v>#REF!</v>
      </c>
      <c r="O14" s="54" t="e">
        <f>IF(AND('Mapa final'!#REF!="Muy Alta",'Mapa final'!#REF!="Leve"),CONCATENATE("R9C",'Mapa final'!#REF!),"")</f>
        <v>#REF!</v>
      </c>
      <c r="P14" s="52" t="e">
        <f>IF(AND('Mapa final'!#REF!="Muy Alta",'Mapa final'!#REF!="Menor"),CONCATENATE("R9C",'Mapa final'!#REF!),"")</f>
        <v>#REF!</v>
      </c>
      <c r="Q14" s="53" t="e">
        <f>IF(AND('Mapa final'!#REF!="Muy Alta",'Mapa final'!#REF!="Menor"),CONCATENATE("R9C",'Mapa final'!#REF!),"")</f>
        <v>#REF!</v>
      </c>
      <c r="R14" s="53" t="e">
        <f>IF(AND('Mapa final'!#REF!="Muy Alta",'Mapa final'!#REF!="Menor"),CONCATENATE("R9C",'Mapa final'!#REF!),"")</f>
        <v>#REF!</v>
      </c>
      <c r="S14" s="53" t="e">
        <f>IF(AND('Mapa final'!#REF!="Muy Alta",'Mapa final'!#REF!="Menor"),CONCATENATE("R9C",'Mapa final'!#REF!),"")</f>
        <v>#REF!</v>
      </c>
      <c r="T14" s="53" t="e">
        <f>IF(AND('Mapa final'!#REF!="Muy Alta",'Mapa final'!#REF!="Menor"),CONCATENATE("R9C",'Mapa final'!#REF!),"")</f>
        <v>#REF!</v>
      </c>
      <c r="U14" s="54" t="e">
        <f>IF(AND('Mapa final'!#REF!="Muy Alta",'Mapa final'!#REF!="Menor"),CONCATENATE("R9C",'Mapa final'!#REF!),"")</f>
        <v>#REF!</v>
      </c>
      <c r="V14" s="52" t="e">
        <f>IF(AND('Mapa final'!#REF!="Muy Alta",'Mapa final'!#REF!="Moderado"),CONCATENATE("R9C",'Mapa final'!#REF!),"")</f>
        <v>#REF!</v>
      </c>
      <c r="W14" s="53" t="e">
        <f>IF(AND('Mapa final'!#REF!="Muy Alta",'Mapa final'!#REF!="Moderado"),CONCATENATE("R9C",'Mapa final'!#REF!),"")</f>
        <v>#REF!</v>
      </c>
      <c r="X14" s="53" t="e">
        <f>IF(AND('Mapa final'!#REF!="Muy Alta",'Mapa final'!#REF!="Moderado"),CONCATENATE("R9C",'Mapa final'!#REF!),"")</f>
        <v>#REF!</v>
      </c>
      <c r="Y14" s="53" t="e">
        <f>IF(AND('Mapa final'!#REF!="Muy Alta",'Mapa final'!#REF!="Moderado"),CONCATENATE("R9C",'Mapa final'!#REF!),"")</f>
        <v>#REF!</v>
      </c>
      <c r="Z14" s="53" t="e">
        <f>IF(AND('Mapa final'!#REF!="Muy Alta",'Mapa final'!#REF!="Moderado"),CONCATENATE("R9C",'Mapa final'!#REF!),"")</f>
        <v>#REF!</v>
      </c>
      <c r="AA14" s="54" t="e">
        <f>IF(AND('Mapa final'!#REF!="Muy Alta",'Mapa final'!#REF!="Moderado"),CONCATENATE("R9C",'Mapa final'!#REF!),"")</f>
        <v>#REF!</v>
      </c>
      <c r="AB14" s="52" t="e">
        <f>IF(AND('Mapa final'!#REF!="Muy Alta",'Mapa final'!#REF!="Mayor"),CONCATENATE("R9C",'Mapa final'!#REF!),"")</f>
        <v>#REF!</v>
      </c>
      <c r="AC14" s="53" t="e">
        <f>IF(AND('Mapa final'!#REF!="Muy Alta",'Mapa final'!#REF!="Mayor"),CONCATENATE("R9C",'Mapa final'!#REF!),"")</f>
        <v>#REF!</v>
      </c>
      <c r="AD14" s="53" t="e">
        <f>IF(AND('Mapa final'!#REF!="Muy Alta",'Mapa final'!#REF!="Mayor"),CONCATENATE("R9C",'Mapa final'!#REF!),"")</f>
        <v>#REF!</v>
      </c>
      <c r="AE14" s="53" t="e">
        <f>IF(AND('Mapa final'!#REF!="Muy Alta",'Mapa final'!#REF!="Mayor"),CONCATENATE("R9C",'Mapa final'!#REF!),"")</f>
        <v>#REF!</v>
      </c>
      <c r="AF14" s="53" t="e">
        <f>IF(AND('Mapa final'!#REF!="Muy Alta",'Mapa final'!#REF!="Mayor"),CONCATENATE("R9C",'Mapa final'!#REF!),"")</f>
        <v>#REF!</v>
      </c>
      <c r="AG14" s="54" t="e">
        <f>IF(AND('Mapa final'!#REF!="Muy Alta",'Mapa final'!#REF!="Mayor"),CONCATENATE("R9C",'Mapa final'!#REF!),"")</f>
        <v>#REF!</v>
      </c>
      <c r="AH14" s="55" t="e">
        <f>IF(AND('Mapa final'!#REF!="Muy Alta",'Mapa final'!#REF!="Catastrófico"),CONCATENATE("R9C",'Mapa final'!#REF!),"")</f>
        <v>#REF!</v>
      </c>
      <c r="AI14" s="56" t="e">
        <f>IF(AND('Mapa final'!#REF!="Muy Alta",'Mapa final'!#REF!="Catastrófico"),CONCATENATE("R9C",'Mapa final'!#REF!),"")</f>
        <v>#REF!</v>
      </c>
      <c r="AJ14" s="56" t="e">
        <f>IF(AND('Mapa final'!#REF!="Muy Alta",'Mapa final'!#REF!="Catastrófico"),CONCATENATE("R9C",'Mapa final'!#REF!),"")</f>
        <v>#REF!</v>
      </c>
      <c r="AK14" s="56" t="e">
        <f>IF(AND('Mapa final'!#REF!="Muy Alta",'Mapa final'!#REF!="Catastrófico"),CONCATENATE("R9C",'Mapa final'!#REF!),"")</f>
        <v>#REF!</v>
      </c>
      <c r="AL14" s="56" t="e">
        <f>IF(AND('Mapa final'!#REF!="Muy Alta",'Mapa final'!#REF!="Catastrófico"),CONCATENATE("R9C",'Mapa final'!#REF!),"")</f>
        <v>#REF!</v>
      </c>
      <c r="AM14" s="57" t="e">
        <f>IF(AND('Mapa final'!#REF!="Muy Alta",'Mapa final'!#REF!="Catastrófico"),CONCATENATE("R9C",'Mapa final'!#REF!),"")</f>
        <v>#REF!</v>
      </c>
      <c r="AN14" s="83"/>
      <c r="AO14" s="447"/>
      <c r="AP14" s="448"/>
      <c r="AQ14" s="448"/>
      <c r="AR14" s="448"/>
      <c r="AS14" s="448"/>
      <c r="AT14" s="4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86"/>
      <c r="C15" s="386"/>
      <c r="D15" s="387"/>
      <c r="E15" s="430"/>
      <c r="F15" s="431"/>
      <c r="G15" s="431"/>
      <c r="H15" s="431"/>
      <c r="I15" s="432"/>
      <c r="J15" s="58" t="e">
        <f>IF(AND('Mapa final'!#REF!="Muy Alta",'Mapa final'!#REF!="Leve"),CONCATENATE("R10C",'Mapa final'!#REF!),"")</f>
        <v>#REF!</v>
      </c>
      <c r="K15" s="59" t="e">
        <f>IF(AND('Mapa final'!#REF!="Muy Alta",'Mapa final'!#REF!="Leve"),CONCATENATE("R10C",'Mapa final'!#REF!),"")</f>
        <v>#REF!</v>
      </c>
      <c r="L15" s="59" t="e">
        <f>IF(AND('Mapa final'!#REF!="Muy Alta",'Mapa final'!#REF!="Leve"),CONCATENATE("R10C",'Mapa final'!#REF!),"")</f>
        <v>#REF!</v>
      </c>
      <c r="M15" s="59" t="e">
        <f>IF(AND('Mapa final'!#REF!="Muy Alta",'Mapa final'!#REF!="Leve"),CONCATENATE("R10C",'Mapa final'!#REF!),"")</f>
        <v>#REF!</v>
      </c>
      <c r="N15" s="59" t="e">
        <f>IF(AND('Mapa final'!#REF!="Muy Alta",'Mapa final'!#REF!="Leve"),CONCATENATE("R10C",'Mapa final'!#REF!),"")</f>
        <v>#REF!</v>
      </c>
      <c r="O15" s="60" t="e">
        <f>IF(AND('Mapa final'!#REF!="Muy Alta",'Mapa final'!#REF!="Leve"),CONCATENATE("R10C",'Mapa final'!#REF!),"")</f>
        <v>#REF!</v>
      </c>
      <c r="P15" s="52" t="e">
        <f>IF(AND('Mapa final'!#REF!="Muy Alta",'Mapa final'!#REF!="Menor"),CONCATENATE("R10C",'Mapa final'!#REF!),"")</f>
        <v>#REF!</v>
      </c>
      <c r="Q15" s="53" t="e">
        <f>IF(AND('Mapa final'!#REF!="Muy Alta",'Mapa final'!#REF!="Menor"),CONCATENATE("R10C",'Mapa final'!#REF!),"")</f>
        <v>#REF!</v>
      </c>
      <c r="R15" s="53" t="e">
        <f>IF(AND('Mapa final'!#REF!="Muy Alta",'Mapa final'!#REF!="Menor"),CONCATENATE("R10C",'Mapa final'!#REF!),"")</f>
        <v>#REF!</v>
      </c>
      <c r="S15" s="53" t="e">
        <f>IF(AND('Mapa final'!#REF!="Muy Alta",'Mapa final'!#REF!="Menor"),CONCATENATE("R10C",'Mapa final'!#REF!),"")</f>
        <v>#REF!</v>
      </c>
      <c r="T15" s="53" t="e">
        <f>IF(AND('Mapa final'!#REF!="Muy Alta",'Mapa final'!#REF!="Menor"),CONCATENATE("R10C",'Mapa final'!#REF!),"")</f>
        <v>#REF!</v>
      </c>
      <c r="U15" s="54" t="e">
        <f>IF(AND('Mapa final'!#REF!="Muy Alta",'Mapa final'!#REF!="Menor"),CONCATENATE("R10C",'Mapa final'!#REF!),"")</f>
        <v>#REF!</v>
      </c>
      <c r="V15" s="58" t="e">
        <f>IF(AND('Mapa final'!#REF!="Muy Alta",'Mapa final'!#REF!="Moderado"),CONCATENATE("R10C",'Mapa final'!#REF!),"")</f>
        <v>#REF!</v>
      </c>
      <c r="W15" s="59" t="e">
        <f>IF(AND('Mapa final'!#REF!="Muy Alta",'Mapa final'!#REF!="Moderado"),CONCATENATE("R10C",'Mapa final'!#REF!),"")</f>
        <v>#REF!</v>
      </c>
      <c r="X15" s="59" t="e">
        <f>IF(AND('Mapa final'!#REF!="Muy Alta",'Mapa final'!#REF!="Moderado"),CONCATENATE("R10C",'Mapa final'!#REF!),"")</f>
        <v>#REF!</v>
      </c>
      <c r="Y15" s="59" t="e">
        <f>IF(AND('Mapa final'!#REF!="Muy Alta",'Mapa final'!#REF!="Moderado"),CONCATENATE("R10C",'Mapa final'!#REF!),"")</f>
        <v>#REF!</v>
      </c>
      <c r="Z15" s="59" t="e">
        <f>IF(AND('Mapa final'!#REF!="Muy Alta",'Mapa final'!#REF!="Moderado"),CONCATENATE("R10C",'Mapa final'!#REF!),"")</f>
        <v>#REF!</v>
      </c>
      <c r="AA15" s="60" t="e">
        <f>IF(AND('Mapa final'!#REF!="Muy Alta",'Mapa final'!#REF!="Moderado"),CONCATENATE("R10C",'Mapa final'!#REF!),"")</f>
        <v>#REF!</v>
      </c>
      <c r="AB15" s="52" t="e">
        <f>IF(AND('Mapa final'!#REF!="Muy Alta",'Mapa final'!#REF!="Mayor"),CONCATENATE("R10C",'Mapa final'!#REF!),"")</f>
        <v>#REF!</v>
      </c>
      <c r="AC15" s="53" t="e">
        <f>IF(AND('Mapa final'!#REF!="Muy Alta",'Mapa final'!#REF!="Mayor"),CONCATENATE("R10C",'Mapa final'!#REF!),"")</f>
        <v>#REF!</v>
      </c>
      <c r="AD15" s="53" t="e">
        <f>IF(AND('Mapa final'!#REF!="Muy Alta",'Mapa final'!#REF!="Mayor"),CONCATENATE("R10C",'Mapa final'!#REF!),"")</f>
        <v>#REF!</v>
      </c>
      <c r="AE15" s="53" t="e">
        <f>IF(AND('Mapa final'!#REF!="Muy Alta",'Mapa final'!#REF!="Mayor"),CONCATENATE("R10C",'Mapa final'!#REF!),"")</f>
        <v>#REF!</v>
      </c>
      <c r="AF15" s="53" t="e">
        <f>IF(AND('Mapa final'!#REF!="Muy Alta",'Mapa final'!#REF!="Mayor"),CONCATENATE("R10C",'Mapa final'!#REF!),"")</f>
        <v>#REF!</v>
      </c>
      <c r="AG15" s="54" t="e">
        <f>IF(AND('Mapa final'!#REF!="Muy Alta",'Mapa final'!#REF!="Mayor"),CONCATENATE("R10C",'Mapa final'!#REF!),"")</f>
        <v>#REF!</v>
      </c>
      <c r="AH15" s="61" t="e">
        <f>IF(AND('Mapa final'!#REF!="Muy Alta",'Mapa final'!#REF!="Catastrófico"),CONCATENATE("R10C",'Mapa final'!#REF!),"")</f>
        <v>#REF!</v>
      </c>
      <c r="AI15" s="62" t="e">
        <f>IF(AND('Mapa final'!#REF!="Muy Alta",'Mapa final'!#REF!="Catastrófico"),CONCATENATE("R10C",'Mapa final'!#REF!),"")</f>
        <v>#REF!</v>
      </c>
      <c r="AJ15" s="62" t="e">
        <f>IF(AND('Mapa final'!#REF!="Muy Alta",'Mapa final'!#REF!="Catastrófico"),CONCATENATE("R10C",'Mapa final'!#REF!),"")</f>
        <v>#REF!</v>
      </c>
      <c r="AK15" s="62" t="e">
        <f>IF(AND('Mapa final'!#REF!="Muy Alta",'Mapa final'!#REF!="Catastrófico"),CONCATENATE("R10C",'Mapa final'!#REF!),"")</f>
        <v>#REF!</v>
      </c>
      <c r="AL15" s="62" t="e">
        <f>IF(AND('Mapa final'!#REF!="Muy Alta",'Mapa final'!#REF!="Catastrófico"),CONCATENATE("R10C",'Mapa final'!#REF!),"")</f>
        <v>#REF!</v>
      </c>
      <c r="AM15" s="63" t="e">
        <f>IF(AND('Mapa final'!#REF!="Muy Alta",'Mapa final'!#REF!="Catastrófico"),CONCATENATE("R10C",'Mapa final'!#REF!),"")</f>
        <v>#REF!</v>
      </c>
      <c r="AN15" s="83"/>
      <c r="AO15" s="450"/>
      <c r="AP15" s="451"/>
      <c r="AQ15" s="451"/>
      <c r="AR15" s="451"/>
      <c r="AS15" s="451"/>
      <c r="AT15" s="4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86"/>
      <c r="C16" s="386"/>
      <c r="D16" s="387"/>
      <c r="E16" s="424" t="s">
        <v>188</v>
      </c>
      <c r="F16" s="425"/>
      <c r="G16" s="425"/>
      <c r="H16" s="425"/>
      <c r="I16" s="425"/>
      <c r="J16" s="64" t="str">
        <f>IF(AND('Mapa final'!$Y$26="Alta",'Mapa final'!$AA$26="Leve"),CONCATENATE("R1C",'Mapa final'!$O$26),"")</f>
        <v/>
      </c>
      <c r="K16" s="65" t="str">
        <f>IF(AND('Mapa final'!$Y$27="Alta",'Mapa final'!$AA$27="Leve"),CONCATENATE("R1C",'Mapa final'!$O$27),"")</f>
        <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final'!$Y$26="Alta",'Mapa final'!$AA$26="Menor"),CONCATENATE("R1C",'Mapa final'!$O$26),"")</f>
        <v/>
      </c>
      <c r="Q16" s="65" t="str">
        <f>IF(AND('Mapa final'!$Y$27="Alta",'Mapa final'!$AA$27="Menor"),CONCATENATE("R1C",'Mapa final'!$O$27),"")</f>
        <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final'!$Y$26="Alta",'Mapa final'!$AA$26="Moderado"),CONCATENATE("R1C",'Mapa final'!$O$26),"")</f>
        <v/>
      </c>
      <c r="W16" s="47" t="str">
        <f>IF(AND('Mapa final'!$Y$27="Alta",'Mapa final'!$AA$27="Moderado"),CONCATENATE("R1C",'Mapa final'!$O$27),"")</f>
        <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final'!$Y$26="Alta",'Mapa final'!$AA$26="Mayor"),CONCATENATE("R1C",'Mapa final'!$O$26),"")</f>
        <v/>
      </c>
      <c r="AC16" s="47" t="str">
        <f>IF(AND('Mapa final'!$Y$27="Alta",'Mapa final'!$AA$27="Mayor"),CONCATENATE("R1C",'Mapa final'!$O$27),"")</f>
        <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final'!$Y$26="Alta",'Mapa final'!$AA$26="Catastrófico"),CONCATENATE("R1C",'Mapa final'!$O$26),"")</f>
        <v/>
      </c>
      <c r="AI16" s="50" t="str">
        <f>IF(AND('Mapa final'!$Y$27="Alta",'Mapa final'!$AA$27="Catastrófico"),CONCATENATE("R1C",'Mapa final'!$O$27),"")</f>
        <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434" t="s">
        <v>189</v>
      </c>
      <c r="AP16" s="435"/>
      <c r="AQ16" s="435"/>
      <c r="AR16" s="435"/>
      <c r="AS16" s="435"/>
      <c r="AT16" s="43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86"/>
      <c r="C17" s="386"/>
      <c r="D17" s="387"/>
      <c r="E17" s="443"/>
      <c r="F17" s="428"/>
      <c r="G17" s="428"/>
      <c r="H17" s="428"/>
      <c r="I17" s="428"/>
      <c r="J17" s="67" t="str">
        <f>IF(AND('Mapa final'!$Y$28="Alta",'Mapa final'!$AA$28="Leve"),CONCATENATE("R2C",'Mapa final'!$O$28),"")</f>
        <v/>
      </c>
      <c r="K17" s="68" t="str">
        <f>IF(AND('Mapa final'!$Y$30="Alta",'Mapa final'!$AA$30="Leve"),CONCATENATE("R2C",'Mapa final'!$O$30),"")</f>
        <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final'!$Y$28="Alta",'Mapa final'!$AA$28="Menor"),CONCATENATE("R2C",'Mapa final'!$O$28),"")</f>
        <v/>
      </c>
      <c r="Q17" s="68" t="str">
        <f>IF(AND('Mapa final'!$Y$30="Alta",'Mapa final'!$AA$30="Menor"),CONCATENATE("R2C",'Mapa final'!$O$30),"")</f>
        <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final'!$Y$28="Alta",'Mapa final'!$AA$28="Moderado"),CONCATENATE("R2C",'Mapa final'!$O$28),"")</f>
        <v/>
      </c>
      <c r="W17" s="53" t="str">
        <f>IF(AND('Mapa final'!$Y$30="Alta",'Mapa final'!$AA$30="Moderado"),CONCATENATE("R2C",'Mapa final'!$O$30),"")</f>
        <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final'!$Y$28="Alta",'Mapa final'!$AA$28="Mayor"),CONCATENATE("R2C",'Mapa final'!$O$28),"")</f>
        <v/>
      </c>
      <c r="AC17" s="53" t="str">
        <f>IF(AND('Mapa final'!$Y$30="Alta",'Mapa final'!$AA$30="Mayor"),CONCATENATE("R2C",'Mapa final'!$O$30),"")</f>
        <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final'!$Y$28="Alta",'Mapa final'!$AA$28="Catastrófico"),CONCATENATE("R2C",'Mapa final'!$O$28),"")</f>
        <v/>
      </c>
      <c r="AI17" s="56" t="str">
        <f>IF(AND('Mapa final'!$Y$30="Alta",'Mapa final'!$AA$30="Catastrófico"),CONCATENATE("R2C",'Mapa final'!$O$30),"")</f>
        <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37"/>
      <c r="AP17" s="438"/>
      <c r="AQ17" s="438"/>
      <c r="AR17" s="438"/>
      <c r="AS17" s="438"/>
      <c r="AT17" s="43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86"/>
      <c r="C18" s="386"/>
      <c r="D18" s="387"/>
      <c r="E18" s="427"/>
      <c r="F18" s="428"/>
      <c r="G18" s="428"/>
      <c r="H18" s="428"/>
      <c r="I18" s="428"/>
      <c r="J18" s="67" t="str">
        <f>IF(AND('Mapa final'!$Y$31="Alta",'Mapa final'!$AA$31="Leve"),CONCATENATE("R3C",'Mapa final'!$O$31),"")</f>
        <v/>
      </c>
      <c r="K18" s="68" t="str">
        <f>IF(AND('Mapa final'!$Y$32="Alta",'Mapa final'!$AA$32="Leve"),CONCATENATE("R3C",'Mapa final'!$O$32),"")</f>
        <v/>
      </c>
      <c r="L18" s="68" t="str">
        <f>IF(AND('Mapa final'!$Y$33="Alta",'Mapa final'!$AA$33="Leve"),CONCATENATE("R3C",'Mapa final'!$O$33),"")</f>
        <v/>
      </c>
      <c r="M18" s="68" t="str">
        <f>IF(AND('Mapa final'!$Y$34="Alta",'Mapa final'!$AA$34="Leve"),CONCATENATE("R3C",'Mapa final'!$O$34),"")</f>
        <v/>
      </c>
      <c r="N18" s="68" t="e">
        <f>IF(AND('Mapa final'!#REF!="Alta",'Mapa final'!#REF!="Leve"),CONCATENATE("R3C",'Mapa final'!#REF!),"")</f>
        <v>#REF!</v>
      </c>
      <c r="O18" s="69" t="e">
        <f>IF(AND('Mapa final'!#REF!="Alta",'Mapa final'!#REF!="Leve"),CONCATENATE("R3C",'Mapa final'!#REF!),"")</f>
        <v>#REF!</v>
      </c>
      <c r="P18" s="67" t="str">
        <f>IF(AND('Mapa final'!$Y$31="Alta",'Mapa final'!$AA$31="Menor"),CONCATENATE("R3C",'Mapa final'!$O$31),"")</f>
        <v/>
      </c>
      <c r="Q18" s="68" t="str">
        <f>IF(AND('Mapa final'!$Y$32="Alta",'Mapa final'!$AA$32="Menor"),CONCATENATE("R3C",'Mapa final'!$O$32),"")</f>
        <v/>
      </c>
      <c r="R18" s="68" t="str">
        <f>IF(AND('Mapa final'!$Y$33="Alta",'Mapa final'!$AA$33="Menor"),CONCATENATE("R3C",'Mapa final'!$O$33),"")</f>
        <v/>
      </c>
      <c r="S18" s="68" t="str">
        <f>IF(AND('Mapa final'!$Y$34="Alta",'Mapa final'!$AA$34="Menor"),CONCATENATE("R3C",'Mapa final'!$O$34),"")</f>
        <v/>
      </c>
      <c r="T18" s="68" t="e">
        <f>IF(AND('Mapa final'!#REF!="Alta",'Mapa final'!#REF!="Menor"),CONCATENATE("R3C",'Mapa final'!#REF!),"")</f>
        <v>#REF!</v>
      </c>
      <c r="U18" s="69" t="e">
        <f>IF(AND('Mapa final'!#REF!="Alta",'Mapa final'!#REF!="Menor"),CONCATENATE("R3C",'Mapa final'!#REF!),"")</f>
        <v>#REF!</v>
      </c>
      <c r="V18" s="52" t="str">
        <f>IF(AND('Mapa final'!$Y$31="Alta",'Mapa final'!$AA$31="Moderado"),CONCATENATE("R3C",'Mapa final'!$O$31),"")</f>
        <v/>
      </c>
      <c r="W18" s="53" t="str">
        <f>IF(AND('Mapa final'!$Y$32="Alta",'Mapa final'!$AA$32="Moderado"),CONCATENATE("R3C",'Mapa final'!$O$32),"")</f>
        <v/>
      </c>
      <c r="X18" s="53" t="str">
        <f>IF(AND('Mapa final'!$Y$33="Alta",'Mapa final'!$AA$33="Moderado"),CONCATENATE("R3C",'Mapa final'!$O$33),"")</f>
        <v/>
      </c>
      <c r="Y18" s="53" t="str">
        <f>IF(AND('Mapa final'!$Y$34="Alta",'Mapa final'!$AA$34="Moderado"),CONCATENATE("R3C",'Mapa final'!$O$34),"")</f>
        <v/>
      </c>
      <c r="Z18" s="53" t="e">
        <f>IF(AND('Mapa final'!#REF!="Alta",'Mapa final'!#REF!="Moderado"),CONCATENATE("R3C",'Mapa final'!#REF!),"")</f>
        <v>#REF!</v>
      </c>
      <c r="AA18" s="54" t="e">
        <f>IF(AND('Mapa final'!#REF!="Alta",'Mapa final'!#REF!="Moderado"),CONCATENATE("R3C",'Mapa final'!#REF!),"")</f>
        <v>#REF!</v>
      </c>
      <c r="AB18" s="52" t="str">
        <f>IF(AND('Mapa final'!$Y$31="Alta",'Mapa final'!$AA$31="Mayor"),CONCATENATE("R3C",'Mapa final'!$O$31),"")</f>
        <v/>
      </c>
      <c r="AC18" s="53" t="str">
        <f>IF(AND('Mapa final'!$Y$32="Alta",'Mapa final'!$AA$32="Mayor"),CONCATENATE("R3C",'Mapa final'!$O$32),"")</f>
        <v/>
      </c>
      <c r="AD18" s="53" t="str">
        <f>IF(AND('Mapa final'!$Y$33="Alta",'Mapa final'!$AA$33="Mayor"),CONCATENATE("R3C",'Mapa final'!$O$33),"")</f>
        <v/>
      </c>
      <c r="AE18" s="53" t="str">
        <f>IF(AND('Mapa final'!$Y$34="Alta",'Mapa final'!$AA$34="Mayor"),CONCATENATE("R3C",'Mapa final'!$O$34),"")</f>
        <v/>
      </c>
      <c r="AF18" s="53" t="e">
        <f>IF(AND('Mapa final'!#REF!="Alta",'Mapa final'!#REF!="Mayor"),CONCATENATE("R3C",'Mapa final'!#REF!),"")</f>
        <v>#REF!</v>
      </c>
      <c r="AG18" s="54" t="e">
        <f>IF(AND('Mapa final'!#REF!="Alta",'Mapa final'!#REF!="Mayor"),CONCATENATE("R3C",'Mapa final'!#REF!),"")</f>
        <v>#REF!</v>
      </c>
      <c r="AH18" s="55" t="str">
        <f>IF(AND('Mapa final'!$Y$31="Alta",'Mapa final'!$AA$31="Catastrófico"),CONCATENATE("R3C",'Mapa final'!$O$31),"")</f>
        <v/>
      </c>
      <c r="AI18" s="56" t="str">
        <f>IF(AND('Mapa final'!$Y$32="Alta",'Mapa final'!$AA$32="Catastrófico"),CONCATENATE("R3C",'Mapa final'!$O$32),"")</f>
        <v/>
      </c>
      <c r="AJ18" s="56" t="str">
        <f>IF(AND('Mapa final'!$Y$33="Alta",'Mapa final'!$AA$33="Catastrófico"),CONCATENATE("R3C",'Mapa final'!$O$33),"")</f>
        <v/>
      </c>
      <c r="AK18" s="56" t="str">
        <f>IF(AND('Mapa final'!$Y$34="Alta",'Mapa final'!$AA$34="Catastrófico"),CONCATENATE("R3C",'Mapa final'!$O$34),"")</f>
        <v/>
      </c>
      <c r="AL18" s="56" t="e">
        <f>IF(AND('Mapa final'!#REF!="Alta",'Mapa final'!#REF!="Catastrófico"),CONCATENATE("R3C",'Mapa final'!#REF!),"")</f>
        <v>#REF!</v>
      </c>
      <c r="AM18" s="57" t="e">
        <f>IF(AND('Mapa final'!#REF!="Alta",'Mapa final'!#REF!="Catastrófico"),CONCATENATE("R3C",'Mapa final'!#REF!),"")</f>
        <v>#REF!</v>
      </c>
      <c r="AN18" s="83"/>
      <c r="AO18" s="437"/>
      <c r="AP18" s="438"/>
      <c r="AQ18" s="438"/>
      <c r="AR18" s="438"/>
      <c r="AS18" s="438"/>
      <c r="AT18" s="43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86"/>
      <c r="C19" s="386"/>
      <c r="D19" s="387"/>
      <c r="E19" s="427"/>
      <c r="F19" s="428"/>
      <c r="G19" s="428"/>
      <c r="H19" s="428"/>
      <c r="I19" s="428"/>
      <c r="J19" s="67" t="str">
        <f>IF(AND('Mapa final'!$Y$35="Alta",'Mapa final'!$AA$35="Leve"),CONCATENATE("R4C",'Mapa final'!$O$35),"")</f>
        <v/>
      </c>
      <c r="K19" s="68" t="str">
        <f>IF(AND('Mapa final'!$Y$36="Alta",'Mapa final'!$AA$36="Leve"),CONCATENATE("R4C",'Mapa final'!$O$36),"")</f>
        <v/>
      </c>
      <c r="L19" s="68" t="str">
        <f>IF(AND('Mapa final'!$Y$37="Alta",'Mapa final'!$AA$37="Leve"),CONCATENATE("R4C",'Mapa final'!$O$37),"")</f>
        <v/>
      </c>
      <c r="M19" s="68" t="str">
        <f>IF(AND('Mapa final'!$Y$38="Alta",'Mapa final'!$AA$38="Leve"),CONCATENATE("R4C",'Mapa final'!$O$38),"")</f>
        <v/>
      </c>
      <c r="N19" s="68" t="e">
        <f>IF(AND('Mapa final'!#REF!="Alta",'Mapa final'!#REF!="Leve"),CONCATENATE("R4C",'Mapa final'!#REF!),"")</f>
        <v>#REF!</v>
      </c>
      <c r="O19" s="69" t="e">
        <f>IF(AND('Mapa final'!#REF!="Alta",'Mapa final'!#REF!="Leve"),CONCATENATE("R4C",'Mapa final'!#REF!),"")</f>
        <v>#REF!</v>
      </c>
      <c r="P19" s="67" t="str">
        <f>IF(AND('Mapa final'!$Y$35="Alta",'Mapa final'!$AA$35="Menor"),CONCATENATE("R4C",'Mapa final'!$O$35),"")</f>
        <v/>
      </c>
      <c r="Q19" s="68" t="str">
        <f>IF(AND('Mapa final'!$Y$36="Alta",'Mapa final'!$AA$36="Menor"),CONCATENATE("R4C",'Mapa final'!$O$36),"")</f>
        <v/>
      </c>
      <c r="R19" s="68" t="str">
        <f>IF(AND('Mapa final'!$Y$37="Alta",'Mapa final'!$AA$37="Menor"),CONCATENATE("R4C",'Mapa final'!$O$37),"")</f>
        <v/>
      </c>
      <c r="S19" s="68" t="str">
        <f>IF(AND('Mapa final'!$Y$38="Alta",'Mapa final'!$AA$38="Menor"),CONCATENATE("R4C",'Mapa final'!$O$38),"")</f>
        <v/>
      </c>
      <c r="T19" s="68" t="e">
        <f>IF(AND('Mapa final'!#REF!="Alta",'Mapa final'!#REF!="Menor"),CONCATENATE("R4C",'Mapa final'!#REF!),"")</f>
        <v>#REF!</v>
      </c>
      <c r="U19" s="69" t="e">
        <f>IF(AND('Mapa final'!#REF!="Alta",'Mapa final'!#REF!="Menor"),CONCATENATE("R4C",'Mapa final'!#REF!),"")</f>
        <v>#REF!</v>
      </c>
      <c r="V19" s="52" t="str">
        <f>IF(AND('Mapa final'!$Y$35="Alta",'Mapa final'!$AA$35="Moderado"),CONCATENATE("R4C",'Mapa final'!$O$35),"")</f>
        <v/>
      </c>
      <c r="W19" s="53" t="str">
        <f>IF(AND('Mapa final'!$Y$36="Alta",'Mapa final'!$AA$36="Moderado"),CONCATENATE("R4C",'Mapa final'!$O$36),"")</f>
        <v/>
      </c>
      <c r="X19" s="53" t="str">
        <f>IF(AND('Mapa final'!$Y$37="Alta",'Mapa final'!$AA$37="Moderado"),CONCATENATE("R4C",'Mapa final'!$O$37),"")</f>
        <v/>
      </c>
      <c r="Y19" s="53" t="str">
        <f>IF(AND('Mapa final'!$Y$38="Alta",'Mapa final'!$AA$38="Moderado"),CONCATENATE("R4C",'Mapa final'!$O$38),"")</f>
        <v/>
      </c>
      <c r="Z19" s="53" t="e">
        <f>IF(AND('Mapa final'!#REF!="Alta",'Mapa final'!#REF!="Moderado"),CONCATENATE("R4C",'Mapa final'!#REF!),"")</f>
        <v>#REF!</v>
      </c>
      <c r="AA19" s="54" t="e">
        <f>IF(AND('Mapa final'!#REF!="Alta",'Mapa final'!#REF!="Moderado"),CONCATENATE("R4C",'Mapa final'!#REF!),"")</f>
        <v>#REF!</v>
      </c>
      <c r="AB19" s="52" t="str">
        <f>IF(AND('Mapa final'!$Y$35="Alta",'Mapa final'!$AA$35="Mayor"),CONCATENATE("R4C",'Mapa final'!$O$35),"")</f>
        <v/>
      </c>
      <c r="AC19" s="53" t="str">
        <f>IF(AND('Mapa final'!$Y$36="Alta",'Mapa final'!$AA$36="Mayor"),CONCATENATE("R4C",'Mapa final'!$O$36),"")</f>
        <v/>
      </c>
      <c r="AD19" s="53" t="str">
        <f>IF(AND('Mapa final'!$Y$37="Alta",'Mapa final'!$AA$37="Mayor"),CONCATENATE("R4C",'Mapa final'!$O$37),"")</f>
        <v/>
      </c>
      <c r="AE19" s="53" t="str">
        <f>IF(AND('Mapa final'!$Y$38="Alta",'Mapa final'!$AA$38="Mayor"),CONCATENATE("R4C",'Mapa final'!$O$38),"")</f>
        <v/>
      </c>
      <c r="AF19" s="53" t="e">
        <f>IF(AND('Mapa final'!#REF!="Alta",'Mapa final'!#REF!="Mayor"),CONCATENATE("R4C",'Mapa final'!#REF!),"")</f>
        <v>#REF!</v>
      </c>
      <c r="AG19" s="54" t="e">
        <f>IF(AND('Mapa final'!#REF!="Alta",'Mapa final'!#REF!="Mayor"),CONCATENATE("R4C",'Mapa final'!#REF!),"")</f>
        <v>#REF!</v>
      </c>
      <c r="AH19" s="55" t="str">
        <f>IF(AND('Mapa final'!$Y$35="Alta",'Mapa final'!$AA$35="Catastrófico"),CONCATENATE("R4C",'Mapa final'!$O$35),"")</f>
        <v/>
      </c>
      <c r="AI19" s="56" t="str">
        <f>IF(AND('Mapa final'!$Y$36="Alta",'Mapa final'!$AA$36="Catastrófico"),CONCATENATE("R4C",'Mapa final'!$O$36),"")</f>
        <v/>
      </c>
      <c r="AJ19" s="56" t="str">
        <f>IF(AND('Mapa final'!$Y$37="Alta",'Mapa final'!$AA$37="Catastrófico"),CONCATENATE("R4C",'Mapa final'!$O$37),"")</f>
        <v/>
      </c>
      <c r="AK19" s="56" t="str">
        <f>IF(AND('Mapa final'!$Y$38="Alta",'Mapa final'!$AA$38="Catastrófico"),CONCATENATE("R4C",'Mapa final'!$O$38),"")</f>
        <v/>
      </c>
      <c r="AL19" s="56" t="e">
        <f>IF(AND('Mapa final'!#REF!="Alta",'Mapa final'!#REF!="Catastrófico"),CONCATENATE("R4C",'Mapa final'!#REF!),"")</f>
        <v>#REF!</v>
      </c>
      <c r="AM19" s="57" t="e">
        <f>IF(AND('Mapa final'!#REF!="Alta",'Mapa final'!#REF!="Catastrófico"),CONCATENATE("R4C",'Mapa final'!#REF!),"")</f>
        <v>#REF!</v>
      </c>
      <c r="AN19" s="83"/>
      <c r="AO19" s="437"/>
      <c r="AP19" s="438"/>
      <c r="AQ19" s="438"/>
      <c r="AR19" s="438"/>
      <c r="AS19" s="438"/>
      <c r="AT19" s="43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86"/>
      <c r="C20" s="386"/>
      <c r="D20" s="387"/>
      <c r="E20" s="427"/>
      <c r="F20" s="428"/>
      <c r="G20" s="428"/>
      <c r="H20" s="428"/>
      <c r="I20" s="428"/>
      <c r="J20" s="67" t="str">
        <f>IF(AND('Mapa final'!$Y$39="Alta",'Mapa final'!$AA$39="Leve"),CONCATENATE("R5C",'Mapa final'!$O$39),"")</f>
        <v/>
      </c>
      <c r="K20" s="68" t="str">
        <f>IF(AND('Mapa final'!$Y$40="Alta",'Mapa final'!$AA$40="Leve"),CONCATENATE("R5C",'Mapa final'!$O$40),"")</f>
        <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final'!$Y$39="Alta",'Mapa final'!$AA$39="Menor"),CONCATENATE("R5C",'Mapa final'!$O$39),"")</f>
        <v/>
      </c>
      <c r="Q20" s="68" t="str">
        <f>IF(AND('Mapa final'!$Y$40="Alta",'Mapa final'!$AA$40="Menor"),CONCATENATE("R5C",'Mapa final'!$O$40),"")</f>
        <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final'!$Y$39="Alta",'Mapa final'!$AA$39="Moderado"),CONCATENATE("R5C",'Mapa final'!$O$39),"")</f>
        <v/>
      </c>
      <c r="W20" s="53" t="str">
        <f>IF(AND('Mapa final'!$Y$40="Alta",'Mapa final'!$AA$40="Moderado"),CONCATENATE("R5C",'Mapa final'!$O$40),"")</f>
        <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final'!$Y$39="Alta",'Mapa final'!$AA$39="Mayor"),CONCATENATE("R5C",'Mapa final'!$O$39),"")</f>
        <v/>
      </c>
      <c r="AC20" s="53" t="str">
        <f>IF(AND('Mapa final'!$Y$40="Alta",'Mapa final'!$AA$40="Mayor"),CONCATENATE("R5C",'Mapa final'!$O$40),"")</f>
        <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final'!$Y$39="Alta",'Mapa final'!$AA$39="Catastrófico"),CONCATENATE("R5C",'Mapa final'!$O$39),"")</f>
        <v/>
      </c>
      <c r="AI20" s="56" t="str">
        <f>IF(AND('Mapa final'!$Y$40="Alta",'Mapa final'!$AA$40="Catastrófico"),CONCATENATE("R5C",'Mapa final'!$O$40),"")</f>
        <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437"/>
      <c r="AP20" s="438"/>
      <c r="AQ20" s="438"/>
      <c r="AR20" s="438"/>
      <c r="AS20" s="438"/>
      <c r="AT20" s="43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86"/>
      <c r="C21" s="386"/>
      <c r="D21" s="387"/>
      <c r="E21" s="427"/>
      <c r="F21" s="428"/>
      <c r="G21" s="428"/>
      <c r="H21" s="428"/>
      <c r="I21" s="428"/>
      <c r="J21" s="67" t="str">
        <f>IF(AND('Mapa final'!$Y$41="Alta",'Mapa final'!$AA$41="Leve"),CONCATENATE("R6C",'Mapa final'!$O$41),"")</f>
        <v/>
      </c>
      <c r="K21" s="68" t="str">
        <f>IF(AND('Mapa final'!$Y$42="Alta",'Mapa final'!$AA$42="Leve"),CONCATENATE("R6C",'Mapa final'!$O$42),"")</f>
        <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str">
        <f>IF(AND('Mapa final'!$Y$41="Alta",'Mapa final'!$AA$41="Menor"),CONCATENATE("R6C",'Mapa final'!$O$41),"")</f>
        <v/>
      </c>
      <c r="Q21" s="68" t="str">
        <f>IF(AND('Mapa final'!$Y$42="Alta",'Mapa final'!$AA$42="Menor"),CONCATENATE("R6C",'Mapa final'!$O$42),"")</f>
        <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str">
        <f>IF(AND('Mapa final'!$Y$41="Alta",'Mapa final'!$AA$41="Moderado"),CONCATENATE("R6C",'Mapa final'!$O$41),"")</f>
        <v/>
      </c>
      <c r="W21" s="53" t="str">
        <f>IF(AND('Mapa final'!$Y$42="Alta",'Mapa final'!$AA$42="Moderado"),CONCATENATE("R6C",'Mapa final'!$O$42),"")</f>
        <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str">
        <f>IF(AND('Mapa final'!$Y$41="Alta",'Mapa final'!$AA$41="Mayor"),CONCATENATE("R6C",'Mapa final'!$O$41),"")</f>
        <v/>
      </c>
      <c r="AC21" s="53" t="str">
        <f>IF(AND('Mapa final'!$Y$42="Alta",'Mapa final'!$AA$42="Mayor"),CONCATENATE("R6C",'Mapa final'!$O$42),"")</f>
        <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str">
        <f>IF(AND('Mapa final'!$Y$41="Alta",'Mapa final'!$AA$41="Catastrófico"),CONCATENATE("R6C",'Mapa final'!$O$41),"")</f>
        <v/>
      </c>
      <c r="AI21" s="56" t="str">
        <f>IF(AND('Mapa final'!$Y$42="Alta",'Mapa final'!$AA$42="Catastrófico"),CONCATENATE("R6C",'Mapa final'!$O$42),"")</f>
        <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437"/>
      <c r="AP21" s="438"/>
      <c r="AQ21" s="438"/>
      <c r="AR21" s="438"/>
      <c r="AS21" s="438"/>
      <c r="AT21" s="43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86"/>
      <c r="C22" s="386"/>
      <c r="D22" s="387"/>
      <c r="E22" s="427"/>
      <c r="F22" s="428"/>
      <c r="G22" s="428"/>
      <c r="H22" s="428"/>
      <c r="I22" s="428"/>
      <c r="J22" s="67" t="str">
        <f>IF(AND('Mapa final'!$Y$43="Alta",'Mapa final'!$AA$43="Leve"),CONCATENATE("R7C",'Mapa final'!$O$43),"")</f>
        <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str">
        <f>IF(AND('Mapa final'!$Y$43="Alta",'Mapa final'!$AA$43="Menor"),CONCATENATE("R7C",'Mapa final'!$O$43),"")</f>
        <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str">
        <f>IF(AND('Mapa final'!$Y$43="Alta",'Mapa final'!$AA$43="Moderado"),CONCATENATE("R7C",'Mapa final'!$O$43),"")</f>
        <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str">
        <f>IF(AND('Mapa final'!$Y$43="Alta",'Mapa final'!$AA$43="Mayor"),CONCATENATE("R7C",'Mapa final'!$O$43),"")</f>
        <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str">
        <f>IF(AND('Mapa final'!$Y$43="Alta",'Mapa final'!$AA$43="Catastrófico"),CONCATENATE("R7C",'Mapa final'!$O$43),"")</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37"/>
      <c r="AP22" s="438"/>
      <c r="AQ22" s="438"/>
      <c r="AR22" s="438"/>
      <c r="AS22" s="438"/>
      <c r="AT22" s="43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86"/>
      <c r="C23" s="386"/>
      <c r="D23" s="387"/>
      <c r="E23" s="427"/>
      <c r="F23" s="428"/>
      <c r="G23" s="428"/>
      <c r="H23" s="428"/>
      <c r="I23" s="428"/>
      <c r="J23" s="67" t="e">
        <f>IF(AND('Mapa final'!#REF!="Alta",'Mapa final'!#REF!="Leve"),CONCATENATE("R8C",'Mapa final'!#REF!),"")</f>
        <v>#REF!</v>
      </c>
      <c r="K23" s="68" t="e">
        <f>IF(AND('Mapa final'!#REF!="Alta",'Mapa final'!#REF!="Leve"),CONCATENATE("R8C",'Mapa final'!#REF!),"")</f>
        <v>#REF!</v>
      </c>
      <c r="L23" s="68" t="e">
        <f>IF(AND('Mapa final'!#REF!="Alta",'Mapa final'!#REF!="Leve"),CONCATENATE("R8C",'Mapa final'!#REF!),"")</f>
        <v>#REF!</v>
      </c>
      <c r="M23" s="68" t="e">
        <f>IF(AND('Mapa final'!#REF!="Alta",'Mapa final'!#REF!="Leve"),CONCATENATE("R8C",'Mapa final'!#REF!),"")</f>
        <v>#REF!</v>
      </c>
      <c r="N23" s="68" t="e">
        <f>IF(AND('Mapa final'!#REF!="Alta",'Mapa final'!#REF!="Leve"),CONCATENATE("R8C",'Mapa final'!#REF!),"")</f>
        <v>#REF!</v>
      </c>
      <c r="O23" s="69" t="e">
        <f>IF(AND('Mapa final'!#REF!="Alta",'Mapa final'!#REF!="Leve"),CONCATENATE("R8C",'Mapa final'!#REF!),"")</f>
        <v>#REF!</v>
      </c>
      <c r="P23" s="67" t="e">
        <f>IF(AND('Mapa final'!#REF!="Alta",'Mapa final'!#REF!="Menor"),CONCATENATE("R8C",'Mapa final'!#REF!),"")</f>
        <v>#REF!</v>
      </c>
      <c r="Q23" s="68" t="e">
        <f>IF(AND('Mapa final'!#REF!="Alta",'Mapa final'!#REF!="Menor"),CONCATENATE("R8C",'Mapa final'!#REF!),"")</f>
        <v>#REF!</v>
      </c>
      <c r="R23" s="68" t="e">
        <f>IF(AND('Mapa final'!#REF!="Alta",'Mapa final'!#REF!="Menor"),CONCATENATE("R8C",'Mapa final'!#REF!),"")</f>
        <v>#REF!</v>
      </c>
      <c r="S23" s="68" t="e">
        <f>IF(AND('Mapa final'!#REF!="Alta",'Mapa final'!#REF!="Menor"),CONCATENATE("R8C",'Mapa final'!#REF!),"")</f>
        <v>#REF!</v>
      </c>
      <c r="T23" s="68" t="e">
        <f>IF(AND('Mapa final'!#REF!="Alta",'Mapa final'!#REF!="Menor"),CONCATENATE("R8C",'Mapa final'!#REF!),"")</f>
        <v>#REF!</v>
      </c>
      <c r="U23" s="69" t="e">
        <f>IF(AND('Mapa final'!#REF!="Alta",'Mapa final'!#REF!="Menor"),CONCATENATE("R8C",'Mapa final'!#REF!),"")</f>
        <v>#REF!</v>
      </c>
      <c r="V23" s="52" t="e">
        <f>IF(AND('Mapa final'!#REF!="Alta",'Mapa final'!#REF!="Moderado"),CONCATENATE("R8C",'Mapa final'!#REF!),"")</f>
        <v>#REF!</v>
      </c>
      <c r="W23" s="53" t="e">
        <f>IF(AND('Mapa final'!#REF!="Alta",'Mapa final'!#REF!="Moderado"),CONCATENATE("R8C",'Mapa final'!#REF!),"")</f>
        <v>#REF!</v>
      </c>
      <c r="X23" s="53" t="e">
        <f>IF(AND('Mapa final'!#REF!="Alta",'Mapa final'!#REF!="Moderado"),CONCATENATE("R8C",'Mapa final'!#REF!),"")</f>
        <v>#REF!</v>
      </c>
      <c r="Y23" s="53" t="e">
        <f>IF(AND('Mapa final'!#REF!="Alta",'Mapa final'!#REF!="Moderado"),CONCATENATE("R8C",'Mapa final'!#REF!),"")</f>
        <v>#REF!</v>
      </c>
      <c r="Z23" s="53" t="e">
        <f>IF(AND('Mapa final'!#REF!="Alta",'Mapa final'!#REF!="Moderado"),CONCATENATE("R8C",'Mapa final'!#REF!),"")</f>
        <v>#REF!</v>
      </c>
      <c r="AA23" s="54" t="e">
        <f>IF(AND('Mapa final'!#REF!="Alta",'Mapa final'!#REF!="Moderado"),CONCATENATE("R8C",'Mapa final'!#REF!),"")</f>
        <v>#REF!</v>
      </c>
      <c r="AB23" s="52" t="e">
        <f>IF(AND('Mapa final'!#REF!="Alta",'Mapa final'!#REF!="Mayor"),CONCATENATE("R8C",'Mapa final'!#REF!),"")</f>
        <v>#REF!</v>
      </c>
      <c r="AC23" s="53" t="e">
        <f>IF(AND('Mapa final'!#REF!="Alta",'Mapa final'!#REF!="Mayor"),CONCATENATE("R8C",'Mapa final'!#REF!),"")</f>
        <v>#REF!</v>
      </c>
      <c r="AD23" s="53" t="e">
        <f>IF(AND('Mapa final'!#REF!="Alta",'Mapa final'!#REF!="Mayor"),CONCATENATE("R8C",'Mapa final'!#REF!),"")</f>
        <v>#REF!</v>
      </c>
      <c r="AE23" s="53" t="e">
        <f>IF(AND('Mapa final'!#REF!="Alta",'Mapa final'!#REF!="Mayor"),CONCATENATE("R8C",'Mapa final'!#REF!),"")</f>
        <v>#REF!</v>
      </c>
      <c r="AF23" s="53" t="e">
        <f>IF(AND('Mapa final'!#REF!="Alta",'Mapa final'!#REF!="Mayor"),CONCATENATE("R8C",'Mapa final'!#REF!),"")</f>
        <v>#REF!</v>
      </c>
      <c r="AG23" s="54" t="e">
        <f>IF(AND('Mapa final'!#REF!="Alta",'Mapa final'!#REF!="Mayor"),CONCATENATE("R8C",'Mapa final'!#REF!),"")</f>
        <v>#REF!</v>
      </c>
      <c r="AH23" s="55" t="e">
        <f>IF(AND('Mapa final'!#REF!="Alta",'Mapa final'!#REF!="Catastrófico"),CONCATENATE("R8C",'Mapa final'!#REF!),"")</f>
        <v>#REF!</v>
      </c>
      <c r="AI23" s="56" t="e">
        <f>IF(AND('Mapa final'!#REF!="Alta",'Mapa final'!#REF!="Catastrófico"),CONCATENATE("R8C",'Mapa final'!#REF!),"")</f>
        <v>#REF!</v>
      </c>
      <c r="AJ23" s="56" t="e">
        <f>IF(AND('Mapa final'!#REF!="Alta",'Mapa final'!#REF!="Catastrófico"),CONCATENATE("R8C",'Mapa final'!#REF!),"")</f>
        <v>#REF!</v>
      </c>
      <c r="AK23" s="56" t="e">
        <f>IF(AND('Mapa final'!#REF!="Alta",'Mapa final'!#REF!="Catastrófico"),CONCATENATE("R8C",'Mapa final'!#REF!),"")</f>
        <v>#REF!</v>
      </c>
      <c r="AL23" s="56" t="e">
        <f>IF(AND('Mapa final'!#REF!="Alta",'Mapa final'!#REF!="Catastrófico"),CONCATENATE("R8C",'Mapa final'!#REF!),"")</f>
        <v>#REF!</v>
      </c>
      <c r="AM23" s="57" t="e">
        <f>IF(AND('Mapa final'!#REF!="Alta",'Mapa final'!#REF!="Catastrófico"),CONCATENATE("R8C",'Mapa final'!#REF!),"")</f>
        <v>#REF!</v>
      </c>
      <c r="AN23" s="83"/>
      <c r="AO23" s="437"/>
      <c r="AP23" s="438"/>
      <c r="AQ23" s="438"/>
      <c r="AR23" s="438"/>
      <c r="AS23" s="438"/>
      <c r="AT23" s="43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86"/>
      <c r="C24" s="386"/>
      <c r="D24" s="387"/>
      <c r="E24" s="427"/>
      <c r="F24" s="428"/>
      <c r="G24" s="428"/>
      <c r="H24" s="428"/>
      <c r="I24" s="428"/>
      <c r="J24" s="67" t="e">
        <f>IF(AND('Mapa final'!#REF!="Alta",'Mapa final'!#REF!="Leve"),CONCATENATE("R9C",'Mapa final'!#REF!),"")</f>
        <v>#REF!</v>
      </c>
      <c r="K24" s="68" t="e">
        <f>IF(AND('Mapa final'!#REF!="Alta",'Mapa final'!#REF!="Leve"),CONCATENATE("R9C",'Mapa final'!#REF!),"")</f>
        <v>#REF!</v>
      </c>
      <c r="L24" s="68" t="e">
        <f>IF(AND('Mapa final'!#REF!="Alta",'Mapa final'!#REF!="Leve"),CONCATENATE("R9C",'Mapa final'!#REF!),"")</f>
        <v>#REF!</v>
      </c>
      <c r="M24" s="68" t="e">
        <f>IF(AND('Mapa final'!#REF!="Alta",'Mapa final'!#REF!="Leve"),CONCATENATE("R9C",'Mapa final'!#REF!),"")</f>
        <v>#REF!</v>
      </c>
      <c r="N24" s="68" t="e">
        <f>IF(AND('Mapa final'!#REF!="Alta",'Mapa final'!#REF!="Leve"),CONCATENATE("R9C",'Mapa final'!#REF!),"")</f>
        <v>#REF!</v>
      </c>
      <c r="O24" s="69" t="e">
        <f>IF(AND('Mapa final'!#REF!="Alta",'Mapa final'!#REF!="Leve"),CONCATENATE("R9C",'Mapa final'!#REF!),"")</f>
        <v>#REF!</v>
      </c>
      <c r="P24" s="67" t="e">
        <f>IF(AND('Mapa final'!#REF!="Alta",'Mapa final'!#REF!="Menor"),CONCATENATE("R9C",'Mapa final'!#REF!),"")</f>
        <v>#REF!</v>
      </c>
      <c r="Q24" s="68" t="e">
        <f>IF(AND('Mapa final'!#REF!="Alta",'Mapa final'!#REF!="Menor"),CONCATENATE("R9C",'Mapa final'!#REF!),"")</f>
        <v>#REF!</v>
      </c>
      <c r="R24" s="68" t="e">
        <f>IF(AND('Mapa final'!#REF!="Alta",'Mapa final'!#REF!="Menor"),CONCATENATE("R9C",'Mapa final'!#REF!),"")</f>
        <v>#REF!</v>
      </c>
      <c r="S24" s="68" t="e">
        <f>IF(AND('Mapa final'!#REF!="Alta",'Mapa final'!#REF!="Menor"),CONCATENATE("R9C",'Mapa final'!#REF!),"")</f>
        <v>#REF!</v>
      </c>
      <c r="T24" s="68" t="e">
        <f>IF(AND('Mapa final'!#REF!="Alta",'Mapa final'!#REF!="Menor"),CONCATENATE("R9C",'Mapa final'!#REF!),"")</f>
        <v>#REF!</v>
      </c>
      <c r="U24" s="69" t="e">
        <f>IF(AND('Mapa final'!#REF!="Alta",'Mapa final'!#REF!="Menor"),CONCATENATE("R9C",'Mapa final'!#REF!),"")</f>
        <v>#REF!</v>
      </c>
      <c r="V24" s="52" t="e">
        <f>IF(AND('Mapa final'!#REF!="Alta",'Mapa final'!#REF!="Moderado"),CONCATENATE("R9C",'Mapa final'!#REF!),"")</f>
        <v>#REF!</v>
      </c>
      <c r="W24" s="53" t="e">
        <f>IF(AND('Mapa final'!#REF!="Alta",'Mapa final'!#REF!="Moderado"),CONCATENATE("R9C",'Mapa final'!#REF!),"")</f>
        <v>#REF!</v>
      </c>
      <c r="X24" s="53" t="e">
        <f>IF(AND('Mapa final'!#REF!="Alta",'Mapa final'!#REF!="Moderado"),CONCATENATE("R9C",'Mapa final'!#REF!),"")</f>
        <v>#REF!</v>
      </c>
      <c r="Y24" s="53" t="e">
        <f>IF(AND('Mapa final'!#REF!="Alta",'Mapa final'!#REF!="Moderado"),CONCATENATE("R9C",'Mapa final'!#REF!),"")</f>
        <v>#REF!</v>
      </c>
      <c r="Z24" s="53" t="e">
        <f>IF(AND('Mapa final'!#REF!="Alta",'Mapa final'!#REF!="Moderado"),CONCATENATE("R9C",'Mapa final'!#REF!),"")</f>
        <v>#REF!</v>
      </c>
      <c r="AA24" s="54" t="e">
        <f>IF(AND('Mapa final'!#REF!="Alta",'Mapa final'!#REF!="Moderado"),CONCATENATE("R9C",'Mapa final'!#REF!),"")</f>
        <v>#REF!</v>
      </c>
      <c r="AB24" s="52" t="e">
        <f>IF(AND('Mapa final'!#REF!="Alta",'Mapa final'!#REF!="Mayor"),CONCATENATE("R9C",'Mapa final'!#REF!),"")</f>
        <v>#REF!</v>
      </c>
      <c r="AC24" s="53" t="e">
        <f>IF(AND('Mapa final'!#REF!="Alta",'Mapa final'!#REF!="Mayor"),CONCATENATE("R9C",'Mapa final'!#REF!),"")</f>
        <v>#REF!</v>
      </c>
      <c r="AD24" s="53" t="e">
        <f>IF(AND('Mapa final'!#REF!="Alta",'Mapa final'!#REF!="Mayor"),CONCATENATE("R9C",'Mapa final'!#REF!),"")</f>
        <v>#REF!</v>
      </c>
      <c r="AE24" s="53" t="e">
        <f>IF(AND('Mapa final'!#REF!="Alta",'Mapa final'!#REF!="Mayor"),CONCATENATE("R9C",'Mapa final'!#REF!),"")</f>
        <v>#REF!</v>
      </c>
      <c r="AF24" s="53" t="e">
        <f>IF(AND('Mapa final'!#REF!="Alta",'Mapa final'!#REF!="Mayor"),CONCATENATE("R9C",'Mapa final'!#REF!),"")</f>
        <v>#REF!</v>
      </c>
      <c r="AG24" s="54" t="e">
        <f>IF(AND('Mapa final'!#REF!="Alta",'Mapa final'!#REF!="Mayor"),CONCATENATE("R9C",'Mapa final'!#REF!),"")</f>
        <v>#REF!</v>
      </c>
      <c r="AH24" s="55" t="e">
        <f>IF(AND('Mapa final'!#REF!="Alta",'Mapa final'!#REF!="Catastrófico"),CONCATENATE("R9C",'Mapa final'!#REF!),"")</f>
        <v>#REF!</v>
      </c>
      <c r="AI24" s="56" t="e">
        <f>IF(AND('Mapa final'!#REF!="Alta",'Mapa final'!#REF!="Catastrófico"),CONCATENATE("R9C",'Mapa final'!#REF!),"")</f>
        <v>#REF!</v>
      </c>
      <c r="AJ24" s="56" t="e">
        <f>IF(AND('Mapa final'!#REF!="Alta",'Mapa final'!#REF!="Catastrófico"),CONCATENATE("R9C",'Mapa final'!#REF!),"")</f>
        <v>#REF!</v>
      </c>
      <c r="AK24" s="56" t="e">
        <f>IF(AND('Mapa final'!#REF!="Alta",'Mapa final'!#REF!="Catastrófico"),CONCATENATE("R9C",'Mapa final'!#REF!),"")</f>
        <v>#REF!</v>
      </c>
      <c r="AL24" s="56" t="e">
        <f>IF(AND('Mapa final'!#REF!="Alta",'Mapa final'!#REF!="Catastrófico"),CONCATENATE("R9C",'Mapa final'!#REF!),"")</f>
        <v>#REF!</v>
      </c>
      <c r="AM24" s="57" t="e">
        <f>IF(AND('Mapa final'!#REF!="Alta",'Mapa final'!#REF!="Catastrófico"),CONCATENATE("R9C",'Mapa final'!#REF!),"")</f>
        <v>#REF!</v>
      </c>
      <c r="AN24" s="83"/>
      <c r="AO24" s="437"/>
      <c r="AP24" s="438"/>
      <c r="AQ24" s="438"/>
      <c r="AR24" s="438"/>
      <c r="AS24" s="438"/>
      <c r="AT24" s="43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86"/>
      <c r="C25" s="386"/>
      <c r="D25" s="387"/>
      <c r="E25" s="430"/>
      <c r="F25" s="431"/>
      <c r="G25" s="431"/>
      <c r="H25" s="431"/>
      <c r="I25" s="431"/>
      <c r="J25" s="70" t="e">
        <f>IF(AND('Mapa final'!#REF!="Alta",'Mapa final'!#REF!="Leve"),CONCATENATE("R10C",'Mapa final'!#REF!),"")</f>
        <v>#REF!</v>
      </c>
      <c r="K25" s="71" t="e">
        <f>IF(AND('Mapa final'!#REF!="Alta",'Mapa final'!#REF!="Leve"),CONCATENATE("R10C",'Mapa final'!#REF!),"")</f>
        <v>#REF!</v>
      </c>
      <c r="L25" s="71" t="e">
        <f>IF(AND('Mapa final'!#REF!="Alta",'Mapa final'!#REF!="Leve"),CONCATENATE("R10C",'Mapa final'!#REF!),"")</f>
        <v>#REF!</v>
      </c>
      <c r="M25" s="71" t="e">
        <f>IF(AND('Mapa final'!#REF!="Alta",'Mapa final'!#REF!="Leve"),CONCATENATE("R10C",'Mapa final'!#REF!),"")</f>
        <v>#REF!</v>
      </c>
      <c r="N25" s="71" t="e">
        <f>IF(AND('Mapa final'!#REF!="Alta",'Mapa final'!#REF!="Leve"),CONCATENATE("R10C",'Mapa final'!#REF!),"")</f>
        <v>#REF!</v>
      </c>
      <c r="O25" s="72" t="e">
        <f>IF(AND('Mapa final'!#REF!="Alta",'Mapa final'!#REF!="Leve"),CONCATENATE("R10C",'Mapa final'!#REF!),"")</f>
        <v>#REF!</v>
      </c>
      <c r="P25" s="70" t="e">
        <f>IF(AND('Mapa final'!#REF!="Alta",'Mapa final'!#REF!="Menor"),CONCATENATE("R10C",'Mapa final'!#REF!),"")</f>
        <v>#REF!</v>
      </c>
      <c r="Q25" s="71" t="e">
        <f>IF(AND('Mapa final'!#REF!="Alta",'Mapa final'!#REF!="Menor"),CONCATENATE("R10C",'Mapa final'!#REF!),"")</f>
        <v>#REF!</v>
      </c>
      <c r="R25" s="71" t="e">
        <f>IF(AND('Mapa final'!#REF!="Alta",'Mapa final'!#REF!="Menor"),CONCATENATE("R10C",'Mapa final'!#REF!),"")</f>
        <v>#REF!</v>
      </c>
      <c r="S25" s="71" t="e">
        <f>IF(AND('Mapa final'!#REF!="Alta",'Mapa final'!#REF!="Menor"),CONCATENATE("R10C",'Mapa final'!#REF!),"")</f>
        <v>#REF!</v>
      </c>
      <c r="T25" s="71" t="e">
        <f>IF(AND('Mapa final'!#REF!="Alta",'Mapa final'!#REF!="Menor"),CONCATENATE("R10C",'Mapa final'!#REF!),"")</f>
        <v>#REF!</v>
      </c>
      <c r="U25" s="72" t="e">
        <f>IF(AND('Mapa final'!#REF!="Alta",'Mapa final'!#REF!="Menor"),CONCATENATE("R10C",'Mapa final'!#REF!),"")</f>
        <v>#REF!</v>
      </c>
      <c r="V25" s="58" t="e">
        <f>IF(AND('Mapa final'!#REF!="Alta",'Mapa final'!#REF!="Moderado"),CONCATENATE("R10C",'Mapa final'!#REF!),"")</f>
        <v>#REF!</v>
      </c>
      <c r="W25" s="59" t="e">
        <f>IF(AND('Mapa final'!#REF!="Alta",'Mapa final'!#REF!="Moderado"),CONCATENATE("R10C",'Mapa final'!#REF!),"")</f>
        <v>#REF!</v>
      </c>
      <c r="X25" s="59" t="e">
        <f>IF(AND('Mapa final'!#REF!="Alta",'Mapa final'!#REF!="Moderado"),CONCATENATE("R10C",'Mapa final'!#REF!),"")</f>
        <v>#REF!</v>
      </c>
      <c r="Y25" s="59" t="e">
        <f>IF(AND('Mapa final'!#REF!="Alta",'Mapa final'!#REF!="Moderado"),CONCATENATE("R10C",'Mapa final'!#REF!),"")</f>
        <v>#REF!</v>
      </c>
      <c r="Z25" s="59" t="e">
        <f>IF(AND('Mapa final'!#REF!="Alta",'Mapa final'!#REF!="Moderado"),CONCATENATE("R10C",'Mapa final'!#REF!),"")</f>
        <v>#REF!</v>
      </c>
      <c r="AA25" s="60" t="e">
        <f>IF(AND('Mapa final'!#REF!="Alta",'Mapa final'!#REF!="Moderado"),CONCATENATE("R10C",'Mapa final'!#REF!),"")</f>
        <v>#REF!</v>
      </c>
      <c r="AB25" s="58" t="e">
        <f>IF(AND('Mapa final'!#REF!="Alta",'Mapa final'!#REF!="Mayor"),CONCATENATE("R10C",'Mapa final'!#REF!),"")</f>
        <v>#REF!</v>
      </c>
      <c r="AC25" s="59" t="e">
        <f>IF(AND('Mapa final'!#REF!="Alta",'Mapa final'!#REF!="Mayor"),CONCATENATE("R10C",'Mapa final'!#REF!),"")</f>
        <v>#REF!</v>
      </c>
      <c r="AD25" s="59" t="e">
        <f>IF(AND('Mapa final'!#REF!="Alta",'Mapa final'!#REF!="Mayor"),CONCATENATE("R10C",'Mapa final'!#REF!),"")</f>
        <v>#REF!</v>
      </c>
      <c r="AE25" s="59" t="e">
        <f>IF(AND('Mapa final'!#REF!="Alta",'Mapa final'!#REF!="Mayor"),CONCATENATE("R10C",'Mapa final'!#REF!),"")</f>
        <v>#REF!</v>
      </c>
      <c r="AF25" s="59" t="e">
        <f>IF(AND('Mapa final'!#REF!="Alta",'Mapa final'!#REF!="Mayor"),CONCATENATE("R10C",'Mapa final'!#REF!),"")</f>
        <v>#REF!</v>
      </c>
      <c r="AG25" s="60" t="e">
        <f>IF(AND('Mapa final'!#REF!="Alta",'Mapa final'!#REF!="Mayor"),CONCATENATE("R10C",'Mapa final'!#REF!),"")</f>
        <v>#REF!</v>
      </c>
      <c r="AH25" s="61" t="e">
        <f>IF(AND('Mapa final'!#REF!="Alta",'Mapa final'!#REF!="Catastrófico"),CONCATENATE("R10C",'Mapa final'!#REF!),"")</f>
        <v>#REF!</v>
      </c>
      <c r="AI25" s="62" t="e">
        <f>IF(AND('Mapa final'!#REF!="Alta",'Mapa final'!#REF!="Catastrófico"),CONCATENATE("R10C",'Mapa final'!#REF!),"")</f>
        <v>#REF!</v>
      </c>
      <c r="AJ25" s="62" t="e">
        <f>IF(AND('Mapa final'!#REF!="Alta",'Mapa final'!#REF!="Catastrófico"),CONCATENATE("R10C",'Mapa final'!#REF!),"")</f>
        <v>#REF!</v>
      </c>
      <c r="AK25" s="62" t="e">
        <f>IF(AND('Mapa final'!#REF!="Alta",'Mapa final'!#REF!="Catastrófico"),CONCATENATE("R10C",'Mapa final'!#REF!),"")</f>
        <v>#REF!</v>
      </c>
      <c r="AL25" s="62" t="e">
        <f>IF(AND('Mapa final'!#REF!="Alta",'Mapa final'!#REF!="Catastrófico"),CONCATENATE("R10C",'Mapa final'!#REF!),"")</f>
        <v>#REF!</v>
      </c>
      <c r="AM25" s="63" t="e">
        <f>IF(AND('Mapa final'!#REF!="Alta",'Mapa final'!#REF!="Catastrófico"),CONCATENATE("R10C",'Mapa final'!#REF!),"")</f>
        <v>#REF!</v>
      </c>
      <c r="AN25" s="83"/>
      <c r="AO25" s="440"/>
      <c r="AP25" s="441"/>
      <c r="AQ25" s="441"/>
      <c r="AR25" s="441"/>
      <c r="AS25" s="441"/>
      <c r="AT25" s="44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86"/>
      <c r="C26" s="386"/>
      <c r="D26" s="387"/>
      <c r="E26" s="424" t="s">
        <v>190</v>
      </c>
      <c r="F26" s="425"/>
      <c r="G26" s="425"/>
      <c r="H26" s="425"/>
      <c r="I26" s="426"/>
      <c r="J26" s="64" t="str">
        <f>IF(AND('Mapa final'!$Y$26="Media",'Mapa final'!$AA$26="Leve"),CONCATENATE("R1C",'Mapa final'!$O$26),"")</f>
        <v/>
      </c>
      <c r="K26" s="65" t="str">
        <f>IF(AND('Mapa final'!$Y$27="Media",'Mapa final'!$AA$27="Leve"),CONCATENATE("R1C",'Mapa final'!$O$27),"")</f>
        <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final'!$Y$26="Media",'Mapa final'!$AA$26="Menor"),CONCATENATE("R1C",'Mapa final'!$O$26),"")</f>
        <v/>
      </c>
      <c r="Q26" s="65" t="str">
        <f>IF(AND('Mapa final'!$Y$27="Media",'Mapa final'!$AA$27="Menor"),CONCATENATE("R1C",'Mapa final'!$O$27),"")</f>
        <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final'!$Y$26="Media",'Mapa final'!$AA$26="Moderado"),CONCATENATE("R1C",'Mapa final'!$O$26),"")</f>
        <v/>
      </c>
      <c r="W26" s="65" t="str">
        <f>IF(AND('Mapa final'!$Y$27="Media",'Mapa final'!$AA$27="Moderado"),CONCATENATE("R1C",'Mapa final'!$O$27),"")</f>
        <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final'!$Y$26="Media",'Mapa final'!$AA$26="Mayor"),CONCATENATE("R1C",'Mapa final'!$O$26),"")</f>
        <v/>
      </c>
      <c r="AC26" s="47" t="str">
        <f>IF(AND('Mapa final'!$Y$27="Media",'Mapa final'!$AA$27="Mayor"),CONCATENATE("R1C",'Mapa final'!$O$27),"")</f>
        <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final'!$Y$26="Media",'Mapa final'!$AA$26="Catastrófico"),CONCATENATE("R1C",'Mapa final'!$O$26),"")</f>
        <v/>
      </c>
      <c r="AI26" s="50" t="str">
        <f>IF(AND('Mapa final'!$Y$27="Media",'Mapa final'!$AA$27="Catastrófico"),CONCATENATE("R1C",'Mapa final'!$O$27),"")</f>
        <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64" t="s">
        <v>191</v>
      </c>
      <c r="AP26" s="465"/>
      <c r="AQ26" s="465"/>
      <c r="AR26" s="465"/>
      <c r="AS26" s="465"/>
      <c r="AT26" s="46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86"/>
      <c r="C27" s="386"/>
      <c r="D27" s="387"/>
      <c r="E27" s="443"/>
      <c r="F27" s="428"/>
      <c r="G27" s="428"/>
      <c r="H27" s="428"/>
      <c r="I27" s="429"/>
      <c r="J27" s="67" t="str">
        <f>IF(AND('Mapa final'!$Y$28="Media",'Mapa final'!$AA$28="Leve"),CONCATENATE("R2C",'Mapa final'!$O$28),"")</f>
        <v/>
      </c>
      <c r="K27" s="68" t="str">
        <f>IF(AND('Mapa final'!$Y$30="Media",'Mapa final'!$AA$30="Leve"),CONCATENATE("R2C",'Mapa final'!$O$30),"")</f>
        <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final'!$Y$28="Media",'Mapa final'!$AA$28="Menor"),CONCATENATE("R2C",'Mapa final'!$O$28),"")</f>
        <v/>
      </c>
      <c r="Q27" s="68" t="str">
        <f>IF(AND('Mapa final'!$Y$30="Media",'Mapa final'!$AA$30="Menor"),CONCATENATE("R2C",'Mapa final'!$O$30),"")</f>
        <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final'!$Y$28="Media",'Mapa final'!$AA$28="Moderado"),CONCATENATE("R2C",'Mapa final'!$O$28),"")</f>
        <v/>
      </c>
      <c r="W27" s="68" t="str">
        <f>IF(AND('Mapa final'!$Y$30="Media",'Mapa final'!$AA$30="Moderado"),CONCATENATE("R2C",'Mapa final'!$O$30),"")</f>
        <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final'!$Y$28="Media",'Mapa final'!$AA$28="Mayor"),CONCATENATE("R2C",'Mapa final'!$O$28),"")</f>
        <v/>
      </c>
      <c r="AC27" s="53" t="str">
        <f>IF(AND('Mapa final'!$Y$30="Media",'Mapa final'!$AA$30="Mayor"),CONCATENATE("R2C",'Mapa final'!$O$30),"")</f>
        <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final'!$Y$28="Media",'Mapa final'!$AA$28="Catastrófico"),CONCATENATE("R2C",'Mapa final'!$O$28),"")</f>
        <v/>
      </c>
      <c r="AI27" s="56" t="str">
        <f>IF(AND('Mapa final'!$Y$30="Media",'Mapa final'!$AA$30="Catastrófico"),CONCATENATE("R2C",'Mapa final'!$O$30),"")</f>
        <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67"/>
      <c r="AP27" s="468"/>
      <c r="AQ27" s="468"/>
      <c r="AR27" s="468"/>
      <c r="AS27" s="468"/>
      <c r="AT27" s="46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86"/>
      <c r="C28" s="386"/>
      <c r="D28" s="387"/>
      <c r="E28" s="427"/>
      <c r="F28" s="428"/>
      <c r="G28" s="428"/>
      <c r="H28" s="428"/>
      <c r="I28" s="429"/>
      <c r="J28" s="67" t="str">
        <f>IF(AND('Mapa final'!$Y$31="Media",'Mapa final'!$AA$31="Leve"),CONCATENATE("R3C",'Mapa final'!$O$31),"")</f>
        <v/>
      </c>
      <c r="K28" s="68" t="str">
        <f>IF(AND('Mapa final'!$Y$32="Media",'Mapa final'!$AA$32="Leve"),CONCATENATE("R3C",'Mapa final'!$O$32),"")</f>
        <v/>
      </c>
      <c r="L28" s="68" t="str">
        <f>IF(AND('Mapa final'!$Y$33="Media",'Mapa final'!$AA$33="Leve"),CONCATENATE("R3C",'Mapa final'!$O$33),"")</f>
        <v/>
      </c>
      <c r="M28" s="68" t="str">
        <f>IF(AND('Mapa final'!$Y$34="Media",'Mapa final'!$AA$34="Leve"),CONCATENATE("R3C",'Mapa final'!$O$34),"")</f>
        <v/>
      </c>
      <c r="N28" s="68" t="e">
        <f>IF(AND('Mapa final'!#REF!="Media",'Mapa final'!#REF!="Leve"),CONCATENATE("R3C",'Mapa final'!#REF!),"")</f>
        <v>#REF!</v>
      </c>
      <c r="O28" s="69" t="e">
        <f>IF(AND('Mapa final'!#REF!="Media",'Mapa final'!#REF!="Leve"),CONCATENATE("R3C",'Mapa final'!#REF!),"")</f>
        <v>#REF!</v>
      </c>
      <c r="P28" s="67" t="str">
        <f>IF(AND('Mapa final'!$Y$31="Media",'Mapa final'!$AA$31="Menor"),CONCATENATE("R3C",'Mapa final'!$O$31),"")</f>
        <v/>
      </c>
      <c r="Q28" s="68" t="str">
        <f>IF(AND('Mapa final'!$Y$32="Media",'Mapa final'!$AA$32="Menor"),CONCATENATE("R3C",'Mapa final'!$O$32),"")</f>
        <v/>
      </c>
      <c r="R28" s="68" t="str">
        <f>IF(AND('Mapa final'!$Y$33="Media",'Mapa final'!$AA$33="Menor"),CONCATENATE("R3C",'Mapa final'!$O$33),"")</f>
        <v/>
      </c>
      <c r="S28" s="68" t="str">
        <f>IF(AND('Mapa final'!$Y$34="Media",'Mapa final'!$AA$34="Menor"),CONCATENATE("R3C",'Mapa final'!$O$34),"")</f>
        <v/>
      </c>
      <c r="T28" s="68" t="e">
        <f>IF(AND('Mapa final'!#REF!="Media",'Mapa final'!#REF!="Menor"),CONCATENATE("R3C",'Mapa final'!#REF!),"")</f>
        <v>#REF!</v>
      </c>
      <c r="U28" s="69" t="e">
        <f>IF(AND('Mapa final'!#REF!="Media",'Mapa final'!#REF!="Menor"),CONCATENATE("R3C",'Mapa final'!#REF!),"")</f>
        <v>#REF!</v>
      </c>
      <c r="V28" s="67" t="str">
        <f>IF(AND('Mapa final'!$Y$31="Media",'Mapa final'!$AA$31="Moderado"),CONCATENATE("R3C",'Mapa final'!$O$31),"")</f>
        <v/>
      </c>
      <c r="W28" s="68" t="str">
        <f>IF(AND('Mapa final'!$Y$32="Media",'Mapa final'!$AA$32="Moderado"),CONCATENATE("R3C",'Mapa final'!$O$32),"")</f>
        <v/>
      </c>
      <c r="X28" s="68" t="str">
        <f>IF(AND('Mapa final'!$Y$33="Media",'Mapa final'!$AA$33="Moderado"),CONCATENATE("R3C",'Mapa final'!$O$33),"")</f>
        <v/>
      </c>
      <c r="Y28" s="68" t="str">
        <f>IF(AND('Mapa final'!$Y$34="Media",'Mapa final'!$AA$34="Moderado"),CONCATENATE("R3C",'Mapa final'!$O$34),"")</f>
        <v/>
      </c>
      <c r="Z28" s="68" t="e">
        <f>IF(AND('Mapa final'!#REF!="Media",'Mapa final'!#REF!="Moderado"),CONCATENATE("R3C",'Mapa final'!#REF!),"")</f>
        <v>#REF!</v>
      </c>
      <c r="AA28" s="69" t="e">
        <f>IF(AND('Mapa final'!#REF!="Media",'Mapa final'!#REF!="Moderado"),CONCATENATE("R3C",'Mapa final'!#REF!),"")</f>
        <v>#REF!</v>
      </c>
      <c r="AB28" s="52" t="str">
        <f>IF(AND('Mapa final'!$Y$31="Media",'Mapa final'!$AA$31="Mayor"),CONCATENATE("R3C",'Mapa final'!$O$31),"")</f>
        <v/>
      </c>
      <c r="AC28" s="53" t="str">
        <f>IF(AND('Mapa final'!$Y$32="Media",'Mapa final'!$AA$32="Mayor"),CONCATENATE("R3C",'Mapa final'!$O$32),"")</f>
        <v/>
      </c>
      <c r="AD28" s="53" t="str">
        <f>IF(AND('Mapa final'!$Y$33="Media",'Mapa final'!$AA$33="Mayor"),CONCATENATE("R3C",'Mapa final'!$O$33),"")</f>
        <v/>
      </c>
      <c r="AE28" s="53" t="str">
        <f>IF(AND('Mapa final'!$Y$34="Media",'Mapa final'!$AA$34="Mayor"),CONCATENATE("R3C",'Mapa final'!$O$34),"")</f>
        <v/>
      </c>
      <c r="AF28" s="53" t="e">
        <f>IF(AND('Mapa final'!#REF!="Media",'Mapa final'!#REF!="Mayor"),CONCATENATE("R3C",'Mapa final'!#REF!),"")</f>
        <v>#REF!</v>
      </c>
      <c r="AG28" s="54" t="e">
        <f>IF(AND('Mapa final'!#REF!="Media",'Mapa final'!#REF!="Mayor"),CONCATENATE("R3C",'Mapa final'!#REF!),"")</f>
        <v>#REF!</v>
      </c>
      <c r="AH28" s="55" t="str">
        <f>IF(AND('Mapa final'!$Y$31="Media",'Mapa final'!$AA$31="Catastrófico"),CONCATENATE("R3C",'Mapa final'!$O$31),"")</f>
        <v/>
      </c>
      <c r="AI28" s="56" t="str">
        <f>IF(AND('Mapa final'!$Y$32="Media",'Mapa final'!$AA$32="Catastrófico"),CONCATENATE("R3C",'Mapa final'!$O$32),"")</f>
        <v/>
      </c>
      <c r="AJ28" s="56" t="str">
        <f>IF(AND('Mapa final'!$Y$33="Media",'Mapa final'!$AA$33="Catastrófico"),CONCATENATE("R3C",'Mapa final'!$O$33),"")</f>
        <v/>
      </c>
      <c r="AK28" s="56" t="str">
        <f>IF(AND('Mapa final'!$Y$34="Media",'Mapa final'!$AA$34="Catastrófico"),CONCATENATE("R3C",'Mapa final'!$O$34),"")</f>
        <v/>
      </c>
      <c r="AL28" s="56" t="e">
        <f>IF(AND('Mapa final'!#REF!="Media",'Mapa final'!#REF!="Catastrófico"),CONCATENATE("R3C",'Mapa final'!#REF!),"")</f>
        <v>#REF!</v>
      </c>
      <c r="AM28" s="57" t="e">
        <f>IF(AND('Mapa final'!#REF!="Media",'Mapa final'!#REF!="Catastrófico"),CONCATENATE("R3C",'Mapa final'!#REF!),"")</f>
        <v>#REF!</v>
      </c>
      <c r="AN28" s="83"/>
      <c r="AO28" s="467"/>
      <c r="AP28" s="468"/>
      <c r="AQ28" s="468"/>
      <c r="AR28" s="468"/>
      <c r="AS28" s="468"/>
      <c r="AT28" s="46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86"/>
      <c r="C29" s="386"/>
      <c r="D29" s="387"/>
      <c r="E29" s="427"/>
      <c r="F29" s="428"/>
      <c r="G29" s="428"/>
      <c r="H29" s="428"/>
      <c r="I29" s="429"/>
      <c r="J29" s="67" t="str">
        <f>IF(AND('Mapa final'!$Y$35="Media",'Mapa final'!$AA$35="Leve"),CONCATENATE("R4C",'Mapa final'!$O$35),"")</f>
        <v/>
      </c>
      <c r="K29" s="68" t="str">
        <f>IF(AND('Mapa final'!$Y$36="Media",'Mapa final'!$AA$36="Leve"),CONCATENATE("R4C",'Mapa final'!$O$36),"")</f>
        <v/>
      </c>
      <c r="L29" s="68" t="str">
        <f>IF(AND('Mapa final'!$Y$37="Media",'Mapa final'!$AA$37="Leve"),CONCATENATE("R4C",'Mapa final'!$O$37),"")</f>
        <v/>
      </c>
      <c r="M29" s="68" t="str">
        <f>IF(AND('Mapa final'!$Y$38="Media",'Mapa final'!$AA$38="Leve"),CONCATENATE("R4C",'Mapa final'!$O$38),"")</f>
        <v/>
      </c>
      <c r="N29" s="68" t="e">
        <f>IF(AND('Mapa final'!#REF!="Media",'Mapa final'!#REF!="Leve"),CONCATENATE("R4C",'Mapa final'!#REF!),"")</f>
        <v>#REF!</v>
      </c>
      <c r="O29" s="69" t="e">
        <f>IF(AND('Mapa final'!#REF!="Media",'Mapa final'!#REF!="Leve"),CONCATENATE("R4C",'Mapa final'!#REF!),"")</f>
        <v>#REF!</v>
      </c>
      <c r="P29" s="67" t="str">
        <f>IF(AND('Mapa final'!$Y$35="Media",'Mapa final'!$AA$35="Menor"),CONCATENATE("R4C",'Mapa final'!$O$35),"")</f>
        <v/>
      </c>
      <c r="Q29" s="68" t="str">
        <f>IF(AND('Mapa final'!$Y$36="Media",'Mapa final'!$AA$36="Menor"),CONCATENATE("R4C",'Mapa final'!$O$36),"")</f>
        <v/>
      </c>
      <c r="R29" s="68" t="str">
        <f>IF(AND('Mapa final'!$Y$37="Media",'Mapa final'!$AA$37="Menor"),CONCATENATE("R4C",'Mapa final'!$O$37),"")</f>
        <v/>
      </c>
      <c r="S29" s="68" t="str">
        <f>IF(AND('Mapa final'!$Y$38="Media",'Mapa final'!$AA$38="Menor"),CONCATENATE("R4C",'Mapa final'!$O$38),"")</f>
        <v/>
      </c>
      <c r="T29" s="68" t="e">
        <f>IF(AND('Mapa final'!#REF!="Media",'Mapa final'!#REF!="Menor"),CONCATENATE("R4C",'Mapa final'!#REF!),"")</f>
        <v>#REF!</v>
      </c>
      <c r="U29" s="69" t="e">
        <f>IF(AND('Mapa final'!#REF!="Media",'Mapa final'!#REF!="Menor"),CONCATENATE("R4C",'Mapa final'!#REF!),"")</f>
        <v>#REF!</v>
      </c>
      <c r="V29" s="67" t="str">
        <f>IF(AND('Mapa final'!$Y$35="Media",'Mapa final'!$AA$35="Moderado"),CONCATENATE("R4C",'Mapa final'!$O$35),"")</f>
        <v/>
      </c>
      <c r="W29" s="68" t="str">
        <f>IF(AND('Mapa final'!$Y$36="Media",'Mapa final'!$AA$36="Moderado"),CONCATENATE("R4C",'Mapa final'!$O$36),"")</f>
        <v/>
      </c>
      <c r="X29" s="68" t="str">
        <f>IF(AND('Mapa final'!$Y$37="Media",'Mapa final'!$AA$37="Moderado"),CONCATENATE("R4C",'Mapa final'!$O$37),"")</f>
        <v/>
      </c>
      <c r="Y29" s="68" t="str">
        <f>IF(AND('Mapa final'!$Y$38="Media",'Mapa final'!$AA$38="Moderado"),CONCATENATE("R4C",'Mapa final'!$O$38),"")</f>
        <v/>
      </c>
      <c r="Z29" s="68" t="e">
        <f>IF(AND('Mapa final'!#REF!="Media",'Mapa final'!#REF!="Moderado"),CONCATENATE("R4C",'Mapa final'!#REF!),"")</f>
        <v>#REF!</v>
      </c>
      <c r="AA29" s="69" t="e">
        <f>IF(AND('Mapa final'!#REF!="Media",'Mapa final'!#REF!="Moderado"),CONCATENATE("R4C",'Mapa final'!#REF!),"")</f>
        <v>#REF!</v>
      </c>
      <c r="AB29" s="52" t="str">
        <f>IF(AND('Mapa final'!$Y$35="Media",'Mapa final'!$AA$35="Mayor"),CONCATENATE("R4C",'Mapa final'!$O$35),"")</f>
        <v/>
      </c>
      <c r="AC29" s="53" t="str">
        <f>IF(AND('Mapa final'!$Y$36="Media",'Mapa final'!$AA$36="Mayor"),CONCATENATE("R4C",'Mapa final'!$O$36),"")</f>
        <v/>
      </c>
      <c r="AD29" s="53" t="str">
        <f>IF(AND('Mapa final'!$Y$37="Media",'Mapa final'!$AA$37="Mayor"),CONCATENATE("R4C",'Mapa final'!$O$37),"")</f>
        <v/>
      </c>
      <c r="AE29" s="53" t="str">
        <f>IF(AND('Mapa final'!$Y$38="Media",'Mapa final'!$AA$38="Mayor"),CONCATENATE("R4C",'Mapa final'!$O$38),"")</f>
        <v/>
      </c>
      <c r="AF29" s="53" t="e">
        <f>IF(AND('Mapa final'!#REF!="Media",'Mapa final'!#REF!="Mayor"),CONCATENATE("R4C",'Mapa final'!#REF!),"")</f>
        <v>#REF!</v>
      </c>
      <c r="AG29" s="54" t="e">
        <f>IF(AND('Mapa final'!#REF!="Media",'Mapa final'!#REF!="Mayor"),CONCATENATE("R4C",'Mapa final'!#REF!),"")</f>
        <v>#REF!</v>
      </c>
      <c r="AH29" s="55" t="str">
        <f>IF(AND('Mapa final'!$Y$35="Media",'Mapa final'!$AA$35="Catastrófico"),CONCATENATE("R4C",'Mapa final'!$O$35),"")</f>
        <v/>
      </c>
      <c r="AI29" s="56" t="str">
        <f>IF(AND('Mapa final'!$Y$36="Media",'Mapa final'!$AA$36="Catastrófico"),CONCATENATE("R4C",'Mapa final'!$O$36),"")</f>
        <v/>
      </c>
      <c r="AJ29" s="56" t="str">
        <f>IF(AND('Mapa final'!$Y$37="Media",'Mapa final'!$AA$37="Catastrófico"),CONCATENATE("R4C",'Mapa final'!$O$37),"")</f>
        <v/>
      </c>
      <c r="AK29" s="56" t="str">
        <f>IF(AND('Mapa final'!$Y$38="Media",'Mapa final'!$AA$38="Catastrófico"),CONCATENATE("R4C",'Mapa final'!$O$38),"")</f>
        <v/>
      </c>
      <c r="AL29" s="56" t="e">
        <f>IF(AND('Mapa final'!#REF!="Media",'Mapa final'!#REF!="Catastrófico"),CONCATENATE("R4C",'Mapa final'!#REF!),"")</f>
        <v>#REF!</v>
      </c>
      <c r="AM29" s="57" t="e">
        <f>IF(AND('Mapa final'!#REF!="Media",'Mapa final'!#REF!="Catastrófico"),CONCATENATE("R4C",'Mapa final'!#REF!),"")</f>
        <v>#REF!</v>
      </c>
      <c r="AN29" s="83"/>
      <c r="AO29" s="467"/>
      <c r="AP29" s="468"/>
      <c r="AQ29" s="468"/>
      <c r="AR29" s="468"/>
      <c r="AS29" s="468"/>
      <c r="AT29" s="46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86"/>
      <c r="C30" s="386"/>
      <c r="D30" s="387"/>
      <c r="E30" s="427"/>
      <c r="F30" s="428"/>
      <c r="G30" s="428"/>
      <c r="H30" s="428"/>
      <c r="I30" s="429"/>
      <c r="J30" s="67" t="str">
        <f>IF(AND('Mapa final'!$Y$39="Media",'Mapa final'!$AA$39="Leve"),CONCATENATE("R5C",'Mapa final'!$O$39),"")</f>
        <v/>
      </c>
      <c r="K30" s="68" t="str">
        <f>IF(AND('Mapa final'!$Y$40="Media",'Mapa final'!$AA$40="Leve"),CONCATENATE("R5C",'Mapa final'!$O$40),"")</f>
        <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final'!$Y$39="Media",'Mapa final'!$AA$39="Menor"),CONCATENATE("R5C",'Mapa final'!$O$39),"")</f>
        <v/>
      </c>
      <c r="Q30" s="68" t="str">
        <f>IF(AND('Mapa final'!$Y$40="Media",'Mapa final'!$AA$40="Menor"),CONCATENATE("R5C",'Mapa final'!$O$40),"")</f>
        <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final'!$Y$39="Media",'Mapa final'!$AA$39="Moderado"),CONCATENATE("R5C",'Mapa final'!$O$39),"")</f>
        <v/>
      </c>
      <c r="W30" s="68" t="str">
        <f>IF(AND('Mapa final'!$Y$40="Media",'Mapa final'!$AA$40="Moderado"),CONCATENATE("R5C",'Mapa final'!$O$40),"")</f>
        <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final'!$Y$39="Media",'Mapa final'!$AA$39="Mayor"),CONCATENATE("R5C",'Mapa final'!$O$39),"")</f>
        <v/>
      </c>
      <c r="AC30" s="53" t="str">
        <f>IF(AND('Mapa final'!$Y$40="Media",'Mapa final'!$AA$40="Mayor"),CONCATENATE("R5C",'Mapa final'!$O$40),"")</f>
        <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final'!$Y$39="Media",'Mapa final'!$AA$39="Catastrófico"),CONCATENATE("R5C",'Mapa final'!$O$39),"")</f>
        <v/>
      </c>
      <c r="AI30" s="56" t="str">
        <f>IF(AND('Mapa final'!$Y$40="Media",'Mapa final'!$AA$40="Catastrófico"),CONCATENATE("R5C",'Mapa final'!$O$40),"")</f>
        <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67"/>
      <c r="AP30" s="468"/>
      <c r="AQ30" s="468"/>
      <c r="AR30" s="468"/>
      <c r="AS30" s="468"/>
      <c r="AT30" s="4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86"/>
      <c r="C31" s="386"/>
      <c r="D31" s="387"/>
      <c r="E31" s="427"/>
      <c r="F31" s="428"/>
      <c r="G31" s="428"/>
      <c r="H31" s="428"/>
      <c r="I31" s="429"/>
      <c r="J31" s="67" t="str">
        <f>IF(AND('Mapa final'!$Y$41="Media",'Mapa final'!$AA$41="Leve"),CONCATENATE("R6C",'Mapa final'!$O$41),"")</f>
        <v>R6C1</v>
      </c>
      <c r="K31" s="68" t="str">
        <f>IF(AND('Mapa final'!$Y$42="Media",'Mapa final'!$AA$42="Leve"),CONCATENATE("R6C",'Mapa final'!$O$42),"")</f>
        <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str">
        <f>IF(AND('Mapa final'!$Y$41="Media",'Mapa final'!$AA$41="Menor"),CONCATENATE("R6C",'Mapa final'!$O$41),"")</f>
        <v/>
      </c>
      <c r="Q31" s="68" t="str">
        <f>IF(AND('Mapa final'!$Y$42="Media",'Mapa final'!$AA$42="Menor"),CONCATENATE("R6C",'Mapa final'!$O$42),"")</f>
        <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str">
        <f>IF(AND('Mapa final'!$Y$41="Media",'Mapa final'!$AA$41="Moderado"),CONCATENATE("R6C",'Mapa final'!$O$41),"")</f>
        <v/>
      </c>
      <c r="W31" s="68" t="str">
        <f>IF(AND('Mapa final'!$Y$42="Media",'Mapa final'!$AA$42="Moderado"),CONCATENATE("R6C",'Mapa final'!$O$42),"")</f>
        <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str">
        <f>IF(AND('Mapa final'!$Y$41="Media",'Mapa final'!$AA$41="Mayor"),CONCATENATE("R6C",'Mapa final'!$O$41),"")</f>
        <v/>
      </c>
      <c r="AC31" s="53" t="str">
        <f>IF(AND('Mapa final'!$Y$42="Media",'Mapa final'!$AA$42="Mayor"),CONCATENATE("R6C",'Mapa final'!$O$42),"")</f>
        <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str">
        <f>IF(AND('Mapa final'!$Y$41="Media",'Mapa final'!$AA$41="Catastrófico"),CONCATENATE("R6C",'Mapa final'!$O$41),"")</f>
        <v/>
      </c>
      <c r="AI31" s="56" t="str">
        <f>IF(AND('Mapa final'!$Y$42="Media",'Mapa final'!$AA$42="Catastrófico"),CONCATENATE("R6C",'Mapa final'!$O$42),"")</f>
        <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67"/>
      <c r="AP31" s="468"/>
      <c r="AQ31" s="468"/>
      <c r="AR31" s="468"/>
      <c r="AS31" s="468"/>
      <c r="AT31" s="4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86"/>
      <c r="C32" s="386"/>
      <c r="D32" s="387"/>
      <c r="E32" s="427"/>
      <c r="F32" s="428"/>
      <c r="G32" s="428"/>
      <c r="H32" s="428"/>
      <c r="I32" s="429"/>
      <c r="J32" s="67" t="str">
        <f>IF(AND('Mapa final'!$Y$43="Media",'Mapa final'!$AA$43="Leve"),CONCATENATE("R7C",'Mapa final'!$O$43),"")</f>
        <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str">
        <f>IF(AND('Mapa final'!$Y$43="Media",'Mapa final'!$AA$43="Menor"),CONCATENATE("R7C",'Mapa final'!$O$43),"")</f>
        <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str">
        <f>IF(AND('Mapa final'!$Y$43="Media",'Mapa final'!$AA$43="Moderado"),CONCATENATE("R7C",'Mapa final'!$O$43),"")</f>
        <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str">
        <f>IF(AND('Mapa final'!$Y$43="Media",'Mapa final'!$AA$43="Mayor"),CONCATENATE("R7C",'Mapa final'!$O$43),"")</f>
        <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str">
        <f>IF(AND('Mapa final'!$Y$43="Media",'Mapa final'!$AA$43="Catastrófico"),CONCATENATE("R7C",'Mapa final'!$O$43),"")</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67"/>
      <c r="AP32" s="468"/>
      <c r="AQ32" s="468"/>
      <c r="AR32" s="468"/>
      <c r="AS32" s="468"/>
      <c r="AT32" s="4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86"/>
      <c r="C33" s="386"/>
      <c r="D33" s="387"/>
      <c r="E33" s="427"/>
      <c r="F33" s="428"/>
      <c r="G33" s="428"/>
      <c r="H33" s="428"/>
      <c r="I33" s="429"/>
      <c r="J33" s="67" t="e">
        <f>IF(AND('Mapa final'!#REF!="Media",'Mapa final'!#REF!="Leve"),CONCATENATE("R8C",'Mapa final'!#REF!),"")</f>
        <v>#REF!</v>
      </c>
      <c r="K33" s="68" t="e">
        <f>IF(AND('Mapa final'!#REF!="Media",'Mapa final'!#REF!="Leve"),CONCATENATE("R8C",'Mapa final'!#REF!),"")</f>
        <v>#REF!</v>
      </c>
      <c r="L33" s="68" t="e">
        <f>IF(AND('Mapa final'!#REF!="Media",'Mapa final'!#REF!="Leve"),CONCATENATE("R8C",'Mapa final'!#REF!),"")</f>
        <v>#REF!</v>
      </c>
      <c r="M33" s="68" t="e">
        <f>IF(AND('Mapa final'!#REF!="Media",'Mapa final'!#REF!="Leve"),CONCATENATE("R8C",'Mapa final'!#REF!),"")</f>
        <v>#REF!</v>
      </c>
      <c r="N33" s="68" t="e">
        <f>IF(AND('Mapa final'!#REF!="Media",'Mapa final'!#REF!="Leve"),CONCATENATE("R8C",'Mapa final'!#REF!),"")</f>
        <v>#REF!</v>
      </c>
      <c r="O33" s="69" t="e">
        <f>IF(AND('Mapa final'!#REF!="Media",'Mapa final'!#REF!="Leve"),CONCATENATE("R8C",'Mapa final'!#REF!),"")</f>
        <v>#REF!</v>
      </c>
      <c r="P33" s="67" t="e">
        <f>IF(AND('Mapa final'!#REF!="Media",'Mapa final'!#REF!="Menor"),CONCATENATE("R8C",'Mapa final'!#REF!),"")</f>
        <v>#REF!</v>
      </c>
      <c r="Q33" s="68" t="e">
        <f>IF(AND('Mapa final'!#REF!="Media",'Mapa final'!#REF!="Menor"),CONCATENATE("R8C",'Mapa final'!#REF!),"")</f>
        <v>#REF!</v>
      </c>
      <c r="R33" s="68" t="e">
        <f>IF(AND('Mapa final'!#REF!="Media",'Mapa final'!#REF!="Menor"),CONCATENATE("R8C",'Mapa final'!#REF!),"")</f>
        <v>#REF!</v>
      </c>
      <c r="S33" s="68" t="e">
        <f>IF(AND('Mapa final'!#REF!="Media",'Mapa final'!#REF!="Menor"),CONCATENATE("R8C",'Mapa final'!#REF!),"")</f>
        <v>#REF!</v>
      </c>
      <c r="T33" s="68" t="e">
        <f>IF(AND('Mapa final'!#REF!="Media",'Mapa final'!#REF!="Menor"),CONCATENATE("R8C",'Mapa final'!#REF!),"")</f>
        <v>#REF!</v>
      </c>
      <c r="U33" s="69" t="e">
        <f>IF(AND('Mapa final'!#REF!="Media",'Mapa final'!#REF!="Menor"),CONCATENATE("R8C",'Mapa final'!#REF!),"")</f>
        <v>#REF!</v>
      </c>
      <c r="V33" s="67" t="e">
        <f>IF(AND('Mapa final'!#REF!="Media",'Mapa final'!#REF!="Moderado"),CONCATENATE("R8C",'Mapa final'!#REF!),"")</f>
        <v>#REF!</v>
      </c>
      <c r="W33" s="68" t="e">
        <f>IF(AND('Mapa final'!#REF!="Media",'Mapa final'!#REF!="Moderado"),CONCATENATE("R8C",'Mapa final'!#REF!),"")</f>
        <v>#REF!</v>
      </c>
      <c r="X33" s="68" t="e">
        <f>IF(AND('Mapa final'!#REF!="Media",'Mapa final'!#REF!="Moderado"),CONCATENATE("R8C",'Mapa final'!#REF!),"")</f>
        <v>#REF!</v>
      </c>
      <c r="Y33" s="68" t="e">
        <f>IF(AND('Mapa final'!#REF!="Media",'Mapa final'!#REF!="Moderado"),CONCATENATE("R8C",'Mapa final'!#REF!),"")</f>
        <v>#REF!</v>
      </c>
      <c r="Z33" s="68" t="e">
        <f>IF(AND('Mapa final'!#REF!="Media",'Mapa final'!#REF!="Moderado"),CONCATENATE("R8C",'Mapa final'!#REF!),"")</f>
        <v>#REF!</v>
      </c>
      <c r="AA33" s="69" t="e">
        <f>IF(AND('Mapa final'!#REF!="Media",'Mapa final'!#REF!="Moderado"),CONCATENATE("R8C",'Mapa final'!#REF!),"")</f>
        <v>#REF!</v>
      </c>
      <c r="AB33" s="52" t="e">
        <f>IF(AND('Mapa final'!#REF!="Media",'Mapa final'!#REF!="Mayor"),CONCATENATE("R8C",'Mapa final'!#REF!),"")</f>
        <v>#REF!</v>
      </c>
      <c r="AC33" s="53" t="e">
        <f>IF(AND('Mapa final'!#REF!="Media",'Mapa final'!#REF!="Mayor"),CONCATENATE("R8C",'Mapa final'!#REF!),"")</f>
        <v>#REF!</v>
      </c>
      <c r="AD33" s="53" t="e">
        <f>IF(AND('Mapa final'!#REF!="Media",'Mapa final'!#REF!="Mayor"),CONCATENATE("R8C",'Mapa final'!#REF!),"")</f>
        <v>#REF!</v>
      </c>
      <c r="AE33" s="53" t="e">
        <f>IF(AND('Mapa final'!#REF!="Media",'Mapa final'!#REF!="Mayor"),CONCATENATE("R8C",'Mapa final'!#REF!),"")</f>
        <v>#REF!</v>
      </c>
      <c r="AF33" s="53" t="e">
        <f>IF(AND('Mapa final'!#REF!="Media",'Mapa final'!#REF!="Mayor"),CONCATENATE("R8C",'Mapa final'!#REF!),"")</f>
        <v>#REF!</v>
      </c>
      <c r="AG33" s="54" t="e">
        <f>IF(AND('Mapa final'!#REF!="Media",'Mapa final'!#REF!="Mayor"),CONCATENATE("R8C",'Mapa final'!#REF!),"")</f>
        <v>#REF!</v>
      </c>
      <c r="AH33" s="55" t="e">
        <f>IF(AND('Mapa final'!#REF!="Media",'Mapa final'!#REF!="Catastrófico"),CONCATENATE("R8C",'Mapa final'!#REF!),"")</f>
        <v>#REF!</v>
      </c>
      <c r="AI33" s="56" t="e">
        <f>IF(AND('Mapa final'!#REF!="Media",'Mapa final'!#REF!="Catastrófico"),CONCATENATE("R8C",'Mapa final'!#REF!),"")</f>
        <v>#REF!</v>
      </c>
      <c r="AJ33" s="56" t="e">
        <f>IF(AND('Mapa final'!#REF!="Media",'Mapa final'!#REF!="Catastrófico"),CONCATENATE("R8C",'Mapa final'!#REF!),"")</f>
        <v>#REF!</v>
      </c>
      <c r="AK33" s="56" t="e">
        <f>IF(AND('Mapa final'!#REF!="Media",'Mapa final'!#REF!="Catastrófico"),CONCATENATE("R8C",'Mapa final'!#REF!),"")</f>
        <v>#REF!</v>
      </c>
      <c r="AL33" s="56" t="e">
        <f>IF(AND('Mapa final'!#REF!="Media",'Mapa final'!#REF!="Catastrófico"),CONCATENATE("R8C",'Mapa final'!#REF!),"")</f>
        <v>#REF!</v>
      </c>
      <c r="AM33" s="57" t="e">
        <f>IF(AND('Mapa final'!#REF!="Media",'Mapa final'!#REF!="Catastrófico"),CONCATENATE("R8C",'Mapa final'!#REF!),"")</f>
        <v>#REF!</v>
      </c>
      <c r="AN33" s="83"/>
      <c r="AO33" s="467"/>
      <c r="AP33" s="468"/>
      <c r="AQ33" s="468"/>
      <c r="AR33" s="468"/>
      <c r="AS33" s="468"/>
      <c r="AT33" s="4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86"/>
      <c r="C34" s="386"/>
      <c r="D34" s="387"/>
      <c r="E34" s="427"/>
      <c r="F34" s="428"/>
      <c r="G34" s="428"/>
      <c r="H34" s="428"/>
      <c r="I34" s="429"/>
      <c r="J34" s="67" t="e">
        <f>IF(AND('Mapa final'!#REF!="Media",'Mapa final'!#REF!="Leve"),CONCATENATE("R9C",'Mapa final'!#REF!),"")</f>
        <v>#REF!</v>
      </c>
      <c r="K34" s="68" t="e">
        <f>IF(AND('Mapa final'!#REF!="Media",'Mapa final'!#REF!="Leve"),CONCATENATE("R9C",'Mapa final'!#REF!),"")</f>
        <v>#REF!</v>
      </c>
      <c r="L34" s="68" t="e">
        <f>IF(AND('Mapa final'!#REF!="Media",'Mapa final'!#REF!="Leve"),CONCATENATE("R9C",'Mapa final'!#REF!),"")</f>
        <v>#REF!</v>
      </c>
      <c r="M34" s="68" t="e">
        <f>IF(AND('Mapa final'!#REF!="Media",'Mapa final'!#REF!="Leve"),CONCATENATE("R9C",'Mapa final'!#REF!),"")</f>
        <v>#REF!</v>
      </c>
      <c r="N34" s="68" t="e">
        <f>IF(AND('Mapa final'!#REF!="Media",'Mapa final'!#REF!="Leve"),CONCATENATE("R9C",'Mapa final'!#REF!),"")</f>
        <v>#REF!</v>
      </c>
      <c r="O34" s="69" t="e">
        <f>IF(AND('Mapa final'!#REF!="Media",'Mapa final'!#REF!="Leve"),CONCATENATE("R9C",'Mapa final'!#REF!),"")</f>
        <v>#REF!</v>
      </c>
      <c r="P34" s="67" t="e">
        <f>IF(AND('Mapa final'!#REF!="Media",'Mapa final'!#REF!="Menor"),CONCATENATE("R9C",'Mapa final'!#REF!),"")</f>
        <v>#REF!</v>
      </c>
      <c r="Q34" s="68" t="e">
        <f>IF(AND('Mapa final'!#REF!="Media",'Mapa final'!#REF!="Menor"),CONCATENATE("R9C",'Mapa final'!#REF!),"")</f>
        <v>#REF!</v>
      </c>
      <c r="R34" s="68" t="e">
        <f>IF(AND('Mapa final'!#REF!="Media",'Mapa final'!#REF!="Menor"),CONCATENATE("R9C",'Mapa final'!#REF!),"")</f>
        <v>#REF!</v>
      </c>
      <c r="S34" s="68" t="e">
        <f>IF(AND('Mapa final'!#REF!="Media",'Mapa final'!#REF!="Menor"),CONCATENATE("R9C",'Mapa final'!#REF!),"")</f>
        <v>#REF!</v>
      </c>
      <c r="T34" s="68" t="e">
        <f>IF(AND('Mapa final'!#REF!="Media",'Mapa final'!#REF!="Menor"),CONCATENATE("R9C",'Mapa final'!#REF!),"")</f>
        <v>#REF!</v>
      </c>
      <c r="U34" s="69" t="e">
        <f>IF(AND('Mapa final'!#REF!="Media",'Mapa final'!#REF!="Menor"),CONCATENATE("R9C",'Mapa final'!#REF!),"")</f>
        <v>#REF!</v>
      </c>
      <c r="V34" s="67" t="e">
        <f>IF(AND('Mapa final'!#REF!="Media",'Mapa final'!#REF!="Moderado"),CONCATENATE("R9C",'Mapa final'!#REF!),"")</f>
        <v>#REF!</v>
      </c>
      <c r="W34" s="68" t="e">
        <f>IF(AND('Mapa final'!#REF!="Media",'Mapa final'!#REF!="Moderado"),CONCATENATE("R9C",'Mapa final'!#REF!),"")</f>
        <v>#REF!</v>
      </c>
      <c r="X34" s="68" t="e">
        <f>IF(AND('Mapa final'!#REF!="Media",'Mapa final'!#REF!="Moderado"),CONCATENATE("R9C",'Mapa final'!#REF!),"")</f>
        <v>#REF!</v>
      </c>
      <c r="Y34" s="68" t="e">
        <f>IF(AND('Mapa final'!#REF!="Media",'Mapa final'!#REF!="Moderado"),CONCATENATE("R9C",'Mapa final'!#REF!),"")</f>
        <v>#REF!</v>
      </c>
      <c r="Z34" s="68" t="e">
        <f>IF(AND('Mapa final'!#REF!="Media",'Mapa final'!#REF!="Moderado"),CONCATENATE("R9C",'Mapa final'!#REF!),"")</f>
        <v>#REF!</v>
      </c>
      <c r="AA34" s="69" t="e">
        <f>IF(AND('Mapa final'!#REF!="Media",'Mapa final'!#REF!="Moderado"),CONCATENATE("R9C",'Mapa final'!#REF!),"")</f>
        <v>#REF!</v>
      </c>
      <c r="AB34" s="52" t="e">
        <f>IF(AND('Mapa final'!#REF!="Media",'Mapa final'!#REF!="Mayor"),CONCATENATE("R9C",'Mapa final'!#REF!),"")</f>
        <v>#REF!</v>
      </c>
      <c r="AC34" s="53" t="e">
        <f>IF(AND('Mapa final'!#REF!="Media",'Mapa final'!#REF!="Mayor"),CONCATENATE("R9C",'Mapa final'!#REF!),"")</f>
        <v>#REF!</v>
      </c>
      <c r="AD34" s="53" t="e">
        <f>IF(AND('Mapa final'!#REF!="Media",'Mapa final'!#REF!="Mayor"),CONCATENATE("R9C",'Mapa final'!#REF!),"")</f>
        <v>#REF!</v>
      </c>
      <c r="AE34" s="53" t="e">
        <f>IF(AND('Mapa final'!#REF!="Media",'Mapa final'!#REF!="Mayor"),CONCATENATE("R9C",'Mapa final'!#REF!),"")</f>
        <v>#REF!</v>
      </c>
      <c r="AF34" s="53" t="e">
        <f>IF(AND('Mapa final'!#REF!="Media",'Mapa final'!#REF!="Mayor"),CONCATENATE("R9C",'Mapa final'!#REF!),"")</f>
        <v>#REF!</v>
      </c>
      <c r="AG34" s="54" t="e">
        <f>IF(AND('Mapa final'!#REF!="Media",'Mapa final'!#REF!="Mayor"),CONCATENATE("R9C",'Mapa final'!#REF!),"")</f>
        <v>#REF!</v>
      </c>
      <c r="AH34" s="55" t="e">
        <f>IF(AND('Mapa final'!#REF!="Media",'Mapa final'!#REF!="Catastrófico"),CONCATENATE("R9C",'Mapa final'!#REF!),"")</f>
        <v>#REF!</v>
      </c>
      <c r="AI34" s="56" t="e">
        <f>IF(AND('Mapa final'!#REF!="Media",'Mapa final'!#REF!="Catastrófico"),CONCATENATE("R9C",'Mapa final'!#REF!),"")</f>
        <v>#REF!</v>
      </c>
      <c r="AJ34" s="56" t="e">
        <f>IF(AND('Mapa final'!#REF!="Media",'Mapa final'!#REF!="Catastrófico"),CONCATENATE("R9C",'Mapa final'!#REF!),"")</f>
        <v>#REF!</v>
      </c>
      <c r="AK34" s="56" t="e">
        <f>IF(AND('Mapa final'!#REF!="Media",'Mapa final'!#REF!="Catastrófico"),CONCATENATE("R9C",'Mapa final'!#REF!),"")</f>
        <v>#REF!</v>
      </c>
      <c r="AL34" s="56" t="e">
        <f>IF(AND('Mapa final'!#REF!="Media",'Mapa final'!#REF!="Catastrófico"),CONCATENATE("R9C",'Mapa final'!#REF!),"")</f>
        <v>#REF!</v>
      </c>
      <c r="AM34" s="57" t="e">
        <f>IF(AND('Mapa final'!#REF!="Media",'Mapa final'!#REF!="Catastrófico"),CONCATENATE("R9C",'Mapa final'!#REF!),"")</f>
        <v>#REF!</v>
      </c>
      <c r="AN34" s="83"/>
      <c r="AO34" s="467"/>
      <c r="AP34" s="468"/>
      <c r="AQ34" s="468"/>
      <c r="AR34" s="468"/>
      <c r="AS34" s="468"/>
      <c r="AT34" s="4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86"/>
      <c r="C35" s="386"/>
      <c r="D35" s="387"/>
      <c r="E35" s="430"/>
      <c r="F35" s="431"/>
      <c r="G35" s="431"/>
      <c r="H35" s="431"/>
      <c r="I35" s="432"/>
      <c r="J35" s="67" t="e">
        <f>IF(AND('Mapa final'!#REF!="Media",'Mapa final'!#REF!="Leve"),CONCATENATE("R10C",'Mapa final'!#REF!),"")</f>
        <v>#REF!</v>
      </c>
      <c r="K35" s="68" t="e">
        <f>IF(AND('Mapa final'!#REF!="Media",'Mapa final'!#REF!="Leve"),CONCATENATE("R10C",'Mapa final'!#REF!),"")</f>
        <v>#REF!</v>
      </c>
      <c r="L35" s="68" t="e">
        <f>IF(AND('Mapa final'!#REF!="Media",'Mapa final'!#REF!="Leve"),CONCATENATE("R10C",'Mapa final'!#REF!),"")</f>
        <v>#REF!</v>
      </c>
      <c r="M35" s="68" t="e">
        <f>IF(AND('Mapa final'!#REF!="Media",'Mapa final'!#REF!="Leve"),CONCATENATE("R10C",'Mapa final'!#REF!),"")</f>
        <v>#REF!</v>
      </c>
      <c r="N35" s="68" t="e">
        <f>IF(AND('Mapa final'!#REF!="Media",'Mapa final'!#REF!="Leve"),CONCATENATE("R10C",'Mapa final'!#REF!),"")</f>
        <v>#REF!</v>
      </c>
      <c r="O35" s="69" t="e">
        <f>IF(AND('Mapa final'!#REF!="Media",'Mapa final'!#REF!="Leve"),CONCATENATE("R10C",'Mapa final'!#REF!),"")</f>
        <v>#REF!</v>
      </c>
      <c r="P35" s="67" t="e">
        <f>IF(AND('Mapa final'!#REF!="Media",'Mapa final'!#REF!="Menor"),CONCATENATE("R10C",'Mapa final'!#REF!),"")</f>
        <v>#REF!</v>
      </c>
      <c r="Q35" s="68" t="e">
        <f>IF(AND('Mapa final'!#REF!="Media",'Mapa final'!#REF!="Menor"),CONCATENATE("R10C",'Mapa final'!#REF!),"")</f>
        <v>#REF!</v>
      </c>
      <c r="R35" s="68" t="e">
        <f>IF(AND('Mapa final'!#REF!="Media",'Mapa final'!#REF!="Menor"),CONCATENATE("R10C",'Mapa final'!#REF!),"")</f>
        <v>#REF!</v>
      </c>
      <c r="S35" s="68" t="e">
        <f>IF(AND('Mapa final'!#REF!="Media",'Mapa final'!#REF!="Menor"),CONCATENATE("R10C",'Mapa final'!#REF!),"")</f>
        <v>#REF!</v>
      </c>
      <c r="T35" s="68" t="e">
        <f>IF(AND('Mapa final'!#REF!="Media",'Mapa final'!#REF!="Menor"),CONCATENATE("R10C",'Mapa final'!#REF!),"")</f>
        <v>#REF!</v>
      </c>
      <c r="U35" s="69" t="e">
        <f>IF(AND('Mapa final'!#REF!="Media",'Mapa final'!#REF!="Menor"),CONCATENATE("R10C",'Mapa final'!#REF!),"")</f>
        <v>#REF!</v>
      </c>
      <c r="V35" s="67" t="e">
        <f>IF(AND('Mapa final'!#REF!="Media",'Mapa final'!#REF!="Moderado"),CONCATENATE("R10C",'Mapa final'!#REF!),"")</f>
        <v>#REF!</v>
      </c>
      <c r="W35" s="68" t="e">
        <f>IF(AND('Mapa final'!#REF!="Media",'Mapa final'!#REF!="Moderado"),CONCATENATE("R10C",'Mapa final'!#REF!),"")</f>
        <v>#REF!</v>
      </c>
      <c r="X35" s="68" t="e">
        <f>IF(AND('Mapa final'!#REF!="Media",'Mapa final'!#REF!="Moderado"),CONCATENATE("R10C",'Mapa final'!#REF!),"")</f>
        <v>#REF!</v>
      </c>
      <c r="Y35" s="68" t="e">
        <f>IF(AND('Mapa final'!#REF!="Media",'Mapa final'!#REF!="Moderado"),CONCATENATE("R10C",'Mapa final'!#REF!),"")</f>
        <v>#REF!</v>
      </c>
      <c r="Z35" s="68" t="e">
        <f>IF(AND('Mapa final'!#REF!="Media",'Mapa final'!#REF!="Moderado"),CONCATENATE("R10C",'Mapa final'!#REF!),"")</f>
        <v>#REF!</v>
      </c>
      <c r="AA35" s="69" t="e">
        <f>IF(AND('Mapa final'!#REF!="Media",'Mapa final'!#REF!="Moderado"),CONCATENATE("R10C",'Mapa final'!#REF!),"")</f>
        <v>#REF!</v>
      </c>
      <c r="AB35" s="58" t="e">
        <f>IF(AND('Mapa final'!#REF!="Media",'Mapa final'!#REF!="Mayor"),CONCATENATE("R10C",'Mapa final'!#REF!),"")</f>
        <v>#REF!</v>
      </c>
      <c r="AC35" s="59" t="e">
        <f>IF(AND('Mapa final'!#REF!="Media",'Mapa final'!#REF!="Mayor"),CONCATENATE("R10C",'Mapa final'!#REF!),"")</f>
        <v>#REF!</v>
      </c>
      <c r="AD35" s="59" t="e">
        <f>IF(AND('Mapa final'!#REF!="Media",'Mapa final'!#REF!="Mayor"),CONCATENATE("R10C",'Mapa final'!#REF!),"")</f>
        <v>#REF!</v>
      </c>
      <c r="AE35" s="59" t="e">
        <f>IF(AND('Mapa final'!#REF!="Media",'Mapa final'!#REF!="Mayor"),CONCATENATE("R10C",'Mapa final'!#REF!),"")</f>
        <v>#REF!</v>
      </c>
      <c r="AF35" s="59" t="e">
        <f>IF(AND('Mapa final'!#REF!="Media",'Mapa final'!#REF!="Mayor"),CONCATENATE("R10C",'Mapa final'!#REF!),"")</f>
        <v>#REF!</v>
      </c>
      <c r="AG35" s="60" t="e">
        <f>IF(AND('Mapa final'!#REF!="Media",'Mapa final'!#REF!="Mayor"),CONCATENATE("R10C",'Mapa final'!#REF!),"")</f>
        <v>#REF!</v>
      </c>
      <c r="AH35" s="61" t="e">
        <f>IF(AND('Mapa final'!#REF!="Media",'Mapa final'!#REF!="Catastrófico"),CONCATENATE("R10C",'Mapa final'!#REF!),"")</f>
        <v>#REF!</v>
      </c>
      <c r="AI35" s="62" t="e">
        <f>IF(AND('Mapa final'!#REF!="Media",'Mapa final'!#REF!="Catastrófico"),CONCATENATE("R10C",'Mapa final'!#REF!),"")</f>
        <v>#REF!</v>
      </c>
      <c r="AJ35" s="62" t="e">
        <f>IF(AND('Mapa final'!#REF!="Media",'Mapa final'!#REF!="Catastrófico"),CONCATENATE("R10C",'Mapa final'!#REF!),"")</f>
        <v>#REF!</v>
      </c>
      <c r="AK35" s="62" t="e">
        <f>IF(AND('Mapa final'!#REF!="Media",'Mapa final'!#REF!="Catastrófico"),CONCATENATE("R10C",'Mapa final'!#REF!),"")</f>
        <v>#REF!</v>
      </c>
      <c r="AL35" s="62" t="e">
        <f>IF(AND('Mapa final'!#REF!="Media",'Mapa final'!#REF!="Catastrófico"),CONCATENATE("R10C",'Mapa final'!#REF!),"")</f>
        <v>#REF!</v>
      </c>
      <c r="AM35" s="63" t="e">
        <f>IF(AND('Mapa final'!#REF!="Media",'Mapa final'!#REF!="Catastrófico"),CONCATENATE("R10C",'Mapa final'!#REF!),"")</f>
        <v>#REF!</v>
      </c>
      <c r="AN35" s="83"/>
      <c r="AO35" s="470"/>
      <c r="AP35" s="471"/>
      <c r="AQ35" s="471"/>
      <c r="AR35" s="471"/>
      <c r="AS35" s="471"/>
      <c r="AT35" s="4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86"/>
      <c r="C36" s="386"/>
      <c r="D36" s="387"/>
      <c r="E36" s="424" t="s">
        <v>192</v>
      </c>
      <c r="F36" s="425"/>
      <c r="G36" s="425"/>
      <c r="H36" s="425"/>
      <c r="I36" s="425"/>
      <c r="J36" s="73" t="str">
        <f>IF(AND('Mapa final'!$Y$26="Baja",'Mapa final'!$AA$26="Leve"),CONCATENATE("R1C",'Mapa final'!$O$26),"")</f>
        <v/>
      </c>
      <c r="K36" s="74" t="str">
        <f>IF(AND('Mapa final'!$Y$27="Baja",'Mapa final'!$AA$27="Leve"),CONCATENATE("R1C",'Mapa final'!$O$27),"")</f>
        <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final'!$Y$26="Baja",'Mapa final'!$AA$26="Menor"),CONCATENATE("R1C",'Mapa final'!$O$26),"")</f>
        <v/>
      </c>
      <c r="Q36" s="65" t="str">
        <f>IF(AND('Mapa final'!$Y$27="Baja",'Mapa final'!$AA$27="Menor"),CONCATENATE("R1C",'Mapa final'!$O$27),"")</f>
        <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final'!$Y$26="Baja",'Mapa final'!$AA$26="Moderado"),CONCATENATE("R1C",'Mapa final'!$O$26),"")</f>
        <v>R1C1</v>
      </c>
      <c r="W36" s="65" t="str">
        <f>IF(AND('Mapa final'!$Y$27="Baja",'Mapa final'!$AA$27="Moderado"),CONCATENATE("R1C",'Mapa final'!$O$27),"")</f>
        <v>R1C2</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final'!$Y$26="Baja",'Mapa final'!$AA$26="Mayor"),CONCATENATE("R1C",'Mapa final'!$O$26),"")</f>
        <v/>
      </c>
      <c r="AC36" s="47" t="str">
        <f>IF(AND('Mapa final'!$Y$27="Baja",'Mapa final'!$AA$27="Mayor"),CONCATENATE("R1C",'Mapa final'!$O$27),"")</f>
        <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final'!$Y$26="Baja",'Mapa final'!$AA$26="Catastrófico"),CONCATENATE("R1C",'Mapa final'!$O$26),"")</f>
        <v/>
      </c>
      <c r="AI36" s="50" t="str">
        <f>IF(AND('Mapa final'!$Y$27="Baja",'Mapa final'!$AA$27="Catastrófico"),CONCATENATE("R1C",'Mapa final'!$O$27),"")</f>
        <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55" t="s">
        <v>193</v>
      </c>
      <c r="AP36" s="456"/>
      <c r="AQ36" s="456"/>
      <c r="AR36" s="456"/>
      <c r="AS36" s="456"/>
      <c r="AT36" s="45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86"/>
      <c r="C37" s="386"/>
      <c r="D37" s="387"/>
      <c r="E37" s="443"/>
      <c r="F37" s="428"/>
      <c r="G37" s="428"/>
      <c r="H37" s="428"/>
      <c r="I37" s="428"/>
      <c r="J37" s="76" t="str">
        <f>IF(AND('Mapa final'!$Y$28="Baja",'Mapa final'!$AA$28="Leve"),CONCATENATE("R2C",'Mapa final'!$O$28),"")</f>
        <v/>
      </c>
      <c r="K37" s="77" t="str">
        <f>IF(AND('Mapa final'!$Y$30="Baja",'Mapa final'!$AA$30="Leve"),CONCATENATE("R2C",'Mapa final'!$O$30),"")</f>
        <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final'!$Y$28="Baja",'Mapa final'!$AA$28="Menor"),CONCATENATE("R2C",'Mapa final'!$O$28),"")</f>
        <v>R2C1</v>
      </c>
      <c r="Q37" s="68" t="str">
        <f>IF(AND('Mapa final'!$Y$30="Baja",'Mapa final'!$AA$30="Menor"),CONCATENATE("R2C",'Mapa final'!$O$30),"")</f>
        <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final'!$Y$28="Baja",'Mapa final'!$AA$28="Moderado"),CONCATENATE("R2C",'Mapa final'!$O$28),"")</f>
        <v/>
      </c>
      <c r="W37" s="68" t="str">
        <f>IF(AND('Mapa final'!$Y$30="Baja",'Mapa final'!$AA$30="Moderado"),CONCATENATE("R2C",'Mapa final'!$O$30),"")</f>
        <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final'!$Y$28="Baja",'Mapa final'!$AA$28="Mayor"),CONCATENATE("R2C",'Mapa final'!$O$28),"")</f>
        <v/>
      </c>
      <c r="AC37" s="53" t="str">
        <f>IF(AND('Mapa final'!$Y$30="Baja",'Mapa final'!$AA$30="Mayor"),CONCATENATE("R2C",'Mapa final'!$O$30),"")</f>
        <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final'!$Y$28="Baja",'Mapa final'!$AA$28="Catastrófico"),CONCATENATE("R2C",'Mapa final'!$O$28),"")</f>
        <v/>
      </c>
      <c r="AI37" s="56" t="str">
        <f>IF(AND('Mapa final'!$Y$30="Baja",'Mapa final'!$AA$30="Catastrófico"),CONCATENATE("R2C",'Mapa final'!$O$30),"")</f>
        <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58"/>
      <c r="AP37" s="459"/>
      <c r="AQ37" s="459"/>
      <c r="AR37" s="459"/>
      <c r="AS37" s="459"/>
      <c r="AT37" s="46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86"/>
      <c r="C38" s="386"/>
      <c r="D38" s="387"/>
      <c r="E38" s="427"/>
      <c r="F38" s="428"/>
      <c r="G38" s="428"/>
      <c r="H38" s="428"/>
      <c r="I38" s="428"/>
      <c r="J38" s="76" t="str">
        <f>IF(AND('Mapa final'!$Y$31="Baja",'Mapa final'!$AA$31="Leve"),CONCATENATE("R3C",'Mapa final'!$O$31),"")</f>
        <v/>
      </c>
      <c r="K38" s="77" t="str">
        <f>IF(AND('Mapa final'!$Y$32="Baja",'Mapa final'!$AA$32="Leve"),CONCATENATE("R3C",'Mapa final'!$O$32),"")</f>
        <v/>
      </c>
      <c r="L38" s="77" t="str">
        <f>IF(AND('Mapa final'!$Y$33="Baja",'Mapa final'!$AA$33="Leve"),CONCATENATE("R3C",'Mapa final'!$O$33),"")</f>
        <v/>
      </c>
      <c r="M38" s="77" t="str">
        <f>IF(AND('Mapa final'!$Y$34="Baja",'Mapa final'!$AA$34="Leve"),CONCATENATE("R3C",'Mapa final'!$O$34),"")</f>
        <v/>
      </c>
      <c r="N38" s="77" t="e">
        <f>IF(AND('Mapa final'!#REF!="Baja",'Mapa final'!#REF!="Leve"),CONCATENATE("R3C",'Mapa final'!#REF!),"")</f>
        <v>#REF!</v>
      </c>
      <c r="O38" s="78" t="e">
        <f>IF(AND('Mapa final'!#REF!="Baja",'Mapa final'!#REF!="Leve"),CONCATENATE("R3C",'Mapa final'!#REF!),"")</f>
        <v>#REF!</v>
      </c>
      <c r="P38" s="67" t="str">
        <f>IF(AND('Mapa final'!$Y$31="Baja",'Mapa final'!$AA$31="Menor"),CONCATENATE("R3C",'Mapa final'!$O$31),"")</f>
        <v/>
      </c>
      <c r="Q38" s="68" t="str">
        <f>IF(AND('Mapa final'!$Y$32="Baja",'Mapa final'!$AA$32="Menor"),CONCATENATE("R3C",'Mapa final'!$O$32),"")</f>
        <v/>
      </c>
      <c r="R38" s="68" t="str">
        <f>IF(AND('Mapa final'!$Y$33="Baja",'Mapa final'!$AA$33="Menor"),CONCATENATE("R3C",'Mapa final'!$O$33),"")</f>
        <v/>
      </c>
      <c r="S38" s="68" t="str">
        <f>IF(AND('Mapa final'!$Y$34="Baja",'Mapa final'!$AA$34="Menor"),CONCATENATE("R3C",'Mapa final'!$O$34),"")</f>
        <v/>
      </c>
      <c r="T38" s="68" t="e">
        <f>IF(AND('Mapa final'!#REF!="Baja",'Mapa final'!#REF!="Menor"),CONCATENATE("R3C",'Mapa final'!#REF!),"")</f>
        <v>#REF!</v>
      </c>
      <c r="U38" s="69" t="e">
        <f>IF(AND('Mapa final'!#REF!="Baja",'Mapa final'!#REF!="Menor"),CONCATENATE("R3C",'Mapa final'!#REF!),"")</f>
        <v>#REF!</v>
      </c>
      <c r="V38" s="67" t="str">
        <f>IF(AND('Mapa final'!$Y$31="Baja",'Mapa final'!$AA$31="Moderado"),CONCATENATE("R3C",'Mapa final'!$O$31),"")</f>
        <v/>
      </c>
      <c r="W38" s="68" t="str">
        <f>IF(AND('Mapa final'!$Y$32="Baja",'Mapa final'!$AA$32="Moderado"),CONCATENATE("R3C",'Mapa final'!$O$32),"")</f>
        <v/>
      </c>
      <c r="X38" s="68" t="str">
        <f>IF(AND('Mapa final'!$Y$33="Baja",'Mapa final'!$AA$33="Moderado"),CONCATENATE("R3C",'Mapa final'!$O$33),"")</f>
        <v/>
      </c>
      <c r="Y38" s="68" t="str">
        <f>IF(AND('Mapa final'!$Y$34="Baja",'Mapa final'!$AA$34="Moderado"),CONCATENATE("R3C",'Mapa final'!$O$34),"")</f>
        <v/>
      </c>
      <c r="Z38" s="68" t="e">
        <f>IF(AND('Mapa final'!#REF!="Baja",'Mapa final'!#REF!="Moderado"),CONCATENATE("R3C",'Mapa final'!#REF!),"")</f>
        <v>#REF!</v>
      </c>
      <c r="AA38" s="69" t="e">
        <f>IF(AND('Mapa final'!#REF!="Baja",'Mapa final'!#REF!="Moderado"),CONCATENATE("R3C",'Mapa final'!#REF!),"")</f>
        <v>#REF!</v>
      </c>
      <c r="AB38" s="52" t="str">
        <f>IF(AND('Mapa final'!$Y$31="Baja",'Mapa final'!$AA$31="Mayor"),CONCATENATE("R3C",'Mapa final'!$O$31),"")</f>
        <v/>
      </c>
      <c r="AC38" s="53" t="str">
        <f>IF(AND('Mapa final'!$Y$32="Baja",'Mapa final'!$AA$32="Mayor"),CONCATENATE("R3C",'Mapa final'!$O$32),"")</f>
        <v/>
      </c>
      <c r="AD38" s="53" t="str">
        <f>IF(AND('Mapa final'!$Y$33="Baja",'Mapa final'!$AA$33="Mayor"),CONCATENATE("R3C",'Mapa final'!$O$33),"")</f>
        <v/>
      </c>
      <c r="AE38" s="53" t="str">
        <f>IF(AND('Mapa final'!$Y$34="Baja",'Mapa final'!$AA$34="Mayor"),CONCATENATE("R3C",'Mapa final'!$O$34),"")</f>
        <v/>
      </c>
      <c r="AF38" s="53" t="e">
        <f>IF(AND('Mapa final'!#REF!="Baja",'Mapa final'!#REF!="Mayor"),CONCATENATE("R3C",'Mapa final'!#REF!),"")</f>
        <v>#REF!</v>
      </c>
      <c r="AG38" s="54" t="e">
        <f>IF(AND('Mapa final'!#REF!="Baja",'Mapa final'!#REF!="Mayor"),CONCATENATE("R3C",'Mapa final'!#REF!),"")</f>
        <v>#REF!</v>
      </c>
      <c r="AH38" s="55" t="str">
        <f>IF(AND('Mapa final'!$Y$31="Baja",'Mapa final'!$AA$31="Catastrófico"),CONCATENATE("R3C",'Mapa final'!$O$31),"")</f>
        <v/>
      </c>
      <c r="AI38" s="56" t="str">
        <f>IF(AND('Mapa final'!$Y$32="Baja",'Mapa final'!$AA$32="Catastrófico"),CONCATENATE("R3C",'Mapa final'!$O$32),"")</f>
        <v/>
      </c>
      <c r="AJ38" s="56" t="str">
        <f>IF(AND('Mapa final'!$Y$33="Baja",'Mapa final'!$AA$33="Catastrófico"),CONCATENATE("R3C",'Mapa final'!$O$33),"")</f>
        <v/>
      </c>
      <c r="AK38" s="56" t="str">
        <f>IF(AND('Mapa final'!$Y$34="Baja",'Mapa final'!$AA$34="Catastrófico"),CONCATENATE("R3C",'Mapa final'!$O$34),"")</f>
        <v/>
      </c>
      <c r="AL38" s="56" t="e">
        <f>IF(AND('Mapa final'!#REF!="Baja",'Mapa final'!#REF!="Catastrófico"),CONCATENATE("R3C",'Mapa final'!#REF!),"")</f>
        <v>#REF!</v>
      </c>
      <c r="AM38" s="57" t="e">
        <f>IF(AND('Mapa final'!#REF!="Baja",'Mapa final'!#REF!="Catastrófico"),CONCATENATE("R3C",'Mapa final'!#REF!),"")</f>
        <v>#REF!</v>
      </c>
      <c r="AN38" s="83"/>
      <c r="AO38" s="458"/>
      <c r="AP38" s="459"/>
      <c r="AQ38" s="459"/>
      <c r="AR38" s="459"/>
      <c r="AS38" s="459"/>
      <c r="AT38" s="46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86"/>
      <c r="C39" s="386"/>
      <c r="D39" s="387"/>
      <c r="E39" s="427"/>
      <c r="F39" s="428"/>
      <c r="G39" s="428"/>
      <c r="H39" s="428"/>
      <c r="I39" s="428"/>
      <c r="J39" s="76" t="str">
        <f>IF(AND('Mapa final'!$Y$35="Baja",'Mapa final'!$AA$35="Leve"),CONCATENATE("R4C",'Mapa final'!$O$35),"")</f>
        <v>R4C1</v>
      </c>
      <c r="K39" s="77" t="str">
        <f>IF(AND('Mapa final'!$Y$36="Baja",'Mapa final'!$AA$36="Leve"),CONCATENATE("R4C",'Mapa final'!$O$36),"")</f>
        <v/>
      </c>
      <c r="L39" s="77" t="str">
        <f>IF(AND('Mapa final'!$Y$37="Baja",'Mapa final'!$AA$37="Leve"),CONCATENATE("R4C",'Mapa final'!$O$37),"")</f>
        <v/>
      </c>
      <c r="M39" s="77" t="str">
        <f>IF(AND('Mapa final'!$Y$38="Baja",'Mapa final'!$AA$38="Leve"),CONCATENATE("R4C",'Mapa final'!$O$38),"")</f>
        <v/>
      </c>
      <c r="N39" s="77" t="e">
        <f>IF(AND('Mapa final'!#REF!="Baja",'Mapa final'!#REF!="Leve"),CONCATENATE("R4C",'Mapa final'!#REF!),"")</f>
        <v>#REF!</v>
      </c>
      <c r="O39" s="78" t="e">
        <f>IF(AND('Mapa final'!#REF!="Baja",'Mapa final'!#REF!="Leve"),CONCATENATE("R4C",'Mapa final'!#REF!),"")</f>
        <v>#REF!</v>
      </c>
      <c r="P39" s="67" t="str">
        <f>IF(AND('Mapa final'!$Y$35="Baja",'Mapa final'!$AA$35="Menor"),CONCATENATE("R4C",'Mapa final'!$O$35),"")</f>
        <v/>
      </c>
      <c r="Q39" s="68" t="str">
        <f>IF(AND('Mapa final'!$Y$36="Baja",'Mapa final'!$AA$36="Menor"),CONCATENATE("R4C",'Mapa final'!$O$36),"")</f>
        <v/>
      </c>
      <c r="R39" s="68" t="str">
        <f>IF(AND('Mapa final'!$Y$37="Baja",'Mapa final'!$AA$37="Menor"),CONCATENATE("R4C",'Mapa final'!$O$37),"")</f>
        <v/>
      </c>
      <c r="S39" s="68" t="str">
        <f>IF(AND('Mapa final'!$Y$38="Baja",'Mapa final'!$AA$38="Menor"),CONCATENATE("R4C",'Mapa final'!$O$38),"")</f>
        <v/>
      </c>
      <c r="T39" s="68" t="e">
        <f>IF(AND('Mapa final'!#REF!="Baja",'Mapa final'!#REF!="Menor"),CONCATENATE("R4C",'Mapa final'!#REF!),"")</f>
        <v>#REF!</v>
      </c>
      <c r="U39" s="69" t="e">
        <f>IF(AND('Mapa final'!#REF!="Baja",'Mapa final'!#REF!="Menor"),CONCATENATE("R4C",'Mapa final'!#REF!),"")</f>
        <v>#REF!</v>
      </c>
      <c r="V39" s="67" t="str">
        <f>IF(AND('Mapa final'!$Y$35="Baja",'Mapa final'!$AA$35="Moderado"),CONCATENATE("R4C",'Mapa final'!$O$35),"")</f>
        <v/>
      </c>
      <c r="W39" s="68" t="str">
        <f>IF(AND('Mapa final'!$Y$36="Baja",'Mapa final'!$AA$36="Moderado"),CONCATENATE("R4C",'Mapa final'!$O$36),"")</f>
        <v/>
      </c>
      <c r="X39" s="68" t="str">
        <f>IF(AND('Mapa final'!$Y$37="Baja",'Mapa final'!$AA$37="Moderado"),CONCATENATE("R4C",'Mapa final'!$O$37),"")</f>
        <v/>
      </c>
      <c r="Y39" s="68" t="str">
        <f>IF(AND('Mapa final'!$Y$38="Baja",'Mapa final'!$AA$38="Moderado"),CONCATENATE("R4C",'Mapa final'!$O$38),"")</f>
        <v/>
      </c>
      <c r="Z39" s="68" t="e">
        <f>IF(AND('Mapa final'!#REF!="Baja",'Mapa final'!#REF!="Moderado"),CONCATENATE("R4C",'Mapa final'!#REF!),"")</f>
        <v>#REF!</v>
      </c>
      <c r="AA39" s="69" t="e">
        <f>IF(AND('Mapa final'!#REF!="Baja",'Mapa final'!#REF!="Moderado"),CONCATENATE("R4C",'Mapa final'!#REF!),"")</f>
        <v>#REF!</v>
      </c>
      <c r="AB39" s="52" t="str">
        <f>IF(AND('Mapa final'!$Y$35="Baja",'Mapa final'!$AA$35="Mayor"),CONCATENATE("R4C",'Mapa final'!$O$35),"")</f>
        <v/>
      </c>
      <c r="AC39" s="53" t="str">
        <f>IF(AND('Mapa final'!$Y$36="Baja",'Mapa final'!$AA$36="Mayor"),CONCATENATE("R4C",'Mapa final'!$O$36),"")</f>
        <v/>
      </c>
      <c r="AD39" s="53" t="str">
        <f>IF(AND('Mapa final'!$Y$37="Baja",'Mapa final'!$AA$37="Mayor"),CONCATENATE("R4C",'Mapa final'!$O$37),"")</f>
        <v/>
      </c>
      <c r="AE39" s="53" t="str">
        <f>IF(AND('Mapa final'!$Y$38="Baja",'Mapa final'!$AA$38="Mayor"),CONCATENATE("R4C",'Mapa final'!$O$38),"")</f>
        <v/>
      </c>
      <c r="AF39" s="53" t="e">
        <f>IF(AND('Mapa final'!#REF!="Baja",'Mapa final'!#REF!="Mayor"),CONCATENATE("R4C",'Mapa final'!#REF!),"")</f>
        <v>#REF!</v>
      </c>
      <c r="AG39" s="54" t="e">
        <f>IF(AND('Mapa final'!#REF!="Baja",'Mapa final'!#REF!="Mayor"),CONCATENATE("R4C",'Mapa final'!#REF!),"")</f>
        <v>#REF!</v>
      </c>
      <c r="AH39" s="55" t="str">
        <f>IF(AND('Mapa final'!$Y$35="Baja",'Mapa final'!$AA$35="Catastrófico"),CONCATENATE("R4C",'Mapa final'!$O$35),"")</f>
        <v/>
      </c>
      <c r="AI39" s="56" t="str">
        <f>IF(AND('Mapa final'!$Y$36="Baja",'Mapa final'!$AA$36="Catastrófico"),CONCATENATE("R4C",'Mapa final'!$O$36),"")</f>
        <v/>
      </c>
      <c r="AJ39" s="56" t="str">
        <f>IF(AND('Mapa final'!$Y$37="Baja",'Mapa final'!$AA$37="Catastrófico"),CONCATENATE("R4C",'Mapa final'!$O$37),"")</f>
        <v/>
      </c>
      <c r="AK39" s="56" t="str">
        <f>IF(AND('Mapa final'!$Y$38="Baja",'Mapa final'!$AA$38="Catastrófico"),CONCATENATE("R4C",'Mapa final'!$O$38),"")</f>
        <v/>
      </c>
      <c r="AL39" s="56" t="e">
        <f>IF(AND('Mapa final'!#REF!="Baja",'Mapa final'!#REF!="Catastrófico"),CONCATENATE("R4C",'Mapa final'!#REF!),"")</f>
        <v>#REF!</v>
      </c>
      <c r="AM39" s="57" t="e">
        <f>IF(AND('Mapa final'!#REF!="Baja",'Mapa final'!#REF!="Catastrófico"),CONCATENATE("R4C",'Mapa final'!#REF!),"")</f>
        <v>#REF!</v>
      </c>
      <c r="AN39" s="83"/>
      <c r="AO39" s="458"/>
      <c r="AP39" s="459"/>
      <c r="AQ39" s="459"/>
      <c r="AR39" s="459"/>
      <c r="AS39" s="459"/>
      <c r="AT39" s="46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86"/>
      <c r="C40" s="386"/>
      <c r="D40" s="387"/>
      <c r="E40" s="427"/>
      <c r="F40" s="428"/>
      <c r="G40" s="428"/>
      <c r="H40" s="428"/>
      <c r="I40" s="428"/>
      <c r="J40" s="76" t="str">
        <f>IF(AND('Mapa final'!$Y$39="Baja",'Mapa final'!$AA$39="Leve"),CONCATENATE("R5C",'Mapa final'!$O$39),"")</f>
        <v/>
      </c>
      <c r="K40" s="77" t="str">
        <f>IF(AND('Mapa final'!$Y$40="Baja",'Mapa final'!$AA$40="Leve"),CONCATENATE("R5C",'Mapa final'!$O$40),"")</f>
        <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final'!$Y$39="Baja",'Mapa final'!$AA$39="Menor"),CONCATENATE("R5C",'Mapa final'!$O$39),"")</f>
        <v/>
      </c>
      <c r="Q40" s="68" t="str">
        <f>IF(AND('Mapa final'!$Y$40="Baja",'Mapa final'!$AA$40="Menor"),CONCATENATE("R5C",'Mapa final'!$O$40),"")</f>
        <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final'!$Y$39="Baja",'Mapa final'!$AA$39="Moderado"),CONCATENATE("R5C",'Mapa final'!$O$39),"")</f>
        <v/>
      </c>
      <c r="W40" s="68" t="str">
        <f>IF(AND('Mapa final'!$Y$40="Baja",'Mapa final'!$AA$40="Moderado"),CONCATENATE("R5C",'Mapa final'!$O$40),"")</f>
        <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final'!$Y$39="Baja",'Mapa final'!$AA$39="Mayor"),CONCATENATE("R5C",'Mapa final'!$O$39),"")</f>
        <v/>
      </c>
      <c r="AC40" s="53" t="str">
        <f>IF(AND('Mapa final'!$Y$40="Baja",'Mapa final'!$AA$40="Mayor"),CONCATENATE("R5C",'Mapa final'!$O$40),"")</f>
        <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final'!$Y$39="Baja",'Mapa final'!$AA$39="Catastrófico"),CONCATENATE("R5C",'Mapa final'!$O$39),"")</f>
        <v/>
      </c>
      <c r="AI40" s="56" t="str">
        <f>IF(AND('Mapa final'!$Y$40="Baja",'Mapa final'!$AA$40="Catastrófico"),CONCATENATE("R5C",'Mapa final'!$O$40),"")</f>
        <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458"/>
      <c r="AP40" s="459"/>
      <c r="AQ40" s="459"/>
      <c r="AR40" s="459"/>
      <c r="AS40" s="459"/>
      <c r="AT40" s="46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86"/>
      <c r="C41" s="386"/>
      <c r="D41" s="387"/>
      <c r="E41" s="427"/>
      <c r="F41" s="428"/>
      <c r="G41" s="428"/>
      <c r="H41" s="428"/>
      <c r="I41" s="428"/>
      <c r="J41" s="76" t="str">
        <f>IF(AND('Mapa final'!$Y$41="Baja",'Mapa final'!$AA$41="Leve"),CONCATENATE("R6C",'Mapa final'!$O$41),"")</f>
        <v/>
      </c>
      <c r="K41" s="77" t="str">
        <f>IF(AND('Mapa final'!$Y$42="Baja",'Mapa final'!$AA$42="Leve"),CONCATENATE("R6C",'Mapa final'!$O$42),"")</f>
        <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str">
        <f>IF(AND('Mapa final'!$Y$41="Baja",'Mapa final'!$AA$41="Menor"),CONCATENATE("R6C",'Mapa final'!$O$41),"")</f>
        <v/>
      </c>
      <c r="Q41" s="68" t="str">
        <f>IF(AND('Mapa final'!$Y$42="Baja",'Mapa final'!$AA$42="Menor"),CONCATENATE("R6C",'Mapa final'!$O$42),"")</f>
        <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str">
        <f>IF(AND('Mapa final'!$Y$41="Baja",'Mapa final'!$AA$41="Moderado"),CONCATENATE("R6C",'Mapa final'!$O$41),"")</f>
        <v/>
      </c>
      <c r="W41" s="68" t="str">
        <f>IF(AND('Mapa final'!$Y$42="Baja",'Mapa final'!$AA$42="Moderado"),CONCATENATE("R6C",'Mapa final'!$O$42),"")</f>
        <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str">
        <f>IF(AND('Mapa final'!$Y$41="Baja",'Mapa final'!$AA$41="Mayor"),CONCATENATE("R6C",'Mapa final'!$O$41),"")</f>
        <v/>
      </c>
      <c r="AC41" s="53" t="str">
        <f>IF(AND('Mapa final'!$Y$42="Baja",'Mapa final'!$AA$42="Mayor"),CONCATENATE("R6C",'Mapa final'!$O$42),"")</f>
        <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str">
        <f>IF(AND('Mapa final'!$Y$41="Baja",'Mapa final'!$AA$41="Catastrófico"),CONCATENATE("R6C",'Mapa final'!$O$41),"")</f>
        <v/>
      </c>
      <c r="AI41" s="56" t="str">
        <f>IF(AND('Mapa final'!$Y$42="Baja",'Mapa final'!$AA$42="Catastrófico"),CONCATENATE("R6C",'Mapa final'!$O$42),"")</f>
        <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458"/>
      <c r="AP41" s="459"/>
      <c r="AQ41" s="459"/>
      <c r="AR41" s="459"/>
      <c r="AS41" s="459"/>
      <c r="AT41" s="46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86"/>
      <c r="C42" s="386"/>
      <c r="D42" s="387"/>
      <c r="E42" s="427"/>
      <c r="F42" s="428"/>
      <c r="G42" s="428"/>
      <c r="H42" s="428"/>
      <c r="I42" s="428"/>
      <c r="J42" s="76" t="str">
        <f>IF(AND('Mapa final'!$Y$43="Baja",'Mapa final'!$AA$43="Leve"),CONCATENATE("R7C",'Mapa final'!$O$43),"")</f>
        <v>R7C1</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str">
        <f>IF(AND('Mapa final'!$Y$43="Baja",'Mapa final'!$AA$43="Menor"),CONCATENATE("R7C",'Mapa final'!$O$43),"")</f>
        <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str">
        <f>IF(AND('Mapa final'!$Y$43="Baja",'Mapa final'!$AA$43="Moderado"),CONCATENATE("R7C",'Mapa final'!$O$43),"")</f>
        <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str">
        <f>IF(AND('Mapa final'!$Y$43="Baja",'Mapa final'!$AA$43="Mayor"),CONCATENATE("R7C",'Mapa final'!$O$43),"")</f>
        <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str">
        <f>IF(AND('Mapa final'!$Y$43="Baja",'Mapa final'!$AA$43="Catastrófico"),CONCATENATE("R7C",'Mapa final'!$O$43),"")</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58"/>
      <c r="AP42" s="459"/>
      <c r="AQ42" s="459"/>
      <c r="AR42" s="459"/>
      <c r="AS42" s="459"/>
      <c r="AT42" s="46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86"/>
      <c r="C43" s="386"/>
      <c r="D43" s="387"/>
      <c r="E43" s="427"/>
      <c r="F43" s="428"/>
      <c r="G43" s="428"/>
      <c r="H43" s="428"/>
      <c r="I43" s="428"/>
      <c r="J43" s="76" t="e">
        <f>IF(AND('Mapa final'!#REF!="Baja",'Mapa final'!#REF!="Leve"),CONCATENATE("R8C",'Mapa final'!#REF!),"")</f>
        <v>#REF!</v>
      </c>
      <c r="K43" s="77" t="e">
        <f>IF(AND('Mapa final'!#REF!="Baja",'Mapa final'!#REF!="Leve"),CONCATENATE("R8C",'Mapa final'!#REF!),"")</f>
        <v>#REF!</v>
      </c>
      <c r="L43" s="77" t="e">
        <f>IF(AND('Mapa final'!#REF!="Baja",'Mapa final'!#REF!="Leve"),CONCATENATE("R8C",'Mapa final'!#REF!),"")</f>
        <v>#REF!</v>
      </c>
      <c r="M43" s="77" t="e">
        <f>IF(AND('Mapa final'!#REF!="Baja",'Mapa final'!#REF!="Leve"),CONCATENATE("R8C",'Mapa final'!#REF!),"")</f>
        <v>#REF!</v>
      </c>
      <c r="N43" s="77" t="e">
        <f>IF(AND('Mapa final'!#REF!="Baja",'Mapa final'!#REF!="Leve"),CONCATENATE("R8C",'Mapa final'!#REF!),"")</f>
        <v>#REF!</v>
      </c>
      <c r="O43" s="78" t="e">
        <f>IF(AND('Mapa final'!#REF!="Baja",'Mapa final'!#REF!="Leve"),CONCATENATE("R8C",'Mapa final'!#REF!),"")</f>
        <v>#REF!</v>
      </c>
      <c r="P43" s="67" t="e">
        <f>IF(AND('Mapa final'!#REF!="Baja",'Mapa final'!#REF!="Menor"),CONCATENATE("R8C",'Mapa final'!#REF!),"")</f>
        <v>#REF!</v>
      </c>
      <c r="Q43" s="68" t="e">
        <f>IF(AND('Mapa final'!#REF!="Baja",'Mapa final'!#REF!="Menor"),CONCATENATE("R8C",'Mapa final'!#REF!),"")</f>
        <v>#REF!</v>
      </c>
      <c r="R43" s="68" t="e">
        <f>IF(AND('Mapa final'!#REF!="Baja",'Mapa final'!#REF!="Menor"),CONCATENATE("R8C",'Mapa final'!#REF!),"")</f>
        <v>#REF!</v>
      </c>
      <c r="S43" s="68" t="e">
        <f>IF(AND('Mapa final'!#REF!="Baja",'Mapa final'!#REF!="Menor"),CONCATENATE("R8C",'Mapa final'!#REF!),"")</f>
        <v>#REF!</v>
      </c>
      <c r="T43" s="68" t="e">
        <f>IF(AND('Mapa final'!#REF!="Baja",'Mapa final'!#REF!="Menor"),CONCATENATE("R8C",'Mapa final'!#REF!),"")</f>
        <v>#REF!</v>
      </c>
      <c r="U43" s="69" t="e">
        <f>IF(AND('Mapa final'!#REF!="Baja",'Mapa final'!#REF!="Menor"),CONCATENATE("R8C",'Mapa final'!#REF!),"")</f>
        <v>#REF!</v>
      </c>
      <c r="V43" s="67" t="e">
        <f>IF(AND('Mapa final'!#REF!="Baja",'Mapa final'!#REF!="Moderado"),CONCATENATE("R8C",'Mapa final'!#REF!),"")</f>
        <v>#REF!</v>
      </c>
      <c r="W43" s="68" t="e">
        <f>IF(AND('Mapa final'!#REF!="Baja",'Mapa final'!#REF!="Moderado"),CONCATENATE("R8C",'Mapa final'!#REF!),"")</f>
        <v>#REF!</v>
      </c>
      <c r="X43" s="68" t="e">
        <f>IF(AND('Mapa final'!#REF!="Baja",'Mapa final'!#REF!="Moderado"),CONCATENATE("R8C",'Mapa final'!#REF!),"")</f>
        <v>#REF!</v>
      </c>
      <c r="Y43" s="68" t="e">
        <f>IF(AND('Mapa final'!#REF!="Baja",'Mapa final'!#REF!="Moderado"),CONCATENATE("R8C",'Mapa final'!#REF!),"")</f>
        <v>#REF!</v>
      </c>
      <c r="Z43" s="68" t="e">
        <f>IF(AND('Mapa final'!#REF!="Baja",'Mapa final'!#REF!="Moderado"),CONCATENATE("R8C",'Mapa final'!#REF!),"")</f>
        <v>#REF!</v>
      </c>
      <c r="AA43" s="69" t="e">
        <f>IF(AND('Mapa final'!#REF!="Baja",'Mapa final'!#REF!="Moderado"),CONCATENATE("R8C",'Mapa final'!#REF!),"")</f>
        <v>#REF!</v>
      </c>
      <c r="AB43" s="52" t="e">
        <f>IF(AND('Mapa final'!#REF!="Baja",'Mapa final'!#REF!="Mayor"),CONCATENATE("R8C",'Mapa final'!#REF!),"")</f>
        <v>#REF!</v>
      </c>
      <c r="AC43" s="53" t="e">
        <f>IF(AND('Mapa final'!#REF!="Baja",'Mapa final'!#REF!="Mayor"),CONCATENATE("R8C",'Mapa final'!#REF!),"")</f>
        <v>#REF!</v>
      </c>
      <c r="AD43" s="53" t="e">
        <f>IF(AND('Mapa final'!#REF!="Baja",'Mapa final'!#REF!="Mayor"),CONCATENATE("R8C",'Mapa final'!#REF!),"")</f>
        <v>#REF!</v>
      </c>
      <c r="AE43" s="53" t="e">
        <f>IF(AND('Mapa final'!#REF!="Baja",'Mapa final'!#REF!="Mayor"),CONCATENATE("R8C",'Mapa final'!#REF!),"")</f>
        <v>#REF!</v>
      </c>
      <c r="AF43" s="53" t="e">
        <f>IF(AND('Mapa final'!#REF!="Baja",'Mapa final'!#REF!="Mayor"),CONCATENATE("R8C",'Mapa final'!#REF!),"")</f>
        <v>#REF!</v>
      </c>
      <c r="AG43" s="54" t="e">
        <f>IF(AND('Mapa final'!#REF!="Baja",'Mapa final'!#REF!="Mayor"),CONCATENATE("R8C",'Mapa final'!#REF!),"")</f>
        <v>#REF!</v>
      </c>
      <c r="AH43" s="55" t="e">
        <f>IF(AND('Mapa final'!#REF!="Baja",'Mapa final'!#REF!="Catastrófico"),CONCATENATE("R8C",'Mapa final'!#REF!),"")</f>
        <v>#REF!</v>
      </c>
      <c r="AI43" s="56" t="e">
        <f>IF(AND('Mapa final'!#REF!="Baja",'Mapa final'!#REF!="Catastrófico"),CONCATENATE("R8C",'Mapa final'!#REF!),"")</f>
        <v>#REF!</v>
      </c>
      <c r="AJ43" s="56" t="e">
        <f>IF(AND('Mapa final'!#REF!="Baja",'Mapa final'!#REF!="Catastrófico"),CONCATENATE("R8C",'Mapa final'!#REF!),"")</f>
        <v>#REF!</v>
      </c>
      <c r="AK43" s="56" t="e">
        <f>IF(AND('Mapa final'!#REF!="Baja",'Mapa final'!#REF!="Catastrófico"),CONCATENATE("R8C",'Mapa final'!#REF!),"")</f>
        <v>#REF!</v>
      </c>
      <c r="AL43" s="56" t="e">
        <f>IF(AND('Mapa final'!#REF!="Baja",'Mapa final'!#REF!="Catastrófico"),CONCATENATE("R8C",'Mapa final'!#REF!),"")</f>
        <v>#REF!</v>
      </c>
      <c r="AM43" s="57" t="e">
        <f>IF(AND('Mapa final'!#REF!="Baja",'Mapa final'!#REF!="Catastrófico"),CONCATENATE("R8C",'Mapa final'!#REF!),"")</f>
        <v>#REF!</v>
      </c>
      <c r="AN43" s="83"/>
      <c r="AO43" s="458"/>
      <c r="AP43" s="459"/>
      <c r="AQ43" s="459"/>
      <c r="AR43" s="459"/>
      <c r="AS43" s="459"/>
      <c r="AT43" s="46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86"/>
      <c r="C44" s="386"/>
      <c r="D44" s="387"/>
      <c r="E44" s="427"/>
      <c r="F44" s="428"/>
      <c r="G44" s="428"/>
      <c r="H44" s="428"/>
      <c r="I44" s="428"/>
      <c r="J44" s="76" t="e">
        <f>IF(AND('Mapa final'!#REF!="Baja",'Mapa final'!#REF!="Leve"),CONCATENATE("R9C",'Mapa final'!#REF!),"")</f>
        <v>#REF!</v>
      </c>
      <c r="K44" s="77" t="e">
        <f>IF(AND('Mapa final'!#REF!="Baja",'Mapa final'!#REF!="Leve"),CONCATENATE("R9C",'Mapa final'!#REF!),"")</f>
        <v>#REF!</v>
      </c>
      <c r="L44" s="77" t="e">
        <f>IF(AND('Mapa final'!#REF!="Baja",'Mapa final'!#REF!="Leve"),CONCATENATE("R9C",'Mapa final'!#REF!),"")</f>
        <v>#REF!</v>
      </c>
      <c r="M44" s="77" t="e">
        <f>IF(AND('Mapa final'!#REF!="Baja",'Mapa final'!#REF!="Leve"),CONCATENATE("R9C",'Mapa final'!#REF!),"")</f>
        <v>#REF!</v>
      </c>
      <c r="N44" s="77" t="e">
        <f>IF(AND('Mapa final'!#REF!="Baja",'Mapa final'!#REF!="Leve"),CONCATENATE("R9C",'Mapa final'!#REF!),"")</f>
        <v>#REF!</v>
      </c>
      <c r="O44" s="78" t="e">
        <f>IF(AND('Mapa final'!#REF!="Baja",'Mapa final'!#REF!="Leve"),CONCATENATE("R9C",'Mapa final'!#REF!),"")</f>
        <v>#REF!</v>
      </c>
      <c r="P44" s="67" t="e">
        <f>IF(AND('Mapa final'!#REF!="Baja",'Mapa final'!#REF!="Menor"),CONCATENATE("R9C",'Mapa final'!#REF!),"")</f>
        <v>#REF!</v>
      </c>
      <c r="Q44" s="68" t="e">
        <f>IF(AND('Mapa final'!#REF!="Baja",'Mapa final'!#REF!="Menor"),CONCATENATE("R9C",'Mapa final'!#REF!),"")</f>
        <v>#REF!</v>
      </c>
      <c r="R44" s="68" t="e">
        <f>IF(AND('Mapa final'!#REF!="Baja",'Mapa final'!#REF!="Menor"),CONCATENATE("R9C",'Mapa final'!#REF!),"")</f>
        <v>#REF!</v>
      </c>
      <c r="S44" s="68" t="e">
        <f>IF(AND('Mapa final'!#REF!="Baja",'Mapa final'!#REF!="Menor"),CONCATENATE("R9C",'Mapa final'!#REF!),"")</f>
        <v>#REF!</v>
      </c>
      <c r="T44" s="68" t="e">
        <f>IF(AND('Mapa final'!#REF!="Baja",'Mapa final'!#REF!="Menor"),CONCATENATE("R9C",'Mapa final'!#REF!),"")</f>
        <v>#REF!</v>
      </c>
      <c r="U44" s="69" t="e">
        <f>IF(AND('Mapa final'!#REF!="Baja",'Mapa final'!#REF!="Menor"),CONCATENATE("R9C",'Mapa final'!#REF!),"")</f>
        <v>#REF!</v>
      </c>
      <c r="V44" s="67" t="e">
        <f>IF(AND('Mapa final'!#REF!="Baja",'Mapa final'!#REF!="Moderado"),CONCATENATE("R9C",'Mapa final'!#REF!),"")</f>
        <v>#REF!</v>
      </c>
      <c r="W44" s="68" t="e">
        <f>IF(AND('Mapa final'!#REF!="Baja",'Mapa final'!#REF!="Moderado"),CONCATENATE("R9C",'Mapa final'!#REF!),"")</f>
        <v>#REF!</v>
      </c>
      <c r="X44" s="68" t="e">
        <f>IF(AND('Mapa final'!#REF!="Baja",'Mapa final'!#REF!="Moderado"),CONCATENATE("R9C",'Mapa final'!#REF!),"")</f>
        <v>#REF!</v>
      </c>
      <c r="Y44" s="68" t="e">
        <f>IF(AND('Mapa final'!#REF!="Baja",'Mapa final'!#REF!="Moderado"),CONCATENATE("R9C",'Mapa final'!#REF!),"")</f>
        <v>#REF!</v>
      </c>
      <c r="Z44" s="68" t="e">
        <f>IF(AND('Mapa final'!#REF!="Baja",'Mapa final'!#REF!="Moderado"),CONCATENATE("R9C",'Mapa final'!#REF!),"")</f>
        <v>#REF!</v>
      </c>
      <c r="AA44" s="69" t="e">
        <f>IF(AND('Mapa final'!#REF!="Baja",'Mapa final'!#REF!="Moderado"),CONCATENATE("R9C",'Mapa final'!#REF!),"")</f>
        <v>#REF!</v>
      </c>
      <c r="AB44" s="52" t="e">
        <f>IF(AND('Mapa final'!#REF!="Baja",'Mapa final'!#REF!="Mayor"),CONCATENATE("R9C",'Mapa final'!#REF!),"")</f>
        <v>#REF!</v>
      </c>
      <c r="AC44" s="53" t="e">
        <f>IF(AND('Mapa final'!#REF!="Baja",'Mapa final'!#REF!="Mayor"),CONCATENATE("R9C",'Mapa final'!#REF!),"")</f>
        <v>#REF!</v>
      </c>
      <c r="AD44" s="53" t="e">
        <f>IF(AND('Mapa final'!#REF!="Baja",'Mapa final'!#REF!="Mayor"),CONCATENATE("R9C",'Mapa final'!#REF!),"")</f>
        <v>#REF!</v>
      </c>
      <c r="AE44" s="53" t="e">
        <f>IF(AND('Mapa final'!#REF!="Baja",'Mapa final'!#REF!="Mayor"),CONCATENATE("R9C",'Mapa final'!#REF!),"")</f>
        <v>#REF!</v>
      </c>
      <c r="AF44" s="53" t="e">
        <f>IF(AND('Mapa final'!#REF!="Baja",'Mapa final'!#REF!="Mayor"),CONCATENATE("R9C",'Mapa final'!#REF!),"")</f>
        <v>#REF!</v>
      </c>
      <c r="AG44" s="54" t="e">
        <f>IF(AND('Mapa final'!#REF!="Baja",'Mapa final'!#REF!="Mayor"),CONCATENATE("R9C",'Mapa final'!#REF!),"")</f>
        <v>#REF!</v>
      </c>
      <c r="AH44" s="55" t="e">
        <f>IF(AND('Mapa final'!#REF!="Baja",'Mapa final'!#REF!="Catastrófico"),CONCATENATE("R9C",'Mapa final'!#REF!),"")</f>
        <v>#REF!</v>
      </c>
      <c r="AI44" s="56" t="e">
        <f>IF(AND('Mapa final'!#REF!="Baja",'Mapa final'!#REF!="Catastrófico"),CONCATENATE("R9C",'Mapa final'!#REF!),"")</f>
        <v>#REF!</v>
      </c>
      <c r="AJ44" s="56" t="e">
        <f>IF(AND('Mapa final'!#REF!="Baja",'Mapa final'!#REF!="Catastrófico"),CONCATENATE("R9C",'Mapa final'!#REF!),"")</f>
        <v>#REF!</v>
      </c>
      <c r="AK44" s="56" t="e">
        <f>IF(AND('Mapa final'!#REF!="Baja",'Mapa final'!#REF!="Catastrófico"),CONCATENATE("R9C",'Mapa final'!#REF!),"")</f>
        <v>#REF!</v>
      </c>
      <c r="AL44" s="56" t="e">
        <f>IF(AND('Mapa final'!#REF!="Baja",'Mapa final'!#REF!="Catastrófico"),CONCATENATE("R9C",'Mapa final'!#REF!),"")</f>
        <v>#REF!</v>
      </c>
      <c r="AM44" s="57" t="e">
        <f>IF(AND('Mapa final'!#REF!="Baja",'Mapa final'!#REF!="Catastrófico"),CONCATENATE("R9C",'Mapa final'!#REF!),"")</f>
        <v>#REF!</v>
      </c>
      <c r="AN44" s="83"/>
      <c r="AO44" s="458"/>
      <c r="AP44" s="459"/>
      <c r="AQ44" s="459"/>
      <c r="AR44" s="459"/>
      <c r="AS44" s="459"/>
      <c r="AT44" s="46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86"/>
      <c r="C45" s="386"/>
      <c r="D45" s="387"/>
      <c r="E45" s="430"/>
      <c r="F45" s="431"/>
      <c r="G45" s="431"/>
      <c r="H45" s="431"/>
      <c r="I45" s="431"/>
      <c r="J45" s="79" t="e">
        <f>IF(AND('Mapa final'!#REF!="Baja",'Mapa final'!#REF!="Leve"),CONCATENATE("R10C",'Mapa final'!#REF!),"")</f>
        <v>#REF!</v>
      </c>
      <c r="K45" s="80" t="e">
        <f>IF(AND('Mapa final'!#REF!="Baja",'Mapa final'!#REF!="Leve"),CONCATENATE("R10C",'Mapa final'!#REF!),"")</f>
        <v>#REF!</v>
      </c>
      <c r="L45" s="80" t="e">
        <f>IF(AND('Mapa final'!#REF!="Baja",'Mapa final'!#REF!="Leve"),CONCATENATE("R10C",'Mapa final'!#REF!),"")</f>
        <v>#REF!</v>
      </c>
      <c r="M45" s="80" t="e">
        <f>IF(AND('Mapa final'!#REF!="Baja",'Mapa final'!#REF!="Leve"),CONCATENATE("R10C",'Mapa final'!#REF!),"")</f>
        <v>#REF!</v>
      </c>
      <c r="N45" s="80" t="e">
        <f>IF(AND('Mapa final'!#REF!="Baja",'Mapa final'!#REF!="Leve"),CONCATENATE("R10C",'Mapa final'!#REF!),"")</f>
        <v>#REF!</v>
      </c>
      <c r="O45" s="81" t="e">
        <f>IF(AND('Mapa final'!#REF!="Baja",'Mapa final'!#REF!="Leve"),CONCATENATE("R10C",'Mapa final'!#REF!),"")</f>
        <v>#REF!</v>
      </c>
      <c r="P45" s="67" t="e">
        <f>IF(AND('Mapa final'!#REF!="Baja",'Mapa final'!#REF!="Menor"),CONCATENATE("R10C",'Mapa final'!#REF!),"")</f>
        <v>#REF!</v>
      </c>
      <c r="Q45" s="68" t="e">
        <f>IF(AND('Mapa final'!#REF!="Baja",'Mapa final'!#REF!="Menor"),CONCATENATE("R10C",'Mapa final'!#REF!),"")</f>
        <v>#REF!</v>
      </c>
      <c r="R45" s="68" t="e">
        <f>IF(AND('Mapa final'!#REF!="Baja",'Mapa final'!#REF!="Menor"),CONCATENATE("R10C",'Mapa final'!#REF!),"")</f>
        <v>#REF!</v>
      </c>
      <c r="S45" s="68" t="e">
        <f>IF(AND('Mapa final'!#REF!="Baja",'Mapa final'!#REF!="Menor"),CONCATENATE("R10C",'Mapa final'!#REF!),"")</f>
        <v>#REF!</v>
      </c>
      <c r="T45" s="68" t="e">
        <f>IF(AND('Mapa final'!#REF!="Baja",'Mapa final'!#REF!="Menor"),CONCATENATE("R10C",'Mapa final'!#REF!),"")</f>
        <v>#REF!</v>
      </c>
      <c r="U45" s="69" t="e">
        <f>IF(AND('Mapa final'!#REF!="Baja",'Mapa final'!#REF!="Menor"),CONCATENATE("R10C",'Mapa final'!#REF!),"")</f>
        <v>#REF!</v>
      </c>
      <c r="V45" s="70" t="e">
        <f>IF(AND('Mapa final'!#REF!="Baja",'Mapa final'!#REF!="Moderado"),CONCATENATE("R10C",'Mapa final'!#REF!),"")</f>
        <v>#REF!</v>
      </c>
      <c r="W45" s="71" t="e">
        <f>IF(AND('Mapa final'!#REF!="Baja",'Mapa final'!#REF!="Moderado"),CONCATENATE("R10C",'Mapa final'!#REF!),"")</f>
        <v>#REF!</v>
      </c>
      <c r="X45" s="71" t="e">
        <f>IF(AND('Mapa final'!#REF!="Baja",'Mapa final'!#REF!="Moderado"),CONCATENATE("R10C",'Mapa final'!#REF!),"")</f>
        <v>#REF!</v>
      </c>
      <c r="Y45" s="71" t="e">
        <f>IF(AND('Mapa final'!#REF!="Baja",'Mapa final'!#REF!="Moderado"),CONCATENATE("R10C",'Mapa final'!#REF!),"")</f>
        <v>#REF!</v>
      </c>
      <c r="Z45" s="71" t="e">
        <f>IF(AND('Mapa final'!#REF!="Baja",'Mapa final'!#REF!="Moderado"),CONCATENATE("R10C",'Mapa final'!#REF!),"")</f>
        <v>#REF!</v>
      </c>
      <c r="AA45" s="72" t="e">
        <f>IF(AND('Mapa final'!#REF!="Baja",'Mapa final'!#REF!="Moderado"),CONCATENATE("R10C",'Mapa final'!#REF!),"")</f>
        <v>#REF!</v>
      </c>
      <c r="AB45" s="58" t="e">
        <f>IF(AND('Mapa final'!#REF!="Baja",'Mapa final'!#REF!="Mayor"),CONCATENATE("R10C",'Mapa final'!#REF!),"")</f>
        <v>#REF!</v>
      </c>
      <c r="AC45" s="59" t="e">
        <f>IF(AND('Mapa final'!#REF!="Baja",'Mapa final'!#REF!="Mayor"),CONCATENATE("R10C",'Mapa final'!#REF!),"")</f>
        <v>#REF!</v>
      </c>
      <c r="AD45" s="59" t="e">
        <f>IF(AND('Mapa final'!#REF!="Baja",'Mapa final'!#REF!="Mayor"),CONCATENATE("R10C",'Mapa final'!#REF!),"")</f>
        <v>#REF!</v>
      </c>
      <c r="AE45" s="59" t="e">
        <f>IF(AND('Mapa final'!#REF!="Baja",'Mapa final'!#REF!="Mayor"),CONCATENATE("R10C",'Mapa final'!#REF!),"")</f>
        <v>#REF!</v>
      </c>
      <c r="AF45" s="59" t="e">
        <f>IF(AND('Mapa final'!#REF!="Baja",'Mapa final'!#REF!="Mayor"),CONCATENATE("R10C",'Mapa final'!#REF!),"")</f>
        <v>#REF!</v>
      </c>
      <c r="AG45" s="60" t="e">
        <f>IF(AND('Mapa final'!#REF!="Baja",'Mapa final'!#REF!="Mayor"),CONCATENATE("R10C",'Mapa final'!#REF!),"")</f>
        <v>#REF!</v>
      </c>
      <c r="AH45" s="61" t="e">
        <f>IF(AND('Mapa final'!#REF!="Baja",'Mapa final'!#REF!="Catastrófico"),CONCATENATE("R10C",'Mapa final'!#REF!),"")</f>
        <v>#REF!</v>
      </c>
      <c r="AI45" s="62" t="e">
        <f>IF(AND('Mapa final'!#REF!="Baja",'Mapa final'!#REF!="Catastrófico"),CONCATENATE("R10C",'Mapa final'!#REF!),"")</f>
        <v>#REF!</v>
      </c>
      <c r="AJ45" s="62" t="e">
        <f>IF(AND('Mapa final'!#REF!="Baja",'Mapa final'!#REF!="Catastrófico"),CONCATENATE("R10C",'Mapa final'!#REF!),"")</f>
        <v>#REF!</v>
      </c>
      <c r="AK45" s="62" t="e">
        <f>IF(AND('Mapa final'!#REF!="Baja",'Mapa final'!#REF!="Catastrófico"),CONCATENATE("R10C",'Mapa final'!#REF!),"")</f>
        <v>#REF!</v>
      </c>
      <c r="AL45" s="62" t="e">
        <f>IF(AND('Mapa final'!#REF!="Baja",'Mapa final'!#REF!="Catastrófico"),CONCATENATE("R10C",'Mapa final'!#REF!),"")</f>
        <v>#REF!</v>
      </c>
      <c r="AM45" s="63" t="e">
        <f>IF(AND('Mapa final'!#REF!="Baja",'Mapa final'!#REF!="Catastrófico"),CONCATENATE("R10C",'Mapa final'!#REF!),"")</f>
        <v>#REF!</v>
      </c>
      <c r="AN45" s="83"/>
      <c r="AO45" s="461"/>
      <c r="AP45" s="462"/>
      <c r="AQ45" s="462"/>
      <c r="AR45" s="462"/>
      <c r="AS45" s="462"/>
      <c r="AT45" s="463"/>
    </row>
    <row r="46" spans="1:80" ht="46.5" customHeight="1" x14ac:dyDescent="0.35">
      <c r="A46" s="83"/>
      <c r="B46" s="386"/>
      <c r="C46" s="386"/>
      <c r="D46" s="387"/>
      <c r="E46" s="424" t="s">
        <v>194</v>
      </c>
      <c r="F46" s="425"/>
      <c r="G46" s="425"/>
      <c r="H46" s="425"/>
      <c r="I46" s="426"/>
      <c r="J46" s="73" t="str">
        <f>IF(AND('Mapa final'!$Y$26="Muy Baja",'Mapa final'!$AA$26="Leve"),CONCATENATE("R1C",'Mapa final'!$O$26),"")</f>
        <v/>
      </c>
      <c r="K46" s="74" t="str">
        <f>IF(AND('Mapa final'!$Y$27="Muy Baja",'Mapa final'!$AA$27="Leve"),CONCATENATE("R1C",'Mapa final'!$O$27),"")</f>
        <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final'!$Y$26="Muy Baja",'Mapa final'!$AA$26="Menor"),CONCATENATE("R1C",'Mapa final'!$O$26),"")</f>
        <v/>
      </c>
      <c r="Q46" s="74" t="str">
        <f>IF(AND('Mapa final'!$Y$27="Muy Baja",'Mapa final'!$AA$27="Menor"),CONCATENATE("R1C",'Mapa final'!$O$27),"")</f>
        <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final'!$Y$26="Muy Baja",'Mapa final'!$AA$26="Moderado"),CONCATENATE("R1C",'Mapa final'!$O$26),"")</f>
        <v/>
      </c>
      <c r="W46" s="82" t="str">
        <f>IF(AND('Mapa final'!$Y$27="Muy Baja",'Mapa final'!$AA$27="Moderado"),CONCATENATE("R1C",'Mapa final'!$O$27),"")</f>
        <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final'!$Y$26="Muy Baja",'Mapa final'!$AA$26="Mayor"),CONCATENATE("R1C",'Mapa final'!$O$26),"")</f>
        <v/>
      </c>
      <c r="AC46" s="47" t="str">
        <f>IF(AND('Mapa final'!$Y$27="Muy Baja",'Mapa final'!$AA$27="Mayor"),CONCATENATE("R1C",'Mapa final'!$O$27),"")</f>
        <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final'!$Y$26="Muy Baja",'Mapa final'!$AA$26="Catastrófico"),CONCATENATE("R1C",'Mapa final'!$O$26),"")</f>
        <v/>
      </c>
      <c r="AI46" s="50" t="str">
        <f>IF(AND('Mapa final'!$Y$27="Muy Baja",'Mapa final'!$AA$27="Catastrófico"),CONCATENATE("R1C",'Mapa final'!$O$27),"")</f>
        <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86"/>
      <c r="C47" s="386"/>
      <c r="D47" s="387"/>
      <c r="E47" s="443"/>
      <c r="F47" s="428"/>
      <c r="G47" s="428"/>
      <c r="H47" s="428"/>
      <c r="I47" s="429"/>
      <c r="J47" s="76" t="str">
        <f>IF(AND('Mapa final'!$Y$28="Muy Baja",'Mapa final'!$AA$28="Leve"),CONCATENATE("R2C",'Mapa final'!$O$28),"")</f>
        <v/>
      </c>
      <c r="K47" s="77" t="str">
        <f>IF(AND('Mapa final'!$Y$30="Muy Baja",'Mapa final'!$AA$30="Leve"),CONCATENATE("R2C",'Mapa final'!$O$30),"")</f>
        <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final'!$Y$28="Muy Baja",'Mapa final'!$AA$28="Menor"),CONCATENATE("R2C",'Mapa final'!$O$28),"")</f>
        <v/>
      </c>
      <c r="Q47" s="77" t="str">
        <f>IF(AND('Mapa final'!$Y$30="Muy Baja",'Mapa final'!$AA$30="Menor"),CONCATENATE("R2C",'Mapa final'!$O$30),"")</f>
        <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final'!$Y$28="Muy Baja",'Mapa final'!$AA$28="Moderado"),CONCATENATE("R2C",'Mapa final'!$O$28),"")</f>
        <v/>
      </c>
      <c r="W47" s="68" t="str">
        <f>IF(AND('Mapa final'!$Y$30="Muy Baja",'Mapa final'!$AA$30="Moderado"),CONCATENATE("R2C",'Mapa final'!$O$30),"")</f>
        <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final'!$Y$28="Muy Baja",'Mapa final'!$AA$28="Mayor"),CONCATENATE("R2C",'Mapa final'!$O$28),"")</f>
        <v/>
      </c>
      <c r="AC47" s="53" t="str">
        <f>IF(AND('Mapa final'!$Y$30="Muy Baja",'Mapa final'!$AA$30="Mayor"),CONCATENATE("R2C",'Mapa final'!$O$30),"")</f>
        <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final'!$Y$28="Muy Baja",'Mapa final'!$AA$28="Catastrófico"),CONCATENATE("R2C",'Mapa final'!$O$28),"")</f>
        <v/>
      </c>
      <c r="AI47" s="56" t="str">
        <f>IF(AND('Mapa final'!$Y$30="Muy Baja",'Mapa final'!$AA$30="Catastrófico"),CONCATENATE("R2C",'Mapa final'!$O$30),"")</f>
        <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86"/>
      <c r="C48" s="386"/>
      <c r="D48" s="387"/>
      <c r="E48" s="443"/>
      <c r="F48" s="428"/>
      <c r="G48" s="428"/>
      <c r="H48" s="428"/>
      <c r="I48" s="429"/>
      <c r="J48" s="76" t="str">
        <f>IF(AND('Mapa final'!$Y$31="Muy Baja",'Mapa final'!$AA$31="Leve"),CONCATENATE("R3C",'Mapa final'!$O$31),"")</f>
        <v/>
      </c>
      <c r="K48" s="77" t="str">
        <f>IF(AND('Mapa final'!$Y$32="Muy Baja",'Mapa final'!$AA$32="Leve"),CONCATENATE("R3C",'Mapa final'!$O$32),"")</f>
        <v/>
      </c>
      <c r="L48" s="77" t="str">
        <f>IF(AND('Mapa final'!$Y$33="Muy Baja",'Mapa final'!$AA$33="Leve"),CONCATENATE("R3C",'Mapa final'!$O$33),"")</f>
        <v/>
      </c>
      <c r="M48" s="77" t="str">
        <f>IF(AND('Mapa final'!$Y$34="Muy Baja",'Mapa final'!$AA$34="Leve"),CONCATENATE("R3C",'Mapa final'!$O$34),"")</f>
        <v/>
      </c>
      <c r="N48" s="77" t="e">
        <f>IF(AND('Mapa final'!#REF!="Muy Baja",'Mapa final'!#REF!="Leve"),CONCATENATE("R3C",'Mapa final'!#REF!),"")</f>
        <v>#REF!</v>
      </c>
      <c r="O48" s="78" t="e">
        <f>IF(AND('Mapa final'!#REF!="Muy Baja",'Mapa final'!#REF!="Leve"),CONCATENATE("R3C",'Mapa final'!#REF!),"")</f>
        <v>#REF!</v>
      </c>
      <c r="P48" s="76" t="str">
        <f>IF(AND('Mapa final'!$Y$31="Muy Baja",'Mapa final'!$AA$31="Menor"),CONCATENATE("R3C",'Mapa final'!$O$31),"")</f>
        <v>R3C1</v>
      </c>
      <c r="Q48" s="77" t="str">
        <f>IF(AND('Mapa final'!$Y$32="Muy Baja",'Mapa final'!$AA$32="Menor"),CONCATENATE("R3C",'Mapa final'!$O$32),"")</f>
        <v/>
      </c>
      <c r="R48" s="77" t="str">
        <f>IF(AND('Mapa final'!$Y$33="Muy Baja",'Mapa final'!$AA$33="Menor"),CONCATENATE("R3C",'Mapa final'!$O$33),"")</f>
        <v/>
      </c>
      <c r="S48" s="77" t="str">
        <f>IF(AND('Mapa final'!$Y$34="Muy Baja",'Mapa final'!$AA$34="Menor"),CONCATENATE("R3C",'Mapa final'!$O$34),"")</f>
        <v/>
      </c>
      <c r="T48" s="77" t="e">
        <f>IF(AND('Mapa final'!#REF!="Muy Baja",'Mapa final'!#REF!="Menor"),CONCATENATE("R3C",'Mapa final'!#REF!),"")</f>
        <v>#REF!</v>
      </c>
      <c r="U48" s="78" t="e">
        <f>IF(AND('Mapa final'!#REF!="Muy Baja",'Mapa final'!#REF!="Menor"),CONCATENATE("R3C",'Mapa final'!#REF!),"")</f>
        <v>#REF!</v>
      </c>
      <c r="V48" s="67" t="str">
        <f>IF(AND('Mapa final'!$Y$31="Muy Baja",'Mapa final'!$AA$31="Moderado"),CONCATENATE("R3C",'Mapa final'!$O$31),"")</f>
        <v/>
      </c>
      <c r="W48" s="68" t="str">
        <f>IF(AND('Mapa final'!$Y$32="Muy Baja",'Mapa final'!$AA$32="Moderado"),CONCATENATE("R3C",'Mapa final'!$O$32),"")</f>
        <v/>
      </c>
      <c r="X48" s="68" t="str">
        <f>IF(AND('Mapa final'!$Y$33="Muy Baja",'Mapa final'!$AA$33="Moderado"),CONCATENATE("R3C",'Mapa final'!$O$33),"")</f>
        <v/>
      </c>
      <c r="Y48" s="68" t="str">
        <f>IF(AND('Mapa final'!$Y$34="Muy Baja",'Mapa final'!$AA$34="Moderado"),CONCATENATE("R3C",'Mapa final'!$O$34),"")</f>
        <v/>
      </c>
      <c r="Z48" s="68" t="e">
        <f>IF(AND('Mapa final'!#REF!="Muy Baja",'Mapa final'!#REF!="Moderado"),CONCATENATE("R3C",'Mapa final'!#REF!),"")</f>
        <v>#REF!</v>
      </c>
      <c r="AA48" s="69" t="e">
        <f>IF(AND('Mapa final'!#REF!="Muy Baja",'Mapa final'!#REF!="Moderado"),CONCATENATE("R3C",'Mapa final'!#REF!),"")</f>
        <v>#REF!</v>
      </c>
      <c r="AB48" s="52" t="str">
        <f>IF(AND('Mapa final'!$Y$31="Muy Baja",'Mapa final'!$AA$31="Mayor"),CONCATENATE("R3C",'Mapa final'!$O$31),"")</f>
        <v/>
      </c>
      <c r="AC48" s="53" t="str">
        <f>IF(AND('Mapa final'!$Y$32="Muy Baja",'Mapa final'!$AA$32="Mayor"),CONCATENATE("R3C",'Mapa final'!$O$32),"")</f>
        <v/>
      </c>
      <c r="AD48" s="53" t="str">
        <f>IF(AND('Mapa final'!$Y$33="Muy Baja",'Mapa final'!$AA$33="Mayor"),CONCATENATE("R3C",'Mapa final'!$O$33),"")</f>
        <v/>
      </c>
      <c r="AE48" s="53" t="str">
        <f>IF(AND('Mapa final'!$Y$34="Muy Baja",'Mapa final'!$AA$34="Mayor"),CONCATENATE("R3C",'Mapa final'!$O$34),"")</f>
        <v/>
      </c>
      <c r="AF48" s="53" t="e">
        <f>IF(AND('Mapa final'!#REF!="Muy Baja",'Mapa final'!#REF!="Mayor"),CONCATENATE("R3C",'Mapa final'!#REF!),"")</f>
        <v>#REF!</v>
      </c>
      <c r="AG48" s="54" t="e">
        <f>IF(AND('Mapa final'!#REF!="Muy Baja",'Mapa final'!#REF!="Mayor"),CONCATENATE("R3C",'Mapa final'!#REF!),"")</f>
        <v>#REF!</v>
      </c>
      <c r="AH48" s="55" t="str">
        <f>IF(AND('Mapa final'!$Y$31="Muy Baja",'Mapa final'!$AA$31="Catastrófico"),CONCATENATE("R3C",'Mapa final'!$O$31),"")</f>
        <v/>
      </c>
      <c r="AI48" s="56" t="str">
        <f>IF(AND('Mapa final'!$Y$32="Muy Baja",'Mapa final'!$AA$32="Catastrófico"),CONCATENATE("R3C",'Mapa final'!$O$32),"")</f>
        <v/>
      </c>
      <c r="AJ48" s="56" t="str">
        <f>IF(AND('Mapa final'!$Y$33="Muy Baja",'Mapa final'!$AA$33="Catastrófico"),CONCATENATE("R3C",'Mapa final'!$O$33),"")</f>
        <v/>
      </c>
      <c r="AK48" s="56" t="str">
        <f>IF(AND('Mapa final'!$Y$34="Muy Baja",'Mapa final'!$AA$34="Catastrófico"),CONCATENATE("R3C",'Mapa final'!$O$34),"")</f>
        <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86"/>
      <c r="C49" s="386"/>
      <c r="D49" s="387"/>
      <c r="E49" s="427"/>
      <c r="F49" s="428"/>
      <c r="G49" s="428"/>
      <c r="H49" s="428"/>
      <c r="I49" s="429"/>
      <c r="J49" s="76" t="str">
        <f>IF(AND('Mapa final'!$Y$35="Muy Baja",'Mapa final'!$AA$35="Leve"),CONCATENATE("R4C",'Mapa final'!$O$35),"")</f>
        <v/>
      </c>
      <c r="K49" s="77" t="str">
        <f>IF(AND('Mapa final'!$Y$36="Muy Baja",'Mapa final'!$AA$36="Leve"),CONCATENATE("R4C",'Mapa final'!$O$36),"")</f>
        <v/>
      </c>
      <c r="L49" s="77" t="str">
        <f>IF(AND('Mapa final'!$Y$37="Muy Baja",'Mapa final'!$AA$37="Leve"),CONCATENATE("R4C",'Mapa final'!$O$37),"")</f>
        <v/>
      </c>
      <c r="M49" s="77" t="str">
        <f>IF(AND('Mapa final'!$Y$38="Muy Baja",'Mapa final'!$AA$38="Leve"),CONCATENATE("R4C",'Mapa final'!$O$38),"")</f>
        <v/>
      </c>
      <c r="N49" s="77" t="e">
        <f>IF(AND('Mapa final'!#REF!="Muy Baja",'Mapa final'!#REF!="Leve"),CONCATENATE("R4C",'Mapa final'!#REF!),"")</f>
        <v>#REF!</v>
      </c>
      <c r="O49" s="78" t="e">
        <f>IF(AND('Mapa final'!#REF!="Muy Baja",'Mapa final'!#REF!="Leve"),CONCATENATE("R4C",'Mapa final'!#REF!),"")</f>
        <v>#REF!</v>
      </c>
      <c r="P49" s="76" t="str">
        <f>IF(AND('Mapa final'!$Y$35="Muy Baja",'Mapa final'!$AA$35="Menor"),CONCATENATE("R4C",'Mapa final'!$O$35),"")</f>
        <v/>
      </c>
      <c r="Q49" s="77" t="str">
        <f>IF(AND('Mapa final'!$Y$36="Muy Baja",'Mapa final'!$AA$36="Menor"),CONCATENATE("R4C",'Mapa final'!$O$36),"")</f>
        <v/>
      </c>
      <c r="R49" s="77" t="str">
        <f>IF(AND('Mapa final'!$Y$37="Muy Baja",'Mapa final'!$AA$37="Menor"),CONCATENATE("R4C",'Mapa final'!$O$37),"")</f>
        <v/>
      </c>
      <c r="S49" s="77" t="str">
        <f>IF(AND('Mapa final'!$Y$38="Muy Baja",'Mapa final'!$AA$38="Menor"),CONCATENATE("R4C",'Mapa final'!$O$38),"")</f>
        <v/>
      </c>
      <c r="T49" s="77" t="e">
        <f>IF(AND('Mapa final'!#REF!="Muy Baja",'Mapa final'!#REF!="Menor"),CONCATENATE("R4C",'Mapa final'!#REF!),"")</f>
        <v>#REF!</v>
      </c>
      <c r="U49" s="78" t="e">
        <f>IF(AND('Mapa final'!#REF!="Muy Baja",'Mapa final'!#REF!="Menor"),CONCATENATE("R4C",'Mapa final'!#REF!),"")</f>
        <v>#REF!</v>
      </c>
      <c r="V49" s="67" t="str">
        <f>IF(AND('Mapa final'!$Y$35="Muy Baja",'Mapa final'!$AA$35="Moderado"),CONCATENATE("R4C",'Mapa final'!$O$35),"")</f>
        <v/>
      </c>
      <c r="W49" s="68" t="str">
        <f>IF(AND('Mapa final'!$Y$36="Muy Baja",'Mapa final'!$AA$36="Moderado"),CONCATENATE("R4C",'Mapa final'!$O$36),"")</f>
        <v/>
      </c>
      <c r="X49" s="68" t="str">
        <f>IF(AND('Mapa final'!$Y$37="Muy Baja",'Mapa final'!$AA$37="Moderado"),CONCATENATE("R4C",'Mapa final'!$O$37),"")</f>
        <v/>
      </c>
      <c r="Y49" s="68" t="str">
        <f>IF(AND('Mapa final'!$Y$38="Muy Baja",'Mapa final'!$AA$38="Moderado"),CONCATENATE("R4C",'Mapa final'!$O$38),"")</f>
        <v/>
      </c>
      <c r="Z49" s="68" t="e">
        <f>IF(AND('Mapa final'!#REF!="Muy Baja",'Mapa final'!#REF!="Moderado"),CONCATENATE("R4C",'Mapa final'!#REF!),"")</f>
        <v>#REF!</v>
      </c>
      <c r="AA49" s="69" t="e">
        <f>IF(AND('Mapa final'!#REF!="Muy Baja",'Mapa final'!#REF!="Moderado"),CONCATENATE("R4C",'Mapa final'!#REF!),"")</f>
        <v>#REF!</v>
      </c>
      <c r="AB49" s="52" t="str">
        <f>IF(AND('Mapa final'!$Y$35="Muy Baja",'Mapa final'!$AA$35="Mayor"),CONCATENATE("R4C",'Mapa final'!$O$35),"")</f>
        <v/>
      </c>
      <c r="AC49" s="53" t="str">
        <f>IF(AND('Mapa final'!$Y$36="Muy Baja",'Mapa final'!$AA$36="Mayor"),CONCATENATE("R4C",'Mapa final'!$O$36),"")</f>
        <v/>
      </c>
      <c r="AD49" s="53" t="str">
        <f>IF(AND('Mapa final'!$Y$37="Muy Baja",'Mapa final'!$AA$37="Mayor"),CONCATENATE("R4C",'Mapa final'!$O$37),"")</f>
        <v/>
      </c>
      <c r="AE49" s="53" t="str">
        <f>IF(AND('Mapa final'!$Y$38="Muy Baja",'Mapa final'!$AA$38="Mayor"),CONCATENATE("R4C",'Mapa final'!$O$38),"")</f>
        <v/>
      </c>
      <c r="AF49" s="53" t="e">
        <f>IF(AND('Mapa final'!#REF!="Muy Baja",'Mapa final'!#REF!="Mayor"),CONCATENATE("R4C",'Mapa final'!#REF!),"")</f>
        <v>#REF!</v>
      </c>
      <c r="AG49" s="54" t="e">
        <f>IF(AND('Mapa final'!#REF!="Muy Baja",'Mapa final'!#REF!="Mayor"),CONCATENATE("R4C",'Mapa final'!#REF!),"")</f>
        <v>#REF!</v>
      </c>
      <c r="AH49" s="55" t="str">
        <f>IF(AND('Mapa final'!$Y$35="Muy Baja",'Mapa final'!$AA$35="Catastrófico"),CONCATENATE("R4C",'Mapa final'!$O$35),"")</f>
        <v/>
      </c>
      <c r="AI49" s="56" t="str">
        <f>IF(AND('Mapa final'!$Y$36="Muy Baja",'Mapa final'!$AA$36="Catastrófico"),CONCATENATE("R4C",'Mapa final'!$O$36),"")</f>
        <v/>
      </c>
      <c r="AJ49" s="56" t="str">
        <f>IF(AND('Mapa final'!$Y$37="Muy Baja",'Mapa final'!$AA$37="Catastrófico"),CONCATENATE("R4C",'Mapa final'!$O$37),"")</f>
        <v/>
      </c>
      <c r="AK49" s="56" t="str">
        <f>IF(AND('Mapa final'!$Y$38="Muy Baja",'Mapa final'!$AA$38="Catastrófico"),CONCATENATE("R4C",'Mapa final'!$O$38),"")</f>
        <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86"/>
      <c r="C50" s="386"/>
      <c r="D50" s="387"/>
      <c r="E50" s="427"/>
      <c r="F50" s="428"/>
      <c r="G50" s="428"/>
      <c r="H50" s="428"/>
      <c r="I50" s="429"/>
      <c r="J50" s="76" t="str">
        <f>IF(AND('Mapa final'!$Y$39="Muy Baja",'Mapa final'!$AA$39="Leve"),CONCATENATE("R5C",'Mapa final'!$O$39),"")</f>
        <v>R5C1</v>
      </c>
      <c r="K50" s="77" t="str">
        <f>IF(AND('Mapa final'!$Y$40="Muy Baja",'Mapa final'!$AA$40="Leve"),CONCATENATE("R5C",'Mapa final'!$O$40),"")</f>
        <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final'!$Y$39="Muy Baja",'Mapa final'!$AA$39="Menor"),CONCATENATE("R5C",'Mapa final'!$O$39),"")</f>
        <v/>
      </c>
      <c r="Q50" s="77" t="str">
        <f>IF(AND('Mapa final'!$Y$40="Muy Baja",'Mapa final'!$AA$40="Menor"),CONCATENATE("R5C",'Mapa final'!$O$40),"")</f>
        <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final'!$Y$39="Muy Baja",'Mapa final'!$AA$39="Moderado"),CONCATENATE("R5C",'Mapa final'!$O$39),"")</f>
        <v/>
      </c>
      <c r="W50" s="68" t="str">
        <f>IF(AND('Mapa final'!$Y$40="Muy Baja",'Mapa final'!$AA$40="Moderado"),CONCATENATE("R5C",'Mapa final'!$O$40),"")</f>
        <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final'!$Y$39="Muy Baja",'Mapa final'!$AA$39="Mayor"),CONCATENATE("R5C",'Mapa final'!$O$39),"")</f>
        <v/>
      </c>
      <c r="AC50" s="53" t="str">
        <f>IF(AND('Mapa final'!$Y$40="Muy Baja",'Mapa final'!$AA$40="Mayor"),CONCATENATE("R5C",'Mapa final'!$O$40),"")</f>
        <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final'!$Y$39="Muy Baja",'Mapa final'!$AA$39="Catastrófico"),CONCATENATE("R5C",'Mapa final'!$O$39),"")</f>
        <v/>
      </c>
      <c r="AI50" s="56" t="str">
        <f>IF(AND('Mapa final'!$Y$40="Muy Baja",'Mapa final'!$AA$40="Catastrófico"),CONCATENATE("R5C",'Mapa final'!$O$40),"")</f>
        <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86"/>
      <c r="C51" s="386"/>
      <c r="D51" s="387"/>
      <c r="E51" s="427"/>
      <c r="F51" s="428"/>
      <c r="G51" s="428"/>
      <c r="H51" s="428"/>
      <c r="I51" s="429"/>
      <c r="J51" s="76" t="str">
        <f>IF(AND('Mapa final'!$Y$41="Muy Baja",'Mapa final'!$AA$41="Leve"),CONCATENATE("R6C",'Mapa final'!$O$41),"")</f>
        <v/>
      </c>
      <c r="K51" s="77" t="str">
        <f>IF(AND('Mapa final'!$Y$42="Muy Baja",'Mapa final'!$AA$42="Leve"),CONCATENATE("R6C",'Mapa final'!$O$42),"")</f>
        <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str">
        <f>IF(AND('Mapa final'!$Y$41="Muy Baja",'Mapa final'!$AA$41="Menor"),CONCATENATE("R6C",'Mapa final'!$O$41),"")</f>
        <v/>
      </c>
      <c r="Q51" s="77" t="str">
        <f>IF(AND('Mapa final'!$Y$42="Muy Baja",'Mapa final'!$AA$42="Menor"),CONCATENATE("R6C",'Mapa final'!$O$42),"")</f>
        <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str">
        <f>IF(AND('Mapa final'!$Y$41="Muy Baja",'Mapa final'!$AA$41="Moderado"),CONCATENATE("R6C",'Mapa final'!$O$41),"")</f>
        <v/>
      </c>
      <c r="W51" s="68" t="str">
        <f>IF(AND('Mapa final'!$Y$42="Muy Baja",'Mapa final'!$AA$42="Moderado"),CONCATENATE("R6C",'Mapa final'!$O$42),"")</f>
        <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str">
        <f>IF(AND('Mapa final'!$Y$41="Muy Baja",'Mapa final'!$AA$41="Mayor"),CONCATENATE("R6C",'Mapa final'!$O$41),"")</f>
        <v/>
      </c>
      <c r="AC51" s="53" t="str">
        <f>IF(AND('Mapa final'!$Y$42="Muy Baja",'Mapa final'!$AA$42="Mayor"),CONCATENATE("R6C",'Mapa final'!$O$42),"")</f>
        <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str">
        <f>IF(AND('Mapa final'!$Y$41="Muy Baja",'Mapa final'!$AA$41="Catastrófico"),CONCATENATE("R6C",'Mapa final'!$O$41),"")</f>
        <v/>
      </c>
      <c r="AI51" s="56" t="str">
        <f>IF(AND('Mapa final'!$Y$42="Muy Baja",'Mapa final'!$AA$42="Catastrófico"),CONCATENATE("R6C",'Mapa final'!$O$42),"")</f>
        <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86"/>
      <c r="C52" s="386"/>
      <c r="D52" s="387"/>
      <c r="E52" s="427"/>
      <c r="F52" s="428"/>
      <c r="G52" s="428"/>
      <c r="H52" s="428"/>
      <c r="I52" s="429"/>
      <c r="J52" s="76" t="str">
        <f>IF(AND('Mapa final'!$Y$43="Muy Baja",'Mapa final'!$AA$43="Leve"),CONCATENATE("R7C",'Mapa final'!$O$43),"")</f>
        <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str">
        <f>IF(AND('Mapa final'!$Y$43="Muy Baja",'Mapa final'!$AA$43="Menor"),CONCATENATE("R7C",'Mapa final'!$O$43),"")</f>
        <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str">
        <f>IF(AND('Mapa final'!$Y$43="Muy Baja",'Mapa final'!$AA$43="Moderado"),CONCATENATE("R7C",'Mapa final'!$O$43),"")</f>
        <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str">
        <f>IF(AND('Mapa final'!$Y$43="Muy Baja",'Mapa final'!$AA$43="Mayor"),CONCATENATE("R7C",'Mapa final'!$O$43),"")</f>
        <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str">
        <f>IF(AND('Mapa final'!$Y$43="Muy Baja",'Mapa final'!$AA$43="Catastrófico"),CONCATENATE("R7C",'Mapa final'!$O$43),"")</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86"/>
      <c r="C53" s="386"/>
      <c r="D53" s="387"/>
      <c r="E53" s="427"/>
      <c r="F53" s="428"/>
      <c r="G53" s="428"/>
      <c r="H53" s="428"/>
      <c r="I53" s="429"/>
      <c r="J53" s="76" t="e">
        <f>IF(AND('Mapa final'!#REF!="Muy Baja",'Mapa final'!#REF!="Leve"),CONCATENATE("R8C",'Mapa final'!#REF!),"")</f>
        <v>#REF!</v>
      </c>
      <c r="K53" s="77" t="e">
        <f>IF(AND('Mapa final'!#REF!="Muy Baja",'Mapa final'!#REF!="Leve"),CONCATENATE("R8C",'Mapa final'!#REF!),"")</f>
        <v>#REF!</v>
      </c>
      <c r="L53" s="77" t="e">
        <f>IF(AND('Mapa final'!#REF!="Muy Baja",'Mapa final'!#REF!="Leve"),CONCATENATE("R8C",'Mapa final'!#REF!),"")</f>
        <v>#REF!</v>
      </c>
      <c r="M53" s="77" t="e">
        <f>IF(AND('Mapa final'!#REF!="Muy Baja",'Mapa final'!#REF!="Leve"),CONCATENATE("R8C",'Mapa final'!#REF!),"")</f>
        <v>#REF!</v>
      </c>
      <c r="N53" s="77" t="e">
        <f>IF(AND('Mapa final'!#REF!="Muy Baja",'Mapa final'!#REF!="Leve"),CONCATENATE("R8C",'Mapa final'!#REF!),"")</f>
        <v>#REF!</v>
      </c>
      <c r="O53" s="78" t="e">
        <f>IF(AND('Mapa final'!#REF!="Muy Baja",'Mapa final'!#REF!="Leve"),CONCATENATE("R8C",'Mapa final'!#REF!),"")</f>
        <v>#REF!</v>
      </c>
      <c r="P53" s="76" t="e">
        <f>IF(AND('Mapa final'!#REF!="Muy Baja",'Mapa final'!#REF!="Menor"),CONCATENATE("R8C",'Mapa final'!#REF!),"")</f>
        <v>#REF!</v>
      </c>
      <c r="Q53" s="77" t="e">
        <f>IF(AND('Mapa final'!#REF!="Muy Baja",'Mapa final'!#REF!="Menor"),CONCATENATE("R8C",'Mapa final'!#REF!),"")</f>
        <v>#REF!</v>
      </c>
      <c r="R53" s="77" t="e">
        <f>IF(AND('Mapa final'!#REF!="Muy Baja",'Mapa final'!#REF!="Menor"),CONCATENATE("R8C",'Mapa final'!#REF!),"")</f>
        <v>#REF!</v>
      </c>
      <c r="S53" s="77" t="e">
        <f>IF(AND('Mapa final'!#REF!="Muy Baja",'Mapa final'!#REF!="Menor"),CONCATENATE("R8C",'Mapa final'!#REF!),"")</f>
        <v>#REF!</v>
      </c>
      <c r="T53" s="77" t="e">
        <f>IF(AND('Mapa final'!#REF!="Muy Baja",'Mapa final'!#REF!="Menor"),CONCATENATE("R8C",'Mapa final'!#REF!),"")</f>
        <v>#REF!</v>
      </c>
      <c r="U53" s="78" t="e">
        <f>IF(AND('Mapa final'!#REF!="Muy Baja",'Mapa final'!#REF!="Menor"),CONCATENATE("R8C",'Mapa final'!#REF!),"")</f>
        <v>#REF!</v>
      </c>
      <c r="V53" s="67" t="e">
        <f>IF(AND('Mapa final'!#REF!="Muy Baja",'Mapa final'!#REF!="Moderado"),CONCATENATE("R8C",'Mapa final'!#REF!),"")</f>
        <v>#REF!</v>
      </c>
      <c r="W53" s="68" t="e">
        <f>IF(AND('Mapa final'!#REF!="Muy Baja",'Mapa final'!#REF!="Moderado"),CONCATENATE("R8C",'Mapa final'!#REF!),"")</f>
        <v>#REF!</v>
      </c>
      <c r="X53" s="68" t="e">
        <f>IF(AND('Mapa final'!#REF!="Muy Baja",'Mapa final'!#REF!="Moderado"),CONCATENATE("R8C",'Mapa final'!#REF!),"")</f>
        <v>#REF!</v>
      </c>
      <c r="Y53" s="68" t="e">
        <f>IF(AND('Mapa final'!#REF!="Muy Baja",'Mapa final'!#REF!="Moderado"),CONCATENATE("R8C",'Mapa final'!#REF!),"")</f>
        <v>#REF!</v>
      </c>
      <c r="Z53" s="68" t="e">
        <f>IF(AND('Mapa final'!#REF!="Muy Baja",'Mapa final'!#REF!="Moderado"),CONCATENATE("R8C",'Mapa final'!#REF!),"")</f>
        <v>#REF!</v>
      </c>
      <c r="AA53" s="69" t="e">
        <f>IF(AND('Mapa final'!#REF!="Muy Baja",'Mapa final'!#REF!="Moderado"),CONCATENATE("R8C",'Mapa final'!#REF!),"")</f>
        <v>#REF!</v>
      </c>
      <c r="AB53" s="52" t="e">
        <f>IF(AND('Mapa final'!#REF!="Muy Baja",'Mapa final'!#REF!="Mayor"),CONCATENATE("R8C",'Mapa final'!#REF!),"")</f>
        <v>#REF!</v>
      </c>
      <c r="AC53" s="53" t="e">
        <f>IF(AND('Mapa final'!#REF!="Muy Baja",'Mapa final'!#REF!="Mayor"),CONCATENATE("R8C",'Mapa final'!#REF!),"")</f>
        <v>#REF!</v>
      </c>
      <c r="AD53" s="53" t="e">
        <f>IF(AND('Mapa final'!#REF!="Muy Baja",'Mapa final'!#REF!="Mayor"),CONCATENATE("R8C",'Mapa final'!#REF!),"")</f>
        <v>#REF!</v>
      </c>
      <c r="AE53" s="53" t="e">
        <f>IF(AND('Mapa final'!#REF!="Muy Baja",'Mapa final'!#REF!="Mayor"),CONCATENATE("R8C",'Mapa final'!#REF!),"")</f>
        <v>#REF!</v>
      </c>
      <c r="AF53" s="53" t="e">
        <f>IF(AND('Mapa final'!#REF!="Muy Baja",'Mapa final'!#REF!="Mayor"),CONCATENATE("R8C",'Mapa final'!#REF!),"")</f>
        <v>#REF!</v>
      </c>
      <c r="AG53" s="54" t="e">
        <f>IF(AND('Mapa final'!#REF!="Muy Baja",'Mapa final'!#REF!="Mayor"),CONCATENATE("R8C",'Mapa final'!#REF!),"")</f>
        <v>#REF!</v>
      </c>
      <c r="AH53" s="55" t="e">
        <f>IF(AND('Mapa final'!#REF!="Muy Baja",'Mapa final'!#REF!="Catastrófico"),CONCATENATE("R8C",'Mapa final'!#REF!),"")</f>
        <v>#REF!</v>
      </c>
      <c r="AI53" s="56" t="e">
        <f>IF(AND('Mapa final'!#REF!="Muy Baja",'Mapa final'!#REF!="Catastrófico"),CONCATENATE("R8C",'Mapa final'!#REF!),"")</f>
        <v>#REF!</v>
      </c>
      <c r="AJ53" s="56" t="e">
        <f>IF(AND('Mapa final'!#REF!="Muy Baja",'Mapa final'!#REF!="Catastrófico"),CONCATENATE("R8C",'Mapa final'!#REF!),"")</f>
        <v>#REF!</v>
      </c>
      <c r="AK53" s="56" t="e">
        <f>IF(AND('Mapa final'!#REF!="Muy Baja",'Mapa final'!#REF!="Catastrófico"),CONCATENATE("R8C",'Mapa final'!#REF!),"")</f>
        <v>#REF!</v>
      </c>
      <c r="AL53" s="56" t="e">
        <f>IF(AND('Mapa final'!#REF!="Muy Baja",'Mapa final'!#REF!="Catastrófico"),CONCATENATE("R8C",'Mapa final'!#REF!),"")</f>
        <v>#REF!</v>
      </c>
      <c r="AM53" s="57" t="e">
        <f>IF(AND('Mapa final'!#REF!="Muy Baja",'Mapa final'!#REF!="Catastrófico"),CONCATENATE("R8C",'Mapa final'!#REF!),"")</f>
        <v>#REF!</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86"/>
      <c r="C54" s="386"/>
      <c r="D54" s="387"/>
      <c r="E54" s="427"/>
      <c r="F54" s="428"/>
      <c r="G54" s="428"/>
      <c r="H54" s="428"/>
      <c r="I54" s="429"/>
      <c r="J54" s="76" t="e">
        <f>IF(AND('Mapa final'!#REF!="Muy Baja",'Mapa final'!#REF!="Leve"),CONCATENATE("R9C",'Mapa final'!#REF!),"")</f>
        <v>#REF!</v>
      </c>
      <c r="K54" s="77" t="e">
        <f>IF(AND('Mapa final'!#REF!="Muy Baja",'Mapa final'!#REF!="Leve"),CONCATENATE("R9C",'Mapa final'!#REF!),"")</f>
        <v>#REF!</v>
      </c>
      <c r="L54" s="77" t="e">
        <f>IF(AND('Mapa final'!#REF!="Muy Baja",'Mapa final'!#REF!="Leve"),CONCATENATE("R9C",'Mapa final'!#REF!),"")</f>
        <v>#REF!</v>
      </c>
      <c r="M54" s="77" t="e">
        <f>IF(AND('Mapa final'!#REF!="Muy Baja",'Mapa final'!#REF!="Leve"),CONCATENATE("R9C",'Mapa final'!#REF!),"")</f>
        <v>#REF!</v>
      </c>
      <c r="N54" s="77" t="e">
        <f>IF(AND('Mapa final'!#REF!="Muy Baja",'Mapa final'!#REF!="Leve"),CONCATENATE("R9C",'Mapa final'!#REF!),"")</f>
        <v>#REF!</v>
      </c>
      <c r="O54" s="78" t="e">
        <f>IF(AND('Mapa final'!#REF!="Muy Baja",'Mapa final'!#REF!="Leve"),CONCATENATE("R9C",'Mapa final'!#REF!),"")</f>
        <v>#REF!</v>
      </c>
      <c r="P54" s="76" t="e">
        <f>IF(AND('Mapa final'!#REF!="Muy Baja",'Mapa final'!#REF!="Menor"),CONCATENATE("R9C",'Mapa final'!#REF!),"")</f>
        <v>#REF!</v>
      </c>
      <c r="Q54" s="77" t="e">
        <f>IF(AND('Mapa final'!#REF!="Muy Baja",'Mapa final'!#REF!="Menor"),CONCATENATE("R9C",'Mapa final'!#REF!),"")</f>
        <v>#REF!</v>
      </c>
      <c r="R54" s="77" t="e">
        <f>IF(AND('Mapa final'!#REF!="Muy Baja",'Mapa final'!#REF!="Menor"),CONCATENATE("R9C",'Mapa final'!#REF!),"")</f>
        <v>#REF!</v>
      </c>
      <c r="S54" s="77" t="e">
        <f>IF(AND('Mapa final'!#REF!="Muy Baja",'Mapa final'!#REF!="Menor"),CONCATENATE("R9C",'Mapa final'!#REF!),"")</f>
        <v>#REF!</v>
      </c>
      <c r="T54" s="77" t="e">
        <f>IF(AND('Mapa final'!#REF!="Muy Baja",'Mapa final'!#REF!="Menor"),CONCATENATE("R9C",'Mapa final'!#REF!),"")</f>
        <v>#REF!</v>
      </c>
      <c r="U54" s="78" t="e">
        <f>IF(AND('Mapa final'!#REF!="Muy Baja",'Mapa final'!#REF!="Menor"),CONCATENATE("R9C",'Mapa final'!#REF!),"")</f>
        <v>#REF!</v>
      </c>
      <c r="V54" s="67" t="e">
        <f>IF(AND('Mapa final'!#REF!="Muy Baja",'Mapa final'!#REF!="Moderado"),CONCATENATE("R9C",'Mapa final'!#REF!),"")</f>
        <v>#REF!</v>
      </c>
      <c r="W54" s="68" t="e">
        <f>IF(AND('Mapa final'!#REF!="Muy Baja",'Mapa final'!#REF!="Moderado"),CONCATENATE("R9C",'Mapa final'!#REF!),"")</f>
        <v>#REF!</v>
      </c>
      <c r="X54" s="68" t="e">
        <f>IF(AND('Mapa final'!#REF!="Muy Baja",'Mapa final'!#REF!="Moderado"),CONCATENATE("R9C",'Mapa final'!#REF!),"")</f>
        <v>#REF!</v>
      </c>
      <c r="Y54" s="68" t="e">
        <f>IF(AND('Mapa final'!#REF!="Muy Baja",'Mapa final'!#REF!="Moderado"),CONCATENATE("R9C",'Mapa final'!#REF!),"")</f>
        <v>#REF!</v>
      </c>
      <c r="Z54" s="68" t="e">
        <f>IF(AND('Mapa final'!#REF!="Muy Baja",'Mapa final'!#REF!="Moderado"),CONCATENATE("R9C",'Mapa final'!#REF!),"")</f>
        <v>#REF!</v>
      </c>
      <c r="AA54" s="69" t="e">
        <f>IF(AND('Mapa final'!#REF!="Muy Baja",'Mapa final'!#REF!="Moderado"),CONCATENATE("R9C",'Mapa final'!#REF!),"")</f>
        <v>#REF!</v>
      </c>
      <c r="AB54" s="52" t="e">
        <f>IF(AND('Mapa final'!#REF!="Muy Baja",'Mapa final'!#REF!="Mayor"),CONCATENATE("R9C",'Mapa final'!#REF!),"")</f>
        <v>#REF!</v>
      </c>
      <c r="AC54" s="53" t="e">
        <f>IF(AND('Mapa final'!#REF!="Muy Baja",'Mapa final'!#REF!="Mayor"),CONCATENATE("R9C",'Mapa final'!#REF!),"")</f>
        <v>#REF!</v>
      </c>
      <c r="AD54" s="53" t="e">
        <f>IF(AND('Mapa final'!#REF!="Muy Baja",'Mapa final'!#REF!="Mayor"),CONCATENATE("R9C",'Mapa final'!#REF!),"")</f>
        <v>#REF!</v>
      </c>
      <c r="AE54" s="53" t="e">
        <f>IF(AND('Mapa final'!#REF!="Muy Baja",'Mapa final'!#REF!="Mayor"),CONCATENATE("R9C",'Mapa final'!#REF!),"")</f>
        <v>#REF!</v>
      </c>
      <c r="AF54" s="53" t="e">
        <f>IF(AND('Mapa final'!#REF!="Muy Baja",'Mapa final'!#REF!="Mayor"),CONCATENATE("R9C",'Mapa final'!#REF!),"")</f>
        <v>#REF!</v>
      </c>
      <c r="AG54" s="54" t="e">
        <f>IF(AND('Mapa final'!#REF!="Muy Baja",'Mapa final'!#REF!="Mayor"),CONCATENATE("R9C",'Mapa final'!#REF!),"")</f>
        <v>#REF!</v>
      </c>
      <c r="AH54" s="55" t="e">
        <f>IF(AND('Mapa final'!#REF!="Muy Baja",'Mapa final'!#REF!="Catastrófico"),CONCATENATE("R9C",'Mapa final'!#REF!),"")</f>
        <v>#REF!</v>
      </c>
      <c r="AI54" s="56" t="e">
        <f>IF(AND('Mapa final'!#REF!="Muy Baja",'Mapa final'!#REF!="Catastrófico"),CONCATENATE("R9C",'Mapa final'!#REF!),"")</f>
        <v>#REF!</v>
      </c>
      <c r="AJ54" s="56" t="e">
        <f>IF(AND('Mapa final'!#REF!="Muy Baja",'Mapa final'!#REF!="Catastrófico"),CONCATENATE("R9C",'Mapa final'!#REF!),"")</f>
        <v>#REF!</v>
      </c>
      <c r="AK54" s="56" t="e">
        <f>IF(AND('Mapa final'!#REF!="Muy Baja",'Mapa final'!#REF!="Catastrófico"),CONCATENATE("R9C",'Mapa final'!#REF!),"")</f>
        <v>#REF!</v>
      </c>
      <c r="AL54" s="56" t="e">
        <f>IF(AND('Mapa final'!#REF!="Muy Baja",'Mapa final'!#REF!="Catastrófico"),CONCATENATE("R9C",'Mapa final'!#REF!),"")</f>
        <v>#REF!</v>
      </c>
      <c r="AM54" s="57" t="e">
        <f>IF(AND('Mapa final'!#REF!="Muy Baja",'Mapa final'!#REF!="Catastrófico"),CONCATENATE("R9C",'Mapa final'!#REF!),"")</f>
        <v>#REF!</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86"/>
      <c r="C55" s="386"/>
      <c r="D55" s="387"/>
      <c r="E55" s="430"/>
      <c r="F55" s="431"/>
      <c r="G55" s="431"/>
      <c r="H55" s="431"/>
      <c r="I55" s="432"/>
      <c r="J55" s="79" t="e">
        <f>IF(AND('Mapa final'!#REF!="Muy Baja",'Mapa final'!#REF!="Leve"),CONCATENATE("R10C",'Mapa final'!#REF!),"")</f>
        <v>#REF!</v>
      </c>
      <c r="K55" s="80" t="e">
        <f>IF(AND('Mapa final'!#REF!="Muy Baja",'Mapa final'!#REF!="Leve"),CONCATENATE("R10C",'Mapa final'!#REF!),"")</f>
        <v>#REF!</v>
      </c>
      <c r="L55" s="80" t="e">
        <f>IF(AND('Mapa final'!#REF!="Muy Baja",'Mapa final'!#REF!="Leve"),CONCATENATE("R10C",'Mapa final'!#REF!),"")</f>
        <v>#REF!</v>
      </c>
      <c r="M55" s="80" t="e">
        <f>IF(AND('Mapa final'!#REF!="Muy Baja",'Mapa final'!#REF!="Leve"),CONCATENATE("R10C",'Mapa final'!#REF!),"")</f>
        <v>#REF!</v>
      </c>
      <c r="N55" s="80" t="e">
        <f>IF(AND('Mapa final'!#REF!="Muy Baja",'Mapa final'!#REF!="Leve"),CONCATENATE("R10C",'Mapa final'!#REF!),"")</f>
        <v>#REF!</v>
      </c>
      <c r="O55" s="81" t="e">
        <f>IF(AND('Mapa final'!#REF!="Muy Baja",'Mapa final'!#REF!="Leve"),CONCATENATE("R10C",'Mapa final'!#REF!),"")</f>
        <v>#REF!</v>
      </c>
      <c r="P55" s="79" t="e">
        <f>IF(AND('Mapa final'!#REF!="Muy Baja",'Mapa final'!#REF!="Menor"),CONCATENATE("R10C",'Mapa final'!#REF!),"")</f>
        <v>#REF!</v>
      </c>
      <c r="Q55" s="80" t="e">
        <f>IF(AND('Mapa final'!#REF!="Muy Baja",'Mapa final'!#REF!="Menor"),CONCATENATE("R10C",'Mapa final'!#REF!),"")</f>
        <v>#REF!</v>
      </c>
      <c r="R55" s="80" t="e">
        <f>IF(AND('Mapa final'!#REF!="Muy Baja",'Mapa final'!#REF!="Menor"),CONCATENATE("R10C",'Mapa final'!#REF!),"")</f>
        <v>#REF!</v>
      </c>
      <c r="S55" s="80" t="e">
        <f>IF(AND('Mapa final'!#REF!="Muy Baja",'Mapa final'!#REF!="Menor"),CONCATENATE("R10C",'Mapa final'!#REF!),"")</f>
        <v>#REF!</v>
      </c>
      <c r="T55" s="80" t="e">
        <f>IF(AND('Mapa final'!#REF!="Muy Baja",'Mapa final'!#REF!="Menor"),CONCATENATE("R10C",'Mapa final'!#REF!),"")</f>
        <v>#REF!</v>
      </c>
      <c r="U55" s="81" t="e">
        <f>IF(AND('Mapa final'!#REF!="Muy Baja",'Mapa final'!#REF!="Menor"),CONCATENATE("R10C",'Mapa final'!#REF!),"")</f>
        <v>#REF!</v>
      </c>
      <c r="V55" s="70" t="e">
        <f>IF(AND('Mapa final'!#REF!="Muy Baja",'Mapa final'!#REF!="Moderado"),CONCATENATE("R10C",'Mapa final'!#REF!),"")</f>
        <v>#REF!</v>
      </c>
      <c r="W55" s="71" t="e">
        <f>IF(AND('Mapa final'!#REF!="Muy Baja",'Mapa final'!#REF!="Moderado"),CONCATENATE("R10C",'Mapa final'!#REF!),"")</f>
        <v>#REF!</v>
      </c>
      <c r="X55" s="71" t="e">
        <f>IF(AND('Mapa final'!#REF!="Muy Baja",'Mapa final'!#REF!="Moderado"),CONCATENATE("R10C",'Mapa final'!#REF!),"")</f>
        <v>#REF!</v>
      </c>
      <c r="Y55" s="71" t="e">
        <f>IF(AND('Mapa final'!#REF!="Muy Baja",'Mapa final'!#REF!="Moderado"),CONCATENATE("R10C",'Mapa final'!#REF!),"")</f>
        <v>#REF!</v>
      </c>
      <c r="Z55" s="71" t="e">
        <f>IF(AND('Mapa final'!#REF!="Muy Baja",'Mapa final'!#REF!="Moderado"),CONCATENATE("R10C",'Mapa final'!#REF!),"")</f>
        <v>#REF!</v>
      </c>
      <c r="AA55" s="72" t="e">
        <f>IF(AND('Mapa final'!#REF!="Muy Baja",'Mapa final'!#REF!="Moderado"),CONCATENATE("R10C",'Mapa final'!#REF!),"")</f>
        <v>#REF!</v>
      </c>
      <c r="AB55" s="58" t="e">
        <f>IF(AND('Mapa final'!#REF!="Muy Baja",'Mapa final'!#REF!="Mayor"),CONCATENATE("R10C",'Mapa final'!#REF!),"")</f>
        <v>#REF!</v>
      </c>
      <c r="AC55" s="59" t="e">
        <f>IF(AND('Mapa final'!#REF!="Muy Baja",'Mapa final'!#REF!="Mayor"),CONCATENATE("R10C",'Mapa final'!#REF!),"")</f>
        <v>#REF!</v>
      </c>
      <c r="AD55" s="59" t="e">
        <f>IF(AND('Mapa final'!#REF!="Muy Baja",'Mapa final'!#REF!="Mayor"),CONCATENATE("R10C",'Mapa final'!#REF!),"")</f>
        <v>#REF!</v>
      </c>
      <c r="AE55" s="59" t="e">
        <f>IF(AND('Mapa final'!#REF!="Muy Baja",'Mapa final'!#REF!="Mayor"),CONCATENATE("R10C",'Mapa final'!#REF!),"")</f>
        <v>#REF!</v>
      </c>
      <c r="AF55" s="59" t="e">
        <f>IF(AND('Mapa final'!#REF!="Muy Baja",'Mapa final'!#REF!="Mayor"),CONCATENATE("R10C",'Mapa final'!#REF!),"")</f>
        <v>#REF!</v>
      </c>
      <c r="AG55" s="60" t="e">
        <f>IF(AND('Mapa final'!#REF!="Muy Baja",'Mapa final'!#REF!="Mayor"),CONCATENATE("R10C",'Mapa final'!#REF!),"")</f>
        <v>#REF!</v>
      </c>
      <c r="AH55" s="61" t="e">
        <f>IF(AND('Mapa final'!#REF!="Muy Baja",'Mapa final'!#REF!="Catastrófico"),CONCATENATE("R10C",'Mapa final'!#REF!),"")</f>
        <v>#REF!</v>
      </c>
      <c r="AI55" s="62" t="e">
        <f>IF(AND('Mapa final'!#REF!="Muy Baja",'Mapa final'!#REF!="Catastrófico"),CONCATENATE("R10C",'Mapa final'!#REF!),"")</f>
        <v>#REF!</v>
      </c>
      <c r="AJ55" s="62" t="e">
        <f>IF(AND('Mapa final'!#REF!="Muy Baja",'Mapa final'!#REF!="Catastrófico"),CONCATENATE("R10C",'Mapa final'!#REF!),"")</f>
        <v>#REF!</v>
      </c>
      <c r="AK55" s="62" t="e">
        <f>IF(AND('Mapa final'!#REF!="Muy Baja",'Mapa final'!#REF!="Catastrófico"),CONCATENATE("R10C",'Mapa final'!#REF!),"")</f>
        <v>#REF!</v>
      </c>
      <c r="AL55" s="62" t="e">
        <f>IF(AND('Mapa final'!#REF!="Muy Baja",'Mapa final'!#REF!="Catastrófico"),CONCATENATE("R10C",'Mapa final'!#REF!),"")</f>
        <v>#REF!</v>
      </c>
      <c r="AM55" s="63" t="e">
        <f>IF(AND('Mapa final'!#REF!="Muy Baja",'Mapa final'!#REF!="Catastrófico"),CONCATENATE("R10C",'Mapa final'!#REF!),"")</f>
        <v>#REF!</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24" t="s">
        <v>195</v>
      </c>
      <c r="K56" s="425"/>
      <c r="L56" s="425"/>
      <c r="M56" s="425"/>
      <c r="N56" s="425"/>
      <c r="O56" s="426"/>
      <c r="P56" s="424" t="s">
        <v>196</v>
      </c>
      <c r="Q56" s="425"/>
      <c r="R56" s="425"/>
      <c r="S56" s="425"/>
      <c r="T56" s="425"/>
      <c r="U56" s="426"/>
      <c r="V56" s="424" t="s">
        <v>197</v>
      </c>
      <c r="W56" s="425"/>
      <c r="X56" s="425"/>
      <c r="Y56" s="425"/>
      <c r="Z56" s="425"/>
      <c r="AA56" s="426"/>
      <c r="AB56" s="424" t="s">
        <v>198</v>
      </c>
      <c r="AC56" s="433"/>
      <c r="AD56" s="425"/>
      <c r="AE56" s="425"/>
      <c r="AF56" s="425"/>
      <c r="AG56" s="426"/>
      <c r="AH56" s="424" t="s">
        <v>199</v>
      </c>
      <c r="AI56" s="425"/>
      <c r="AJ56" s="425"/>
      <c r="AK56" s="425"/>
      <c r="AL56" s="425"/>
      <c r="AM56" s="42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27"/>
      <c r="K57" s="428"/>
      <c r="L57" s="428"/>
      <c r="M57" s="428"/>
      <c r="N57" s="428"/>
      <c r="O57" s="429"/>
      <c r="P57" s="427"/>
      <c r="Q57" s="428"/>
      <c r="R57" s="428"/>
      <c r="S57" s="428"/>
      <c r="T57" s="428"/>
      <c r="U57" s="429"/>
      <c r="V57" s="427"/>
      <c r="W57" s="428"/>
      <c r="X57" s="428"/>
      <c r="Y57" s="428"/>
      <c r="Z57" s="428"/>
      <c r="AA57" s="429"/>
      <c r="AB57" s="427"/>
      <c r="AC57" s="428"/>
      <c r="AD57" s="428"/>
      <c r="AE57" s="428"/>
      <c r="AF57" s="428"/>
      <c r="AG57" s="429"/>
      <c r="AH57" s="427"/>
      <c r="AI57" s="428"/>
      <c r="AJ57" s="428"/>
      <c r="AK57" s="428"/>
      <c r="AL57" s="428"/>
      <c r="AM57" s="42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27"/>
      <c r="K58" s="428"/>
      <c r="L58" s="428"/>
      <c r="M58" s="428"/>
      <c r="N58" s="428"/>
      <c r="O58" s="429"/>
      <c r="P58" s="427"/>
      <c r="Q58" s="428"/>
      <c r="R58" s="428"/>
      <c r="S58" s="428"/>
      <c r="T58" s="428"/>
      <c r="U58" s="429"/>
      <c r="V58" s="427"/>
      <c r="W58" s="428"/>
      <c r="X58" s="428"/>
      <c r="Y58" s="428"/>
      <c r="Z58" s="428"/>
      <c r="AA58" s="429"/>
      <c r="AB58" s="427"/>
      <c r="AC58" s="428"/>
      <c r="AD58" s="428"/>
      <c r="AE58" s="428"/>
      <c r="AF58" s="428"/>
      <c r="AG58" s="429"/>
      <c r="AH58" s="427"/>
      <c r="AI58" s="428"/>
      <c r="AJ58" s="428"/>
      <c r="AK58" s="428"/>
      <c r="AL58" s="428"/>
      <c r="AM58" s="42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27"/>
      <c r="K59" s="428"/>
      <c r="L59" s="428"/>
      <c r="M59" s="428"/>
      <c r="N59" s="428"/>
      <c r="O59" s="429"/>
      <c r="P59" s="427"/>
      <c r="Q59" s="428"/>
      <c r="R59" s="428"/>
      <c r="S59" s="428"/>
      <c r="T59" s="428"/>
      <c r="U59" s="429"/>
      <c r="V59" s="427"/>
      <c r="W59" s="428"/>
      <c r="X59" s="428"/>
      <c r="Y59" s="428"/>
      <c r="Z59" s="428"/>
      <c r="AA59" s="429"/>
      <c r="AB59" s="427"/>
      <c r="AC59" s="428"/>
      <c r="AD59" s="428"/>
      <c r="AE59" s="428"/>
      <c r="AF59" s="428"/>
      <c r="AG59" s="429"/>
      <c r="AH59" s="427"/>
      <c r="AI59" s="428"/>
      <c r="AJ59" s="428"/>
      <c r="AK59" s="428"/>
      <c r="AL59" s="428"/>
      <c r="AM59" s="42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27"/>
      <c r="K60" s="428"/>
      <c r="L60" s="428"/>
      <c r="M60" s="428"/>
      <c r="N60" s="428"/>
      <c r="O60" s="429"/>
      <c r="P60" s="427"/>
      <c r="Q60" s="428"/>
      <c r="R60" s="428"/>
      <c r="S60" s="428"/>
      <c r="T60" s="428"/>
      <c r="U60" s="429"/>
      <c r="V60" s="427"/>
      <c r="W60" s="428"/>
      <c r="X60" s="428"/>
      <c r="Y60" s="428"/>
      <c r="Z60" s="428"/>
      <c r="AA60" s="429"/>
      <c r="AB60" s="427"/>
      <c r="AC60" s="428"/>
      <c r="AD60" s="428"/>
      <c r="AE60" s="428"/>
      <c r="AF60" s="428"/>
      <c r="AG60" s="429"/>
      <c r="AH60" s="427"/>
      <c r="AI60" s="428"/>
      <c r="AJ60" s="428"/>
      <c r="AK60" s="428"/>
      <c r="AL60" s="428"/>
      <c r="AM60" s="42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30"/>
      <c r="K61" s="431"/>
      <c r="L61" s="431"/>
      <c r="M61" s="431"/>
      <c r="N61" s="431"/>
      <c r="O61" s="432"/>
      <c r="P61" s="430"/>
      <c r="Q61" s="431"/>
      <c r="R61" s="431"/>
      <c r="S61" s="431"/>
      <c r="T61" s="431"/>
      <c r="U61" s="432"/>
      <c r="V61" s="430"/>
      <c r="W61" s="431"/>
      <c r="X61" s="431"/>
      <c r="Y61" s="431"/>
      <c r="Z61" s="431"/>
      <c r="AA61" s="432"/>
      <c r="AB61" s="430"/>
      <c r="AC61" s="431"/>
      <c r="AD61" s="431"/>
      <c r="AE61" s="431"/>
      <c r="AF61" s="431"/>
      <c r="AG61" s="432"/>
      <c r="AH61" s="430"/>
      <c r="AI61" s="431"/>
      <c r="AJ61" s="431"/>
      <c r="AK61" s="431"/>
      <c r="AL61" s="431"/>
      <c r="AM61" s="43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G5" sqref="G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73" t="s">
        <v>201</v>
      </c>
      <c r="C1" s="473"/>
      <c r="D1" s="47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202</v>
      </c>
      <c r="D3" s="12" t="s">
        <v>185</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203</v>
      </c>
      <c r="C4" s="14" t="s">
        <v>204</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205</v>
      </c>
      <c r="C5" s="17" t="s">
        <v>206</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207</v>
      </c>
      <c r="C6" s="17" t="s">
        <v>208</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209</v>
      </c>
      <c r="C7" s="17" t="s">
        <v>210</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211</v>
      </c>
      <c r="C8" s="17" t="s">
        <v>212</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topLeftCell="B1" zoomScale="60" zoomScaleNormal="60" workbookViewId="0">
      <selection activeCell="D5" sqref="D5"/>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74" t="s">
        <v>213</v>
      </c>
      <c r="C1" s="474"/>
      <c r="D1" s="47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214</v>
      </c>
      <c r="D3" s="36" t="s">
        <v>215</v>
      </c>
      <c r="E3" s="36" t="s">
        <v>216</v>
      </c>
      <c r="F3" s="83"/>
      <c r="G3" s="83"/>
      <c r="H3" s="83"/>
      <c r="I3" s="83"/>
      <c r="J3" s="83"/>
      <c r="K3" s="83"/>
      <c r="L3" s="83"/>
      <c r="M3" s="83"/>
      <c r="N3" s="83"/>
      <c r="O3" s="83"/>
      <c r="P3" s="83"/>
      <c r="Q3" s="83"/>
      <c r="R3" s="83"/>
      <c r="S3" s="83"/>
      <c r="T3" s="83"/>
      <c r="U3" s="83"/>
    </row>
    <row r="4" spans="1:21" ht="33.75" x14ac:dyDescent="0.25">
      <c r="A4" s="103" t="s">
        <v>217</v>
      </c>
      <c r="B4" s="39" t="s">
        <v>218</v>
      </c>
      <c r="C4" s="44" t="s">
        <v>219</v>
      </c>
      <c r="D4" s="37" t="s">
        <v>220</v>
      </c>
      <c r="E4" s="37" t="s">
        <v>164</v>
      </c>
      <c r="F4" s="83"/>
      <c r="G4" s="83"/>
      <c r="H4" s="83"/>
      <c r="I4" s="83"/>
      <c r="J4" s="83"/>
      <c r="K4" s="83"/>
      <c r="L4" s="83"/>
      <c r="M4" s="83"/>
      <c r="N4" s="83"/>
      <c r="O4" s="83"/>
      <c r="P4" s="83"/>
      <c r="Q4" s="83"/>
      <c r="R4" s="83"/>
      <c r="S4" s="83"/>
      <c r="T4" s="83"/>
      <c r="U4" s="83"/>
    </row>
    <row r="5" spans="1:21" ht="165" customHeight="1" x14ac:dyDescent="0.25">
      <c r="A5" s="103" t="s">
        <v>221</v>
      </c>
      <c r="B5" s="40" t="s">
        <v>222</v>
      </c>
      <c r="C5" s="45" t="s">
        <v>223</v>
      </c>
      <c r="D5" s="38" t="s">
        <v>224</v>
      </c>
      <c r="E5" s="38" t="s">
        <v>225</v>
      </c>
      <c r="F5" s="83"/>
      <c r="G5" s="83"/>
      <c r="H5" s="83"/>
      <c r="I5" s="83"/>
      <c r="J5" s="83"/>
      <c r="K5" s="83"/>
      <c r="L5" s="83"/>
      <c r="M5" s="83"/>
      <c r="N5" s="83"/>
      <c r="O5" s="83"/>
      <c r="P5" s="83"/>
      <c r="Q5" s="83"/>
      <c r="R5" s="83"/>
      <c r="S5" s="83"/>
      <c r="T5" s="83"/>
      <c r="U5" s="83"/>
    </row>
    <row r="6" spans="1:21" ht="67.5" x14ac:dyDescent="0.25">
      <c r="A6" s="103" t="s">
        <v>191</v>
      </c>
      <c r="B6" s="41" t="s">
        <v>226</v>
      </c>
      <c r="C6" s="45" t="s">
        <v>227</v>
      </c>
      <c r="D6" s="38" t="s">
        <v>228</v>
      </c>
      <c r="E6" s="38" t="s">
        <v>229</v>
      </c>
      <c r="F6" s="83"/>
      <c r="G6" s="83"/>
      <c r="H6" s="83"/>
      <c r="I6" s="83"/>
      <c r="J6" s="83"/>
      <c r="K6" s="83"/>
      <c r="L6" s="83"/>
      <c r="M6" s="83"/>
      <c r="N6" s="83"/>
      <c r="O6" s="83"/>
      <c r="P6" s="83"/>
      <c r="Q6" s="83"/>
      <c r="R6" s="83"/>
      <c r="S6" s="83"/>
      <c r="T6" s="83"/>
      <c r="U6" s="83"/>
    </row>
    <row r="7" spans="1:21" ht="101.25" x14ac:dyDescent="0.25">
      <c r="A7" s="103" t="s">
        <v>230</v>
      </c>
      <c r="B7" s="42" t="s">
        <v>231</v>
      </c>
      <c r="C7" s="45" t="s">
        <v>232</v>
      </c>
      <c r="D7" s="38" t="s">
        <v>233</v>
      </c>
      <c r="E7" s="38" t="s">
        <v>234</v>
      </c>
      <c r="F7" s="83"/>
      <c r="G7" s="83"/>
      <c r="H7" s="83"/>
      <c r="I7" s="83"/>
      <c r="J7" s="83"/>
      <c r="K7" s="83"/>
      <c r="L7" s="83"/>
      <c r="M7" s="83"/>
      <c r="N7" s="83"/>
      <c r="O7" s="83"/>
      <c r="P7" s="83"/>
      <c r="Q7" s="83"/>
      <c r="R7" s="83"/>
      <c r="S7" s="83"/>
      <c r="T7" s="83"/>
      <c r="U7" s="83"/>
    </row>
    <row r="8" spans="1:21" ht="67.5" x14ac:dyDescent="0.25">
      <c r="A8" s="103" t="s">
        <v>235</v>
      </c>
      <c r="B8" s="43" t="s">
        <v>236</v>
      </c>
      <c r="C8" s="45" t="s">
        <v>237</v>
      </c>
      <c r="D8" s="38" t="s">
        <v>238</v>
      </c>
      <c r="E8" s="38" t="s">
        <v>239</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240</v>
      </c>
      <c r="C11" s="103" t="s">
        <v>241</v>
      </c>
      <c r="D11" s="103" t="s">
        <v>152</v>
      </c>
      <c r="E11" s="83"/>
      <c r="F11" s="83"/>
      <c r="G11" s="83"/>
      <c r="H11" s="83"/>
      <c r="I11" s="83"/>
      <c r="J11" s="83"/>
      <c r="K11" s="83"/>
      <c r="L11" s="83"/>
      <c r="M11" s="83"/>
      <c r="N11" s="83"/>
      <c r="O11" s="83"/>
      <c r="P11" s="83"/>
      <c r="Q11" s="83"/>
      <c r="R11" s="83"/>
      <c r="S11" s="83"/>
      <c r="T11" s="83"/>
      <c r="U11" s="83"/>
    </row>
    <row r="12" spans="1:21" x14ac:dyDescent="0.25">
      <c r="A12" s="103"/>
      <c r="B12" s="103" t="s">
        <v>242</v>
      </c>
      <c r="C12" s="103" t="s">
        <v>243</v>
      </c>
      <c r="D12" s="103" t="s">
        <v>137</v>
      </c>
      <c r="E12" s="83"/>
      <c r="F12" s="83"/>
      <c r="G12" s="83"/>
      <c r="H12" s="83"/>
      <c r="I12" s="83"/>
      <c r="J12" s="83"/>
      <c r="K12" s="83"/>
      <c r="L12" s="83"/>
      <c r="M12" s="83"/>
      <c r="N12" s="83"/>
      <c r="O12" s="83"/>
      <c r="P12" s="83"/>
      <c r="Q12" s="83"/>
      <c r="R12" s="83"/>
      <c r="S12" s="83"/>
      <c r="T12" s="83"/>
      <c r="U12" s="83"/>
    </row>
    <row r="13" spans="1:21" x14ac:dyDescent="0.25">
      <c r="A13" s="103"/>
      <c r="B13" s="103"/>
      <c r="C13" s="103" t="s">
        <v>244</v>
      </c>
      <c r="D13" s="103" t="s">
        <v>128</v>
      </c>
      <c r="E13" s="83"/>
      <c r="F13" s="83"/>
      <c r="G13" s="83"/>
      <c r="H13" s="83"/>
      <c r="I13" s="83"/>
      <c r="J13" s="83"/>
      <c r="K13" s="83"/>
      <c r="L13" s="83"/>
      <c r="M13" s="83"/>
      <c r="N13" s="83"/>
      <c r="O13" s="83"/>
      <c r="P13" s="83"/>
      <c r="Q13" s="83"/>
      <c r="R13" s="83"/>
      <c r="S13" s="83"/>
      <c r="T13" s="83"/>
      <c r="U13" s="83"/>
    </row>
    <row r="14" spans="1:21" x14ac:dyDescent="0.25">
      <c r="A14" s="103"/>
      <c r="B14" s="103"/>
      <c r="C14" s="103" t="s">
        <v>245</v>
      </c>
      <c r="D14" s="103" t="s">
        <v>246</v>
      </c>
      <c r="E14" s="83"/>
      <c r="F14" s="83"/>
      <c r="G14" s="83"/>
      <c r="H14" s="83"/>
      <c r="I14" s="83"/>
      <c r="J14" s="83"/>
      <c r="K14" s="83"/>
      <c r="L14" s="83"/>
      <c r="M14" s="83"/>
      <c r="N14" s="83"/>
      <c r="O14" s="83"/>
      <c r="P14" s="83"/>
      <c r="Q14" s="83"/>
      <c r="R14" s="83"/>
      <c r="S14" s="83"/>
      <c r="T14" s="83"/>
      <c r="U14" s="83"/>
    </row>
    <row r="15" spans="1:21" x14ac:dyDescent="0.25">
      <c r="A15" s="103"/>
      <c r="B15" s="103"/>
      <c r="C15" s="103" t="s">
        <v>247</v>
      </c>
      <c r="D15" s="103" t="s">
        <v>248</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249</v>
      </c>
      <c r="C209" s="30" t="s">
        <v>250</v>
      </c>
      <c r="D209" s="33" t="s">
        <v>249</v>
      </c>
      <c r="E209" s="33" t="s">
        <v>250</v>
      </c>
    </row>
    <row r="210" spans="1:8" ht="21" x14ac:dyDescent="0.35">
      <c r="A210" s="83"/>
      <c r="B210" s="31" t="s">
        <v>251</v>
      </c>
      <c r="C210" s="31" t="s">
        <v>252</v>
      </c>
      <c r="D210" t="s">
        <v>251</v>
      </c>
      <c r="F210" t="str">
        <f>IF(NOT(ISBLANK(D210)),D210,IF(NOT(ISBLANK(E210)),"     "&amp;E210,FALSE))</f>
        <v>Afectación Económica o presupuestal</v>
      </c>
      <c r="G210" t="s">
        <v>251</v>
      </c>
      <c r="H210" t="str">
        <f>IF(NOT(ISERROR(MATCH(G210,_xlfn.ANCHORARRAY(B221),0))),F228&amp;"Por favor no seleccionar los criterios de impacto",G210)</f>
        <v>❌Por favor no seleccionar los criterios de impacto</v>
      </c>
    </row>
    <row r="211" spans="1:8" ht="21" x14ac:dyDescent="0.35">
      <c r="A211" s="83"/>
      <c r="B211" s="31" t="s">
        <v>251</v>
      </c>
      <c r="C211" s="31" t="s">
        <v>223</v>
      </c>
      <c r="E211" t="s">
        <v>252</v>
      </c>
      <c r="F211" t="str">
        <f t="shared" ref="F211:F221" si="0">IF(NOT(ISBLANK(D211)),D211,IF(NOT(ISBLANK(E211)),"     "&amp;E211,FALSE))</f>
        <v xml:space="preserve">     Afectación menor a 10 SMLMV .</v>
      </c>
    </row>
    <row r="212" spans="1:8" ht="21" x14ac:dyDescent="0.35">
      <c r="A212" s="83"/>
      <c r="B212" s="31" t="s">
        <v>251</v>
      </c>
      <c r="C212" s="31" t="s">
        <v>227</v>
      </c>
      <c r="E212" t="s">
        <v>223</v>
      </c>
      <c r="F212" t="str">
        <f t="shared" si="0"/>
        <v xml:space="preserve">     Entre 10 y 50 SMLMV </v>
      </c>
    </row>
    <row r="213" spans="1:8" ht="21" x14ac:dyDescent="0.35">
      <c r="A213" s="83"/>
      <c r="B213" s="31" t="s">
        <v>251</v>
      </c>
      <c r="C213" s="31" t="s">
        <v>232</v>
      </c>
      <c r="E213" t="s">
        <v>227</v>
      </c>
      <c r="F213" t="str">
        <f t="shared" si="0"/>
        <v xml:space="preserve">     Entre 50 y 100 SMLMV </v>
      </c>
    </row>
    <row r="214" spans="1:8" ht="21" x14ac:dyDescent="0.35">
      <c r="A214" s="83"/>
      <c r="B214" s="31" t="s">
        <v>251</v>
      </c>
      <c r="C214" s="31" t="s">
        <v>237</v>
      </c>
      <c r="E214" t="s">
        <v>232</v>
      </c>
      <c r="F214" t="str">
        <f t="shared" si="0"/>
        <v xml:space="preserve">     Entre 100 y 500 SMLMV </v>
      </c>
    </row>
    <row r="215" spans="1:8" ht="21" x14ac:dyDescent="0.35">
      <c r="A215" s="83"/>
      <c r="B215" s="31" t="s">
        <v>215</v>
      </c>
      <c r="C215" s="31" t="s">
        <v>220</v>
      </c>
      <c r="E215" t="s">
        <v>237</v>
      </c>
      <c r="F215" t="str">
        <f t="shared" si="0"/>
        <v xml:space="preserve">     Mayor a 500 SMLMV </v>
      </c>
    </row>
    <row r="216" spans="1:8" ht="21" x14ac:dyDescent="0.35">
      <c r="A216" s="83"/>
      <c r="B216" s="31" t="s">
        <v>215</v>
      </c>
      <c r="C216" s="31" t="s">
        <v>253</v>
      </c>
      <c r="D216" t="s">
        <v>215</v>
      </c>
      <c r="F216" t="str">
        <f t="shared" si="0"/>
        <v>Pérdida Reputacional</v>
      </c>
    </row>
    <row r="217" spans="1:8" ht="21" x14ac:dyDescent="0.35">
      <c r="A217" s="83"/>
      <c r="B217" s="31" t="s">
        <v>215</v>
      </c>
      <c r="C217" s="31" t="s">
        <v>228</v>
      </c>
      <c r="E217" t="s">
        <v>220</v>
      </c>
      <c r="F217" t="str">
        <f t="shared" si="0"/>
        <v xml:space="preserve">     El riesgo afecta la imagen de alguna área de la organización</v>
      </c>
    </row>
    <row r="218" spans="1:8" ht="21" x14ac:dyDescent="0.35">
      <c r="A218" s="83"/>
      <c r="B218" s="31" t="s">
        <v>215</v>
      </c>
      <c r="C218" s="31" t="s">
        <v>233</v>
      </c>
      <c r="E218" t="s">
        <v>253</v>
      </c>
      <c r="F218" t="str">
        <f t="shared" si="0"/>
        <v xml:space="preserve">     El riesgo afecta la imagen de la entidad internamente, de conocimiento general, nivel interno, de junta dircetiva y accionistas y/o de provedores</v>
      </c>
    </row>
    <row r="219" spans="1:8" ht="21" x14ac:dyDescent="0.35">
      <c r="A219" s="83"/>
      <c r="B219" s="31" t="s">
        <v>215</v>
      </c>
      <c r="C219" s="31" t="s">
        <v>238</v>
      </c>
      <c r="E219" t="s">
        <v>228</v>
      </c>
      <c r="F219" t="str">
        <f t="shared" si="0"/>
        <v xml:space="preserve">     El riesgo afecta la imagen de la entidad con algunos usuarios de relevancia frente al logro de los objetivos</v>
      </c>
    </row>
    <row r="220" spans="1:8" x14ac:dyDescent="0.25">
      <c r="A220" s="83"/>
      <c r="B220" s="32"/>
      <c r="C220" s="32"/>
      <c r="E220" t="s">
        <v>233</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216</v>
      </c>
    </row>
    <row r="223" spans="1:8" x14ac:dyDescent="0.25">
      <c r="B223" s="32" t="str">
        <v>Pérdida Reputacional</v>
      </c>
      <c r="C223" s="32"/>
      <c r="F223" t="s">
        <v>164</v>
      </c>
    </row>
    <row r="224" spans="1:8" x14ac:dyDescent="0.25">
      <c r="B224" s="22"/>
      <c r="C224" s="22"/>
      <c r="F224" t="s">
        <v>225</v>
      </c>
    </row>
    <row r="225" spans="2:6" x14ac:dyDescent="0.25">
      <c r="B225" s="22"/>
      <c r="C225" s="22"/>
      <c r="F225" t="s">
        <v>229</v>
      </c>
    </row>
    <row r="226" spans="2:6" x14ac:dyDescent="0.25">
      <c r="B226" s="22"/>
      <c r="C226" s="22"/>
      <c r="F226" t="s">
        <v>234</v>
      </c>
    </row>
    <row r="227" spans="2:6" x14ac:dyDescent="0.25">
      <c r="B227" s="22"/>
      <c r="C227" s="22"/>
      <c r="D227" s="22"/>
      <c r="F227" t="s">
        <v>239</v>
      </c>
    </row>
    <row r="228" spans="2:6" x14ac:dyDescent="0.25">
      <c r="B228" s="22"/>
      <c r="C228" s="22"/>
      <c r="D228" s="22"/>
      <c r="F228" s="35" t="s">
        <v>254</v>
      </c>
    </row>
    <row r="229" spans="2:6" x14ac:dyDescent="0.25">
      <c r="B229" s="22"/>
      <c r="C229" s="22"/>
      <c r="D229" s="22"/>
      <c r="F229" s="35" t="s">
        <v>255</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C2:J16"/>
  <sheetViews>
    <sheetView showGridLines="0" workbookViewId="0">
      <selection activeCell="G16" sqref="G16"/>
    </sheetView>
  </sheetViews>
  <sheetFormatPr baseColWidth="10" defaultColWidth="11.42578125" defaultRowHeight="15.75" x14ac:dyDescent="0.25"/>
  <cols>
    <col min="1" max="3" width="11.42578125" style="154"/>
    <col min="4" max="4" width="25.42578125" style="154" customWidth="1"/>
    <col min="5" max="5" width="22.5703125" style="154" customWidth="1"/>
    <col min="6" max="6" width="23.7109375" style="154" customWidth="1"/>
    <col min="7" max="7" width="45.85546875" style="154" customWidth="1"/>
    <col min="8" max="16384" width="11.42578125" style="154"/>
  </cols>
  <sheetData>
    <row r="2" spans="3:10" ht="16.5" thickBot="1" x14ac:dyDescent="0.3"/>
    <row r="3" spans="3:10" ht="32.25" thickBot="1" x14ac:dyDescent="0.3">
      <c r="C3" s="155" t="s">
        <v>256</v>
      </c>
      <c r="D3" s="156" t="s">
        <v>257</v>
      </c>
      <c r="E3" s="479" t="s">
        <v>258</v>
      </c>
      <c r="F3" s="480"/>
      <c r="G3" s="481"/>
      <c r="J3" s="166" t="s">
        <v>15</v>
      </c>
    </row>
    <row r="4" spans="3:10" x14ac:dyDescent="0.25">
      <c r="C4" s="475">
        <v>1</v>
      </c>
      <c r="D4" s="157" t="s">
        <v>11</v>
      </c>
      <c r="E4" s="158" t="s">
        <v>259</v>
      </c>
      <c r="F4" s="158" t="s">
        <v>260</v>
      </c>
      <c r="G4" s="168" t="s">
        <v>261</v>
      </c>
      <c r="H4" s="169"/>
      <c r="J4" s="167">
        <f>+H4*H6*H9*H11*H13*H15</f>
        <v>0</v>
      </c>
    </row>
    <row r="5" spans="3:10" ht="63.75" thickBot="1" x14ac:dyDescent="0.3">
      <c r="C5" s="476"/>
      <c r="D5" s="159" t="s">
        <v>262</v>
      </c>
      <c r="E5" s="160" t="s">
        <v>263</v>
      </c>
      <c r="F5" s="160" t="s">
        <v>264</v>
      </c>
      <c r="G5" s="162" t="s">
        <v>265</v>
      </c>
    </row>
    <row r="6" spans="3:10" x14ac:dyDescent="0.25">
      <c r="C6" s="475">
        <v>2</v>
      </c>
      <c r="D6" s="157" t="s">
        <v>185</v>
      </c>
      <c r="E6" s="158" t="s">
        <v>266</v>
      </c>
      <c r="F6" s="158" t="s">
        <v>267</v>
      </c>
      <c r="G6" s="168" t="s">
        <v>268</v>
      </c>
      <c r="H6" s="169"/>
    </row>
    <row r="7" spans="3:10" ht="78.75" x14ac:dyDescent="0.25">
      <c r="C7" s="482"/>
      <c r="D7" s="157" t="s">
        <v>269</v>
      </c>
      <c r="E7" s="158" t="s">
        <v>270</v>
      </c>
      <c r="F7" s="158" t="s">
        <v>271</v>
      </c>
      <c r="G7" s="158" t="s">
        <v>272</v>
      </c>
    </row>
    <row r="8" spans="3:10" ht="16.5" thickBot="1" x14ac:dyDescent="0.3">
      <c r="C8" s="476"/>
      <c r="D8" s="159" t="s">
        <v>273</v>
      </c>
      <c r="E8" s="161"/>
      <c r="F8" s="161"/>
      <c r="G8" s="161"/>
    </row>
    <row r="9" spans="3:10" x14ac:dyDescent="0.25">
      <c r="C9" s="475">
        <v>3</v>
      </c>
      <c r="D9" s="157" t="s">
        <v>274</v>
      </c>
      <c r="E9" s="158" t="s">
        <v>275</v>
      </c>
      <c r="F9" s="158" t="s">
        <v>276</v>
      </c>
      <c r="G9" s="168" t="s">
        <v>277</v>
      </c>
      <c r="H9" s="169"/>
    </row>
    <row r="10" spans="3:10" ht="63.75" thickBot="1" x14ac:dyDescent="0.3">
      <c r="C10" s="476"/>
      <c r="D10" s="159" t="s">
        <v>278</v>
      </c>
      <c r="E10" s="160" t="s">
        <v>279</v>
      </c>
      <c r="F10" s="160" t="s">
        <v>280</v>
      </c>
      <c r="G10" s="160" t="s">
        <v>281</v>
      </c>
    </row>
    <row r="11" spans="3:10" x14ac:dyDescent="0.25">
      <c r="C11" s="475">
        <v>4</v>
      </c>
      <c r="D11" s="163" t="s">
        <v>282</v>
      </c>
      <c r="E11" s="164" t="s">
        <v>283</v>
      </c>
      <c r="F11" s="164" t="s">
        <v>284</v>
      </c>
      <c r="G11" s="170" t="s">
        <v>285</v>
      </c>
      <c r="H11" s="169"/>
    </row>
    <row r="12" spans="3:10" ht="111" thickBot="1" x14ac:dyDescent="0.3">
      <c r="C12" s="476"/>
      <c r="D12" s="159" t="s">
        <v>286</v>
      </c>
      <c r="E12" s="160" t="s">
        <v>287</v>
      </c>
      <c r="F12" s="160" t="s">
        <v>288</v>
      </c>
      <c r="G12" s="160" t="s">
        <v>289</v>
      </c>
    </row>
    <row r="13" spans="3:10" x14ac:dyDescent="0.25">
      <c r="C13" s="482">
        <v>5</v>
      </c>
      <c r="D13" s="157" t="s">
        <v>290</v>
      </c>
      <c r="E13" s="158" t="s">
        <v>266</v>
      </c>
      <c r="F13" s="158" t="s">
        <v>291</v>
      </c>
      <c r="G13" s="168" t="s">
        <v>268</v>
      </c>
      <c r="H13" s="169"/>
    </row>
    <row r="14" spans="3:10" ht="79.5" thickBot="1" x14ac:dyDescent="0.3">
      <c r="C14" s="476"/>
      <c r="D14" s="159" t="s">
        <v>292</v>
      </c>
      <c r="E14" s="160" t="s">
        <v>293</v>
      </c>
      <c r="F14" s="160" t="s">
        <v>294</v>
      </c>
      <c r="G14" s="160" t="s">
        <v>295</v>
      </c>
    </row>
    <row r="15" spans="3:10" x14ac:dyDescent="0.25">
      <c r="C15" s="475">
        <v>6</v>
      </c>
      <c r="D15" s="157" t="s">
        <v>296</v>
      </c>
      <c r="E15" s="158" t="s">
        <v>266</v>
      </c>
      <c r="F15" s="477" t="s">
        <v>297</v>
      </c>
      <c r="G15" s="168" t="s">
        <v>268</v>
      </c>
      <c r="H15" s="169"/>
    </row>
    <row r="16" spans="3:10" ht="79.5" thickBot="1" x14ac:dyDescent="0.3">
      <c r="C16" s="476"/>
      <c r="D16" s="159" t="s">
        <v>298</v>
      </c>
      <c r="E16" s="160" t="s">
        <v>299</v>
      </c>
      <c r="F16" s="478"/>
      <c r="G16" s="160" t="s">
        <v>300</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2023-12-12T16:00:21Z</dcterms:modified>
  <cp:category/>
  <cp:contentStatus/>
</cp:coreProperties>
</file>