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24226"/>
  <mc:AlternateContent xmlns:mc="http://schemas.openxmlformats.org/markup-compatibility/2006">
    <mc:Choice Requires="x15">
      <x15ac:absPath xmlns:x15ac="http://schemas.microsoft.com/office/spreadsheetml/2010/11/ac" url="https://gobiernobogota-my.sharepoint.com/personal/luisa_ibagon_gobiernobogota_gov_co/Documents/SDG/Planeación Institucional/Publicación de documentos/5. Publicación de documentos/2023/9. Septiembre/Caso HOLA 346062/"/>
    </mc:Choice>
  </mc:AlternateContent>
  <xr:revisionPtr revIDLastSave="17" documentId="13_ncr:1_{BA577550-1210-40DD-B44B-32C57B53F27E}" xr6:coauthVersionLast="47" xr6:coauthVersionMax="47" xr10:uidLastSave="{79E928C9-93B8-4DB0-86A7-021244291001}"/>
  <bookViews>
    <workbookView xWindow="-120" yWindow="-120" windowWidth="20730" windowHeight="11160" tabRatio="882" activeTab="2" xr2:uid="{00000000-000D-0000-FFFF-FFFF00000000}"/>
  </bookViews>
  <sheets>
    <sheet name="Instructivo" sheetId="20" r:id="rId1"/>
    <sheet name="Contexto proceso" sheetId="21" r:id="rId2"/>
    <sheet name="Mapa final"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 r:id="rId13"/>
    <externalReference r:id="rId14"/>
    <externalReference r:id="rId15"/>
  </externalReferences>
  <definedNames>
    <definedName name="_1_SE">#REF!</definedName>
    <definedName name="A">#REF!</definedName>
    <definedName name="AA">#REF!</definedName>
    <definedName name="aaaa">#REF!</definedName>
    <definedName name="accion">#REF!</definedName>
    <definedName name="AGENTE">#REF!</definedName>
    <definedName name="AREA_IMPACTO">#REF!</definedName>
    <definedName name="areaimpacto">'[1]SM-FO-27'!$BQ$476:$BQ$482</definedName>
    <definedName name="B">#REF!</definedName>
    <definedName name="CALIFICACION">#REF!</definedName>
    <definedName name="CAUSAS">[2]CAUSAS!$C$6:$O$11</definedName>
    <definedName name="cl">'[1]SM-FO-27'!#REF!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ODIGO">#REF!</definedName>
    <definedName name="CODIGO_RIESGO">#REF!</definedName>
    <definedName name="CODIGO1">#REF!</definedName>
    <definedName name="Con">#REF!</definedName>
    <definedName name="CONFLICTOS_SOCIALES">#REF!</definedName>
    <definedName name="CONTROL">'[2]NO BORRAR'!$C$41:$C$53</definedName>
    <definedName name="Control_Existente">[3]Hoja4!$H$3:$H$4</definedName>
    <definedName name="CONTROLES">#REF!</definedName>
    <definedName name="DIRECCION_ACTIVIDADES_MARITIMAS">#REF!</definedName>
    <definedName name="ESTABILIDAD_POLITICA">#REF!</definedName>
    <definedName name="EVENTOS_NATURALES">#REF!</definedName>
    <definedName name="FRECUENCIA">#REF!</definedName>
    <definedName name="FUENTE">#REF!</definedName>
    <definedName name="FUENTES_RIESGO">#REF!</definedName>
    <definedName name="fuentesriesgo">'[1]SM-FO-27'!$BP$476:$BP$480</definedName>
    <definedName name="g">#REF!</definedName>
    <definedName name="GRAVEDAD">#REF!</definedName>
    <definedName name="Impacto">[3]Hoja4!$F$3:$F$7</definedName>
    <definedName name="INSTALACIONES">#REF!</definedName>
    <definedName name="LET">#REF!</definedName>
    <definedName name="MACROPROCESO">#REF!</definedName>
    <definedName name="nivelorgriesgo">'[1]SM-FO-27'!$BR$481:$BR$483</definedName>
    <definedName name="NN">#REF!</definedName>
    <definedName name="NOMBRE_RIESGO">#REF!</definedName>
    <definedName name="NUM">#REF!</definedName>
    <definedName name="OBJETIVOS">#REF!</definedName>
    <definedName name="PERSONAS">#REF!</definedName>
    <definedName name="PESO">#REF!</definedName>
    <definedName name="POLITICA">'[2]NO BORRAR'!$C$3:$C$17</definedName>
    <definedName name="POLITICAS_GUBERNAMENTALES">#REF!</definedName>
    <definedName name="Probabilidad">[3]Hoja4!$E$3:$E$7</definedName>
    <definedName name="PROCEDIMIENTO">#REF!</definedName>
    <definedName name="PROCESO">#REF!</definedName>
    <definedName name="PUNTAJE">#REF!</definedName>
    <definedName name="PUNTAJEF">#REF!</definedName>
    <definedName name="PUNTAJEG">#REF!</definedName>
    <definedName name="q">#REF!</definedName>
    <definedName name="RELACIONADO">#REF!</definedName>
    <definedName name="RESPUESTA">'[2]NO BORRAR'!$G$1:$G$5</definedName>
    <definedName name="RIESGOS">#REF!</definedName>
    <definedName name="SE">#REF!</definedName>
    <definedName name="SI_NO">'[4]NO BORRAR'!$F$1:$F$2</definedName>
    <definedName name="SINO">#REF!</definedName>
    <definedName name="SISTEMAS">#REF!</definedName>
    <definedName name="TECNOLOGIA">#REF!</definedName>
    <definedName name="Tipificacionriesgo">'[1]SM-FO-27'!$BR$486:$BR$499</definedName>
    <definedName name="TIPO">'[5]Base de Datos'!$A$4:$A$8</definedName>
    <definedName name="Tipo_de_Riesgo">[3]Hoja4!$D$3:$D$9</definedName>
    <definedName name="TIPOACCION">'[2]NO BORRAR'!$I$1:$I$9</definedName>
    <definedName name="TOTAL_PUNTAJE_RIESGO">#REF!</definedName>
    <definedName name="TRATAMIENTO">#REF!</definedName>
    <definedName name="TRATAMIENTO_RIESGO">'[4]NO BORRAR'!$G$1:$G$5</definedName>
    <definedName name="trIANGULO">#REF!</definedName>
    <definedName name="X">#REF!</definedName>
    <definedName name="Y">#REF!</definedName>
    <definedName name="Z">#REF!</definedName>
    <definedName name="zona">#REF!</definedName>
  </definedNames>
  <calcPr calcId="191028"/>
  <pivotCaches>
    <pivotCache cacheId="3" r:id="rId1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5" i="1" l="1"/>
  <c r="Q25" i="1"/>
  <c r="H25" i="1"/>
  <c r="I25" i="1" s="1"/>
  <c r="K77" i="1"/>
  <c r="K74" i="1"/>
  <c r="K72" i="1"/>
  <c r="K46" i="1"/>
  <c r="K84" i="1"/>
  <c r="K32" i="1"/>
  <c r="K44" i="1"/>
  <c r="K64" i="1"/>
  <c r="K75" i="1"/>
  <c r="K69" i="1"/>
  <c r="K45" i="1"/>
  <c r="K53" i="1"/>
  <c r="K63" i="1"/>
  <c r="K42" i="1"/>
  <c r="K50" i="1"/>
  <c r="K78" i="1"/>
  <c r="K62" i="1"/>
  <c r="K71" i="1"/>
  <c r="K54" i="1"/>
  <c r="K39" i="1"/>
  <c r="K80" i="1"/>
  <c r="K65" i="1"/>
  <c r="K81" i="1"/>
  <c r="K52" i="1"/>
  <c r="K56" i="1"/>
  <c r="K36" i="1"/>
  <c r="K34" i="1"/>
  <c r="K70" i="1"/>
  <c r="K33" i="1"/>
  <c r="K47" i="1"/>
  <c r="K41" i="1"/>
  <c r="K48" i="1"/>
  <c r="K57" i="1"/>
  <c r="K35" i="1"/>
  <c r="K51" i="1"/>
  <c r="K82" i="1"/>
  <c r="K38" i="1"/>
  <c r="K83" i="1"/>
  <c r="K68" i="1"/>
  <c r="K58" i="1"/>
  <c r="K40" i="1"/>
  <c r="K66" i="1"/>
  <c r="K76" i="1"/>
  <c r="K59" i="1"/>
  <c r="K60" i="1"/>
  <c r="F221" i="13" l="1"/>
  <c r="F211" i="13"/>
  <c r="F212" i="13"/>
  <c r="F213" i="13"/>
  <c r="F214" i="13"/>
  <c r="F215" i="13"/>
  <c r="F216" i="13"/>
  <c r="F217" i="13"/>
  <c r="F218" i="13"/>
  <c r="F219" i="13"/>
  <c r="F220" i="13"/>
  <c r="F210" i="13"/>
  <c r="K30" i="1"/>
  <c r="K29" i="1"/>
  <c r="K26" i="1"/>
  <c r="K27" i="1"/>
  <c r="B221" i="13" a="1"/>
  <c r="K28" i="1"/>
  <c r="B221" i="13" l="1"/>
  <c r="Q67" i="1"/>
  <c r="Q62" i="1"/>
  <c r="Q56"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84" i="1" l="1"/>
  <c r="Q84" i="1"/>
  <c r="T83" i="1"/>
  <c r="Q83" i="1"/>
  <c r="T82" i="1"/>
  <c r="Q82" i="1"/>
  <c r="T81" i="1"/>
  <c r="Q81" i="1"/>
  <c r="T80" i="1"/>
  <c r="Q80" i="1"/>
  <c r="T79" i="1"/>
  <c r="Q79" i="1"/>
  <c r="H79" i="1"/>
  <c r="I79" i="1" s="1"/>
  <c r="T78" i="1"/>
  <c r="Q78" i="1"/>
  <c r="T77" i="1"/>
  <c r="Q77" i="1"/>
  <c r="T76" i="1"/>
  <c r="Q76" i="1"/>
  <c r="T75" i="1"/>
  <c r="Q75" i="1"/>
  <c r="T74" i="1"/>
  <c r="Q74" i="1"/>
  <c r="T73" i="1"/>
  <c r="Q73" i="1"/>
  <c r="H73" i="1"/>
  <c r="I73" i="1" s="1"/>
  <c r="T72" i="1"/>
  <c r="Q72" i="1"/>
  <c r="T71" i="1"/>
  <c r="Q71" i="1"/>
  <c r="T70" i="1"/>
  <c r="Q70" i="1"/>
  <c r="T69" i="1"/>
  <c r="Q69" i="1"/>
  <c r="T68" i="1"/>
  <c r="Q68" i="1"/>
  <c r="AB68" i="1" s="1"/>
  <c r="T67" i="1"/>
  <c r="H67" i="1"/>
  <c r="I67" i="1" s="1"/>
  <c r="T66" i="1"/>
  <c r="Q66" i="1"/>
  <c r="T65" i="1"/>
  <c r="Q65" i="1"/>
  <c r="T64" i="1"/>
  <c r="Q64" i="1"/>
  <c r="T63" i="1"/>
  <c r="Q63" i="1"/>
  <c r="T62" i="1"/>
  <c r="T61" i="1"/>
  <c r="Q61" i="1"/>
  <c r="AB62" i="1" s="1"/>
  <c r="H61" i="1"/>
  <c r="I61" i="1" s="1"/>
  <c r="T60" i="1"/>
  <c r="Q60" i="1"/>
  <c r="T59" i="1"/>
  <c r="Q59" i="1"/>
  <c r="T58" i="1"/>
  <c r="Q58" i="1"/>
  <c r="T57" i="1"/>
  <c r="Q57" i="1"/>
  <c r="T56" i="1"/>
  <c r="T55" i="1"/>
  <c r="Q55" i="1"/>
  <c r="AB56" i="1" s="1"/>
  <c r="H55" i="1"/>
  <c r="I55" i="1" s="1"/>
  <c r="T54" i="1"/>
  <c r="Q54" i="1"/>
  <c r="T53" i="1"/>
  <c r="Q53" i="1"/>
  <c r="T52" i="1"/>
  <c r="Q52" i="1"/>
  <c r="T51" i="1"/>
  <c r="Q51" i="1"/>
  <c r="T50" i="1"/>
  <c r="Q50" i="1"/>
  <c r="T49" i="1"/>
  <c r="Q49" i="1"/>
  <c r="H49" i="1"/>
  <c r="I49" i="1" s="1"/>
  <c r="T43" i="1"/>
  <c r="H43" i="1"/>
  <c r="I43" i="1" s="1"/>
  <c r="T37" i="1"/>
  <c r="H37" i="1"/>
  <c r="I37" i="1" s="1"/>
  <c r="H31" i="1"/>
  <c r="T31" i="1"/>
  <c r="Q31" i="1"/>
  <c r="AB80" i="1" l="1"/>
  <c r="AB50" i="1"/>
  <c r="AB74" i="1"/>
  <c r="AB65" i="1"/>
  <c r="AA65" i="1" s="1"/>
  <c r="AB66" i="1"/>
  <c r="AA66" i="1" s="1"/>
  <c r="I31" i="1"/>
  <c r="X31" i="1" s="1"/>
  <c r="X79" i="1"/>
  <c r="X73" i="1"/>
  <c r="X67" i="1"/>
  <c r="X61" i="1"/>
  <c r="X65" i="1"/>
  <c r="X66" i="1"/>
  <c r="X55" i="1"/>
  <c r="X49" i="1"/>
  <c r="X43" i="1"/>
  <c r="X37" i="1"/>
  <c r="Y79" i="1" l="1"/>
  <c r="Z79" i="1"/>
  <c r="X80" i="1" s="1"/>
  <c r="Y80" i="1" s="1"/>
  <c r="Y73" i="1"/>
  <c r="Z73" i="1"/>
  <c r="X74" i="1" s="1"/>
  <c r="Z74" i="1" s="1"/>
  <c r="X75" i="1" s="1"/>
  <c r="Y67" i="1"/>
  <c r="Z67" i="1"/>
  <c r="X68" i="1" s="1"/>
  <c r="Z68" i="1" s="1"/>
  <c r="X69" i="1" s="1"/>
  <c r="Y66" i="1"/>
  <c r="Z66" i="1"/>
  <c r="Y65" i="1"/>
  <c r="Z65" i="1"/>
  <c r="Y61" i="1"/>
  <c r="Z61" i="1"/>
  <c r="Y55" i="1"/>
  <c r="Z55" i="1"/>
  <c r="X56" i="1" s="1"/>
  <c r="Z56" i="1" s="1"/>
  <c r="X57" i="1" s="1"/>
  <c r="Y49" i="1"/>
  <c r="Z49" i="1"/>
  <c r="Y43" i="1"/>
  <c r="Z43" i="1"/>
  <c r="X44" i="1" s="1"/>
  <c r="X45" i="1" s="1"/>
  <c r="Y37" i="1"/>
  <c r="Z37" i="1"/>
  <c r="X38" i="1" s="1"/>
  <c r="Y31" i="1"/>
  <c r="Z31" i="1"/>
  <c r="X32" i="1" s="1"/>
  <c r="Y74" i="1" l="1"/>
  <c r="Y68" i="1"/>
  <c r="X39" i="1"/>
  <c r="Y56" i="1"/>
  <c r="Y57" i="1"/>
  <c r="Z57" i="1"/>
  <c r="Z75" i="1"/>
  <c r="X76" i="1" s="1"/>
  <c r="Y75" i="1"/>
  <c r="Z69" i="1"/>
  <c r="X70" i="1" s="1"/>
  <c r="Y69" i="1"/>
  <c r="Z80" i="1"/>
  <c r="X81" i="1" s="1"/>
  <c r="X50" i="1"/>
  <c r="X62" i="1"/>
  <c r="X6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65" i="1"/>
  <c r="AC66" i="1"/>
  <c r="Y76" i="1" l="1"/>
  <c r="Z76" i="1"/>
  <c r="Y70" i="1"/>
  <c r="Z70" i="1"/>
  <c r="X71" i="1" s="1"/>
  <c r="X40" i="1"/>
  <c r="Y63" i="1"/>
  <c r="Z63" i="1"/>
  <c r="X64" i="1" s="1"/>
  <c r="Y81" i="1"/>
  <c r="Z81" i="1"/>
  <c r="X82" i="1" s="1"/>
  <c r="Y62" i="1"/>
  <c r="Z62" i="1"/>
  <c r="X58" i="1"/>
  <c r="Y50" i="1"/>
  <c r="Z50" i="1"/>
  <c r="X51" i="1" s="1"/>
  <c r="Y51" i="1" s="1"/>
  <c r="X47" i="1"/>
  <c r="X46" i="1"/>
  <c r="X33" i="1"/>
  <c r="Z51" i="1" l="1"/>
  <c r="X52" i="1" s="1"/>
  <c r="Z52" i="1" s="1"/>
  <c r="X53" i="1" s="1"/>
  <c r="Y71" i="1"/>
  <c r="Z71" i="1"/>
  <c r="X72" i="1" s="1"/>
  <c r="X77" i="1"/>
  <c r="X78" i="1"/>
  <c r="Y58" i="1"/>
  <c r="Z58" i="1"/>
  <c r="X59" i="1" s="1"/>
  <c r="Y59" i="1" s="1"/>
  <c r="Y64" i="1"/>
  <c r="Z64" i="1"/>
  <c r="X41" i="1"/>
  <c r="Z82" i="1"/>
  <c r="Y82" i="1"/>
  <c r="X48" i="1"/>
  <c r="X34" i="1"/>
  <c r="Y52" i="1" l="1"/>
  <c r="Y78" i="1"/>
  <c r="Z78" i="1"/>
  <c r="Y77" i="1"/>
  <c r="Z77" i="1"/>
  <c r="Y72" i="1"/>
  <c r="Z72" i="1"/>
  <c r="X83" i="1"/>
  <c r="X84" i="1"/>
  <c r="Z59" i="1"/>
  <c r="X60" i="1" s="1"/>
  <c r="Y60" i="1" s="1"/>
  <c r="Z53" i="1"/>
  <c r="X54" i="1" s="1"/>
  <c r="Y53" i="1"/>
  <c r="X42" i="1"/>
  <c r="X35" i="1"/>
  <c r="X36" i="1" s="1"/>
  <c r="X25" i="1"/>
  <c r="Y25" i="1" s="1"/>
  <c r="Y84" i="1" l="1"/>
  <c r="Z84" i="1"/>
  <c r="Y83" i="1"/>
  <c r="Z83" i="1"/>
  <c r="Y54" i="1"/>
  <c r="Z54" i="1"/>
  <c r="Z60" i="1"/>
  <c r="Z25" i="1" l="1"/>
  <c r="X26" i="1" s="1"/>
  <c r="X27" i="1" l="1"/>
  <c r="X28" i="1" l="1"/>
  <c r="X29" i="1" l="1"/>
  <c r="X30" i="1" l="1"/>
  <c r="AB81" i="1" l="1"/>
  <c r="AB73" i="1"/>
  <c r="AB55" i="1"/>
  <c r="AA55" i="1" s="1"/>
  <c r="AB67" i="1"/>
  <c r="AA67" i="1" s="1"/>
  <c r="AB61" i="1"/>
  <c r="AA61" i="1" s="1"/>
  <c r="AB49" i="1"/>
  <c r="AA49" i="1" s="1"/>
  <c r="J40" i="19" l="1"/>
  <c r="V30" i="19"/>
  <c r="AH20" i="19"/>
  <c r="J30" i="19"/>
  <c r="V20" i="19"/>
  <c r="AH10" i="19"/>
  <c r="P10" i="19"/>
  <c r="AB50" i="19"/>
  <c r="J50" i="19"/>
  <c r="AB40" i="19"/>
  <c r="P30" i="19"/>
  <c r="V50" i="19"/>
  <c r="P50" i="19"/>
  <c r="AB10" i="19"/>
  <c r="AH30" i="19"/>
  <c r="AH40" i="19"/>
  <c r="J10" i="19"/>
  <c r="AB20" i="19"/>
  <c r="AH50" i="19"/>
  <c r="AC49" i="1"/>
  <c r="V10" i="19"/>
  <c r="P20" i="19"/>
  <c r="J20" i="19"/>
  <c r="P40" i="19"/>
  <c r="V40" i="19"/>
  <c r="AB30" i="19"/>
  <c r="J11" i="19"/>
  <c r="V11" i="19"/>
  <c r="AB21" i="19"/>
  <c r="P31" i="19"/>
  <c r="J31" i="19"/>
  <c r="AB41" i="19"/>
  <c r="AC55" i="1"/>
  <c r="AH41" i="19"/>
  <c r="P41" i="19"/>
  <c r="J21" i="19"/>
  <c r="AB31" i="19"/>
  <c r="AB51" i="19"/>
  <c r="P21" i="19"/>
  <c r="V41" i="19"/>
  <c r="V31" i="19"/>
  <c r="AH21" i="19"/>
  <c r="AB11" i="19"/>
  <c r="P51" i="19"/>
  <c r="V21" i="19"/>
  <c r="AH31" i="19"/>
  <c r="V51" i="19"/>
  <c r="J51" i="19"/>
  <c r="AH51" i="19"/>
  <c r="AH11" i="19"/>
  <c r="J41" i="19"/>
  <c r="P11" i="19"/>
  <c r="AC67"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73" i="1"/>
  <c r="AA80" i="1"/>
  <c r="AA81" i="1"/>
  <c r="AB82" i="1"/>
  <c r="AB51" i="1"/>
  <c r="AA50" i="1"/>
  <c r="AA56" i="1"/>
  <c r="AB57" i="1"/>
  <c r="AA57" i="1" s="1"/>
  <c r="AB58" i="1"/>
  <c r="V32" i="19"/>
  <c r="P42" i="19"/>
  <c r="J12" i="19"/>
  <c r="J32" i="19"/>
  <c r="AB52" i="19"/>
  <c r="AC61" i="1"/>
  <c r="J22" i="19"/>
  <c r="V22" i="19"/>
  <c r="J52" i="19"/>
  <c r="AH12" i="19"/>
  <c r="J42" i="19"/>
  <c r="AH42" i="19"/>
  <c r="P32" i="19"/>
  <c r="AB12" i="19"/>
  <c r="AH32" i="19"/>
  <c r="AB32" i="19"/>
  <c r="AB42" i="19"/>
  <c r="V42" i="19"/>
  <c r="V12" i="19"/>
  <c r="V52" i="19"/>
  <c r="AB22" i="19"/>
  <c r="AH52" i="19"/>
  <c r="AH22" i="19"/>
  <c r="P22" i="19"/>
  <c r="P12" i="19"/>
  <c r="P52" i="19"/>
  <c r="AB63" i="1"/>
  <c r="AA63" i="1" s="1"/>
  <c r="AB64" i="1"/>
  <c r="AA64" i="1" s="1"/>
  <c r="AA62" i="1"/>
  <c r="AA68" i="1"/>
  <c r="AB69" i="1"/>
  <c r="AA74" i="1"/>
  <c r="AB75"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82" i="1"/>
  <c r="AB83" i="1"/>
  <c r="K35" i="19"/>
  <c r="AC25" i="19"/>
  <c r="K45" i="19"/>
  <c r="AI45" i="19"/>
  <c r="W45" i="19"/>
  <c r="Q35" i="19"/>
  <c r="K55" i="19"/>
  <c r="AC15" i="19"/>
  <c r="Q15" i="19"/>
  <c r="AC35" i="19"/>
  <c r="AI35" i="19"/>
  <c r="Q55" i="19"/>
  <c r="AI25" i="19"/>
  <c r="AC80"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74"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56" i="1"/>
  <c r="AD55" i="19"/>
  <c r="R15" i="19"/>
  <c r="AJ35" i="19"/>
  <c r="AC81"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73"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63" i="1"/>
  <c r="AD12" i="19"/>
  <c r="AD32" i="19"/>
  <c r="AD22" i="19"/>
  <c r="X52" i="19"/>
  <c r="AD52" i="19"/>
  <c r="L42" i="19"/>
  <c r="R42" i="19"/>
  <c r="AJ21" i="19"/>
  <c r="AD31" i="19"/>
  <c r="R21" i="19"/>
  <c r="AD41" i="19"/>
  <c r="AJ11" i="19"/>
  <c r="AJ51" i="19"/>
  <c r="AC57" i="1"/>
  <c r="L41" i="19"/>
  <c r="AD11" i="19"/>
  <c r="L21" i="19"/>
  <c r="L11" i="19"/>
  <c r="X51" i="19"/>
  <c r="X21" i="19"/>
  <c r="R11" i="19"/>
  <c r="R31" i="19"/>
  <c r="AJ41" i="19"/>
  <c r="L31" i="19"/>
  <c r="R51" i="19"/>
  <c r="X31" i="19"/>
  <c r="X11" i="19"/>
  <c r="X41" i="19"/>
  <c r="AJ31" i="19"/>
  <c r="AD51" i="19"/>
  <c r="R41" i="19"/>
  <c r="AD21" i="19"/>
  <c r="L51" i="19"/>
  <c r="AA69" i="1"/>
  <c r="AB70" i="1"/>
  <c r="K42" i="19"/>
  <c r="AC32" i="19"/>
  <c r="W42" i="19"/>
  <c r="AI52" i="19"/>
  <c r="K22" i="19"/>
  <c r="Q32" i="19"/>
  <c r="AI12" i="19"/>
  <c r="AC52" i="19"/>
  <c r="Q42" i="19"/>
  <c r="AC42" i="19"/>
  <c r="K12" i="19"/>
  <c r="Q22" i="19"/>
  <c r="W52" i="19"/>
  <c r="AI42" i="19"/>
  <c r="W32" i="19"/>
  <c r="AI22" i="19"/>
  <c r="W12" i="19"/>
  <c r="AI32" i="19"/>
  <c r="AC12" i="19"/>
  <c r="Q12" i="19"/>
  <c r="Q52" i="19"/>
  <c r="AC62" i="1"/>
  <c r="K32" i="19"/>
  <c r="W22" i="19"/>
  <c r="K52" i="19"/>
  <c r="AC22" i="19"/>
  <c r="AC40" i="19"/>
  <c r="W10" i="19"/>
  <c r="AC50" i="19"/>
  <c r="Q10" i="19"/>
  <c r="Q30" i="19"/>
  <c r="W50" i="19"/>
  <c r="K40" i="19"/>
  <c r="Q50" i="19"/>
  <c r="W20" i="19"/>
  <c r="AC50"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75" i="1"/>
  <c r="AB76"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68" i="1"/>
  <c r="Q33" i="19"/>
  <c r="AI23" i="19"/>
  <c r="K53" i="19"/>
  <c r="AC23" i="19"/>
  <c r="AC13" i="19"/>
  <c r="W23" i="19"/>
  <c r="W33" i="19"/>
  <c r="Q13" i="19"/>
  <c r="W13" i="19"/>
  <c r="AI13" i="19"/>
  <c r="Q43" i="19"/>
  <c r="Q23" i="19"/>
  <c r="W53" i="19"/>
  <c r="M12" i="19"/>
  <c r="AK42" i="19"/>
  <c r="AE32" i="19"/>
  <c r="AC64" i="1"/>
  <c r="M52" i="19"/>
  <c r="S12" i="19"/>
  <c r="M32" i="19"/>
  <c r="S52" i="19"/>
  <c r="Y52" i="19"/>
  <c r="Y42" i="19"/>
  <c r="AK12" i="19"/>
  <c r="S22" i="19"/>
  <c r="AE12" i="19"/>
  <c r="Y22" i="19"/>
  <c r="S32" i="19"/>
  <c r="AK52" i="19"/>
  <c r="M22" i="19"/>
  <c r="AK32" i="19"/>
  <c r="AE22" i="19"/>
  <c r="AE42" i="19"/>
  <c r="Y32" i="19"/>
  <c r="M42" i="19"/>
  <c r="Y12" i="19"/>
  <c r="AE52" i="19"/>
  <c r="AK22" i="19"/>
  <c r="S42" i="19"/>
  <c r="AA58" i="1"/>
  <c r="AB60" i="1"/>
  <c r="AA60" i="1" s="1"/>
  <c r="AB59" i="1"/>
  <c r="AA59" i="1" s="1"/>
  <c r="AA51" i="1"/>
  <c r="AB52"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R40" i="19" l="1"/>
  <c r="AD10" i="19"/>
  <c r="X40" i="19"/>
  <c r="AJ10" i="19"/>
  <c r="R50" i="19"/>
  <c r="X10" i="19"/>
  <c r="R30" i="19"/>
  <c r="AC51" i="1"/>
  <c r="L10" i="19"/>
  <c r="L50" i="19"/>
  <c r="AJ20" i="19"/>
  <c r="AJ40" i="19"/>
  <c r="AD30" i="19"/>
  <c r="R20" i="19"/>
  <c r="AD50" i="19"/>
  <c r="AJ30" i="19"/>
  <c r="AJ50" i="19"/>
  <c r="X30" i="19"/>
  <c r="AD20" i="19"/>
  <c r="L40" i="19"/>
  <c r="X50" i="19"/>
  <c r="X20" i="19"/>
  <c r="AD40" i="19"/>
  <c r="R10" i="19"/>
  <c r="L30" i="19"/>
  <c r="L20" i="19"/>
  <c r="AA70" i="1"/>
  <c r="AB71" i="1"/>
  <c r="AA83" i="1"/>
  <c r="AB84" i="1"/>
  <c r="AA84"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69" i="1"/>
  <c r="X23" i="19"/>
  <c r="R33" i="19"/>
  <c r="R43" i="19"/>
  <c r="AD53" i="19"/>
  <c r="AJ13" i="19"/>
  <c r="R23" i="19"/>
  <c r="R13" i="19"/>
  <c r="AJ53" i="19"/>
  <c r="L33" i="19"/>
  <c r="L23" i="19"/>
  <c r="X43" i="19"/>
  <c r="X53" i="19"/>
  <c r="AD13" i="19"/>
  <c r="L53" i="19"/>
  <c r="L13" i="19"/>
  <c r="AD23" i="19"/>
  <c r="AJ33" i="19"/>
  <c r="AJ23" i="19"/>
  <c r="R53" i="19"/>
  <c r="M55" i="19"/>
  <c r="AK15" i="19"/>
  <c r="AE25" i="19"/>
  <c r="AC82"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59"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60" i="1"/>
  <c r="AG11" i="19"/>
  <c r="AM41" i="19"/>
  <c r="AA21" i="19"/>
  <c r="AA51" i="19"/>
  <c r="U51" i="19"/>
  <c r="U31" i="19"/>
  <c r="AA11" i="19"/>
  <c r="AG21" i="19"/>
  <c r="O31" i="19"/>
  <c r="AA76" i="1"/>
  <c r="AB77"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52" i="1"/>
  <c r="AB53" i="1"/>
  <c r="AE11" i="19"/>
  <c r="Y41" i="19"/>
  <c r="M41" i="19"/>
  <c r="Y21" i="19"/>
  <c r="AK41" i="19"/>
  <c r="S31" i="19"/>
  <c r="M31" i="19"/>
  <c r="M51" i="19"/>
  <c r="Y51" i="19"/>
  <c r="AK21" i="19"/>
  <c r="AK31" i="19"/>
  <c r="Y11" i="19"/>
  <c r="AE41" i="19"/>
  <c r="AE21" i="19"/>
  <c r="S51" i="19"/>
  <c r="AE51" i="19"/>
  <c r="AK51" i="19"/>
  <c r="M21" i="19"/>
  <c r="AE31" i="19"/>
  <c r="AC58" i="1"/>
  <c r="S41" i="19"/>
  <c r="AK11" i="19"/>
  <c r="S11" i="19"/>
  <c r="Y31" i="19"/>
  <c r="S21" i="19"/>
  <c r="M11" i="19"/>
  <c r="L54" i="19"/>
  <c r="AJ14" i="19"/>
  <c r="AD44" i="19"/>
  <c r="X54" i="19"/>
  <c r="R14" i="19"/>
  <c r="AD24" i="19"/>
  <c r="AD34" i="19"/>
  <c r="R54" i="19"/>
  <c r="L34" i="19"/>
  <c r="AJ34" i="19"/>
  <c r="X24" i="19"/>
  <c r="AJ24" i="19"/>
  <c r="X44" i="19"/>
  <c r="R24" i="19"/>
  <c r="AC75"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53" i="1" l="1"/>
  <c r="AB54" i="1"/>
  <c r="AA54"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76"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84" i="1"/>
  <c r="AG15" i="19"/>
  <c r="U15" i="19"/>
  <c r="AG55" i="19"/>
  <c r="U55" i="19"/>
  <c r="AE40" i="19"/>
  <c r="Y30" i="19"/>
  <c r="M20" i="19"/>
  <c r="AC52"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83"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71" i="1"/>
  <c r="AB72" i="1"/>
  <c r="AA72"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77" i="1"/>
  <c r="AB78" i="1"/>
  <c r="AA78"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70"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78" i="1"/>
  <c r="AA14" i="19"/>
  <c r="O54" i="19"/>
  <c r="U44" i="19"/>
  <c r="U43" i="19"/>
  <c r="U13" i="19"/>
  <c r="AM53" i="19"/>
  <c r="AA53" i="19"/>
  <c r="AA43" i="19"/>
  <c r="O53" i="19"/>
  <c r="O23" i="19"/>
  <c r="O13" i="19"/>
  <c r="AG43" i="19"/>
  <c r="U33" i="19"/>
  <c r="U23" i="19"/>
  <c r="AM13" i="19"/>
  <c r="AM23" i="19"/>
  <c r="AG13" i="19"/>
  <c r="AA23" i="19"/>
  <c r="AG33" i="19"/>
  <c r="AA33" i="19"/>
  <c r="AM33" i="19"/>
  <c r="AA13" i="19"/>
  <c r="AC72"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77" i="1"/>
  <c r="AF53" i="19"/>
  <c r="T43" i="19"/>
  <c r="Z53" i="19"/>
  <c r="N43" i="19"/>
  <c r="T23" i="19"/>
  <c r="AF43" i="19"/>
  <c r="Z13" i="19"/>
  <c r="Z43" i="19"/>
  <c r="AF23" i="19"/>
  <c r="AL13" i="19"/>
  <c r="Z23" i="19"/>
  <c r="AL43" i="19"/>
  <c r="AF13" i="19"/>
  <c r="AL23" i="19"/>
  <c r="N13" i="19"/>
  <c r="T33" i="19"/>
  <c r="AL53" i="19"/>
  <c r="N23" i="19"/>
  <c r="N53" i="19"/>
  <c r="AF33" i="19"/>
  <c r="N33" i="19"/>
  <c r="AC71"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54"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53"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55" i="1" l="1"/>
  <c r="L55" i="1" s="1"/>
  <c r="K25" i="1"/>
  <c r="L25" i="1" s="1"/>
  <c r="K43" i="1"/>
  <c r="L43" i="1" s="1"/>
  <c r="K37" i="1"/>
  <c r="L37" i="1" s="1"/>
  <c r="K67" i="1"/>
  <c r="L67" i="1" s="1"/>
  <c r="K61" i="1"/>
  <c r="L61" i="1" s="1"/>
  <c r="K49" i="1"/>
  <c r="L49" i="1" s="1"/>
  <c r="K31" i="1"/>
  <c r="L31" i="1" s="1"/>
  <c r="K79" i="1"/>
  <c r="L79" i="1" s="1"/>
  <c r="K73" i="1"/>
  <c r="L73" i="1" s="1"/>
  <c r="X6" i="18" l="1"/>
  <c r="AJ30" i="18"/>
  <c r="R22" i="18"/>
  <c r="L6" i="18"/>
  <c r="R30" i="18"/>
  <c r="X22" i="18"/>
  <c r="X38" i="18"/>
  <c r="AD38" i="18"/>
  <c r="N31" i="1"/>
  <c r="AD22" i="18"/>
  <c r="M31" i="1"/>
  <c r="AB31" i="1" s="1"/>
  <c r="AA31"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49" i="1"/>
  <c r="L32" i="18"/>
  <c r="X8" i="18"/>
  <c r="X24" i="18"/>
  <c r="AJ8" i="18"/>
  <c r="M49" i="1"/>
  <c r="R40" i="18"/>
  <c r="L40" i="18"/>
  <c r="X16" i="18"/>
  <c r="L24" i="18"/>
  <c r="AJ24" i="18"/>
  <c r="X32" i="18"/>
  <c r="AJ40" i="18"/>
  <c r="R16" i="18"/>
  <c r="AD40" i="18"/>
  <c r="AD32" i="18"/>
  <c r="AD16" i="18"/>
  <c r="M61" i="1"/>
  <c r="J42" i="18"/>
  <c r="P34" i="18"/>
  <c r="AB18" i="18"/>
  <c r="AB42" i="18"/>
  <c r="AH34" i="18"/>
  <c r="P10" i="18"/>
  <c r="V34" i="18"/>
  <c r="P42" i="18"/>
  <c r="V42" i="18"/>
  <c r="AH42" i="18"/>
  <c r="AB26" i="18"/>
  <c r="AH26" i="18"/>
  <c r="V26" i="18"/>
  <c r="AB34" i="18"/>
  <c r="V10" i="18"/>
  <c r="AH18" i="18"/>
  <c r="J34" i="18"/>
  <c r="J10" i="18"/>
  <c r="AB10" i="18"/>
  <c r="J18" i="18"/>
  <c r="N61" i="1"/>
  <c r="P26" i="18"/>
  <c r="J26" i="18"/>
  <c r="AH10" i="18"/>
  <c r="P18" i="18"/>
  <c r="V18" i="18"/>
  <c r="X42" i="18"/>
  <c r="AD34" i="18"/>
  <c r="AD10" i="18"/>
  <c r="AD26" i="18"/>
  <c r="L10" i="18"/>
  <c r="L42" i="18"/>
  <c r="L26" i="18"/>
  <c r="X18" i="18"/>
  <c r="X34" i="18"/>
  <c r="X10" i="18"/>
  <c r="R18" i="18"/>
  <c r="AJ10" i="18"/>
  <c r="AD42" i="18"/>
  <c r="AJ34" i="18"/>
  <c r="R26" i="18"/>
  <c r="M67" i="1"/>
  <c r="L18" i="18"/>
  <c r="AJ26" i="18"/>
  <c r="AD18" i="18"/>
  <c r="R34" i="18"/>
  <c r="L34" i="18"/>
  <c r="AJ42" i="18"/>
  <c r="R10" i="18"/>
  <c r="R42" i="18"/>
  <c r="X26" i="18"/>
  <c r="AJ18" i="18"/>
  <c r="N67" i="1"/>
  <c r="T14" i="18"/>
  <c r="AL38" i="18"/>
  <c r="N14" i="18"/>
  <c r="Z6" i="18"/>
  <c r="T38" i="18"/>
  <c r="T22" i="18"/>
  <c r="AL14" i="18"/>
  <c r="N22" i="18"/>
  <c r="N37" i="1"/>
  <c r="AF22" i="18"/>
  <c r="N6" i="18"/>
  <c r="AF6" i="18"/>
  <c r="AF38" i="18"/>
  <c r="M37" i="1"/>
  <c r="AB37" i="1" s="1"/>
  <c r="AA37" i="1" s="1"/>
  <c r="N38" i="18"/>
  <c r="AL30" i="18"/>
  <c r="AL22" i="18"/>
  <c r="T6" i="18"/>
  <c r="AF14" i="18"/>
  <c r="AF30" i="18"/>
  <c r="Z22" i="18"/>
  <c r="T30" i="18"/>
  <c r="Z30" i="18"/>
  <c r="AL6" i="18"/>
  <c r="Z14" i="18"/>
  <c r="Z38" i="18"/>
  <c r="N30" i="18"/>
  <c r="J40" i="18"/>
  <c r="AB40" i="18"/>
  <c r="AH32" i="18"/>
  <c r="AB24" i="18"/>
  <c r="V16" i="18"/>
  <c r="M43" i="1"/>
  <c r="AB43" i="1" s="1"/>
  <c r="AA43" i="1" s="1"/>
  <c r="J16" i="18"/>
  <c r="P32" i="18"/>
  <c r="V24" i="18"/>
  <c r="P24" i="18"/>
  <c r="V40" i="18"/>
  <c r="P16" i="18"/>
  <c r="P40" i="18"/>
  <c r="V32" i="18"/>
  <c r="AH16" i="18"/>
  <c r="AB16" i="18"/>
  <c r="V8" i="18"/>
  <c r="AH24" i="18"/>
  <c r="AH8" i="18"/>
  <c r="AH40" i="18"/>
  <c r="J8" i="18"/>
  <c r="AB32" i="18"/>
  <c r="AB8" i="18"/>
  <c r="J24" i="18"/>
  <c r="J32" i="18"/>
  <c r="P8" i="18"/>
  <c r="N43" i="1"/>
  <c r="Z42" i="18"/>
  <c r="T18" i="18"/>
  <c r="AF34" i="18"/>
  <c r="AF42" i="18"/>
  <c r="N42" i="18"/>
  <c r="Z18" i="18"/>
  <c r="AL10" i="18"/>
  <c r="AL26" i="18"/>
  <c r="AF26" i="18"/>
  <c r="Z10" i="18"/>
  <c r="N18" i="18"/>
  <c r="T26" i="18"/>
  <c r="AF10" i="18"/>
  <c r="T34" i="18"/>
  <c r="N26" i="18"/>
  <c r="AL18" i="18"/>
  <c r="N10" i="18"/>
  <c r="AF18" i="18"/>
  <c r="Z26" i="18"/>
  <c r="AL34" i="18"/>
  <c r="M73" i="1"/>
  <c r="Z34" i="18"/>
  <c r="T10" i="18"/>
  <c r="N73" i="1"/>
  <c r="AL42" i="18"/>
  <c r="N34" i="18"/>
  <c r="T42" i="18"/>
  <c r="P14" i="18"/>
  <c r="V22" i="18"/>
  <c r="V14" i="18"/>
  <c r="P22" i="18"/>
  <c r="V38" i="18"/>
  <c r="AH14" i="18"/>
  <c r="AH38" i="18"/>
  <c r="J14" i="18"/>
  <c r="AB22" i="18"/>
  <c r="V30" i="18"/>
  <c r="AB14" i="18"/>
  <c r="AB38" i="18"/>
  <c r="J30" i="18"/>
  <c r="P38" i="18"/>
  <c r="AB6" i="18"/>
  <c r="M25" i="1"/>
  <c r="AB25" i="1" s="1"/>
  <c r="AA25" i="1" s="1"/>
  <c r="AH30" i="18"/>
  <c r="J38" i="18"/>
  <c r="AH6" i="18"/>
  <c r="V6" i="18"/>
  <c r="AB30" i="18"/>
  <c r="J22" i="18"/>
  <c r="J6" i="18"/>
  <c r="P30" i="18"/>
  <c r="AH22" i="18"/>
  <c r="P6" i="18"/>
  <c r="N25" i="1"/>
  <c r="AH12" i="18"/>
  <c r="J20" i="18"/>
  <c r="J44" i="18"/>
  <c r="AB28" i="18"/>
  <c r="P28" i="18"/>
  <c r="N79" i="1"/>
  <c r="P12" i="18"/>
  <c r="AH20" i="18"/>
  <c r="P44" i="18"/>
  <c r="AB12" i="18"/>
  <c r="P20" i="18"/>
  <c r="J36" i="18"/>
  <c r="P36" i="18"/>
  <c r="AB44" i="18"/>
  <c r="V44" i="18"/>
  <c r="J28" i="18"/>
  <c r="AH36" i="18"/>
  <c r="V12" i="18"/>
  <c r="V28" i="18"/>
  <c r="AH44" i="18"/>
  <c r="AB20" i="18"/>
  <c r="AB36" i="18"/>
  <c r="AH28" i="18"/>
  <c r="V36" i="18"/>
  <c r="V20" i="18"/>
  <c r="M79" i="1"/>
  <c r="AB79" i="1" s="1"/>
  <c r="AA79" i="1" s="1"/>
  <c r="J12" i="18"/>
  <c r="AF24" i="18"/>
  <c r="AF32" i="18"/>
  <c r="T40" i="18"/>
  <c r="M55" i="1"/>
  <c r="Z40" i="18"/>
  <c r="AL8" i="18"/>
  <c r="AF8" i="18"/>
  <c r="T8" i="18"/>
  <c r="Z16" i="18"/>
  <c r="T24" i="18"/>
  <c r="AL24" i="18"/>
  <c r="Z32" i="18"/>
  <c r="N32" i="18"/>
  <c r="N16" i="18"/>
  <c r="Z8" i="18"/>
  <c r="AL40" i="18"/>
  <c r="N8" i="18"/>
  <c r="N24" i="18"/>
  <c r="T32" i="18"/>
  <c r="T16" i="18"/>
  <c r="AF40" i="18"/>
  <c r="AF16" i="18"/>
  <c r="AL32" i="18"/>
  <c r="N40" i="18"/>
  <c r="Z24" i="18"/>
  <c r="AL16" i="18"/>
  <c r="N55" i="1"/>
  <c r="AC37" i="1" l="1"/>
  <c r="AH38" i="19"/>
  <c r="AB18" i="19"/>
  <c r="J18" i="19"/>
  <c r="V48" i="19"/>
  <c r="AH8" i="19"/>
  <c r="V8" i="19"/>
  <c r="AH18" i="19"/>
  <c r="J38" i="19"/>
  <c r="P18" i="19"/>
  <c r="J48" i="19"/>
  <c r="AB8" i="19"/>
  <c r="AB28" i="19"/>
  <c r="AH28" i="19"/>
  <c r="V38" i="19"/>
  <c r="P8" i="19"/>
  <c r="P38" i="19"/>
  <c r="P48" i="19"/>
  <c r="J8" i="19"/>
  <c r="J28" i="19"/>
  <c r="V28" i="19"/>
  <c r="AB48" i="19"/>
  <c r="AH48" i="19"/>
  <c r="V18" i="19"/>
  <c r="P28" i="19"/>
  <c r="AB38" i="19"/>
  <c r="AC43" i="1"/>
  <c r="V9" i="19"/>
  <c r="P49" i="19"/>
  <c r="AB19" i="19"/>
  <c r="AH9" i="19"/>
  <c r="J49" i="19"/>
  <c r="J9" i="19"/>
  <c r="J39" i="19"/>
  <c r="AB39" i="19"/>
  <c r="AH49" i="19"/>
  <c r="J19" i="19"/>
  <c r="V49" i="19"/>
  <c r="P19" i="19"/>
  <c r="P39" i="19"/>
  <c r="V29" i="19"/>
  <c r="AH39" i="19"/>
  <c r="P29" i="19"/>
  <c r="V19" i="19"/>
  <c r="AB49" i="19"/>
  <c r="AH19" i="19"/>
  <c r="AB29" i="19"/>
  <c r="AH29" i="19"/>
  <c r="J29" i="19"/>
  <c r="P9" i="19"/>
  <c r="AB9" i="19"/>
  <c r="V39" i="19"/>
  <c r="AB27" i="19"/>
  <c r="AH37" i="19"/>
  <c r="J7" i="19"/>
  <c r="J17" i="19"/>
  <c r="P27" i="19"/>
  <c r="V37" i="19"/>
  <c r="AB17" i="19"/>
  <c r="V47" i="19"/>
  <c r="AB7" i="19"/>
  <c r="AH17" i="19"/>
  <c r="J37" i="19"/>
  <c r="P17" i="19"/>
  <c r="P7" i="19"/>
  <c r="P47" i="19"/>
  <c r="J47" i="19"/>
  <c r="AC31" i="1"/>
  <c r="V17" i="19"/>
  <c r="AH27" i="19"/>
  <c r="P37" i="19"/>
  <c r="V7" i="19"/>
  <c r="V27" i="19"/>
  <c r="AB37" i="19"/>
  <c r="AH47" i="19"/>
  <c r="AB47" i="19"/>
  <c r="AH7" i="19"/>
  <c r="J27" i="19"/>
  <c r="P16" i="19"/>
  <c r="P6" i="19"/>
  <c r="AH6" i="19"/>
  <c r="V46" i="19"/>
  <c r="AH46" i="19"/>
  <c r="AB46" i="19"/>
  <c r="J6" i="19"/>
  <c r="P46" i="19"/>
  <c r="AB26" i="19"/>
  <c r="AB16" i="19"/>
  <c r="AH26" i="19"/>
  <c r="J16" i="19"/>
  <c r="V26" i="19"/>
  <c r="AH36" i="19"/>
  <c r="P26" i="19"/>
  <c r="V16" i="19"/>
  <c r="V36" i="19"/>
  <c r="AC25"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C79" i="1"/>
  <c r="AB25" i="19"/>
  <c r="AH35" i="19"/>
  <c r="P55" i="19"/>
  <c r="J45" i="19"/>
  <c r="P25" i="19"/>
  <c r="P35" i="19"/>
  <c r="V55"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<sst xmlns="http://schemas.openxmlformats.org/spreadsheetml/2006/main" count="417" uniqueCount="288">
  <si>
    <t>Matriz Mapa de Riesgos</t>
  </si>
  <si>
    <t>|</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</si>
  <si>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</si>
  <si>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</si>
  <si>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Instructivo
-   </t>
    </r>
    <r>
      <rPr>
        <b/>
        <sz val="11"/>
        <rFont val="Arial Narrow"/>
        <family val="2"/>
      </rPr>
      <t xml:space="preserve">Hoja 1 Contexto del proceso:  </t>
    </r>
    <r>
      <rPr>
        <sz val="11"/>
        <rFont val="Arial Narrow"/>
        <family val="2"/>
      </rPr>
      <t xml:space="preserve">Diligenciar analisis DOFA para cada proceso </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</si>
  <si>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</si>
  <si>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</si>
  <si>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</si>
  <si>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</si>
  <si>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</si>
  <si>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</si>
  <si>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</si>
  <si>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</si>
  <si>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</si>
  <si>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</si>
  <si>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</si>
  <si>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</si>
  <si>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</si>
  <si>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</si>
  <si>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</si>
  <si>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</si>
  <si>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</si>
  <si>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</si>
  <si>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</si>
  <si>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</si>
  <si>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</si>
  <si>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</si>
  <si>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</si>
  <si>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</si>
  <si>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</si>
  <si>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</si>
  <si>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</si>
  <si>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</si>
  <si>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</si>
  <si>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</si>
  <si>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</si>
  <si>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</si>
  <si>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</si>
  <si>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</si>
  <si>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</si>
  <si>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</si>
  <si>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</si>
  <si>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</si>
  <si>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</si>
  <si>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</si>
  <si>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</si>
  <si>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</si>
  <si>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</si>
  <si>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</si>
  <si>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</si>
  <si>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</si>
  <si>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</si>
  <si>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</si>
  <si>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</si>
  <si>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</si>
  <si>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</si>
  <si>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</si>
  <si>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</si>
  <si>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</si>
  <si>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</si>
  <si>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ANÁLISIS DOFA        </t>
  </si>
  <si>
    <t>Origen Interno</t>
  </si>
  <si>
    <t>Fortalezas</t>
  </si>
  <si>
    <t>Debilidades</t>
  </si>
  <si>
    <t>F1 El conocimiento explícito está documentado adecuadamente en los procesos</t>
  </si>
  <si>
    <t>D1 Ausencia en medición de las habilidades y competencias del talento humano en materia de analítica institucional.</t>
  </si>
  <si>
    <t>F2  Se cuenta con presupuesto para la ejecución de los proyectos para el fortalecimiento de la capacidad y gestión Institucional de la SDG</t>
  </si>
  <si>
    <t>F3 La entidad en su plataforma estratégica, cuenta con un objetivo estratégico relacionado con el fomento en la gestión del conocimiento y la innovación</t>
  </si>
  <si>
    <t>D2 Deficientes parámetros y procedimientos para la recolección de datos de calidad que permitan llevar a cabo su análisis para la toma de decisiones basadas en evidencia.</t>
  </si>
  <si>
    <t xml:space="preserve">F4  Contar con repositorios de buenas prácticas </t>
  </si>
  <si>
    <t>F5 Contar con herramientas de visualización de datos e información</t>
  </si>
  <si>
    <t>D3 Los controles sobre los riesgos de fuga de capital intelectual deben fortalecerse para evitar la pérdida de conocimiento.</t>
  </si>
  <si>
    <t>F6 Los productos que desarrollan los observatorios de la entidad conforman una base de conocimiento al interior de la SDG.</t>
  </si>
  <si>
    <t>F7 El conocimiento tácito está identificado adecuadamente en los procesos</t>
  </si>
  <si>
    <t>D4 Ausencia en medición de las necesidades de capacitación de acuerdo con el conocimiento requerido en los procesos de la entidad</t>
  </si>
  <si>
    <t>F8 Se cuenta con el laboratorio de innovación como espacio de ideación y experimentación</t>
  </si>
  <si>
    <t>F9 Los contenidos y la forma en que los observatorios comunican la información a sus grupos de valor (procesos internos o externos)</t>
  </si>
  <si>
    <t>Origen Externo</t>
  </si>
  <si>
    <t>Oportunidades</t>
  </si>
  <si>
    <t>Amenazas</t>
  </si>
  <si>
    <t>O1 Contar con entidades nacionales y distritales que establecen lineamientos en gestión del conocimiento y la innovación pública</t>
  </si>
  <si>
    <t xml:space="preserve">A1 Cultura organizacional a nivel distrito con deficiencias en los métodos de promoción de la cultura innovadora </t>
  </si>
  <si>
    <t xml:space="preserve">O2 Eventos de innovación gratuitos y abiertos a los servidores públicos  </t>
  </si>
  <si>
    <t>A2 Dificultad para acceder a conocimientos para idear, innovar, experimentar e investigar por parte de los colaboradores nuevos que llegan a la entidad</t>
  </si>
  <si>
    <t>O3 Identificar los espacios y canales de comunicación establecidos con diferentes grupos de valor, con el fin de promover la innovación abierta</t>
  </si>
  <si>
    <t>A3 No contar con alianzas para fomentar soluciones innovadoras, nuevos o mejorados métodos y tecnologías para la entidad</t>
  </si>
  <si>
    <t>O4 Desarrollar o ser parte de redes de conocimiento y tener convenios para fortalecer las buenas prácticas.</t>
  </si>
  <si>
    <t>A4 No tener identificados mecanismos de cooperación con otras entidades, organismos o instituciones que potencien el conocimiento de la entidad y facilitar su intercambio</t>
  </si>
  <si>
    <t>O5 Participar en espacios nacionales e internacionales de gestión del conocimiento, documentarlos y compartir la experiencia al interior de la entidad.</t>
  </si>
  <si>
    <t>MATRIZ MAPA DE RIESGO</t>
  </si>
  <si>
    <t>Código</t>
  </si>
  <si>
    <t>PLE-PIN-F001</t>
  </si>
  <si>
    <t>Versión</t>
  </si>
  <si>
    <t>Vigencia</t>
  </si>
  <si>
    <t>22 de diciembre de 2021</t>
  </si>
  <si>
    <t>Caso HOLA:</t>
  </si>
  <si>
    <t>CONTROL DE CAMBIOS MATRIZ DE RIESGOS</t>
  </si>
  <si>
    <t>VERSIÓN</t>
  </si>
  <si>
    <t>FECHA</t>
  </si>
  <si>
    <t>DESCRIPCIÓN DE LA MODIFICACIÓN</t>
  </si>
  <si>
    <t>Primera versión del documento</t>
  </si>
  <si>
    <t>Ajuste y actualización a la matriz de acuerdo con la guía del DAFP V4 -2018 a través del manual de gestión del riesgo versión 11- 2019, se ingresa las columnas para las características y la evaluación de los controles.</t>
  </si>
  <si>
    <t>Actualización de la versión de la matriz de riesgos de procesos. Eliminación del riesgo R3 en este proceso y actualización del contexto del proceso y de la matriz de riesgos de acuerdo a los lineamientos DAFP</t>
  </si>
  <si>
    <t>Se identifica el Riesgo R3 "Fuga de capital intelectual",  se realiza el análisis de causas y consecuencias,  se evalúa el riesgo inherente y se describe el control asociado,  se valora el diseño del control, la solidez de los controles  y se genera el resultado del riesgo residual. Se publica bajo caso HOLA 197028</t>
  </si>
  <si>
    <t xml:space="preserve">Se realiza actualización de matriz de riesgos de gestión de acuerdo con los lineamientos establecidos en el manual de gestión del riesgo PLE-PIN-M001 versión 6. Se incluyeron para todos los riesgos, causas inmediatas y causas raiz, se valoraron los riesgos frente a la nueva escala y se calificaron los atributos de los controles. Se realizó a través de mesa de trabajo con la participación de los profesionales del proceso de Gestión del Conocimiento a la que asistió el promotor de mejora con el acompañamiento técnico del grupo de riesgos de la Oficina Asesora de Planeación. Se aprobó bajo caso HOLA N. 238128	</t>
  </si>
  <si>
    <t>NOTA: Para el diligenciamiento de esta matriz tenga en cuenta el manual "Gestión del Riesgo" PLE-PIN-M001</t>
  </si>
  <si>
    <t>Proceso:</t>
  </si>
  <si>
    <t xml:space="preserve">Gestión del Conocimiento </t>
  </si>
  <si>
    <t>Objetivo:</t>
  </si>
  <si>
    <t xml:space="preserve">Establecer los lineamientos de gestión de conocimiento, mediante la implementación de acciones e instrumentos orientados a facilitar procesos de innovación así como a generar, identificar,
valorar, capturar, transferir, apropiar, analizar, difundir y preservar el conocimiento, en el marco del mejoramiento continuo, la analítica institucional, la cultura de compartir y difundir, las
herramientas de uso y apropiación, y la generación y producción de conocimiento, con el fin de mejorar la prestación de bienes y servicios a los grupos de valor de la SDG. </t>
  </si>
  <si>
    <t>Alcance:</t>
  </si>
  <si>
    <t xml:space="preserve">Inicia con la identificación de las fuentes y flujos de conocimiento interno y externo, el análisis cuantitativo y cualitativo de la información y finaliza con la toma decisiones y la gestión de la
mejora continua de todos los procesos de la Secretaría Distrital de Gobierno. </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</si>
  <si>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</si>
  <si>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</si>
  <si>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</si>
  <si>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</si>
  <si>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</si>
  <si>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</si>
  <si>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</si>
  <si>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</si>
  <si>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</si>
  <si>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</si>
  <si>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</si>
  <si>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</si>
  <si>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</si>
  <si>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</si>
  <si>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</si>
  <si>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</si>
  <si>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</si>
  <si>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</si>
  <si>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</si>
  <si>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</si>
  <si>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</si>
  <si>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</si>
  <si>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</si>
  <si>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</si>
  <si>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</si>
  <si>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</si>
  <si>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</si>
  <si>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</si>
  <si>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</si>
  <si>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Desconocimiento de herramientas de identificación, recopilación, almacenamiento y difusión de las buenas prácticas y lecciones aprendidas por parte de los servidores de la entidad</t>
  </si>
  <si>
    <t xml:space="preserve">
Insuficiente difusión de las herramientas de identificación, recopilación, almacenamiento y difusión de las buenas prácticas y lecciones aprendidas por parte de los servidores de la entidad</t>
  </si>
  <si>
    <t>Posibilidad de afectación reputacional por el uso inadecuado de las herramientas de identificación, recopilación, almacenamiento y difusión de las buenas prácticas y lecciones aprendidas.</t>
  </si>
  <si>
    <t>Ejecucion y Administracion de procesos</t>
  </si>
  <si>
    <t xml:space="preserve">     El riesgo afecta la imagen de la entidad internamente, de conocimiento general, nivel interno, de junta dircetiva y accionistas y/o de provedores</t>
  </si>
  <si>
    <t xml:space="preserve">El profesional asignado de la Oficina Asesora de Planeación, una vez al año aplica el ciclo de buenas prácticas y lecciones aprendidas, y en la última fase realiza actividades de difusión a través de la herramienta Ágora y los espacios de socialización que realiza la Oficina Asesora de Planeación.
Como evidencia de la ejecución del control quedan el banco de buenas prácticas y lecciones aprendidas en Ágora, y las evidencias del espacio de socialización descritos en el informe de buenas prácticas y lecciones aprendidas.  </t>
  </si>
  <si>
    <t>Preventivo</t>
  </si>
  <si>
    <t>Manual</t>
  </si>
  <si>
    <t>Documentado</t>
  </si>
  <si>
    <t>Continua</t>
  </si>
  <si>
    <t>Con Registro</t>
  </si>
  <si>
    <t>Aceptar</t>
  </si>
  <si>
    <t>Uso inadecuado de herramientas de identificación, recopilación, almacenamiento y difusión de las buenas prácticas y lecciones aprendidas por parte de los servidores de la entidad</t>
  </si>
  <si>
    <t>Baja apropiación en el uso de herramientas de identificación, recopilación, almacenamiento y difusión de las buenas prácticas y lecciones aprendidas por parte de los servidores de la entidad</t>
  </si>
  <si>
    <t>Baja retroalimentación de las herramientas de identificación, recopilación, almacenamiento y difusión de las buenas prácticas y lecciones aprendidas por parte de los servidores de la entidad</t>
  </si>
  <si>
    <t>Desconocimiento de la normatividad vigente y del funcionamiento de la entidad por parte del validador de planes de mejora</t>
  </si>
  <si>
    <t>Incorrecta aplicación del manual para la gestión de planes de mejoramiento</t>
  </si>
  <si>
    <t xml:space="preserve">Posibilidad de afectación reputacional por la validación de planes de mejoramiento que no generan valor para la entidad
</t>
  </si>
  <si>
    <t xml:space="preserve">     El riesgo afecta la imagen de la entidad con algunos usuarios de relevancia frente al logro de los objetivos</t>
  </si>
  <si>
    <t>El profesional asignado para la validación de Planes de Mejoramiento de la Oficina Asesora de Planeación, cada vez que en un proceso se formule un plan de mejora, valida técnica y metodológicamente las acciones formuladas en el aplicativo MIMEC de acuerdo con el manual GCN-M002 Manual para la gestión de planes de mejoramiento.
En caso de identificar que las acciones formuladas no cumplan con algunos de estos criterios serán devueltos a través del aplicativo, como no aprobados señalando las observaciones, con el  fin de que el líder de proceso y equipos de trabajo ajusten la información.  
Como evidencia de la ejecución del control quedan los registros de revisión y devolución en el aplicativo MIMEC y el registro que lleva el profesional de los planes revisados (validados y no validados)</t>
  </si>
  <si>
    <t>Incorrecta aplicación de las metodologías de identificación de causas</t>
  </si>
  <si>
    <t>Deficiente formulación de los planes de mejoramiento por parte de la primera línea de defensa</t>
  </si>
  <si>
    <t>Falta de mecanismos que permitan verificar el impacto de los planes de talento humano asociados a las estrategias de retención, estabilidad y bienestar laboral, para disminuir los efectos en la preservación del conocimiento cuando se van del cargo o de la entidad.</t>
  </si>
  <si>
    <t>Inadecuado seguimiento a los mecanismos de preservación de capital intelectual con los que cuenta la entidad</t>
  </si>
  <si>
    <t>Posibilidad de afectación reputacional por fuga de capital intelectual</t>
  </si>
  <si>
    <r>
      <t>El jefe de la Oficina Asesora de Planeación  y/o su delegado, realiza semestralmente un seguimiento con respecto a publicaciones, documentación del sistema de gestión, cumplimiento de los planes dirigidos al talento humano de la entidad, para ello se elabora el "Informe de Preservación del Conocimiento" en la SDG. 
Los resultados de este informe serán difundidos a los servidores de la entidad a través de charlas, boletines, infografías o la intranet. 
En caso de identificar posibles desviaciones en la ejecución del control, se establecerán mesas de trabajo con los actores responsables de las acciones de preservación de conocimiento, para tomar las medidas</t>
    </r>
    <r>
      <rPr>
        <sz val="10"/>
        <rFont val="Arial Narrow"/>
        <family val="2"/>
      </rPr>
      <t xml:space="preserve"> pertinentes.</t>
    </r>
    <r>
      <rPr>
        <sz val="10"/>
        <color theme="1"/>
        <rFont val="Arial Narrow"/>
        <family val="2"/>
      </rPr>
      <t xml:space="preserve">
Como evidencia se elabora el "Informe de Preservación del Conocimiento" para mejorar las acciones de preservación del conocimiento de la entidad.</t>
    </r>
  </si>
  <si>
    <t>Probabilidad</t>
  </si>
  <si>
    <t>Detectivo</t>
  </si>
  <si>
    <t>No existe un mecanismo que permita conocer oportunamente la necesidad de documentar el conocimiento tácito y hacerlo explícito.</t>
  </si>
  <si>
    <t>Falta de difusión de conocimiento a través de las publicaciones de la SDG (Estudios, investigaciones, boletines, etc.)</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</si>
  <si>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</si>
  <si>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Matriz de Calor Inherente</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</si>
  <si>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</si>
  <si>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</si>
  <si>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</si>
  <si>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</si>
  <si>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</si>
  <si>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</si>
  <si>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</si>
  <si>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</si>
  <si>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</si>
  <si>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</si>
  <si>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</si>
  <si>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</si>
  <si>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</si>
  <si>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</si>
  <si>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</si>
  <si>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</si>
  <si>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</si>
  <si>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</si>
  <si>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</si>
  <si>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</si>
  <si>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</si>
  <si>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</si>
  <si>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</si>
  <si>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</si>
  <si>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</si>
  <si>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</si>
  <si>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</si>
  <si>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</si>
  <si>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</si>
  <si>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</si>
  <si>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</si>
  <si>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</si>
  <si>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</si>
  <si>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</si>
  <si>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</si>
  <si>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</si>
  <si>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</si>
  <si>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</si>
  <si>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</si>
  <si>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</si>
  <si>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</si>
  <si>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</si>
  <si>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</si>
  <si>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</si>
  <si>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</si>
  <si>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</si>
  <si>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</si>
  <si>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</si>
  <si>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</si>
  <si>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</si>
  <si>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</si>
  <si>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</si>
  <si>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</si>
  <si>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</si>
  <si>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</si>
  <si>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</si>
  <si>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</si>
  <si>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</si>
  <si>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</si>
  <si>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</si>
  <si>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</si>
  <si>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</si>
  <si>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</si>
  <si>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</si>
  <si>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</si>
  <si>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</si>
  <si>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</si>
  <si>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</si>
  <si>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</si>
  <si>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</si>
  <si>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</si>
  <si>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</si>
  <si>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</si>
  <si>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</si>
  <si>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</si>
  <si>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</si>
  <si>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</si>
  <si>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</si>
  <si>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</si>
  <si>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</si>
  <si>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</si>
  <si>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</si>
  <si>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</si>
  <si>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</si>
  <si>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</si>
  <si>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</si>
  <si>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</si>
  <si>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</si>
  <si>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</si>
  <si>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Económico</t>
  </si>
  <si>
    <t>Evitar</t>
  </si>
  <si>
    <t>Reducir (compartir)</t>
  </si>
  <si>
    <t>Económico y Reputacional</t>
  </si>
  <si>
    <t>Reducir (mitigar)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</si>
  <si>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</si>
  <si>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</si>
  <si>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</si>
  <si>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</si>
  <si>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</si>
  <si>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</si>
  <si>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</si>
  <si>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</si>
  <si>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</si>
  <si>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</si>
  <si>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</si>
  <si>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</si>
  <si>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</si>
  <si>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Deficientes parámetros y procedimientos para la recolección de datos de calidad que permitan llevar a cabo su análisis oportuno para la toma de decisiones basadas en evidencia.</t>
  </si>
  <si>
    <t>No tener identificados mecanismos de cooperación con otras entidades, organismos o instituciones que potencien el conocimiento de la entidad y facilitar el intercambio entre los Observatorios de la entidad</t>
  </si>
  <si>
    <t xml:space="preserve">A5 Deficiente calidad en la información (inexacta, desactualizada o incompleta) suministrada por las fuentes consultadas por los Observatorios de la entidad </t>
  </si>
  <si>
    <t>D5 Deficientes parámetros para desarrollar la innovación en las alcaldías locales</t>
  </si>
  <si>
    <t>Posibilidad de afectación reputacional por deficiente calidad de la información que suministran los Observatorios de la entidad</t>
  </si>
  <si>
    <t>Deficiente calidad en la información suministrada por los Observatorios de la entidad (inexacta, desactualizada, incompleta)</t>
  </si>
  <si>
    <t xml:space="preserve">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comprueba que se haya documentado el control de calidad de la información.
En caso de que se presente una inconsistencia en el reporte del control de calidad de la información, se notificará a través de comunicación oficial al líder del observatorio para que se subsane. 
Como evidencia de la ejecución del control queda el informe cuatrimestral de los observatorios de la entidad y la publicación en la página web. </t>
  </si>
  <si>
    <t>Se realiza actualización del contexto del proceso y se crea el riesgo No. 4. La actualización se realiza a través de mesas de trabajo del grupo de Gestión del Conocimiento y el apoyo metodológico del grupo de riesgos. Caso HOLA 346062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</si>
</sst>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8"/>
      <color indexed="60"/>
      <name val="Arial"/>
      <family val="2"/>
    </font>
    <font>
      <b/>
      <sz val="48"/>
      <color indexed="60"/>
      <name val="Arial"/>
      <family val="2"/>
    </font>
    <font>
      <b/>
      <sz val="10"/>
      <name val="Arial"/>
      <family val="2"/>
    </font>
    <font>
      <b/>
      <sz val="12"/>
      <color indexed="16"/>
      <name val="Arial"/>
      <family val="2"/>
    </font>
    <font>
      <b/>
      <sz val="12"/>
      <color rgb="FFA6A6A6"/>
      <name val="Titillium Web"/>
    </font>
    <font>
      <b/>
      <sz val="20"/>
      <color rgb="FFC00000"/>
      <name val="Arial Narrow"/>
      <family val="2"/>
    </font>
    <font>
      <sz val="11"/>
      <color rgb="FF000000"/>
      <name val="Calibri"/>
      <family val="2"/>
      <scheme val="minor"/>
    </font>
    <font>
      <b/>
      <sz val="48"/>
      <color rgb="FF993300"/>
      <name val="Arial"/>
      <family val="2"/>
    </font>
    <font>
      <b/>
      <sz val="18"/>
      <name val="Arial"/>
      <family val="2"/>
    </font>
    <font>
      <b/>
      <sz val="12"/>
      <name val="Arial"/>
      <family val="2"/>
    </font>
    <font>
      <sz val="10"/>
      <color rgb="FF000000"/>
      <name val="Arial"/>
      <family val="2"/>
    </font>
    <font>
      <sz val="12"/>
      <name val="Arial"/>
      <family val="2"/>
    </font>
    <font>
      <b/>
      <sz val="11"/>
      <color rgb="FF800000"/>
      <name val="Arial"/>
      <family val="2"/>
    </font>
    <font>
      <sz val="11"/>
      <color rgb="FF000000"/>
      <name val="Arial"/>
      <family val="2"/>
    </font>
    <font>
      <b/>
      <sz val="11"/>
      <color rgb="FF000000"/>
      <name val="Arial"/>
      <family val="2"/>
    </font>
    <font>
      <sz val="10"/>
      <color rgb="FFFFFFFF"/>
      <name val="Arial"/>
      <family val="2"/>
    </font>
    <font>
      <b/>
      <sz val="12"/>
      <color rgb="FFFF0000"/>
      <name val="Arial"/>
      <family val="2"/>
    </font>
    <font>
      <b/>
      <sz val="9"/>
      <color rgb="FFFFFFFF"/>
      <name val="Arial"/>
      <family val="2"/>
    </font>
    <font>
      <b/>
      <sz val="11"/>
      <name val="Arial"/>
      <family val="2"/>
    </font>
    <font>
      <b/>
      <i/>
      <sz val="14"/>
      <color rgb="FFA6A6A6"/>
      <name val="Arial"/>
      <family val="2"/>
    </font>
    <font>
      <b/>
      <sz val="28"/>
      <color rgb="FF993300"/>
      <name val="Arial"/>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rgb="FF000000"/>
      </patternFill>
    </fill>
    <fill>
      <patternFill patternType="solid">
        <fgColor theme="0"/>
        <bgColor rgb="FF000000"/>
      </patternFill>
    </fill>
  </fills>
  <borders count="80">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style="thin">
        <color rgb="FFFFFFFF"/>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0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3"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49" fontId="58" fillId="16" borderId="0" xfId="0" applyNumberFormat="1" applyFont="1" applyFill="1" applyAlignment="1" applyProtection="1">
      <alignment horizontal="center" vertical="center" wrapText="1"/>
      <protection locked="0"/>
    </xf>
    <xf numFmtId="0" fontId="60" fillId="18" borderId="33" xfId="0" applyFont="1" applyFill="1" applyBorder="1" applyAlignment="1" applyProtection="1">
      <alignment horizontal="center" vertical="center" wrapText="1"/>
      <protection locked="0"/>
    </xf>
    <xf numFmtId="49" fontId="65" fillId="19" borderId="0" xfId="0" applyNumberFormat="1" applyFont="1" applyFill="1" applyAlignment="1" applyProtection="1">
      <alignment vertical="center" wrapText="1"/>
      <protection locked="0"/>
    </xf>
    <xf numFmtId="0" fontId="63" fillId="19" borderId="0" xfId="0" applyFont="1" applyFill="1" applyProtection="1">
      <protection locked="0"/>
    </xf>
    <xf numFmtId="0" fontId="66" fillId="19" borderId="0" xfId="0" applyFont="1" applyFill="1" applyAlignment="1" applyProtection="1">
      <alignment horizontal="left" vertical="center" wrapText="1"/>
      <protection locked="0"/>
    </xf>
    <xf numFmtId="0" fontId="67" fillId="19" borderId="0" xfId="0" applyFont="1" applyFill="1" applyAlignment="1" applyProtection="1">
      <alignment vertical="center" wrapText="1"/>
      <protection locked="0"/>
    </xf>
    <xf numFmtId="0" fontId="67" fillId="19" borderId="0" xfId="0" applyFont="1" applyFill="1" applyProtection="1">
      <protection locked="0"/>
    </xf>
    <xf numFmtId="0" fontId="67" fillId="19" borderId="0" xfId="0" applyFont="1" applyFill="1" applyAlignment="1" applyProtection="1">
      <alignment horizontal="center"/>
      <protection locked="0"/>
    </xf>
    <xf numFmtId="0" fontId="63" fillId="19" borderId="0" xfId="0" applyFont="1" applyFill="1" applyAlignment="1" applyProtection="1">
      <alignment horizontal="center"/>
      <protection locked="0"/>
    </xf>
    <xf numFmtId="0" fontId="68" fillId="0" borderId="69" xfId="0" applyFont="1" applyBorder="1" applyAlignment="1" applyProtection="1">
      <alignment horizontal="right"/>
      <protection locked="0"/>
    </xf>
    <xf numFmtId="0" fontId="70" fillId="19" borderId="0" xfId="0" applyFont="1" applyFill="1" applyAlignment="1" applyProtection="1">
      <alignment horizontal="center" vertical="center" wrapText="1"/>
      <protection locked="0"/>
    </xf>
    <xf numFmtId="14" fontId="68" fillId="0" borderId="69" xfId="0" applyNumberFormat="1" applyFont="1" applyBorder="1" applyAlignment="1" applyProtection="1">
      <alignment horizontal="right"/>
      <protection locked="0"/>
    </xf>
    <xf numFmtId="0" fontId="70" fillId="19" borderId="0" xfId="0" applyFont="1" applyFill="1" applyAlignment="1" applyProtection="1">
      <alignment vertical="center" wrapText="1"/>
      <protection locked="0"/>
    </xf>
    <xf numFmtId="0" fontId="71" fillId="19" borderId="0" xfId="0" applyFont="1" applyFill="1" applyAlignment="1" applyProtection="1">
      <alignment vertical="center" wrapText="1"/>
      <protection locked="0"/>
    </xf>
    <xf numFmtId="0" fontId="66" fillId="19" borderId="0" xfId="0" applyFont="1" applyFill="1" applyAlignment="1" applyProtection="1">
      <alignment horizontal="center" vertical="center" wrapText="1"/>
      <protection locked="0"/>
    </xf>
    <xf numFmtId="0" fontId="63" fillId="19" borderId="0" xfId="0" applyFont="1" applyFill="1" applyAlignment="1" applyProtection="1">
      <alignment horizontal="center" vertical="center"/>
      <protection locked="0"/>
    </xf>
    <xf numFmtId="0" fontId="67" fillId="19" borderId="0" xfId="0" applyFont="1" applyFill="1" applyAlignment="1" applyProtection="1">
      <alignment horizontal="center" vertical="center" wrapText="1"/>
      <protection locked="0"/>
    </xf>
    <xf numFmtId="0" fontId="67" fillId="19" borderId="0" xfId="0" applyFont="1" applyFill="1" applyAlignment="1" applyProtection="1">
      <alignment horizontal="center" vertical="center"/>
      <protection locked="0"/>
    </xf>
    <xf numFmtId="0" fontId="72" fillId="19" borderId="0" xfId="0" applyFont="1" applyFill="1" applyAlignment="1" applyProtection="1">
      <alignment horizontal="center" vertical="center"/>
      <protection locked="0"/>
    </xf>
    <xf numFmtId="2" fontId="68" fillId="19" borderId="0" xfId="0" applyNumberFormat="1" applyFont="1" applyFill="1" applyAlignment="1" applyProtection="1">
      <alignment horizontal="center" vertical="center" wrapText="1"/>
      <protection locked="0"/>
    </xf>
    <xf numFmtId="0" fontId="72" fillId="19" borderId="0" xfId="0" applyFont="1" applyFill="1" applyProtection="1">
      <protection locked="0"/>
    </xf>
    <xf numFmtId="0" fontId="72" fillId="19" borderId="0" xfId="0" applyFont="1" applyFill="1" applyAlignment="1" applyProtection="1">
      <alignment horizontal="center"/>
      <protection locked="0"/>
    </xf>
    <xf numFmtId="0" fontId="73" fillId="19" borderId="0" xfId="0" applyFont="1" applyFill="1" applyAlignment="1" applyProtection="1">
      <alignment horizontal="left" vertical="center"/>
      <protection locked="0"/>
    </xf>
    <xf numFmtId="165" fontId="66" fillId="19" borderId="0" xfId="0" applyNumberFormat="1" applyFont="1" applyFill="1" applyAlignment="1" applyProtection="1">
      <alignment horizontal="center" vertical="center"/>
      <protection locked="0"/>
    </xf>
    <xf numFmtId="0" fontId="68" fillId="19" borderId="0" xfId="0" applyFont="1" applyFill="1" applyAlignment="1" applyProtection="1">
      <alignment horizontal="left" vertical="center" wrapText="1"/>
      <protection locked="0"/>
    </xf>
    <xf numFmtId="0" fontId="68" fillId="19" borderId="0" xfId="0" applyFont="1" applyFill="1" applyAlignment="1" applyProtection="1">
      <alignment vertical="justify" wrapText="1"/>
      <protection locked="0"/>
    </xf>
    <xf numFmtId="0" fontId="63" fillId="0" borderId="0" xfId="0" applyFont="1" applyProtection="1">
      <protection locked="0"/>
    </xf>
    <xf numFmtId="0" fontId="48" fillId="19" borderId="0" xfId="0" applyFont="1" applyFill="1" applyAlignment="1" applyProtection="1">
      <alignment vertical="center" wrapText="1"/>
      <protection locked="0"/>
    </xf>
    <xf numFmtId="0" fontId="75" fillId="20" borderId="0" xfId="0" applyFont="1" applyFill="1" applyAlignment="1" applyProtection="1">
      <alignment horizontal="center" vertical="center" wrapText="1"/>
      <protection hidden="1"/>
    </xf>
    <xf numFmtId="0" fontId="68" fillId="20" borderId="0" xfId="0" applyFont="1" applyFill="1" applyAlignment="1" applyProtection="1">
      <alignment vertical="justify" wrapText="1"/>
      <protection locked="0"/>
    </xf>
    <xf numFmtId="0" fontId="70" fillId="19" borderId="69" xfId="0" applyFont="1" applyFill="1" applyBorder="1" applyAlignment="1" applyProtection="1">
      <alignment vertical="center" wrapText="1"/>
      <protection locked="0"/>
    </xf>
    <xf numFmtId="0" fontId="69" fillId="0" borderId="33" xfId="0" applyFont="1" applyBorder="1" applyAlignment="1" applyProtection="1">
      <alignment horizontal="center" vertical="center" wrapText="1"/>
      <protection locked="0"/>
    </xf>
    <xf numFmtId="0" fontId="69" fillId="19" borderId="0" xfId="0" applyFont="1" applyFill="1" applyAlignment="1" applyProtection="1">
      <alignment horizontal="right" wrapText="1"/>
      <protection locked="0"/>
    </xf>
    <xf numFmtId="49" fontId="64" fillId="19" borderId="0" xfId="0" applyNumberFormat="1" applyFont="1" applyFill="1" applyAlignment="1" applyProtection="1">
      <alignment vertical="center" wrapText="1"/>
      <protection locked="0"/>
    </xf>
    <xf numFmtId="164" fontId="1" fillId="0" borderId="2" xfId="1" applyNumberFormat="1" applyFont="1" applyBorder="1" applyAlignment="1">
      <alignment horizontal="center" vertical="center"/>
    </xf>
    <xf numFmtId="164" fontId="1" fillId="9" borderId="2" xfId="1" applyNumberFormat="1" applyFont="1" applyFill="1" applyBorder="1" applyAlignment="1">
      <alignment horizontal="center" vertical="center"/>
    </xf>
    <xf numFmtId="0" fontId="68" fillId="19" borderId="33" xfId="0" applyFont="1" applyFill="1" applyBorder="1" applyAlignment="1" applyProtection="1">
      <alignment horizontal="center" vertical="center" wrapText="1"/>
      <protection locked="0"/>
    </xf>
    <xf numFmtId="14" fontId="68" fillId="19" borderId="33" xfId="0" applyNumberFormat="1" applyFont="1" applyFill="1" applyBorder="1" applyAlignment="1" applyProtection="1">
      <alignment horizontal="center" vertical="center" wrapText="1"/>
      <protection locked="0"/>
    </xf>
    <xf numFmtId="0" fontId="1" fillId="0" borderId="2" xfId="0" applyFont="1" applyBorder="1" applyAlignment="1" applyProtection="1">
      <alignment vertical="center" wrapText="1"/>
      <protection locked="0"/>
    </xf>
    <xf numFmtId="0" fontId="61" fillId="0" borderId="33" xfId="0" applyFont="1" applyBorder="1" applyAlignment="1">
      <alignment horizontal="left" vertical="center" wrapText="1"/>
    </xf>
    <xf numFmtId="0" fontId="1" fillId="0" borderId="2" xfId="0" applyFont="1" applyBorder="1" applyAlignment="1" applyProtection="1">
      <alignment horizontal="left" vertical="center" wrapText="1"/>
      <protection locked="0"/>
    </xf>
    <xf numFmtId="0" fontId="1" fillId="3" borderId="0" xfId="0" applyFont="1" applyFill="1" applyAlignment="1">
      <alignment horizontal="left" vertical="center"/>
    </xf>
    <xf numFmtId="2" fontId="68" fillId="20" borderId="0" xfId="0" applyNumberFormat="1" applyFont="1" applyFill="1" applyAlignment="1" applyProtection="1">
      <alignment horizontal="center" vertical="center" wrapText="1"/>
      <protection hidden="1"/>
    </xf>
    <xf numFmtId="0" fontId="68" fillId="20" borderId="0" xfId="0" applyFont="1" applyFill="1" applyAlignment="1" applyProtection="1">
      <alignment horizontal="center" vertical="justify" wrapText="1"/>
      <protection locked="0"/>
    </xf>
    <xf numFmtId="0" fontId="74" fillId="20" borderId="0" xfId="0" applyFont="1" applyFill="1" applyAlignment="1" applyProtection="1">
      <alignment horizontal="center" vertical="center" wrapText="1"/>
      <protection locked="0"/>
    </xf>
    <xf numFmtId="0" fontId="38" fillId="15" borderId="45"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14" fontId="68" fillId="0" borderId="33" xfId="0" applyNumberFormat="1" applyFont="1" applyBorder="1" applyAlignment="1" applyProtection="1">
      <alignment horizontal="center" vertical="center" wrapText="1"/>
      <protection locked="0"/>
    </xf>
    <xf numFmtId="0" fontId="61" fillId="0" borderId="33" xfId="0" applyFont="1" applyBorder="1" applyAlignment="1">
      <alignment vertical="center" wrapText="1"/>
    </xf>
    <xf numFmtId="0" fontId="62" fillId="3" borderId="48" xfId="2" applyFont="1" applyFill="1" applyBorder="1" applyAlignment="1">
      <alignment horizontal="center" vertical="center" wrapText="1"/>
    </xf>
    <xf numFmtId="0" fontId="62" fillId="3" borderId="49" xfId="2" applyFont="1" applyFill="1" applyBorder="1" applyAlignment="1">
      <alignment horizontal="center" vertical="center" wrapText="1"/>
    </xf>
    <xf numFmtId="0" fontId="62" fillId="3"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1" fillId="3" borderId="51" xfId="2" quotePrefix="1" applyFont="1" applyFill="1" applyBorder="1" applyAlignment="1">
      <alignment horizontal="left" vertical="top" wrapText="1"/>
    </xf>
    <xf numFmtId="0" fontId="52" fillId="3" borderId="52" xfId="2" quotePrefix="1" applyFont="1" applyFill="1" applyBorder="1" applyAlignment="1">
      <alignment horizontal="left" vertical="top" wrapText="1"/>
    </xf>
    <xf numFmtId="0" fontId="52"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4" fillId="14" borderId="54" xfId="3" applyFont="1" applyFill="1" applyBorder="1" applyAlignment="1">
      <alignment horizontal="center" vertical="center" wrapText="1"/>
    </xf>
    <xf numFmtId="0" fontId="54" fillId="14" borderId="55" xfId="3" applyFont="1" applyFill="1" applyBorder="1" applyAlignment="1">
      <alignment horizontal="center" vertical="center" wrapText="1"/>
    </xf>
    <xf numFmtId="0" fontId="54" fillId="14" borderId="56" xfId="2" applyFont="1" applyFill="1" applyBorder="1" applyAlignment="1">
      <alignment horizontal="center" vertical="center"/>
    </xf>
    <xf numFmtId="0" fontId="54"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4" fillId="3" borderId="58" xfId="3" applyFont="1" applyFill="1" applyBorder="1" applyAlignment="1">
      <alignment horizontal="left" vertical="top" wrapText="1" readingOrder="1"/>
    </xf>
    <xf numFmtId="0" fontId="54" fillId="3" borderId="59" xfId="3" applyFont="1" applyFill="1" applyBorder="1" applyAlignment="1">
      <alignment horizontal="left" vertical="top" wrapText="1" readingOrder="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62" xfId="0" applyFont="1" applyFill="1" applyBorder="1" applyAlignment="1">
      <alignment horizontal="left" vertical="center" wrapText="1"/>
    </xf>
    <xf numFmtId="0" fontId="54" fillId="3" borderId="63" xfId="0" applyFont="1" applyFill="1" applyBorder="1" applyAlignment="1">
      <alignment horizontal="left" vertical="center" wrapText="1"/>
    </xf>
    <xf numFmtId="0" fontId="55" fillId="3" borderId="64" xfId="2" applyFont="1" applyFill="1" applyBorder="1" applyAlignment="1">
      <alignment horizontal="justify" vertical="center" wrapText="1"/>
    </xf>
    <xf numFmtId="0" fontId="55" fillId="3" borderId="65" xfId="2" applyFont="1" applyFill="1" applyBorder="1" applyAlignment="1">
      <alignment horizontal="justify"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4" fillId="3" borderId="71" xfId="0" applyFont="1" applyFill="1" applyBorder="1" applyAlignment="1">
      <alignment horizontal="left" vertical="center" wrapText="1"/>
    </xf>
    <xf numFmtId="0" fontId="54" fillId="3" borderId="72" xfId="0" applyFont="1" applyFill="1" applyBorder="1" applyAlignment="1">
      <alignment horizontal="left" vertical="center" wrapText="1"/>
    </xf>
    <xf numFmtId="0" fontId="54" fillId="3" borderId="73" xfId="0" applyFont="1" applyFill="1" applyBorder="1" applyAlignment="1">
      <alignment horizontal="left" vertical="center" wrapText="1"/>
    </xf>
    <xf numFmtId="0" fontId="54" fillId="3" borderId="74" xfId="0" applyFont="1" applyFill="1" applyBorder="1" applyAlignment="1">
      <alignment horizontal="left" vertical="center" wrapText="1"/>
    </xf>
    <xf numFmtId="0" fontId="55" fillId="3" borderId="66" xfId="0" applyFont="1" applyFill="1" applyBorder="1" applyAlignment="1">
      <alignment horizontal="justify" vertical="center" wrapText="1"/>
    </xf>
    <xf numFmtId="0" fontId="55" fillId="3" borderId="67" xfId="0" applyFont="1" applyFill="1" applyBorder="1" applyAlignment="1">
      <alignment horizontal="justify" vertical="center" wrapText="1"/>
    </xf>
    <xf numFmtId="49" fontId="57" fillId="16" borderId="0" xfId="0" applyNumberFormat="1" applyFont="1" applyFill="1" applyAlignment="1" applyProtection="1">
      <alignment horizontal="right" vertical="center" wrapText="1"/>
      <protection locked="0"/>
    </xf>
    <xf numFmtId="0" fontId="59" fillId="17" borderId="33" xfId="0" applyFont="1" applyFill="1" applyBorder="1" applyAlignment="1">
      <alignment horizontal="center" vertical="center" wrapText="1"/>
    </xf>
    <xf numFmtId="0" fontId="61" fillId="0" borderId="79" xfId="0" applyFont="1" applyBorder="1" applyAlignment="1">
      <alignment horizontal="left" vertical="center" wrapText="1"/>
    </xf>
    <xf numFmtId="0" fontId="61" fillId="0" borderId="34" xfId="0" applyFont="1" applyBorder="1" applyAlignment="1">
      <alignment horizontal="left"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6" fillId="0" borderId="4"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49" fontId="77" fillId="19" borderId="0" xfId="0" applyNumberFormat="1" applyFont="1" applyFill="1" applyAlignment="1" applyProtection="1">
      <alignment horizontal="center" vertical="center" wrapText="1"/>
      <protection locked="0"/>
    </xf>
    <xf numFmtId="2" fontId="68" fillId="20" borderId="0" xfId="0" applyNumberFormat="1" applyFont="1" applyFill="1" applyAlignment="1" applyProtection="1">
      <alignment horizontal="center" vertical="center" wrapText="1"/>
      <protection hidden="1"/>
    </xf>
    <xf numFmtId="0" fontId="68" fillId="20" borderId="0" xfId="0" applyFont="1" applyFill="1" applyAlignment="1" applyProtection="1">
      <alignment horizontal="center" vertical="justify" wrapText="1"/>
      <protection locked="0"/>
    </xf>
    <xf numFmtId="0" fontId="76" fillId="19" borderId="0" xfId="0" applyFont="1" applyFill="1" applyAlignment="1" applyProtection="1">
      <alignment horizontal="left" vertical="top"/>
      <protection locked="0"/>
    </xf>
    <xf numFmtId="0" fontId="69" fillId="0" borderId="75" xfId="0" applyFont="1" applyBorder="1" applyAlignment="1" applyProtection="1">
      <alignment horizontal="center" vertical="center" wrapText="1"/>
      <protection locked="0"/>
    </xf>
    <xf numFmtId="0" fontId="74" fillId="20" borderId="0" xfId="0" applyFont="1" applyFill="1" applyAlignment="1" applyProtection="1">
      <alignment horizontal="center" vertical="center" wrapText="1"/>
      <protection locked="0"/>
    </xf>
    <xf numFmtId="0" fontId="69" fillId="0" borderId="76" xfId="0" applyFont="1" applyBorder="1" applyAlignment="1" applyProtection="1">
      <alignment horizontal="center" vertical="center" wrapText="1"/>
      <protection locked="0"/>
    </xf>
    <xf numFmtId="0" fontId="69" fillId="0" borderId="77" xfId="0" applyFont="1" applyBorder="1" applyAlignment="1" applyProtection="1">
      <alignment horizontal="center" vertical="center" wrapText="1"/>
      <protection locked="0"/>
    </xf>
    <xf numFmtId="0" fontId="69" fillId="0" borderId="78" xfId="0" applyFont="1" applyBorder="1" applyAlignment="1" applyProtection="1">
      <alignment horizontal="center" vertical="center" wrapText="1"/>
      <protection locked="0"/>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9" fontId="1" fillId="0" borderId="4" xfId="0" applyNumberFormat="1" applyFont="1" applyBorder="1" applyAlignment="1" applyProtection="1">
      <alignment horizontal="left" vertical="center" wrapText="1"/>
      <protection locked="0"/>
    </xf>
    <xf numFmtId="9" fontId="1" fillId="0" borderId="8" xfId="0" applyNumberFormat="1" applyFont="1" applyBorder="1" applyAlignment="1" applyProtection="1">
      <alignment horizontal="left" vertical="center" wrapText="1"/>
      <protection locked="0"/>
    </xf>
    <xf numFmtId="9" fontId="1" fillId="0" borderId="5" xfId="0" applyNumberFormat="1" applyFont="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14" fontId="1" fillId="0" borderId="4" xfId="0" applyNumberFormat="1" applyFont="1" applyBorder="1" applyAlignment="1" applyProtection="1">
      <alignment horizontal="center" vertical="center"/>
      <protection locked="0"/>
    </xf>
    <xf numFmtId="14" fontId="1" fillId="0" borderId="8" xfId="0" applyNumberFormat="1" applyFont="1" applyBorder="1" applyAlignment="1" applyProtection="1">
      <alignment horizontal="center" vertical="center"/>
      <protection locked="0"/>
    </xf>
    <xf numFmtId="14" fontId="1" fillId="0" borderId="5" xfId="0" applyNumberFormat="1" applyFont="1" applyBorder="1" applyAlignment="1" applyProtection="1">
      <alignment horizontal="center" vertical="center"/>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68" fillId="19" borderId="76" xfId="0" applyFont="1" applyFill="1" applyBorder="1" applyAlignment="1" applyProtection="1">
      <alignment horizontal="left" vertical="center" wrapText="1"/>
      <protection locked="0"/>
    </xf>
    <xf numFmtId="0" fontId="68" fillId="19" borderId="77" xfId="0" applyFont="1" applyFill="1" applyBorder="1" applyAlignment="1" applyProtection="1">
      <alignment horizontal="left" vertical="center" wrapText="1"/>
      <protection locked="0"/>
    </xf>
    <xf numFmtId="0" fontId="68" fillId="19" borderId="78" xfId="0" applyFont="1" applyFill="1" applyBorder="1" applyAlignment="1" applyProtection="1">
      <alignment horizontal="left" vertical="center" wrapText="1"/>
      <protection locked="0"/>
    </xf>
    <xf numFmtId="0" fontId="68" fillId="0" borderId="76" xfId="0" applyFont="1" applyBorder="1" applyAlignment="1" applyProtection="1">
      <alignment horizontal="left" vertical="center" wrapText="1"/>
      <protection locked="0"/>
    </xf>
    <xf numFmtId="0" fontId="68" fillId="0" borderId="77" xfId="0" applyFont="1" applyBorder="1" applyAlignment="1" applyProtection="1">
      <alignment horizontal="left" vertical="center" wrapText="1"/>
      <protection locked="0"/>
    </xf>
    <xf numFmtId="0" fontId="68" fillId="0" borderId="78" xfId="0" applyFont="1" applyBorder="1" applyAlignment="1" applyProtection="1">
      <alignment horizontal="left" vertical="center" wrapText="1"/>
      <protection locked="0"/>
    </xf>
    <xf numFmtId="0" fontId="1" fillId="0" borderId="8" xfId="0" applyFont="1" applyBorder="1" applyAlignment="1">
      <alignment horizontal="left" vertical="center" wrapText="1"/>
    </xf>
    <xf numFmtId="0" fontId="2" fillId="0" borderId="4" xfId="0" applyFont="1" applyBorder="1" applyAlignment="1" applyProtection="1">
      <alignment horizontal="center" vertical="center" textRotation="90"/>
      <protection locked="0"/>
    </xf>
    <xf numFmtId="0" fontId="2" fillId="0" borderId="8" xfId="0" applyFont="1" applyBorder="1" applyAlignment="1" applyProtection="1">
      <alignment horizontal="center" vertical="center" textRotation="90"/>
      <protection locked="0"/>
    </xf>
    <xf numFmtId="0" fontId="2" fillId="0" borderId="5" xfId="0" applyFont="1" applyBorder="1" applyAlignment="1" applyProtection="1">
      <alignment horizontal="center" vertical="center" textRotation="90"/>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51">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115454</xdr:colOff>
      <xdr:row>11</xdr:row>
      <xdr:rowOff>242454</xdr:rowOff>
    </xdr:from>
    <xdr:to>
      <xdr:col>2</xdr:col>
      <xdr:colOff>735445</xdr:colOff>
      <xdr:row>11</xdr:row>
      <xdr:rowOff>1013978</xdr:rowOff>
    </xdr:to>
    <xdr:pic>
      <xdr:nvPicPr>
        <xdr:cNvPr id="2" name="Imagen 135">
          <a:extLst>
            <a:ext uri="{FF2B5EF4-FFF2-40B4-BE49-F238E27FC236}">
              <a16:creationId xmlns:a16="http://schemas.microsoft.com/office/drawing/2014/main" id="{8A041215-B7E0-234C-BC46-44CB965B0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818" y="923636"/>
          <a:ext cx="2501900" cy="77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495300</xdr:colOff>
      <xdr:row>2</xdr:row>
      <xdr:rowOff>9526</xdr:rowOff>
    </xdr:from>
    <xdr:to>
      <xdr:col>2</xdr:col>
      <xdr:colOff>2171700</xdr:colOff>
      <xdr:row>3</xdr:row>
      <xdr:rowOff>590550</xdr:rowOff>
    </xdr:to>
    <xdr:pic>
      <xdr:nvPicPr>
        <xdr:cNvPr id="2" name="Imagen 135">
          <a:extLst>
            <a:ext uri="{FF2B5EF4-FFF2-40B4-BE49-F238E27FC236}">
              <a16:creationId xmlns:a16="http://schemas.microsoft.com/office/drawing/2014/main" id="{0446CEC4-8D36-6247-8AE3-2F67F317B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0800" y="390526"/>
          <a:ext cx="2501900" cy="77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25400</xdr:colOff>
      <xdr:row>11</xdr:row>
      <xdr:rowOff>0</xdr:rowOff>
    </xdr:from>
    <xdr:to>
      <xdr:col>16</xdr:col>
      <xdr:colOff>320675</xdr:colOff>
      <xdr:row>11</xdr:row>
      <xdr:rowOff>304800</xdr:rowOff>
    </xdr:to>
    <xdr:sp macro="" textlink="">
      <xdr:nvSpPr>
        <xdr:cNvPr id="2" name="AutoShape 38" descr="Resultado de imagen para boton agregar icono">
          <a:extLst>
            <a:ext uri="{FF2B5EF4-FFF2-40B4-BE49-F238E27FC236}">
              <a16:creationId xmlns:a16="http://schemas.microsoft.com/office/drawing/2014/main" id="{5CCAC519-8FCC-4ECD-BBC1-191D238B5548}"/>
            </a:ext>
          </a:extLst>
        </xdr:cNvPr>
        <xdr:cNvSpPr>
          <a:spLocks noChangeAspect="1" noChangeArrowheads="1"/>
        </xdr:cNvSpPr>
      </xdr:nvSpPr>
      <xdr:spPr bwMode="auto">
        <a:xfrm>
          <a:off x="16042105" y="603807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11</xdr:row>
      <xdr:rowOff>0</xdr:rowOff>
    </xdr:from>
    <xdr:to>
      <xdr:col>16</xdr:col>
      <xdr:colOff>320675</xdr:colOff>
      <xdr:row>11</xdr:row>
      <xdr:rowOff>304800</xdr:rowOff>
    </xdr:to>
    <xdr:sp macro="" textlink="">
      <xdr:nvSpPr>
        <xdr:cNvPr id="3" name="AutoShape 39" descr="Resultado de imagen para boton agregar icono">
          <a:extLst>
            <a:ext uri="{FF2B5EF4-FFF2-40B4-BE49-F238E27FC236}">
              <a16:creationId xmlns:a16="http://schemas.microsoft.com/office/drawing/2014/main" id="{212298C9-1C90-422A-B33A-5B9110C76EB4}"/>
            </a:ext>
          </a:extLst>
        </xdr:cNvPr>
        <xdr:cNvSpPr>
          <a:spLocks noChangeAspect="1" noChangeArrowheads="1"/>
        </xdr:cNvSpPr>
      </xdr:nvSpPr>
      <xdr:spPr bwMode="auto">
        <a:xfrm>
          <a:off x="16042105" y="603807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11</xdr:row>
      <xdr:rowOff>0</xdr:rowOff>
    </xdr:from>
    <xdr:to>
      <xdr:col>16</xdr:col>
      <xdr:colOff>320675</xdr:colOff>
      <xdr:row>11</xdr:row>
      <xdr:rowOff>304800</xdr:rowOff>
    </xdr:to>
    <xdr:sp macro="" textlink="">
      <xdr:nvSpPr>
        <xdr:cNvPr id="4" name="AutoShape 40" descr="Resultado de imagen para boton agregar icono">
          <a:extLst>
            <a:ext uri="{FF2B5EF4-FFF2-40B4-BE49-F238E27FC236}">
              <a16:creationId xmlns:a16="http://schemas.microsoft.com/office/drawing/2014/main" id="{B5279E58-EA1A-4043-A3F3-3775086B4600}"/>
            </a:ext>
          </a:extLst>
        </xdr:cNvPr>
        <xdr:cNvSpPr>
          <a:spLocks noChangeAspect="1" noChangeArrowheads="1"/>
        </xdr:cNvSpPr>
      </xdr:nvSpPr>
      <xdr:spPr bwMode="auto">
        <a:xfrm>
          <a:off x="16042105" y="603807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11</xdr:row>
      <xdr:rowOff>0</xdr:rowOff>
    </xdr:from>
    <xdr:to>
      <xdr:col>16</xdr:col>
      <xdr:colOff>320675</xdr:colOff>
      <xdr:row>11</xdr:row>
      <xdr:rowOff>304800</xdr:rowOff>
    </xdr:to>
    <xdr:sp macro="" textlink="">
      <xdr:nvSpPr>
        <xdr:cNvPr id="5" name="AutoShape 42" descr="Z">
          <a:extLst>
            <a:ext uri="{FF2B5EF4-FFF2-40B4-BE49-F238E27FC236}">
              <a16:creationId xmlns:a16="http://schemas.microsoft.com/office/drawing/2014/main" id="{72D5F597-052C-4F5A-9378-56A3A52B91F6}"/>
            </a:ext>
          </a:extLst>
        </xdr:cNvPr>
        <xdr:cNvSpPr>
          <a:spLocks noChangeAspect="1" noChangeArrowheads="1"/>
        </xdr:cNvSpPr>
      </xdr:nvSpPr>
      <xdr:spPr bwMode="auto">
        <a:xfrm>
          <a:off x="16042105" y="603807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8</xdr:row>
      <xdr:rowOff>127000</xdr:rowOff>
    </xdr:from>
    <xdr:to>
      <xdr:col>16</xdr:col>
      <xdr:colOff>25400</xdr:colOff>
      <xdr:row>9</xdr:row>
      <xdr:rowOff>119207</xdr:rowOff>
    </xdr:to>
    <xdr:sp macro="" textlink="">
      <xdr:nvSpPr>
        <xdr:cNvPr id="6" name="Rectangle 53">
          <a:extLst>
            <a:ext uri="{FF2B5EF4-FFF2-40B4-BE49-F238E27FC236}">
              <a16:creationId xmlns:a16="http://schemas.microsoft.com/office/drawing/2014/main" id="{30F52F8A-3743-471F-A917-088E199F2384}"/>
            </a:ext>
          </a:extLst>
        </xdr:cNvPr>
        <xdr:cNvSpPr>
          <a:spLocks noChangeArrowheads="1"/>
        </xdr:cNvSpPr>
      </xdr:nvSpPr>
      <xdr:spPr bwMode="auto">
        <a:xfrm>
          <a:off x="16042105" y="5760843"/>
          <a:ext cx="0" cy="276225"/>
        </a:xfrm>
        <a:prstGeom prst="rect">
          <a:avLst/>
        </a:prstGeom>
        <a:noFill/>
        <a:ln>
          <a:noFill/>
        </a:ln>
      </xdr:spPr>
      <xdr:txBody>
        <a:bodyPr wrap="square" lIns="45720" tIns="41148" rIns="45720" bIns="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es-CO" sz="2000" b="1" i="0" u="none" strike="noStrike" baseline="0">
              <a:solidFill>
                <a:srgbClr val="FFFFFF"/>
              </a:solidFill>
              <a:latin typeface="Arial"/>
              <a:cs typeface="Arial"/>
            </a:rPr>
            <a:t>?</a:t>
          </a:r>
        </a:p>
      </xdr:txBody>
    </xdr:sp>
    <xdr:clientData/>
  </xdr:twoCellAnchor>
  <xdr:twoCellAnchor editAs="oneCell">
    <xdr:from>
      <xdr:col>0</xdr:col>
      <xdr:colOff>162791</xdr:colOff>
      <xdr:row>5</xdr:row>
      <xdr:rowOff>30018</xdr:rowOff>
    </xdr:from>
    <xdr:to>
      <xdr:col>32</xdr:col>
      <xdr:colOff>1371068</xdr:colOff>
      <xdr:row>5</xdr:row>
      <xdr:rowOff>95373</xdr:rowOff>
    </xdr:to>
    <xdr:cxnSp macro="">
      <xdr:nvCxnSpPr>
        <xdr:cNvPr id="7" name="Conector recto 6">
          <a:extLst>
            <a:ext uri="{FF2B5EF4-FFF2-40B4-BE49-F238E27FC236}">
              <a16:creationId xmlns:a16="http://schemas.microsoft.com/office/drawing/2014/main" id="{FF79EB7A-1C4D-4552-9713-538E56CE04FB}"/>
            </a:ext>
          </a:extLst>
        </xdr:cNvPr>
        <xdr:cNvCxnSpPr/>
      </xdr:nvCxnSpPr>
      <xdr:spPr>
        <a:xfrm flipV="1">
          <a:off x="162791" y="2608118"/>
          <a:ext cx="35990645" cy="65355"/>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40409</xdr:colOff>
      <xdr:row>0</xdr:row>
      <xdr:rowOff>165101</xdr:rowOff>
    </xdr:from>
    <xdr:to>
      <xdr:col>4</xdr:col>
      <xdr:colOff>1691922</xdr:colOff>
      <xdr:row>5</xdr:row>
      <xdr:rowOff>15261</xdr:rowOff>
    </xdr:to>
    <xdr:pic>
      <xdr:nvPicPr>
        <xdr:cNvPr id="8" name="Imagen 7">
          <a:extLst>
            <a:ext uri="{FF2B5EF4-FFF2-40B4-BE49-F238E27FC236}">
              <a16:creationId xmlns:a16="http://schemas.microsoft.com/office/drawing/2014/main" id="{4F137EE6-AF90-4845-9503-7974EF38A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8009" y="165101"/>
          <a:ext cx="3744191" cy="125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16</xdr:col>
      <xdr:colOff>25400</xdr:colOff>
      <xdr:row>9</xdr:row>
      <xdr:rowOff>127000</xdr:rowOff>
    </xdr:from>
    <xdr:ext cx="0" cy="277957"/>
    <xdr:sp macro="" textlink="">
      <xdr:nvSpPr>
        <xdr:cNvPr id="9" name="Rectangle 53">
          <a:extLst>
            <a:ext uri="{FF2B5EF4-FFF2-40B4-BE49-F238E27FC236}">
              <a16:creationId xmlns:a16="http://schemas.microsoft.com/office/drawing/2014/main" id="{1E212C7C-FF97-4DD4-96BF-A3CCD9A947DC}"/>
            </a:ext>
          </a:extLst>
        </xdr:cNvPr>
        <xdr:cNvSpPr>
          <a:spLocks noChangeArrowheads="1"/>
        </xdr:cNvSpPr>
      </xdr:nvSpPr>
      <xdr:spPr bwMode="auto">
        <a:xfrm>
          <a:off x="17084675" y="2555875"/>
          <a:ext cx="0" cy="277957"/>
        </a:xfrm>
        <a:prstGeom prst="rect">
          <a:avLst/>
        </a:prstGeom>
        <a:noFill/>
        <a:ln>
          <a:noFill/>
        </a:ln>
      </xdr:spPr>
      <xdr:txBody>
        <a:bodyPr wrap="square" lIns="45720" tIns="41148" rIns="45720" bIns="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es-CO" sz="2000" b="1" i="0" u="none" strike="noStrike" baseline="0">
              <a:solidFill>
                <a:srgbClr val="FFFFFF"/>
              </a:solidFill>
              <a:latin typeface="Arial"/>
              <a:cs typeface="Arial"/>
            </a:rPr>
            <a:t>?</a:t>
          </a:r>
        </a:p>
      </xdr:txBody>
    </xdr:sp>
    <xdr:clientData/>
  </xdr:oneCellAnchor>
  <xdr:oneCellAnchor>
    <xdr:from>
      <xdr:col>16</xdr:col>
      <xdr:colOff>25400</xdr:colOff>
      <xdr:row>10</xdr:row>
      <xdr:rowOff>127000</xdr:rowOff>
    </xdr:from>
    <xdr:ext cx="0" cy="277957"/>
    <xdr:sp macro="" textlink="">
      <xdr:nvSpPr>
        <xdr:cNvPr id="10" name="Rectangle 53">
          <a:extLst>
            <a:ext uri="{FF2B5EF4-FFF2-40B4-BE49-F238E27FC236}">
              <a16:creationId xmlns:a16="http://schemas.microsoft.com/office/drawing/2014/main" id="{C0D0892D-B71F-40D2-8638-F8447BD3D34E}"/>
            </a:ext>
          </a:extLst>
        </xdr:cNvPr>
        <xdr:cNvSpPr>
          <a:spLocks noChangeArrowheads="1"/>
        </xdr:cNvSpPr>
      </xdr:nvSpPr>
      <xdr:spPr bwMode="auto">
        <a:xfrm>
          <a:off x="17084675" y="2555875"/>
          <a:ext cx="0" cy="277957"/>
        </a:xfrm>
        <a:prstGeom prst="rect">
          <a:avLst/>
        </a:prstGeom>
        <a:noFill/>
        <a:ln>
          <a:noFill/>
        </a:ln>
      </xdr:spPr>
      <xdr:txBody>
        <a:bodyPr wrap="square" lIns="45720" tIns="41148" rIns="45720" bIns="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es-CO" sz="2000" b="1" i="0" u="none" strike="noStrike" baseline="0">
              <a:solidFill>
                <a:srgbClr val="FFFFFF"/>
              </a:solidFill>
              <a:latin typeface="Arial"/>
              <a:cs typeface="Arial"/>
            </a:rPr>
            <a:t>?</a:t>
          </a:r>
        </a:p>
      </xdr:txBody>
    </xdr:sp>
    <xdr:clientData/>
  </xdr:oneCellAnchor>
  <xdr:oneCellAnchor>
    <xdr:from>
      <xdr:col>16</xdr:col>
      <xdr:colOff>25400</xdr:colOff>
      <xdr:row>11</xdr:row>
      <xdr:rowOff>127000</xdr:rowOff>
    </xdr:from>
    <xdr:ext cx="0" cy="277957"/>
    <xdr:sp macro="" textlink="">
      <xdr:nvSpPr>
        <xdr:cNvPr id="11" name="Rectangle 53">
          <a:extLst>
            <a:ext uri="{FF2B5EF4-FFF2-40B4-BE49-F238E27FC236}">
              <a16:creationId xmlns:a16="http://schemas.microsoft.com/office/drawing/2014/main" id="{4CB1A2EA-2E5E-4AE5-914A-5A9E4AE49BB4}"/>
            </a:ext>
          </a:extLst>
        </xdr:cNvPr>
        <xdr:cNvSpPr>
          <a:spLocks noChangeArrowheads="1"/>
        </xdr:cNvSpPr>
      </xdr:nvSpPr>
      <xdr:spPr bwMode="auto">
        <a:xfrm>
          <a:off x="17084675" y="2555875"/>
          <a:ext cx="0" cy="277957"/>
        </a:xfrm>
        <a:prstGeom prst="rect">
          <a:avLst/>
        </a:prstGeom>
        <a:noFill/>
        <a:ln>
          <a:noFill/>
        </a:ln>
      </xdr:spPr>
      <xdr:txBody>
        <a:bodyPr wrap="square" lIns="45720" tIns="41148" rIns="45720" bIns="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es-CO" sz="2000" b="1" i="0" u="none" strike="noStrike" baseline="0">
              <a:solidFill>
                <a:srgbClr val="FFFFFF"/>
              </a:solidFill>
              <a:latin typeface="Arial"/>
              <a:cs typeface="Arial"/>
            </a:rPr>
            <a:t>?</a:t>
          </a:r>
        </a:p>
      </xdr:txBody>
    </xdr:sp>
    <xdr:clientData/>
  </xdr:oneCellAnchor>
  <xdr:twoCellAnchor editAs="oneCell">
    <xdr:from>
      <xdr:col>16</xdr:col>
      <xdr:colOff>25400</xdr:colOff>
      <xdr:row>13</xdr:row>
      <xdr:rowOff>0</xdr:rowOff>
    </xdr:from>
    <xdr:to>
      <xdr:col>16</xdr:col>
      <xdr:colOff>320675</xdr:colOff>
      <xdr:row>13</xdr:row>
      <xdr:rowOff>304800</xdr:rowOff>
    </xdr:to>
    <xdr:sp macro="" textlink="">
      <xdr:nvSpPr>
        <xdr:cNvPr id="12" name="AutoShape 38" descr="Resultado de imagen para boton agregar icono">
          <a:extLst>
            <a:ext uri="{FF2B5EF4-FFF2-40B4-BE49-F238E27FC236}">
              <a16:creationId xmlns:a16="http://schemas.microsoft.com/office/drawing/2014/main" id="{8EFCE133-2F93-488A-B000-885DD7F7088F}"/>
            </a:ext>
            <a:ext uri="{147F2762-F138-4A5C-976F-8EAC2B608ADB}">
              <a16:predDERef xmlns:a16="http://schemas.microsoft.com/office/drawing/2014/main" pred="{4CB1A2EA-2E5E-4AE5-914A-5A9E4AE49BB4}"/>
            </a:ext>
          </a:extLst>
        </xdr:cNvPr>
        <xdr:cNvSpPr>
          <a:spLocks noChangeAspect="1" noChangeArrowheads="1"/>
        </xdr:cNvSpPr>
      </xdr:nvSpPr>
      <xdr:spPr bwMode="auto">
        <a:xfrm>
          <a:off x="17808575" y="4257675"/>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13</xdr:row>
      <xdr:rowOff>0</xdr:rowOff>
    </xdr:from>
    <xdr:to>
      <xdr:col>16</xdr:col>
      <xdr:colOff>320675</xdr:colOff>
      <xdr:row>13</xdr:row>
      <xdr:rowOff>304800</xdr:rowOff>
    </xdr:to>
    <xdr:sp macro="" textlink="">
      <xdr:nvSpPr>
        <xdr:cNvPr id="13" name="AutoShape 39" descr="Resultado de imagen para boton agregar icono">
          <a:extLst>
            <a:ext uri="{FF2B5EF4-FFF2-40B4-BE49-F238E27FC236}">
              <a16:creationId xmlns:a16="http://schemas.microsoft.com/office/drawing/2014/main" id="{7E05EFAE-BCDC-40CA-92A9-DD2CEEC22E0A}"/>
            </a:ext>
            <a:ext uri="{147F2762-F138-4A5C-976F-8EAC2B608ADB}">
              <a16:predDERef xmlns:a16="http://schemas.microsoft.com/office/drawing/2014/main" pred="{8EFCE133-2F93-488A-B000-885DD7F7088F}"/>
            </a:ext>
          </a:extLst>
        </xdr:cNvPr>
        <xdr:cNvSpPr>
          <a:spLocks noChangeAspect="1" noChangeArrowheads="1"/>
        </xdr:cNvSpPr>
      </xdr:nvSpPr>
      <xdr:spPr bwMode="auto">
        <a:xfrm>
          <a:off x="17808575" y="4257675"/>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13</xdr:row>
      <xdr:rowOff>0</xdr:rowOff>
    </xdr:from>
    <xdr:to>
      <xdr:col>16</xdr:col>
      <xdr:colOff>320675</xdr:colOff>
      <xdr:row>13</xdr:row>
      <xdr:rowOff>304800</xdr:rowOff>
    </xdr:to>
    <xdr:sp macro="" textlink="">
      <xdr:nvSpPr>
        <xdr:cNvPr id="14" name="AutoShape 40" descr="Resultado de imagen para boton agregar icono">
          <a:extLst>
            <a:ext uri="{FF2B5EF4-FFF2-40B4-BE49-F238E27FC236}">
              <a16:creationId xmlns:a16="http://schemas.microsoft.com/office/drawing/2014/main" id="{412ECE67-885D-4873-8A74-3666F7EF169B}"/>
            </a:ext>
            <a:ext uri="{147F2762-F138-4A5C-976F-8EAC2B608ADB}">
              <a16:predDERef xmlns:a16="http://schemas.microsoft.com/office/drawing/2014/main" pred="{7E05EFAE-BCDC-40CA-92A9-DD2CEEC22E0A}"/>
            </a:ext>
          </a:extLst>
        </xdr:cNvPr>
        <xdr:cNvSpPr>
          <a:spLocks noChangeAspect="1" noChangeArrowheads="1"/>
        </xdr:cNvSpPr>
      </xdr:nvSpPr>
      <xdr:spPr bwMode="auto">
        <a:xfrm>
          <a:off x="17808575" y="4257675"/>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13</xdr:row>
      <xdr:rowOff>0</xdr:rowOff>
    </xdr:from>
    <xdr:to>
      <xdr:col>16</xdr:col>
      <xdr:colOff>320675</xdr:colOff>
      <xdr:row>13</xdr:row>
      <xdr:rowOff>304800</xdr:rowOff>
    </xdr:to>
    <xdr:sp macro="" textlink="">
      <xdr:nvSpPr>
        <xdr:cNvPr id="15" name="AutoShape 42" descr="Z">
          <a:extLst>
            <a:ext uri="{FF2B5EF4-FFF2-40B4-BE49-F238E27FC236}">
              <a16:creationId xmlns:a16="http://schemas.microsoft.com/office/drawing/2014/main" id="{7581D288-C54E-4B3A-B733-3BB160BAF406}"/>
            </a:ext>
            <a:ext uri="{147F2762-F138-4A5C-976F-8EAC2B608ADB}">
              <a16:predDERef xmlns:a16="http://schemas.microsoft.com/office/drawing/2014/main" pred="{412ECE67-885D-4873-8A74-3666F7EF169B}"/>
            </a:ext>
          </a:extLst>
        </xdr:cNvPr>
        <xdr:cNvSpPr>
          <a:spLocks noChangeAspect="1" noChangeArrowheads="1"/>
        </xdr:cNvSpPr>
      </xdr:nvSpPr>
      <xdr:spPr bwMode="auto">
        <a:xfrm>
          <a:off x="17808575" y="4257675"/>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oneCellAnchor>
    <xdr:from>
      <xdr:col>16</xdr:col>
      <xdr:colOff>25400</xdr:colOff>
      <xdr:row>13</xdr:row>
      <xdr:rowOff>127000</xdr:rowOff>
    </xdr:from>
    <xdr:ext cx="0" cy="277957"/>
    <xdr:sp macro="" textlink="">
      <xdr:nvSpPr>
        <xdr:cNvPr id="16" name="Rectangle 53">
          <a:extLst>
            <a:ext uri="{FF2B5EF4-FFF2-40B4-BE49-F238E27FC236}">
              <a16:creationId xmlns:a16="http://schemas.microsoft.com/office/drawing/2014/main" id="{1017B512-21AA-4CD7-AF2E-AD2101C2A9DD}"/>
            </a:ext>
            <a:ext uri="{147F2762-F138-4A5C-976F-8EAC2B608ADB}">
              <a16:predDERef xmlns:a16="http://schemas.microsoft.com/office/drawing/2014/main" pred="{7581D288-C54E-4B3A-B733-3BB160BAF406}"/>
            </a:ext>
          </a:extLst>
        </xdr:cNvPr>
        <xdr:cNvSpPr>
          <a:spLocks noChangeArrowheads="1"/>
        </xdr:cNvSpPr>
      </xdr:nvSpPr>
      <xdr:spPr bwMode="auto">
        <a:xfrm>
          <a:off x="17808575" y="4384675"/>
          <a:ext cx="0" cy="277957"/>
        </a:xfrm>
        <a:prstGeom prst="rect">
          <a:avLst/>
        </a:prstGeom>
        <a:noFill/>
        <a:ln>
          <a:noFill/>
        </a:ln>
      </xdr:spPr>
      <xdr:txBody>
        <a:bodyPr wrap="square" lIns="45720" tIns="41148" rIns="45720" bIns="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es-CO" sz="2000" b="1" i="0" u="none" strike="noStrike" baseline="0">
              <a:solidFill>
                <a:srgbClr val="FFFFFF"/>
              </a:solidFill>
              <a:latin typeface="Arial"/>
              <a:cs typeface="Arial"/>
            </a:rPr>
            <a:t>?</a:t>
          </a:r>
        </a:p>
      </xdr:txBody>
    </xdr:sp>
    <xdr:clientData/>
  </xdr:oneCellAnchor>
  <xdr:oneCellAnchor>
    <xdr:from>
      <xdr:col>16</xdr:col>
      <xdr:colOff>25400</xdr:colOff>
      <xdr:row>12</xdr:row>
      <xdr:rowOff>0</xdr:rowOff>
    </xdr:from>
    <xdr:ext cx="295275" cy="304800"/>
    <xdr:sp macro="" textlink="">
      <xdr:nvSpPr>
        <xdr:cNvPr id="17" name="AutoShape 38" descr="Resultado de imagen para boton agregar icono">
          <a:extLst>
            <a:ext uri="{FF2B5EF4-FFF2-40B4-BE49-F238E27FC236}">
              <a16:creationId xmlns:a16="http://schemas.microsoft.com/office/drawing/2014/main" id="{78246C92-EF2C-47AD-A854-A40C08EE0804}"/>
            </a:ext>
            <a:ext uri="{147F2762-F138-4A5C-976F-8EAC2B608ADB}">
              <a16:predDERef xmlns:a16="http://schemas.microsoft.com/office/drawing/2014/main" pred="{4CB1A2EA-2E5E-4AE5-914A-5A9E4AE49BB4}"/>
            </a:ext>
          </a:extLst>
        </xdr:cNvPr>
        <xdr:cNvSpPr>
          <a:spLocks noChangeAspect="1" noChangeArrowheads="1"/>
        </xdr:cNvSpPr>
      </xdr:nvSpPr>
      <xdr:spPr bwMode="auto">
        <a:xfrm>
          <a:off x="19917996" y="6132635"/>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oneCellAnchor>
  <xdr:oneCellAnchor>
    <xdr:from>
      <xdr:col>16</xdr:col>
      <xdr:colOff>25400</xdr:colOff>
      <xdr:row>12</xdr:row>
      <xdr:rowOff>0</xdr:rowOff>
    </xdr:from>
    <xdr:ext cx="295275" cy="304800"/>
    <xdr:sp macro="" textlink="">
      <xdr:nvSpPr>
        <xdr:cNvPr id="18" name="AutoShape 39" descr="Resultado de imagen para boton agregar icono">
          <a:extLst>
            <a:ext uri="{FF2B5EF4-FFF2-40B4-BE49-F238E27FC236}">
              <a16:creationId xmlns:a16="http://schemas.microsoft.com/office/drawing/2014/main" id="{1E9B0330-97B9-4093-9534-E0285F63AC19}"/>
            </a:ext>
            <a:ext uri="{147F2762-F138-4A5C-976F-8EAC2B608ADB}">
              <a16:predDERef xmlns:a16="http://schemas.microsoft.com/office/drawing/2014/main" pred="{8EFCE133-2F93-488A-B000-885DD7F7088F}"/>
            </a:ext>
          </a:extLst>
        </xdr:cNvPr>
        <xdr:cNvSpPr>
          <a:spLocks noChangeAspect="1" noChangeArrowheads="1"/>
        </xdr:cNvSpPr>
      </xdr:nvSpPr>
      <xdr:spPr bwMode="auto">
        <a:xfrm>
          <a:off x="19917996" y="6132635"/>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oneCellAnchor>
  <xdr:oneCellAnchor>
    <xdr:from>
      <xdr:col>16</xdr:col>
      <xdr:colOff>25400</xdr:colOff>
      <xdr:row>12</xdr:row>
      <xdr:rowOff>0</xdr:rowOff>
    </xdr:from>
    <xdr:ext cx="295275" cy="304800"/>
    <xdr:sp macro="" textlink="">
      <xdr:nvSpPr>
        <xdr:cNvPr id="19" name="AutoShape 40" descr="Resultado de imagen para boton agregar icono">
          <a:extLst>
            <a:ext uri="{FF2B5EF4-FFF2-40B4-BE49-F238E27FC236}">
              <a16:creationId xmlns:a16="http://schemas.microsoft.com/office/drawing/2014/main" id="{1BE2BC6E-DF4C-4FA7-8781-D407D01CFBB6}"/>
            </a:ext>
            <a:ext uri="{147F2762-F138-4A5C-976F-8EAC2B608ADB}">
              <a16:predDERef xmlns:a16="http://schemas.microsoft.com/office/drawing/2014/main" pred="{7E05EFAE-BCDC-40CA-92A9-DD2CEEC22E0A}"/>
            </a:ext>
          </a:extLst>
        </xdr:cNvPr>
        <xdr:cNvSpPr>
          <a:spLocks noChangeAspect="1" noChangeArrowheads="1"/>
        </xdr:cNvSpPr>
      </xdr:nvSpPr>
      <xdr:spPr bwMode="auto">
        <a:xfrm>
          <a:off x="19917996" y="6132635"/>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oneCellAnchor>
  <xdr:oneCellAnchor>
    <xdr:from>
      <xdr:col>16</xdr:col>
      <xdr:colOff>25400</xdr:colOff>
      <xdr:row>12</xdr:row>
      <xdr:rowOff>0</xdr:rowOff>
    </xdr:from>
    <xdr:ext cx="295275" cy="304800"/>
    <xdr:sp macro="" textlink="">
      <xdr:nvSpPr>
        <xdr:cNvPr id="20" name="AutoShape 42" descr="Z">
          <a:extLst>
            <a:ext uri="{FF2B5EF4-FFF2-40B4-BE49-F238E27FC236}">
              <a16:creationId xmlns:a16="http://schemas.microsoft.com/office/drawing/2014/main" id="{38F82288-DEF6-4B38-AB25-8D4198FE4198}"/>
            </a:ext>
            <a:ext uri="{147F2762-F138-4A5C-976F-8EAC2B608ADB}">
              <a16:predDERef xmlns:a16="http://schemas.microsoft.com/office/drawing/2014/main" pred="{412ECE67-885D-4873-8A74-3666F7EF169B}"/>
            </a:ext>
          </a:extLst>
        </xdr:cNvPr>
        <xdr:cNvSpPr>
          <a:spLocks noChangeAspect="1" noChangeArrowheads="1"/>
        </xdr:cNvSpPr>
      </xdr:nvSpPr>
      <xdr:spPr bwMode="auto">
        <a:xfrm>
          <a:off x="19917996" y="6132635"/>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oneCellAnchor>
  <xdr:oneCellAnchor>
    <xdr:from>
      <xdr:col>16</xdr:col>
      <xdr:colOff>25400</xdr:colOff>
      <xdr:row>12</xdr:row>
      <xdr:rowOff>127000</xdr:rowOff>
    </xdr:from>
    <xdr:ext cx="0" cy="277957"/>
    <xdr:sp macro="" textlink="">
      <xdr:nvSpPr>
        <xdr:cNvPr id="21" name="Rectangle 53">
          <a:extLst>
            <a:ext uri="{FF2B5EF4-FFF2-40B4-BE49-F238E27FC236}">
              <a16:creationId xmlns:a16="http://schemas.microsoft.com/office/drawing/2014/main" id="{861D3B67-9478-4D09-91C1-9CF77EFD0EDF}"/>
            </a:ext>
            <a:ext uri="{147F2762-F138-4A5C-976F-8EAC2B608ADB}">
              <a16:predDERef xmlns:a16="http://schemas.microsoft.com/office/drawing/2014/main" pred="{7581D288-C54E-4B3A-B733-3BB160BAF406}"/>
            </a:ext>
          </a:extLst>
        </xdr:cNvPr>
        <xdr:cNvSpPr>
          <a:spLocks noChangeArrowheads="1"/>
        </xdr:cNvSpPr>
      </xdr:nvSpPr>
      <xdr:spPr bwMode="auto">
        <a:xfrm>
          <a:off x="19917996" y="6259635"/>
          <a:ext cx="0" cy="277957"/>
        </a:xfrm>
        <a:prstGeom prst="rect">
          <a:avLst/>
        </a:prstGeom>
        <a:noFill/>
        <a:ln>
          <a:noFill/>
        </a:ln>
      </xdr:spPr>
      <xdr:txBody>
        <a:bodyPr wrap="square" lIns="45720" tIns="41148" rIns="45720" bIns="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es-CO" sz="2000" b="1" i="0" u="none" strike="noStrike" baseline="0">
              <a:solidFill>
                <a:srgbClr val="FFFFFF"/>
              </a:solidFill>
              <a:latin typeface="Arial"/>
              <a:cs typeface="Arial"/>
            </a:rPr>
            <a: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leonardol/Dropbox/SGR/Gesti&#243;n%20de%20riesgos/Herramientas%20gesti&#243;n%20de%20riesgos/Formatos%20Matriz%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nacional33/meci/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nacional33/meci/Documents%20and%20Settings/JENITH%20%20LINARES/Mis%20documentos/CONTROL%20INTERNO%20CGC/TALLER/GESTION%20DEL%20RIESGO%20Y%20CONTRO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OSECAR/Downloads/2.%20Mapa%20de%20riesgos%20DIRyPLA__%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FO-25"/>
      <sheetName val="SM-FO-26"/>
      <sheetName val="SM-FO-27"/>
      <sheetName val="CODIGOS INTERNOS"/>
      <sheetName val="SM-FO-28"/>
      <sheetName val="SM-FO-29"/>
      <sheetName val="SM-FO-30"/>
      <sheetName val="Descripcion Fte-Aimp"/>
      <sheetName val="Perfil riesgo Inh"/>
      <sheetName val="Perfil riesgo Res"/>
      <sheetName val="Nivel organizacional riesgo"/>
      <sheetName val="Tipos riesgo"/>
      <sheetName val="Triangulo del fraude"/>
      <sheetName val="Controles existentes"/>
      <sheetName val="Escala probabilidad"/>
      <sheetName val="Escalas impacto"/>
      <sheetName val="Escalas Valoracion Controles"/>
      <sheetName val="Escalas efectividad controles"/>
      <sheetName val="Escalas riesgo residual"/>
      <sheetName val="definicionPoliticasManejo"/>
      <sheetName val="Formatos Matriz de riesgos"/>
      <sheetName val="_Formatos_Matriz_de_riesgos_x_2"/>
    </sheetNames>
    <sheetDataSet>
      <sheetData sheetId="0" refreshError="1"/>
      <sheetData sheetId="1" refreshError="1"/>
      <sheetData sheetId="2" refreshError="1">
        <row r="476">
          <cell r="BP476" t="str">
            <v>Personas</v>
          </cell>
          <cell r="BQ476" t="str">
            <v>Vida, salud o Integridad Fìsica del usuario</v>
          </cell>
        </row>
        <row r="477">
          <cell r="BP477" t="str">
            <v>Tecnologìa</v>
          </cell>
          <cell r="BQ477" t="str">
            <v>Vida, salud o Integridad Fìsica
del Colaborador</v>
          </cell>
        </row>
        <row r="478">
          <cell r="BP478" t="str">
            <v>Procesos</v>
          </cell>
          <cell r="BQ478" t="str">
            <v>Recursos Financieros</v>
          </cell>
        </row>
        <row r="479">
          <cell r="BP479" t="str">
            <v>Infraestructura</v>
          </cell>
          <cell r="BQ479" t="str">
            <v>Credibilidad, Buen Nombre, Reputaciòn</v>
          </cell>
        </row>
        <row r="480">
          <cell r="BP480" t="str">
            <v>Externos (Eventos Naturales/Terceros)</v>
          </cell>
          <cell r="BQ480" t="str">
            <v>Instalaciones, equipos, insumos, elementos y demas bienes</v>
          </cell>
        </row>
        <row r="481">
          <cell r="BQ481" t="str">
            <v>Informaciòn y Conocimiento</v>
          </cell>
          <cell r="BR481" t="str">
            <v>Estratégicos</v>
          </cell>
        </row>
        <row r="482">
          <cell r="BQ482" t="str">
            <v>Medio Ambiente</v>
          </cell>
          <cell r="BR482" t="str">
            <v>Tácticos</v>
          </cell>
        </row>
        <row r="483">
          <cell r="BR483" t="str">
            <v>Operativos</v>
          </cell>
        </row>
        <row r="486">
          <cell r="BR486" t="str">
            <v>Financiero</v>
          </cell>
        </row>
        <row r="487">
          <cell r="BR487" t="str">
            <v>Social</v>
          </cell>
        </row>
        <row r="488">
          <cell r="BR488" t="str">
            <v>Tecnológico</v>
          </cell>
        </row>
        <row r="489">
          <cell r="BR489" t="str">
            <v>Medioambiental</v>
          </cell>
        </row>
        <row r="490">
          <cell r="BR490" t="str">
            <v>Legal</v>
          </cell>
        </row>
        <row r="491">
          <cell r="BR491" t="str">
            <v>Imagen</v>
          </cell>
        </row>
        <row r="492">
          <cell r="BR492" t="str">
            <v>Sistemas</v>
          </cell>
        </row>
        <row r="493">
          <cell r="BR493" t="str">
            <v>Salud Ocupacional y Seguridad Industrial</v>
          </cell>
        </row>
        <row r="494">
          <cell r="BR494" t="str">
            <v>Documental</v>
          </cell>
        </row>
        <row r="495">
          <cell r="BR495" t="str">
            <v>Fraude y/o Corrupción</v>
          </cell>
        </row>
        <row r="496">
          <cell r="BR496" t="str">
            <v>Seguridad del paciente - Procesos Institucionales seguros</v>
          </cell>
        </row>
        <row r="497">
          <cell r="BR497" t="str">
            <v>Seguridad del paciente - Procesos asistenciales seguros</v>
          </cell>
        </row>
        <row r="498">
          <cell r="BR498" t="str">
            <v>Seguridad del paciente - Usuarios y familia partícipes en la cultura de seguridad</v>
          </cell>
        </row>
        <row r="499">
          <cell r="BR499" t="str">
            <v>Seguridad del paciente -  
Equipo humano de salud idóneo para la atención segura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2"/>
      <sheetName val="Base de Datos"/>
      <sheetName val="Contexto Estratégico MJD"/>
      <sheetName val="Contexto Estratégico (2)"/>
      <sheetName val="Administración de Riesgos de G"/>
      <sheetName val="Administración de Riesgos de C"/>
    </sheetNames>
    <sheetDataSet>
      <sheetData sheetId="0"/>
      <sheetData sheetId="1">
        <row r="4">
          <cell r="A4" t="str">
            <v>ESTRATÉGICO</v>
          </cell>
        </row>
        <row r="5">
          <cell r="A5" t="str">
            <v>MISIONAL</v>
          </cell>
        </row>
        <row r="6">
          <cell r="A6" t="str">
            <v>APOYO</v>
          </cell>
        </row>
        <row r="7">
          <cell r="A7" t="str">
            <v>EVALUACIÓN</v>
          </cell>
        </row>
      </sheetData>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3"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50" dataDxfId="149">
  <autoFilter ref="B209:C219" xr:uid="{00000000-0009-0000-0100-000001000000}"/>
  <tableColumns count="2">
    <tableColumn id="1" xr3:uid="{00000000-0010-0000-0000-000001000000}" name="Criterios" dataDxfId="148"/>
    <tableColumn id="2" xr3:uid="{00000000-0010-0000-0000-000002000000}" name="Subcriterios" dataDxfId="14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H55"/>
  <sheetViews>
    <sheetView topLeftCell="A4" zoomScale="110" zoomScaleNormal="110" workbookViewId="0">
      <selection activeCell="B12" sqref="B12:H12"/>
    </sheetView>
  </sheetViews>
  <sheetFormatPr baseColWidth="10" defaultColWidth="11.42578125" defaultRowHeight="15" x14ac:dyDescent="0.25"/>
  <cols>
    <col min="1" max="1" width="2.85546875" style="82" customWidth="1"/>
    <col min="2" max="3" width="24.7109375" style="82" customWidth="1"/>
    <col min="4" max="4" width="16" style="82" customWidth="1"/>
    <col min="5" max="5" width="24.7109375" style="82" customWidth="1"/>
    <col min="6" max="6" width="27.7109375" style="82" customWidth="1"/>
    <col min="7" max="8" width="24.7109375" style="82" customWidth="1"/>
    <col min="9" max="16384" width="11.42578125" style="82"/>
  </cols>
  <sheetData>
    <row r="4" spans="2:8" ht="6.95" customHeight="1" thickBot="1" x14ac:dyDescent="0.3"/>
    <row r="5" spans="2:8" hidden="1" x14ac:dyDescent="0.25"/>
    <row r="6" spans="2:8" ht="15.75" hidden="1" thickBot="1" x14ac:dyDescent="0.3"/>
    <row r="7" spans="2:8" ht="15.75" hidden="1" thickBot="1" x14ac:dyDescent="0.3"/>
    <row r="8" spans="2:8" ht="0.95" hidden="1" customHeight="1" thickBot="1" x14ac:dyDescent="0.3"/>
    <row r="9" spans="2:8" ht="15.75" hidden="1" thickBot="1" x14ac:dyDescent="0.3"/>
    <row r="10" spans="2:8" ht="15.75" hidden="1" thickBot="1" x14ac:dyDescent="0.3"/>
    <row r="11" spans="2:8" ht="15.75" hidden="1" thickBot="1" x14ac:dyDescent="0.3"/>
    <row r="12" spans="2:8" ht="95.1" customHeight="1" x14ac:dyDescent="0.25">
      <c r="B12" s="184" t="s">
        <v>0</v>
      </c>
      <c r="C12" s="185"/>
      <c r="D12" s="185"/>
      <c r="E12" s="185"/>
      <c r="F12" s="185"/>
      <c r="G12" s="185"/>
      <c r="H12" s="186"/>
    </row>
    <row r="13" spans="2:8" ht="11.1" customHeight="1" x14ac:dyDescent="0.25">
      <c r="B13" s="83"/>
      <c r="C13" s="84"/>
      <c r="D13" s="84"/>
      <c r="E13" s="84"/>
      <c r="F13" s="84"/>
      <c r="G13" s="84"/>
      <c r="H13" s="85"/>
    </row>
    <row r="14" spans="2:8" ht="29.1" hidden="1" customHeight="1" x14ac:dyDescent="0.25">
      <c r="B14" s="187" t="s">
        <v>1</v>
      </c>
      <c r="C14" s="188"/>
      <c r="D14" s="188"/>
      <c r="E14" s="188"/>
      <c r="F14" s="188"/>
      <c r="G14" s="188"/>
      <c r="H14" s="189"/>
    </row>
    <row r="15" spans="2:8" ht="63" hidden="1" customHeight="1" x14ac:dyDescent="0.25">
      <c r="B15" s="190"/>
      <c r="C15" s="191"/>
      <c r="D15" s="191"/>
      <c r="E15" s="191"/>
      <c r="F15" s="191"/>
      <c r="G15" s="191"/>
      <c r="H15" s="192"/>
    </row>
    <row r="16" spans="2:8" ht="16.5" x14ac:dyDescent="0.25">
      <c r="B16" s="193" t="s">
        <v>2</v>
      </c>
      <c r="C16" s="194"/>
      <c r="D16" s="194"/>
      <c r="E16" s="194"/>
      <c r="F16" s="194"/>
      <c r="G16" s="194"/>
      <c r="H16" s="195"/>
    </row>
    <row r="17" spans="2:8" ht="95.25" customHeight="1" x14ac:dyDescent="0.25">
      <c r="B17" s="203" t="s">
        <v>3</v>
      </c>
      <c r="C17" s="204"/>
      <c r="D17" s="204"/>
      <c r="E17" s="204"/>
      <c r="F17" s="204"/>
      <c r="G17" s="204"/>
      <c r="H17" s="205"/>
    </row>
    <row r="18" spans="2:8" ht="16.5" x14ac:dyDescent="0.25">
      <c r="B18" s="115"/>
      <c r="C18" s="116"/>
      <c r="D18" s="116"/>
      <c r="E18" s="116"/>
      <c r="F18" s="116"/>
      <c r="G18" s="116"/>
      <c r="H18" s="117"/>
    </row>
    <row r="19" spans="2:8" ht="16.5" customHeight="1" x14ac:dyDescent="0.25">
      <c r="B19" s="196" t="s">
        <v>4</v>
      </c>
      <c r="C19" s="197"/>
      <c r="D19" s="197"/>
      <c r="E19" s="197"/>
      <c r="F19" s="197"/>
      <c r="G19" s="197"/>
      <c r="H19" s="198"/>
    </row>
    <row r="20" spans="2:8" ht="44.25" customHeight="1" x14ac:dyDescent="0.25">
      <c r="B20" s="196"/>
      <c r="C20" s="197"/>
      <c r="D20" s="197"/>
      <c r="E20" s="197"/>
      <c r="F20" s="197"/>
      <c r="G20" s="197"/>
      <c r="H20" s="198"/>
    </row>
    <row r="21" spans="2:8" ht="15.75" thickBot="1" x14ac:dyDescent="0.3">
      <c r="B21" s="104"/>
      <c r="C21" s="107"/>
      <c r="D21" s="112"/>
      <c r="E21" s="113"/>
      <c r="F21" s="113"/>
      <c r="G21" s="114"/>
      <c r="H21" s="108"/>
    </row>
    <row r="22" spans="2:8" ht="15.75" thickTop="1" x14ac:dyDescent="0.25">
      <c r="B22" s="104"/>
      <c r="C22" s="199" t="s">
        <v>5</v>
      </c>
      <c r="D22" s="200"/>
      <c r="E22" s="201" t="s">
        <v>6</v>
      </c>
      <c r="F22" s="202"/>
      <c r="G22" s="107"/>
      <c r="H22" s="108"/>
    </row>
    <row r="23" spans="2:8" ht="35.25" customHeight="1" x14ac:dyDescent="0.25">
      <c r="B23" s="104"/>
      <c r="C23" s="206" t="s">
        <v>7</v>
      </c>
      <c r="D23" s="207"/>
      <c r="E23" s="208" t="s">
        <v>8</v>
      </c>
      <c r="F23" s="209"/>
      <c r="G23" s="107"/>
      <c r="H23" s="108"/>
    </row>
    <row r="24" spans="2:8" ht="17.25" customHeight="1" x14ac:dyDescent="0.25">
      <c r="B24" s="104"/>
      <c r="C24" s="206" t="s">
        <v>9</v>
      </c>
      <c r="D24" s="207"/>
      <c r="E24" s="208" t="s">
        <v>10</v>
      </c>
      <c r="F24" s="209"/>
      <c r="G24" s="107"/>
      <c r="H24" s="108"/>
    </row>
    <row r="25" spans="2:8" ht="19.5" customHeight="1" x14ac:dyDescent="0.25">
      <c r="B25" s="104"/>
      <c r="C25" s="206" t="s">
        <v>11</v>
      </c>
      <c r="D25" s="207"/>
      <c r="E25" s="208" t="s">
        <v>12</v>
      </c>
      <c r="F25" s="209"/>
      <c r="G25" s="107"/>
      <c r="H25" s="108"/>
    </row>
    <row r="26" spans="2:8" ht="69.75" customHeight="1" x14ac:dyDescent="0.25">
      <c r="B26" s="104"/>
      <c r="C26" s="206" t="s">
        <v>13</v>
      </c>
      <c r="D26" s="207"/>
      <c r="E26" s="208" t="s">
        <v>14</v>
      </c>
      <c r="F26" s="209"/>
      <c r="G26" s="107"/>
      <c r="H26" s="108"/>
    </row>
    <row r="27" spans="2:8" ht="34.5" customHeight="1" x14ac:dyDescent="0.25">
      <c r="B27" s="104"/>
      <c r="C27" s="210" t="s">
        <v>15</v>
      </c>
      <c r="D27" s="211"/>
      <c r="E27" s="212" t="s">
        <v>16</v>
      </c>
      <c r="F27" s="213"/>
      <c r="G27" s="107"/>
      <c r="H27" s="108"/>
    </row>
    <row r="28" spans="2:8" ht="27.75" customHeight="1" x14ac:dyDescent="0.25">
      <c r="B28" s="104"/>
      <c r="C28" s="210" t="s">
        <v>17</v>
      </c>
      <c r="D28" s="211"/>
      <c r="E28" s="212" t="s">
        <v>18</v>
      </c>
      <c r="F28" s="213"/>
      <c r="G28" s="107"/>
      <c r="H28" s="108"/>
    </row>
    <row r="29" spans="2:8" ht="28.5" customHeight="1" x14ac:dyDescent="0.25">
      <c r="B29" s="104"/>
      <c r="C29" s="210" t="s">
        <v>19</v>
      </c>
      <c r="D29" s="211"/>
      <c r="E29" s="212" t="s">
        <v>20</v>
      </c>
      <c r="F29" s="213"/>
      <c r="G29" s="107"/>
      <c r="H29" s="108"/>
    </row>
    <row r="30" spans="2:8" ht="72.75" customHeight="1" x14ac:dyDescent="0.25">
      <c r="B30" s="104"/>
      <c r="C30" s="210" t="s">
        <v>21</v>
      </c>
      <c r="D30" s="211"/>
      <c r="E30" s="212" t="s">
        <v>22</v>
      </c>
      <c r="F30" s="213"/>
      <c r="G30" s="107"/>
      <c r="H30" s="108"/>
    </row>
    <row r="31" spans="2:8" ht="64.5" customHeight="1" x14ac:dyDescent="0.25">
      <c r="B31" s="104"/>
      <c r="C31" s="210" t="s">
        <v>23</v>
      </c>
      <c r="D31" s="211"/>
      <c r="E31" s="212" t="s">
        <v>24</v>
      </c>
      <c r="F31" s="213"/>
      <c r="G31" s="107"/>
      <c r="H31" s="108"/>
    </row>
    <row r="32" spans="2:8" ht="71.25" customHeight="1" x14ac:dyDescent="0.25">
      <c r="B32" s="104"/>
      <c r="C32" s="210" t="s">
        <v>25</v>
      </c>
      <c r="D32" s="211"/>
      <c r="E32" s="212" t="s">
        <v>26</v>
      </c>
      <c r="F32" s="213"/>
      <c r="G32" s="107"/>
      <c r="H32" s="108"/>
    </row>
    <row r="33" spans="2:8" ht="55.5" customHeight="1" x14ac:dyDescent="0.25">
      <c r="B33" s="104"/>
      <c r="C33" s="217" t="s">
        <v>27</v>
      </c>
      <c r="D33" s="218"/>
      <c r="E33" s="212" t="s">
        <v>28</v>
      </c>
      <c r="F33" s="213"/>
      <c r="G33" s="107"/>
      <c r="H33" s="108"/>
    </row>
    <row r="34" spans="2:8" ht="42" customHeight="1" x14ac:dyDescent="0.25">
      <c r="B34" s="104"/>
      <c r="C34" s="217" t="s">
        <v>29</v>
      </c>
      <c r="D34" s="218"/>
      <c r="E34" s="212" t="s">
        <v>30</v>
      </c>
      <c r="F34" s="213"/>
      <c r="G34" s="107"/>
      <c r="H34" s="108"/>
    </row>
    <row r="35" spans="2:8" ht="59.25" customHeight="1" x14ac:dyDescent="0.25">
      <c r="B35" s="104"/>
      <c r="C35" s="217" t="s">
        <v>31</v>
      </c>
      <c r="D35" s="218"/>
      <c r="E35" s="212" t="s">
        <v>32</v>
      </c>
      <c r="F35" s="213"/>
      <c r="G35" s="107"/>
      <c r="H35" s="108"/>
    </row>
    <row r="36" spans="2:8" ht="23.25" customHeight="1" x14ac:dyDescent="0.25">
      <c r="B36" s="104"/>
      <c r="C36" s="217" t="s">
        <v>33</v>
      </c>
      <c r="D36" s="218"/>
      <c r="E36" s="212" t="s">
        <v>34</v>
      </c>
      <c r="F36" s="213"/>
      <c r="G36" s="107"/>
      <c r="H36" s="108"/>
    </row>
    <row r="37" spans="2:8" ht="30.75" customHeight="1" x14ac:dyDescent="0.25">
      <c r="B37" s="104"/>
      <c r="C37" s="217" t="s">
        <v>35</v>
      </c>
      <c r="D37" s="218"/>
      <c r="E37" s="212" t="s">
        <v>36</v>
      </c>
      <c r="F37" s="213"/>
      <c r="G37" s="107"/>
      <c r="H37" s="108"/>
    </row>
    <row r="38" spans="2:8" ht="35.25" customHeight="1" x14ac:dyDescent="0.25">
      <c r="B38" s="104"/>
      <c r="C38" s="217" t="s">
        <v>37</v>
      </c>
      <c r="D38" s="218"/>
      <c r="E38" s="212" t="s">
        <v>38</v>
      </c>
      <c r="F38" s="213"/>
      <c r="G38" s="107"/>
      <c r="H38" s="108"/>
    </row>
    <row r="39" spans="2:8" ht="33" customHeight="1" x14ac:dyDescent="0.25">
      <c r="B39" s="104"/>
      <c r="C39" s="217" t="s">
        <v>37</v>
      </c>
      <c r="D39" s="218"/>
      <c r="E39" s="212" t="s">
        <v>38</v>
      </c>
      <c r="F39" s="213"/>
      <c r="G39" s="107"/>
      <c r="H39" s="108"/>
    </row>
    <row r="40" spans="2:8" ht="30" customHeight="1" x14ac:dyDescent="0.25">
      <c r="B40" s="104"/>
      <c r="C40" s="217" t="s">
        <v>39</v>
      </c>
      <c r="D40" s="218"/>
      <c r="E40" s="212" t="s">
        <v>40</v>
      </c>
      <c r="F40" s="213"/>
      <c r="G40" s="107"/>
      <c r="H40" s="108"/>
    </row>
    <row r="41" spans="2:8" ht="35.25" customHeight="1" x14ac:dyDescent="0.25">
      <c r="B41" s="104"/>
      <c r="C41" s="217" t="s">
        <v>41</v>
      </c>
      <c r="D41" s="218"/>
      <c r="E41" s="212" t="s">
        <v>42</v>
      </c>
      <c r="F41" s="213"/>
      <c r="G41" s="107"/>
      <c r="H41" s="108"/>
    </row>
    <row r="42" spans="2:8" ht="31.5" customHeight="1" x14ac:dyDescent="0.25">
      <c r="B42" s="104"/>
      <c r="C42" s="217" t="s">
        <v>43</v>
      </c>
      <c r="D42" s="218"/>
      <c r="E42" s="212" t="s">
        <v>44</v>
      </c>
      <c r="F42" s="213"/>
      <c r="G42" s="107"/>
      <c r="H42" s="108"/>
    </row>
    <row r="43" spans="2:8" ht="35.25" customHeight="1" x14ac:dyDescent="0.25">
      <c r="B43" s="104"/>
      <c r="C43" s="217" t="s">
        <v>45</v>
      </c>
      <c r="D43" s="218"/>
      <c r="E43" s="212" t="s">
        <v>46</v>
      </c>
      <c r="F43" s="213"/>
      <c r="G43" s="107"/>
      <c r="H43" s="108"/>
    </row>
    <row r="44" spans="2:8" ht="59.25" customHeight="1" x14ac:dyDescent="0.25">
      <c r="B44" s="104"/>
      <c r="C44" s="217" t="s">
        <v>47</v>
      </c>
      <c r="D44" s="218"/>
      <c r="E44" s="212" t="s">
        <v>48</v>
      </c>
      <c r="F44" s="213"/>
      <c r="G44" s="107"/>
      <c r="H44" s="108"/>
    </row>
    <row r="45" spans="2:8" ht="29.25" customHeight="1" x14ac:dyDescent="0.25">
      <c r="B45" s="104"/>
      <c r="C45" s="217" t="s">
        <v>49</v>
      </c>
      <c r="D45" s="218"/>
      <c r="E45" s="212" t="s">
        <v>50</v>
      </c>
      <c r="F45" s="213"/>
      <c r="G45" s="107"/>
      <c r="H45" s="108"/>
    </row>
    <row r="46" spans="2:8" ht="82.5" customHeight="1" x14ac:dyDescent="0.25">
      <c r="B46" s="104"/>
      <c r="C46" s="217" t="s">
        <v>51</v>
      </c>
      <c r="D46" s="218"/>
      <c r="E46" s="212" t="s">
        <v>52</v>
      </c>
      <c r="F46" s="213"/>
      <c r="G46" s="107"/>
      <c r="H46" s="108"/>
    </row>
    <row r="47" spans="2:8" ht="46.5" customHeight="1" x14ac:dyDescent="0.25">
      <c r="B47" s="104"/>
      <c r="C47" s="217" t="s">
        <v>53</v>
      </c>
      <c r="D47" s="218"/>
      <c r="E47" s="212" t="s">
        <v>54</v>
      </c>
      <c r="F47" s="213"/>
      <c r="G47" s="107"/>
      <c r="H47" s="108"/>
    </row>
    <row r="48" spans="2:8" ht="6.75" customHeight="1" thickBot="1" x14ac:dyDescent="0.3">
      <c r="B48" s="104"/>
      <c r="C48" s="219"/>
      <c r="D48" s="220"/>
      <c r="E48" s="221"/>
      <c r="F48" s="222"/>
      <c r="G48" s="107"/>
      <c r="H48" s="108"/>
    </row>
    <row r="49" spans="2:8" ht="15.75" thickTop="1" x14ac:dyDescent="0.25">
      <c r="B49" s="104"/>
      <c r="C49" s="105"/>
      <c r="D49" s="105"/>
      <c r="E49" s="106"/>
      <c r="F49" s="106"/>
      <c r="G49" s="107"/>
      <c r="H49" s="108"/>
    </row>
    <row r="50" spans="2:8" ht="21" customHeight="1" x14ac:dyDescent="0.25">
      <c r="B50" s="214" t="s">
        <v>55</v>
      </c>
      <c r="C50" s="215"/>
      <c r="D50" s="215"/>
      <c r="E50" s="215"/>
      <c r="F50" s="215"/>
      <c r="G50" s="215"/>
      <c r="H50" s="216"/>
    </row>
    <row r="51" spans="2:8" ht="20.25" customHeight="1" x14ac:dyDescent="0.25">
      <c r="B51" s="214" t="s">
        <v>56</v>
      </c>
      <c r="C51" s="215"/>
      <c r="D51" s="215"/>
      <c r="E51" s="215"/>
      <c r="F51" s="215"/>
      <c r="G51" s="215"/>
      <c r="H51" s="216"/>
    </row>
    <row r="52" spans="2:8" ht="20.25" customHeight="1" x14ac:dyDescent="0.25">
      <c r="B52" s="214" t="s">
        <v>57</v>
      </c>
      <c r="C52" s="215"/>
      <c r="D52" s="215"/>
      <c r="E52" s="215"/>
      <c r="F52" s="215"/>
      <c r="G52" s="215"/>
      <c r="H52" s="216"/>
    </row>
    <row r="53" spans="2:8" ht="20.25" customHeight="1" x14ac:dyDescent="0.25">
      <c r="B53" s="214" t="s">
        <v>58</v>
      </c>
      <c r="C53" s="215"/>
      <c r="D53" s="215"/>
      <c r="E53" s="215"/>
      <c r="F53" s="215"/>
      <c r="G53" s="215"/>
      <c r="H53" s="216"/>
    </row>
    <row r="54" spans="2:8" x14ac:dyDescent="0.25">
      <c r="B54" s="214" t="s">
        <v>59</v>
      </c>
      <c r="C54" s="215"/>
      <c r="D54" s="215"/>
      <c r="E54" s="215"/>
      <c r="F54" s="215"/>
      <c r="G54" s="215"/>
      <c r="H54" s="216"/>
    </row>
    <row r="55" spans="2:8" ht="15.75" thickBot="1" x14ac:dyDescent="0.3">
      <c r="B55" s="109"/>
      <c r="C55" s="110"/>
      <c r="D55" s="110"/>
      <c r="E55" s="110"/>
      <c r="F55" s="110"/>
      <c r="G55" s="110"/>
      <c r="H55" s="111"/>
    </row>
  </sheetData>
  <mergeCells count="64">
    <mergeCell ref="E38:F38"/>
    <mergeCell ref="C38:D38"/>
    <mergeCell ref="C26:D26"/>
    <mergeCell ref="E26:F26"/>
    <mergeCell ref="C24:D24"/>
    <mergeCell ref="E24:F24"/>
    <mergeCell ref="C25:D25"/>
    <mergeCell ref="E25:F25"/>
    <mergeCell ref="E32:F32"/>
    <mergeCell ref="C32:D32"/>
    <mergeCell ref="C35:D35"/>
    <mergeCell ref="E35:F35"/>
    <mergeCell ref="B51:H51"/>
    <mergeCell ref="C48:D48"/>
    <mergeCell ref="E48:F48"/>
    <mergeCell ref="C47:D47"/>
    <mergeCell ref="E47:F47"/>
    <mergeCell ref="C43:D43"/>
    <mergeCell ref="B50:H50"/>
    <mergeCell ref="C39:D39"/>
    <mergeCell ref="E39:F39"/>
    <mergeCell ref="C40:D40"/>
    <mergeCell ref="E40:F40"/>
    <mergeCell ref="E43:F43"/>
    <mergeCell ref="C44:D44"/>
    <mergeCell ref="C45:D45"/>
    <mergeCell ref="E45:F45"/>
    <mergeCell ref="C46:D46"/>
    <mergeCell ref="E46:F46"/>
    <mergeCell ref="B52:H52"/>
    <mergeCell ref="B53:H53"/>
    <mergeCell ref="B54:H54"/>
    <mergeCell ref="E33:F33"/>
    <mergeCell ref="C33:D33"/>
    <mergeCell ref="C34:D34"/>
    <mergeCell ref="E34:F34"/>
    <mergeCell ref="C36:D36"/>
    <mergeCell ref="E36:F36"/>
    <mergeCell ref="E44:F44"/>
    <mergeCell ref="C42:D42"/>
    <mergeCell ref="C41:D41"/>
    <mergeCell ref="E41:F41"/>
    <mergeCell ref="E42:F42"/>
    <mergeCell ref="C37:D37"/>
    <mergeCell ref="E37:F37"/>
    <mergeCell ref="C23:D23"/>
    <mergeCell ref="E23:F23"/>
    <mergeCell ref="C27:D27"/>
    <mergeCell ref="E27:F27"/>
    <mergeCell ref="C31:D31"/>
    <mergeCell ref="C28:D28"/>
    <mergeCell ref="C29:D29"/>
    <mergeCell ref="C30:D30"/>
    <mergeCell ref="E28:F28"/>
    <mergeCell ref="E29:F29"/>
    <mergeCell ref="E30:F30"/>
    <mergeCell ref="E31:F31"/>
    <mergeCell ref="B12:H12"/>
    <mergeCell ref="B14:H15"/>
    <mergeCell ref="B16:H16"/>
    <mergeCell ref="B19:H20"/>
    <mergeCell ref="C22:D22"/>
    <mergeCell ref="E22:F22"/>
    <mergeCell ref="B17:H1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147</v>
      </c>
    </row>
    <row r="4" spans="1:1" x14ac:dyDescent="0.2">
      <c r="A4" s="10" t="s">
        <v>168</v>
      </c>
    </row>
    <row r="5" spans="1:1" x14ac:dyDescent="0.2">
      <c r="A5" s="10" t="s">
        <v>245</v>
      </c>
    </row>
    <row r="6" spans="1:1" x14ac:dyDescent="0.2">
      <c r="A6" s="10" t="s">
        <v>247</v>
      </c>
    </row>
    <row r="7" spans="1:1" x14ac:dyDescent="0.2">
      <c r="A7" s="10" t="s">
        <v>148</v>
      </c>
    </row>
    <row r="8" spans="1:1" x14ac:dyDescent="0.2">
      <c r="A8" s="10" t="s">
        <v>149</v>
      </c>
    </row>
    <row r="9" spans="1:1" x14ac:dyDescent="0.2">
      <c r="A9" s="10" t="s">
        <v>253</v>
      </c>
    </row>
    <row r="10" spans="1:1" x14ac:dyDescent="0.2">
      <c r="A10" s="10" t="s">
        <v>150</v>
      </c>
    </row>
    <row r="11" spans="1:1" x14ac:dyDescent="0.2">
      <c r="A11" s="10" t="s">
        <v>256</v>
      </c>
    </row>
    <row r="12" spans="1:1" x14ac:dyDescent="0.2">
      <c r="A12" s="10" t="s">
        <v>276</v>
      </c>
    </row>
    <row r="13" spans="1:1" x14ac:dyDescent="0.2">
      <c r="A13" s="10" t="s">
        <v>277</v>
      </c>
    </row>
    <row r="14" spans="1:1" x14ac:dyDescent="0.2">
      <c r="A14" s="10" t="s">
        <v>278</v>
      </c>
    </row>
    <row r="16" spans="1:1" x14ac:dyDescent="0.2">
      <c r="A16" s="10" t="s">
        <v>279</v>
      </c>
    </row>
    <row r="17" spans="1:1" x14ac:dyDescent="0.2">
      <c r="A17" s="10" t="s">
        <v>152</v>
      </c>
    </row>
    <row r="18" spans="1:1" x14ac:dyDescent="0.2">
      <c r="A18" s="10" t="s">
        <v>263</v>
      </c>
    </row>
    <row r="20" spans="1:1" x14ac:dyDescent="0.2">
      <c r="A20" s="10" t="s">
        <v>268</v>
      </c>
    </row>
    <row r="21" spans="1:1" x14ac:dyDescent="0.2">
      <c r="A21" s="10" t="s">
        <v>269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8C7F2-2557-0141-AE89-C47E0A8CCE40}">
  <dimension ref="B4:D21"/>
  <sheetViews>
    <sheetView showGridLines="0" zoomScale="115" zoomScaleNormal="115" workbookViewId="0">
      <selection activeCell="D21" sqref="D21"/>
    </sheetView>
  </sheetViews>
  <sheetFormatPr baseColWidth="10" defaultColWidth="11.42578125" defaultRowHeight="15" x14ac:dyDescent="0.25"/>
  <cols>
    <col min="3" max="3" width="53" customWidth="1"/>
    <col min="4" max="4" width="58" customWidth="1"/>
  </cols>
  <sheetData>
    <row r="4" spans="2:4" ht="52.5" customHeight="1" x14ac:dyDescent="0.25">
      <c r="B4" s="223" t="s">
        <v>60</v>
      </c>
      <c r="C4" s="223"/>
      <c r="D4" s="223"/>
    </row>
    <row r="5" spans="2:4" ht="6.75" customHeight="1" x14ac:dyDescent="0.25">
      <c r="D5" s="133"/>
    </row>
    <row r="6" spans="2:4" ht="15" customHeight="1" x14ac:dyDescent="0.25">
      <c r="B6" s="224" t="s">
        <v>61</v>
      </c>
      <c r="C6" s="134" t="s">
        <v>62</v>
      </c>
      <c r="D6" s="134" t="s">
        <v>63</v>
      </c>
    </row>
    <row r="7" spans="2:4" ht="42.75" customHeight="1" x14ac:dyDescent="0.25">
      <c r="B7" s="224"/>
      <c r="C7" s="172" t="s">
        <v>64</v>
      </c>
      <c r="D7" s="225" t="s">
        <v>65</v>
      </c>
    </row>
    <row r="8" spans="2:4" ht="61.5" customHeight="1" x14ac:dyDescent="0.25">
      <c r="B8" s="224"/>
      <c r="C8" s="172" t="s">
        <v>66</v>
      </c>
      <c r="D8" s="226"/>
    </row>
    <row r="9" spans="2:4" ht="81" x14ac:dyDescent="0.25">
      <c r="B9" s="224"/>
      <c r="C9" s="172" t="s">
        <v>67</v>
      </c>
      <c r="D9" s="225" t="s">
        <v>68</v>
      </c>
    </row>
    <row r="10" spans="2:4" ht="27.75" customHeight="1" x14ac:dyDescent="0.25">
      <c r="B10" s="224"/>
      <c r="C10" s="172" t="s">
        <v>69</v>
      </c>
      <c r="D10" s="226"/>
    </row>
    <row r="11" spans="2:4" ht="60.75" customHeight="1" x14ac:dyDescent="0.25">
      <c r="B11" s="224"/>
      <c r="C11" s="172" t="s">
        <v>70</v>
      </c>
      <c r="D11" s="225" t="s">
        <v>71</v>
      </c>
    </row>
    <row r="12" spans="2:4" ht="60.75" x14ac:dyDescent="0.25">
      <c r="B12" s="224"/>
      <c r="C12" s="172" t="s">
        <v>72</v>
      </c>
      <c r="D12" s="226"/>
    </row>
    <row r="13" spans="2:4" ht="44.25" customHeight="1" x14ac:dyDescent="0.25">
      <c r="B13" s="224"/>
      <c r="C13" s="172" t="s">
        <v>73</v>
      </c>
      <c r="D13" s="225" t="s">
        <v>74</v>
      </c>
    </row>
    <row r="14" spans="2:4" ht="42.75" customHeight="1" x14ac:dyDescent="0.25">
      <c r="B14" s="224"/>
      <c r="C14" s="172" t="s">
        <v>75</v>
      </c>
      <c r="D14" s="226"/>
    </row>
    <row r="15" spans="2:4" ht="64.5" customHeight="1" x14ac:dyDescent="0.25">
      <c r="B15" s="224"/>
      <c r="C15" s="172" t="s">
        <v>76</v>
      </c>
      <c r="D15" s="172" t="s">
        <v>283</v>
      </c>
    </row>
    <row r="16" spans="2:4" ht="15.75" customHeight="1" x14ac:dyDescent="0.25">
      <c r="B16" s="224" t="s">
        <v>77</v>
      </c>
      <c r="C16" s="134" t="s">
        <v>78</v>
      </c>
      <c r="D16" s="134" t="s">
        <v>79</v>
      </c>
    </row>
    <row r="17" spans="2:4" ht="60.75" x14ac:dyDescent="0.25">
      <c r="B17" s="224"/>
      <c r="C17" s="172" t="s">
        <v>80</v>
      </c>
      <c r="D17" s="172" t="s">
        <v>81</v>
      </c>
    </row>
    <row r="18" spans="2:4" ht="60.75" x14ac:dyDescent="0.25">
      <c r="B18" s="224"/>
      <c r="C18" s="172" t="s">
        <v>82</v>
      </c>
      <c r="D18" s="172" t="s">
        <v>83</v>
      </c>
    </row>
    <row r="19" spans="2:4" ht="81" x14ac:dyDescent="0.25">
      <c r="B19" s="224"/>
      <c r="C19" s="172" t="s">
        <v>84</v>
      </c>
      <c r="D19" s="172" t="s">
        <v>85</v>
      </c>
    </row>
    <row r="20" spans="2:4" ht="58.5" customHeight="1" x14ac:dyDescent="0.25">
      <c r="B20" s="224"/>
      <c r="C20" s="172" t="s">
        <v>86</v>
      </c>
      <c r="D20" s="183" t="s">
        <v>87</v>
      </c>
    </row>
    <row r="21" spans="2:4" ht="81" x14ac:dyDescent="0.25">
      <c r="B21" s="224"/>
      <c r="C21" s="172" t="s">
        <v>88</v>
      </c>
      <c r="D21" s="172" t="s">
        <v>282</v>
      </c>
    </row>
  </sheetData>
  <mergeCells count="7">
    <mergeCell ref="B4:D4"/>
    <mergeCell ref="B6:B15"/>
    <mergeCell ref="B16:B21"/>
    <mergeCell ref="D7:D8"/>
    <mergeCell ref="D9:D10"/>
    <mergeCell ref="D11:D12"/>
    <mergeCell ref="D13:D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87"/>
  <sheetViews>
    <sheetView tabSelected="1" zoomScale="70" zoomScaleNormal="70" workbookViewId="0">
      <selection activeCell="R43" sqref="R43:R48"/>
    </sheetView>
  </sheetViews>
  <sheetFormatPr baseColWidth="10" defaultColWidth="11.42578125" defaultRowHeight="16.5" x14ac:dyDescent="0.3"/>
  <cols>
    <col min="1" max="1" width="4" style="2" bestFit="1" customWidth="1"/>
    <col min="2" max="2" width="14.140625" style="2" customWidth="1"/>
    <col min="3" max="3" width="35" style="2" customWidth="1"/>
    <col min="4" max="4" width="25.42578125" style="2" customWidth="1"/>
    <col min="5" max="5" width="32.425781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30.42578125" style="1" hidden="1" customWidth="1"/>
    <col min="12" max="12" width="17.42578125" style="1" customWidth="1"/>
    <col min="13" max="13" width="6.28515625" style="1" bestFit="1" customWidth="1"/>
    <col min="14" max="14" width="12.7109375" style="1" customWidth="1"/>
    <col min="15" max="15" width="21.7109375" style="1" customWidth="1"/>
    <col min="16" max="16" width="42.140625" style="1" customWidth="1"/>
    <col min="17" max="17" width="15.140625" style="1" bestFit="1" customWidth="1"/>
    <col min="18" max="18" width="6.85546875" style="1" customWidth="1"/>
    <col min="19" max="19" width="12" style="1" customWidth="1"/>
    <col min="20" max="20" width="5.42578125" style="1" customWidth="1"/>
    <col min="21" max="21" width="7.140625" style="1" customWidth="1"/>
    <col min="22" max="22" width="6.7109375" style="1" customWidth="1"/>
    <col min="23" max="23" width="7.42578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27.7109375" style="1" customWidth="1"/>
    <col min="34" max="34" width="14.85546875" style="1" customWidth="1"/>
    <col min="35" max="35" width="18.42578125" style="1" customWidth="1"/>
    <col min="36" max="36" width="21" style="1" customWidth="1"/>
    <col min="37" max="16384" width="11.42578125" style="1"/>
  </cols>
  <sheetData>
    <row r="1" spans="1:68" ht="36.950000000000003" customHeight="1" x14ac:dyDescent="0.3">
      <c r="A1" s="261" t="s">
        <v>89</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137" t="s">
        <v>90</v>
      </c>
      <c r="AG1" s="142" t="s">
        <v>91</v>
      </c>
      <c r="AH1" s="166"/>
      <c r="AI1" s="166"/>
      <c r="AJ1" s="166"/>
      <c r="AK1" s="166"/>
      <c r="AL1" s="135"/>
      <c r="AM1" s="135"/>
      <c r="AN1" s="135"/>
      <c r="AO1" s="135"/>
      <c r="AP1" s="136"/>
      <c r="AQ1" s="136"/>
      <c r="AR1" s="136"/>
      <c r="AS1" s="136"/>
      <c r="AT1" s="136"/>
      <c r="AU1" s="136"/>
      <c r="AV1" s="136"/>
      <c r="AW1" s="136"/>
      <c r="AX1" s="136"/>
      <c r="AY1" s="136"/>
      <c r="AZ1" s="136"/>
    </row>
    <row r="2" spans="1:68" x14ac:dyDescent="0.3">
      <c r="A2" s="261"/>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137" t="s">
        <v>92</v>
      </c>
      <c r="AG2" s="142">
        <v>5</v>
      </c>
      <c r="AH2" s="138"/>
      <c r="AI2" s="139"/>
      <c r="AJ2" s="139"/>
      <c r="AK2" s="140"/>
      <c r="AL2" s="139"/>
      <c r="AM2" s="139"/>
      <c r="AN2" s="136"/>
      <c r="AO2" s="141"/>
      <c r="AP2" s="136"/>
      <c r="AQ2" s="136"/>
      <c r="AR2" s="136"/>
      <c r="AS2" s="136"/>
      <c r="AT2" s="136"/>
      <c r="AU2" s="136"/>
      <c r="AV2" s="136"/>
      <c r="AW2" s="136"/>
      <c r="AX2" s="136"/>
      <c r="AY2" s="136"/>
      <c r="AZ2" s="136"/>
    </row>
    <row r="3" spans="1:68" x14ac:dyDescent="0.3">
      <c r="A3" s="261"/>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137" t="s">
        <v>93</v>
      </c>
      <c r="AG3" s="144" t="s">
        <v>94</v>
      </c>
      <c r="AH3" s="138"/>
      <c r="AI3" s="139"/>
      <c r="AJ3" s="139"/>
      <c r="AK3" s="140"/>
      <c r="AL3" s="139"/>
      <c r="AM3" s="139"/>
      <c r="AN3" s="136"/>
      <c r="AO3" s="141"/>
      <c r="AP3" s="136"/>
      <c r="AQ3" s="136"/>
      <c r="AR3" s="136"/>
      <c r="AS3" s="136"/>
      <c r="AT3" s="136"/>
      <c r="AU3" s="136"/>
      <c r="AV3" s="136"/>
      <c r="AW3" s="136"/>
      <c r="AX3" s="136"/>
      <c r="AY3" s="136"/>
      <c r="AZ3" s="136"/>
    </row>
    <row r="4" spans="1:68" ht="15.95" customHeight="1" x14ac:dyDescent="0.3">
      <c r="A4" s="261"/>
      <c r="B4" s="261"/>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146" t="s">
        <v>95</v>
      </c>
      <c r="AG4" s="145">
        <v>209905</v>
      </c>
      <c r="AH4" s="138"/>
      <c r="AI4" s="139"/>
      <c r="AJ4" s="139"/>
      <c r="AK4" s="140"/>
      <c r="AL4" s="139"/>
      <c r="AM4" s="139"/>
      <c r="AN4" s="136"/>
      <c r="AO4" s="141"/>
      <c r="AP4" s="136"/>
      <c r="AQ4" s="136"/>
      <c r="AR4" s="136"/>
      <c r="AS4" s="136"/>
      <c r="AT4" s="136"/>
      <c r="AU4" s="136"/>
      <c r="AV4" s="136"/>
      <c r="AW4" s="136"/>
      <c r="AX4" s="136"/>
      <c r="AY4" s="136"/>
      <c r="AZ4" s="136"/>
    </row>
    <row r="5" spans="1:68" ht="24" customHeight="1" x14ac:dyDescent="0.3">
      <c r="A5" s="261"/>
      <c r="B5" s="261"/>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H5" s="138"/>
      <c r="AI5" s="139"/>
      <c r="AJ5" s="139"/>
      <c r="AK5" s="140"/>
      <c r="AL5" s="139"/>
      <c r="AM5" s="139"/>
      <c r="AN5" s="136"/>
      <c r="AO5" s="141"/>
      <c r="AP5" s="136"/>
      <c r="AQ5" s="136"/>
      <c r="AR5" s="136"/>
      <c r="AS5" s="136"/>
      <c r="AT5" s="136"/>
      <c r="AU5" s="136"/>
      <c r="AV5" s="136"/>
      <c r="AW5" s="136"/>
      <c r="AX5" s="136"/>
      <c r="AY5" s="136"/>
      <c r="AZ5" s="136"/>
    </row>
    <row r="6" spans="1:68" x14ac:dyDescent="0.3">
      <c r="A6" s="143"/>
      <c r="B6" s="143"/>
      <c r="C6" s="165"/>
      <c r="D6" s="145"/>
      <c r="E6" s="145"/>
      <c r="F6" s="145"/>
      <c r="G6" s="145"/>
      <c r="H6" s="145"/>
      <c r="I6" s="145"/>
      <c r="J6" s="145"/>
      <c r="K6" s="163"/>
      <c r="L6" s="145"/>
      <c r="M6" s="136"/>
      <c r="N6" s="136"/>
      <c r="O6" s="136"/>
      <c r="P6" s="145"/>
      <c r="Q6" s="143"/>
      <c r="R6" s="143"/>
      <c r="S6" s="143"/>
      <c r="T6" s="147"/>
      <c r="U6" s="147"/>
      <c r="V6" s="147"/>
      <c r="W6" s="147"/>
      <c r="X6" s="147"/>
      <c r="Y6" s="147"/>
      <c r="Z6" s="147"/>
      <c r="AA6" s="148"/>
      <c r="AB6" s="148"/>
      <c r="AC6" s="148"/>
      <c r="AD6" s="148"/>
      <c r="AE6" s="148"/>
      <c r="AH6" s="149"/>
      <c r="AI6" s="150"/>
      <c r="AJ6" s="150"/>
      <c r="AK6" s="150"/>
      <c r="AL6" s="150"/>
      <c r="AM6" s="150"/>
      <c r="AN6" s="151"/>
      <c r="AO6" s="151"/>
      <c r="AP6" s="151"/>
      <c r="AQ6" s="151"/>
      <c r="AR6" s="148"/>
      <c r="AS6" s="148"/>
      <c r="AT6" s="148"/>
      <c r="AU6" s="148"/>
      <c r="AV6" s="148"/>
      <c r="AW6" s="148"/>
      <c r="AX6" s="148"/>
      <c r="AY6" s="148"/>
      <c r="AZ6" s="148"/>
    </row>
    <row r="7" spans="1:68" ht="27.95" customHeight="1" x14ac:dyDescent="0.3">
      <c r="A7" s="155"/>
      <c r="B7" s="155"/>
      <c r="C7" s="136"/>
      <c r="D7" s="136"/>
      <c r="E7" s="136"/>
      <c r="F7" s="136"/>
      <c r="G7" s="136"/>
      <c r="H7" s="136"/>
      <c r="I7" s="136"/>
      <c r="J7" s="136"/>
      <c r="L7" s="136"/>
      <c r="M7" s="136"/>
      <c r="N7" s="265" t="s">
        <v>96</v>
      </c>
      <c r="O7" s="265"/>
      <c r="P7" s="265"/>
      <c r="Q7" s="265"/>
      <c r="R7" s="265"/>
      <c r="S7" s="265"/>
      <c r="T7" s="137"/>
      <c r="U7" s="137"/>
      <c r="V7" s="137"/>
      <c r="W7" s="137"/>
      <c r="X7" s="137"/>
      <c r="Y7" s="137"/>
      <c r="Z7" s="137"/>
      <c r="AA7" s="152"/>
      <c r="AB7" s="152"/>
      <c r="AC7" s="152"/>
      <c r="AD7" s="152"/>
      <c r="AE7" s="152"/>
      <c r="AF7" s="152"/>
      <c r="AG7" s="152"/>
      <c r="AH7" s="138"/>
      <c r="AI7" s="139"/>
      <c r="AJ7" s="139"/>
      <c r="AK7" s="139"/>
      <c r="AL7" s="139"/>
      <c r="AM7" s="139"/>
      <c r="AN7" s="153">
        <v>0</v>
      </c>
      <c r="AO7" s="154"/>
      <c r="AP7" s="153"/>
      <c r="AQ7" s="153"/>
      <c r="AR7" s="136"/>
      <c r="AS7" s="136"/>
      <c r="AT7" s="136"/>
      <c r="AU7" s="136"/>
      <c r="AV7" s="136"/>
      <c r="AW7" s="136"/>
      <c r="AX7" s="136"/>
      <c r="AY7" s="136"/>
      <c r="AZ7" s="136"/>
    </row>
    <row r="8" spans="1:68" ht="37.5" customHeight="1" x14ac:dyDescent="0.3">
      <c r="A8" s="155"/>
      <c r="B8" s="155"/>
      <c r="C8" s="136"/>
      <c r="D8" s="136"/>
      <c r="E8" s="136"/>
      <c r="F8" s="136"/>
      <c r="G8" s="136"/>
      <c r="H8" s="136"/>
      <c r="I8" s="136"/>
      <c r="J8" s="136"/>
      <c r="L8" s="136"/>
      <c r="M8" s="136"/>
      <c r="N8" s="164" t="s">
        <v>97</v>
      </c>
      <c r="O8" s="164" t="s">
        <v>98</v>
      </c>
      <c r="P8" s="267" t="s">
        <v>99</v>
      </c>
      <c r="Q8" s="268"/>
      <c r="R8" s="268"/>
      <c r="S8" s="269"/>
      <c r="T8" s="137"/>
      <c r="U8" s="137"/>
      <c r="V8" s="137"/>
      <c r="W8" s="137"/>
      <c r="X8" s="137"/>
      <c r="Y8" s="137"/>
      <c r="Z8" s="137"/>
      <c r="AA8" s="152"/>
      <c r="AB8" s="152"/>
      <c r="AC8" s="152"/>
      <c r="AD8" s="152"/>
      <c r="AE8" s="152"/>
      <c r="AF8" s="152"/>
      <c r="AG8" s="152"/>
      <c r="AH8" s="138"/>
      <c r="AI8" s="139"/>
      <c r="AJ8" s="139"/>
      <c r="AK8" s="139"/>
      <c r="AL8" s="139"/>
      <c r="AM8" s="139"/>
      <c r="AN8" s="153">
        <v>0</v>
      </c>
      <c r="AO8" s="154"/>
      <c r="AP8" s="153"/>
      <c r="AQ8" s="153"/>
      <c r="AR8" s="136"/>
      <c r="AS8" s="136"/>
      <c r="AT8" s="136"/>
      <c r="AU8" s="136"/>
      <c r="AV8" s="136"/>
      <c r="AW8" s="136"/>
      <c r="AX8" s="136"/>
      <c r="AY8" s="136"/>
      <c r="AZ8" s="136"/>
    </row>
    <row r="9" spans="1:68" ht="22.5" customHeight="1" x14ac:dyDescent="0.3">
      <c r="A9" s="155"/>
      <c r="B9" s="155"/>
      <c r="C9" s="136"/>
      <c r="D9" s="136"/>
      <c r="E9" s="136"/>
      <c r="F9" s="136"/>
      <c r="G9" s="136"/>
      <c r="H9" s="136"/>
      <c r="I9" s="136"/>
      <c r="J9" s="136"/>
      <c r="L9" s="136"/>
      <c r="M9" s="136"/>
      <c r="N9" s="169">
        <v>1</v>
      </c>
      <c r="O9" s="170">
        <v>43000</v>
      </c>
      <c r="P9" s="498" t="s">
        <v>100</v>
      </c>
      <c r="Q9" s="499"/>
      <c r="R9" s="499"/>
      <c r="S9" s="500"/>
      <c r="T9" s="137"/>
      <c r="U9" s="137"/>
      <c r="V9" s="137"/>
      <c r="W9" s="266"/>
      <c r="X9" s="266"/>
      <c r="Y9" s="266"/>
      <c r="Z9" s="266"/>
      <c r="AA9" s="266"/>
      <c r="AB9" s="266"/>
      <c r="AC9" s="177"/>
      <c r="AD9" s="177"/>
      <c r="AE9" s="177"/>
      <c r="AF9" s="136"/>
      <c r="AG9" s="136"/>
      <c r="AH9" s="138"/>
      <c r="AI9" s="139"/>
      <c r="AJ9" s="139"/>
      <c r="AK9" s="139"/>
      <c r="AL9" s="139"/>
      <c r="AM9" s="139"/>
      <c r="AN9" s="153">
        <v>0</v>
      </c>
      <c r="AO9" s="154"/>
      <c r="AP9" s="153"/>
      <c r="AQ9" s="153"/>
      <c r="AR9" s="136"/>
      <c r="AS9" s="136"/>
      <c r="AT9" s="136"/>
      <c r="AU9" s="136"/>
      <c r="AV9" s="136"/>
      <c r="AW9" s="136"/>
      <c r="AX9" s="136"/>
      <c r="AY9" s="136"/>
      <c r="AZ9" s="136"/>
    </row>
    <row r="10" spans="1:68" ht="63.75" customHeight="1" x14ac:dyDescent="0.3">
      <c r="A10" s="155"/>
      <c r="B10" s="155"/>
      <c r="C10" s="136"/>
      <c r="D10" s="136"/>
      <c r="E10" s="136"/>
      <c r="F10" s="136"/>
      <c r="G10" s="136"/>
      <c r="H10" s="136"/>
      <c r="I10" s="136"/>
      <c r="J10" s="136"/>
      <c r="L10" s="137"/>
      <c r="M10" s="137"/>
      <c r="N10" s="169">
        <v>2</v>
      </c>
      <c r="O10" s="170">
        <v>43826</v>
      </c>
      <c r="P10" s="498" t="s">
        <v>101</v>
      </c>
      <c r="Q10" s="499"/>
      <c r="R10" s="499"/>
      <c r="S10" s="500"/>
      <c r="T10" s="137"/>
      <c r="U10" s="137"/>
      <c r="V10" s="137"/>
      <c r="W10" s="262"/>
      <c r="X10" s="262"/>
      <c r="Y10" s="262"/>
      <c r="Z10" s="262"/>
      <c r="AA10" s="262"/>
      <c r="AB10" s="262"/>
      <c r="AC10" s="175"/>
      <c r="AD10" s="175"/>
      <c r="AE10" s="161"/>
      <c r="AF10" s="136"/>
      <c r="AG10" s="136"/>
      <c r="AH10" s="138"/>
      <c r="AI10" s="139"/>
      <c r="AJ10" s="139"/>
      <c r="AK10" s="139"/>
      <c r="AL10" s="139"/>
      <c r="AM10" s="139"/>
      <c r="AN10" s="153">
        <v>0</v>
      </c>
      <c r="AO10" s="154"/>
      <c r="AP10" s="153"/>
      <c r="AQ10" s="153"/>
      <c r="AR10" s="136"/>
      <c r="AS10" s="136"/>
      <c r="AT10" s="136"/>
      <c r="AU10" s="136"/>
      <c r="AV10" s="136"/>
      <c r="AW10" s="136"/>
      <c r="AX10" s="136"/>
      <c r="AY10" s="136"/>
      <c r="AZ10" s="136"/>
    </row>
    <row r="11" spans="1:68" ht="57.75" customHeight="1" x14ac:dyDescent="0.3">
      <c r="A11" s="155"/>
      <c r="B11" s="155"/>
      <c r="C11" s="136"/>
      <c r="D11" s="136"/>
      <c r="E11" s="136"/>
      <c r="F11" s="136"/>
      <c r="G11" s="136"/>
      <c r="H11" s="136"/>
      <c r="I11" s="136"/>
      <c r="J11" s="136"/>
      <c r="L11" s="137"/>
      <c r="M11" s="137"/>
      <c r="N11" s="169">
        <v>3</v>
      </c>
      <c r="O11" s="170">
        <v>44188</v>
      </c>
      <c r="P11" s="498" t="s">
        <v>102</v>
      </c>
      <c r="Q11" s="499"/>
      <c r="R11" s="499"/>
      <c r="S11" s="500"/>
      <c r="T11" s="137"/>
      <c r="U11" s="137"/>
      <c r="V11" s="137"/>
      <c r="W11" s="175"/>
      <c r="X11" s="175"/>
      <c r="Y11" s="175"/>
      <c r="Z11" s="175"/>
      <c r="AA11" s="175"/>
      <c r="AB11" s="175"/>
      <c r="AC11" s="175"/>
      <c r="AD11" s="175"/>
      <c r="AE11" s="161"/>
      <c r="AF11" s="136"/>
      <c r="AG11" s="136"/>
      <c r="AH11" s="138"/>
      <c r="AI11" s="139"/>
      <c r="AJ11" s="139"/>
      <c r="AK11" s="139"/>
      <c r="AL11" s="139"/>
      <c r="AM11" s="139"/>
      <c r="AN11" s="153"/>
      <c r="AO11" s="154"/>
      <c r="AP11" s="153"/>
      <c r="AQ11" s="153"/>
      <c r="AR11" s="136"/>
      <c r="AS11" s="136"/>
      <c r="AT11" s="136"/>
      <c r="AU11" s="136"/>
      <c r="AV11" s="136"/>
      <c r="AW11" s="136"/>
      <c r="AX11" s="136"/>
      <c r="AY11" s="136"/>
      <c r="AZ11" s="136"/>
    </row>
    <row r="12" spans="1:68" ht="73.5" customHeight="1" x14ac:dyDescent="0.3">
      <c r="A12" s="155"/>
      <c r="B12" s="155"/>
      <c r="C12" s="155"/>
      <c r="D12" s="155"/>
      <c r="E12" s="155"/>
      <c r="F12" s="136"/>
      <c r="G12" s="136"/>
      <c r="H12" s="136"/>
      <c r="I12" s="157"/>
      <c r="J12" s="157"/>
      <c r="K12" s="137"/>
      <c r="L12" s="137"/>
      <c r="M12" s="137"/>
      <c r="N12" s="169">
        <v>4</v>
      </c>
      <c r="O12" s="170">
        <v>44496</v>
      </c>
      <c r="P12" s="498" t="s">
        <v>103</v>
      </c>
      <c r="Q12" s="499"/>
      <c r="R12" s="499"/>
      <c r="S12" s="500"/>
      <c r="T12" s="137"/>
      <c r="U12" s="137"/>
      <c r="V12" s="137"/>
      <c r="W12" s="263"/>
      <c r="X12" s="263"/>
      <c r="Y12" s="263"/>
      <c r="Z12" s="263"/>
      <c r="AA12" s="263"/>
      <c r="AB12" s="263"/>
      <c r="AC12" s="176"/>
      <c r="AD12" s="176"/>
      <c r="AE12" s="162"/>
      <c r="AF12" s="158"/>
      <c r="AG12" s="152"/>
      <c r="AH12" s="138"/>
      <c r="AI12" s="139"/>
      <c r="AJ12" s="139"/>
      <c r="AK12" s="139"/>
      <c r="AL12" s="139"/>
      <c r="AM12" s="139"/>
      <c r="AN12" s="153">
        <v>0</v>
      </c>
      <c r="AO12" s="154"/>
      <c r="AP12" s="153"/>
      <c r="AQ12" s="153"/>
      <c r="AR12" s="136"/>
      <c r="AS12" s="136"/>
      <c r="AT12" s="136"/>
      <c r="AU12" s="136"/>
      <c r="AV12" s="136"/>
      <c r="AW12" s="136"/>
      <c r="AX12" s="136"/>
      <c r="AY12" s="136"/>
      <c r="AZ12" s="136"/>
    </row>
    <row r="13" spans="1:68" ht="147.75" customHeight="1" x14ac:dyDescent="0.3">
      <c r="A13" s="155"/>
      <c r="B13" s="155"/>
      <c r="C13" s="155"/>
      <c r="D13" s="155"/>
      <c r="E13" s="155"/>
      <c r="F13" s="136"/>
      <c r="G13" s="136"/>
      <c r="H13" s="136"/>
      <c r="I13" s="157"/>
      <c r="J13" s="157"/>
      <c r="K13" s="137"/>
      <c r="L13" s="137"/>
      <c r="M13" s="137"/>
      <c r="N13" s="169">
        <v>5</v>
      </c>
      <c r="O13" s="182">
        <v>44648</v>
      </c>
      <c r="P13" s="501" t="s">
        <v>104</v>
      </c>
      <c r="Q13" s="502"/>
      <c r="R13" s="502"/>
      <c r="S13" s="503"/>
      <c r="T13" s="137"/>
      <c r="U13" s="137"/>
      <c r="V13" s="137"/>
      <c r="W13" s="176"/>
      <c r="X13" s="176"/>
      <c r="Y13" s="176"/>
      <c r="Z13" s="176"/>
      <c r="AA13" s="176"/>
      <c r="AB13" s="176"/>
      <c r="AC13" s="176"/>
      <c r="AD13" s="176"/>
      <c r="AE13" s="162"/>
      <c r="AF13" s="158"/>
      <c r="AG13" s="152"/>
      <c r="AH13" s="138"/>
      <c r="AI13" s="139"/>
      <c r="AJ13" s="139"/>
      <c r="AK13" s="139"/>
      <c r="AL13" s="139"/>
      <c r="AM13" s="139"/>
      <c r="AN13" s="153"/>
      <c r="AO13" s="154"/>
      <c r="AP13" s="153"/>
      <c r="AQ13" s="153"/>
      <c r="AR13" s="136"/>
      <c r="AS13" s="136"/>
      <c r="AT13" s="136"/>
      <c r="AU13" s="136"/>
      <c r="AV13" s="136"/>
      <c r="AW13" s="136"/>
      <c r="AX13" s="136"/>
      <c r="AY13" s="136"/>
      <c r="AZ13" s="136"/>
    </row>
    <row r="14" spans="1:68" ht="76.5" customHeight="1" x14ac:dyDescent="0.3">
      <c r="A14" s="155"/>
      <c r="B14" s="155"/>
      <c r="C14" s="155"/>
      <c r="D14" s="155"/>
      <c r="E14" s="155"/>
      <c r="F14" s="136"/>
      <c r="G14" s="136"/>
      <c r="H14" s="136"/>
      <c r="I14" s="157"/>
      <c r="J14" s="157"/>
      <c r="K14" s="137"/>
      <c r="L14" s="137"/>
      <c r="M14" s="137"/>
      <c r="N14" s="169">
        <v>6</v>
      </c>
      <c r="O14" s="182">
        <v>45196</v>
      </c>
      <c r="P14" s="501" t="s">
        <v>287</v>
      </c>
      <c r="Q14" s="502"/>
      <c r="R14" s="502"/>
      <c r="S14" s="503"/>
      <c r="T14" s="137"/>
      <c r="U14" s="137"/>
      <c r="V14" s="137"/>
      <c r="W14" s="176"/>
      <c r="X14" s="176"/>
      <c r="Y14" s="176"/>
      <c r="Z14" s="176"/>
      <c r="AA14" s="176"/>
      <c r="AB14" s="176"/>
      <c r="AC14" s="176"/>
      <c r="AD14" s="176"/>
      <c r="AE14" s="162"/>
      <c r="AF14" s="158"/>
      <c r="AG14" s="152"/>
      <c r="AH14" s="138"/>
      <c r="AI14" s="139"/>
      <c r="AJ14" s="139"/>
      <c r="AK14" s="139"/>
      <c r="AL14" s="139"/>
      <c r="AM14" s="139"/>
      <c r="AN14" s="153"/>
      <c r="AO14" s="154"/>
      <c r="AP14" s="153"/>
      <c r="AQ14" s="153"/>
      <c r="AR14" s="136"/>
      <c r="AS14" s="136"/>
      <c r="AT14" s="136"/>
      <c r="AU14" s="136"/>
      <c r="AV14" s="136"/>
      <c r="AW14" s="136"/>
      <c r="AX14" s="136"/>
      <c r="AY14" s="136"/>
      <c r="AZ14" s="136"/>
    </row>
    <row r="15" spans="1:68" ht="18.75" x14ac:dyDescent="0.3">
      <c r="A15" s="264" t="s">
        <v>105</v>
      </c>
      <c r="B15" s="264"/>
      <c r="C15" s="264"/>
      <c r="D15" s="264"/>
      <c r="E15" s="264"/>
      <c r="F15" s="264"/>
      <c r="G15" s="264"/>
      <c r="H15" s="264"/>
      <c r="I15" s="264"/>
      <c r="J15" s="264"/>
      <c r="K15" s="137"/>
      <c r="L15" s="137"/>
      <c r="M15" s="137"/>
      <c r="N15" s="137"/>
      <c r="O15" s="156"/>
      <c r="P15" s="137"/>
      <c r="Q15" s="137"/>
      <c r="R15" s="137"/>
      <c r="S15" s="137"/>
      <c r="T15" s="137"/>
      <c r="U15" s="137"/>
      <c r="V15" s="137"/>
      <c r="W15" s="152"/>
      <c r="X15" s="152"/>
      <c r="Y15" s="152"/>
      <c r="Z15" s="152"/>
      <c r="AA15" s="152"/>
      <c r="AB15" s="159"/>
      <c r="AC15" s="159"/>
      <c r="AD15" s="159"/>
      <c r="AE15" s="159"/>
      <c r="AF15" s="160"/>
      <c r="AG15" s="160"/>
      <c r="AH15" s="139"/>
      <c r="AI15" s="139"/>
      <c r="AJ15" s="139"/>
      <c r="AK15" s="139"/>
      <c r="AL15" s="139"/>
      <c r="AM15" s="140"/>
      <c r="AN15" s="153"/>
      <c r="AO15" s="153"/>
      <c r="AP15" s="136"/>
      <c r="AQ15" s="136"/>
      <c r="AR15" s="136"/>
      <c r="AS15" s="136"/>
      <c r="AT15" s="136"/>
      <c r="AU15" s="136"/>
      <c r="AV15" s="136"/>
      <c r="AW15" s="136"/>
      <c r="AX15" s="136"/>
      <c r="AY15" s="136"/>
      <c r="AZ15" s="136"/>
    </row>
    <row r="16" spans="1:68" ht="16.5" customHeight="1" x14ac:dyDescent="0.3">
      <c r="A16" s="334"/>
      <c r="B16" s="335"/>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24" customHeight="1" x14ac:dyDescent="0.3">
      <c r="A17" s="337"/>
      <c r="B17" s="338"/>
      <c r="C17" s="338"/>
      <c r="D17" s="338"/>
      <c r="E17" s="338"/>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9"/>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x14ac:dyDescent="0.3">
      <c r="A18" s="28"/>
      <c r="B18" s="174"/>
      <c r="C18" s="28"/>
      <c r="D18" s="28"/>
      <c r="E18" s="8"/>
      <c r="F18" s="27"/>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26.25" customHeight="1" x14ac:dyDescent="0.3">
      <c r="A19" s="290" t="s">
        <v>106</v>
      </c>
      <c r="B19" s="291"/>
      <c r="C19" s="301" t="s">
        <v>107</v>
      </c>
      <c r="D19" s="302"/>
      <c r="E19" s="302"/>
      <c r="F19" s="302"/>
      <c r="G19" s="302"/>
      <c r="H19" s="302"/>
      <c r="I19" s="302"/>
      <c r="J19" s="302"/>
      <c r="K19" s="302"/>
      <c r="L19" s="302"/>
      <c r="M19" s="302"/>
      <c r="N19" s="303"/>
      <c r="O19" s="304"/>
      <c r="P19" s="304"/>
      <c r="Q19" s="304"/>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67.5" customHeight="1" x14ac:dyDescent="0.3">
      <c r="A20" s="290" t="s">
        <v>108</v>
      </c>
      <c r="B20" s="291"/>
      <c r="C20" s="298" t="s">
        <v>109</v>
      </c>
      <c r="D20" s="299"/>
      <c r="E20" s="299"/>
      <c r="F20" s="299"/>
      <c r="G20" s="299"/>
      <c r="H20" s="299"/>
      <c r="I20" s="299"/>
      <c r="J20" s="299"/>
      <c r="K20" s="299"/>
      <c r="L20" s="299"/>
      <c r="M20" s="299"/>
      <c r="N20" s="300"/>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49.5" customHeight="1" x14ac:dyDescent="0.3">
      <c r="A21" s="290" t="s">
        <v>110</v>
      </c>
      <c r="B21" s="291"/>
      <c r="C21" s="298" t="s">
        <v>111</v>
      </c>
      <c r="D21" s="299"/>
      <c r="E21" s="299"/>
      <c r="F21" s="299"/>
      <c r="G21" s="299"/>
      <c r="H21" s="299"/>
      <c r="I21" s="299"/>
      <c r="J21" s="299"/>
      <c r="K21" s="299"/>
      <c r="L21" s="299"/>
      <c r="M21" s="299"/>
      <c r="N21" s="300"/>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x14ac:dyDescent="0.3">
      <c r="A22" s="340" t="s">
        <v>112</v>
      </c>
      <c r="B22" s="341"/>
      <c r="C22" s="341"/>
      <c r="D22" s="341"/>
      <c r="E22" s="341"/>
      <c r="F22" s="341"/>
      <c r="G22" s="342"/>
      <c r="H22" s="340" t="s">
        <v>113</v>
      </c>
      <c r="I22" s="341"/>
      <c r="J22" s="341"/>
      <c r="K22" s="341"/>
      <c r="L22" s="341"/>
      <c r="M22" s="341"/>
      <c r="N22" s="342"/>
      <c r="O22" s="340" t="s">
        <v>114</v>
      </c>
      <c r="P22" s="341"/>
      <c r="Q22" s="341"/>
      <c r="R22" s="341"/>
      <c r="S22" s="341"/>
      <c r="T22" s="341"/>
      <c r="U22" s="341"/>
      <c r="V22" s="341"/>
      <c r="W22" s="342"/>
      <c r="X22" s="340" t="s">
        <v>115</v>
      </c>
      <c r="Y22" s="341"/>
      <c r="Z22" s="341"/>
      <c r="AA22" s="341"/>
      <c r="AB22" s="341"/>
      <c r="AC22" s="341"/>
      <c r="AD22" s="342"/>
      <c r="AE22" s="340" t="s">
        <v>116</v>
      </c>
      <c r="AF22" s="341"/>
      <c r="AG22" s="341"/>
      <c r="AH22" s="341"/>
      <c r="AI22" s="341"/>
      <c r="AJ22" s="342"/>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6.5" customHeight="1" x14ac:dyDescent="0.3">
      <c r="A23" s="292" t="s">
        <v>117</v>
      </c>
      <c r="B23" s="295" t="s">
        <v>15</v>
      </c>
      <c r="C23" s="272" t="s">
        <v>17</v>
      </c>
      <c r="D23" s="272" t="s">
        <v>19</v>
      </c>
      <c r="E23" s="294" t="s">
        <v>21</v>
      </c>
      <c r="F23" s="274" t="s">
        <v>23</v>
      </c>
      <c r="G23" s="272" t="s">
        <v>118</v>
      </c>
      <c r="H23" s="288" t="s">
        <v>119</v>
      </c>
      <c r="I23" s="270" t="s">
        <v>120</v>
      </c>
      <c r="J23" s="274" t="s">
        <v>121</v>
      </c>
      <c r="K23" s="274" t="s">
        <v>122</v>
      </c>
      <c r="L23" s="289" t="s">
        <v>123</v>
      </c>
      <c r="M23" s="270" t="s">
        <v>120</v>
      </c>
      <c r="N23" s="272" t="s">
        <v>29</v>
      </c>
      <c r="O23" s="296" t="s">
        <v>124</v>
      </c>
      <c r="P23" s="273" t="s">
        <v>31</v>
      </c>
      <c r="Q23" s="274" t="s">
        <v>33</v>
      </c>
      <c r="R23" s="273" t="s">
        <v>125</v>
      </c>
      <c r="S23" s="273"/>
      <c r="T23" s="273"/>
      <c r="U23" s="273"/>
      <c r="V23" s="273"/>
      <c r="W23" s="273"/>
      <c r="X23" s="287" t="s">
        <v>126</v>
      </c>
      <c r="Y23" s="287" t="s">
        <v>127</v>
      </c>
      <c r="Z23" s="287" t="s">
        <v>120</v>
      </c>
      <c r="AA23" s="287" t="s">
        <v>128</v>
      </c>
      <c r="AB23" s="287" t="s">
        <v>120</v>
      </c>
      <c r="AC23" s="287" t="s">
        <v>129</v>
      </c>
      <c r="AD23" s="296" t="s">
        <v>49</v>
      </c>
      <c r="AE23" s="273" t="s">
        <v>116</v>
      </c>
      <c r="AF23" s="273" t="s">
        <v>130</v>
      </c>
      <c r="AG23" s="273" t="s">
        <v>131</v>
      </c>
      <c r="AH23" s="273" t="s">
        <v>132</v>
      </c>
      <c r="AI23" s="273" t="s">
        <v>133</v>
      </c>
      <c r="AJ23" s="273" t="s">
        <v>53</v>
      </c>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s="4" customFormat="1" ht="94.5" customHeight="1" x14ac:dyDescent="0.25">
      <c r="A24" s="293"/>
      <c r="B24" s="295"/>
      <c r="C24" s="273"/>
      <c r="D24" s="273"/>
      <c r="E24" s="295"/>
      <c r="F24" s="272"/>
      <c r="G24" s="273"/>
      <c r="H24" s="272"/>
      <c r="I24" s="271"/>
      <c r="J24" s="272"/>
      <c r="K24" s="272"/>
      <c r="L24" s="271"/>
      <c r="M24" s="271"/>
      <c r="N24" s="273"/>
      <c r="O24" s="297"/>
      <c r="P24" s="273"/>
      <c r="Q24" s="272"/>
      <c r="R24" s="7" t="s">
        <v>134</v>
      </c>
      <c r="S24" s="7" t="s">
        <v>135</v>
      </c>
      <c r="T24" s="7" t="s">
        <v>136</v>
      </c>
      <c r="U24" s="7" t="s">
        <v>137</v>
      </c>
      <c r="V24" s="7" t="s">
        <v>138</v>
      </c>
      <c r="W24" s="7" t="s">
        <v>139</v>
      </c>
      <c r="X24" s="287"/>
      <c r="Y24" s="287"/>
      <c r="Z24" s="287"/>
      <c r="AA24" s="287"/>
      <c r="AB24" s="287"/>
      <c r="AC24" s="287"/>
      <c r="AD24" s="297"/>
      <c r="AE24" s="273"/>
      <c r="AF24" s="273"/>
      <c r="AG24" s="273"/>
      <c r="AH24" s="273"/>
      <c r="AI24" s="273"/>
      <c r="AJ24" s="273"/>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row>
    <row r="25" spans="1:68" s="2" customFormat="1" ht="79.5" customHeight="1" x14ac:dyDescent="0.25">
      <c r="A25" s="227">
        <v>1</v>
      </c>
      <c r="B25" s="248" t="s">
        <v>140</v>
      </c>
      <c r="C25" s="173" t="s">
        <v>141</v>
      </c>
      <c r="D25" s="257" t="s">
        <v>142</v>
      </c>
      <c r="E25" s="281" t="s">
        <v>143</v>
      </c>
      <c r="F25" s="248" t="s">
        <v>144</v>
      </c>
      <c r="G25" s="251">
        <v>1</v>
      </c>
      <c r="H25" s="254" t="str">
        <f>IF(G25&lt;=0,"",IF(G25&lt;=2,"Muy Baja",IF(G25&lt;=24,"Baja",IF(G25&lt;=500,"Media",IF(G25&lt;=5000,"Alta","Muy Alta")))))</f>
        <v>Muy Baja</v>
      </c>
      <c r="I25" s="275">
        <f>IF(H25="","",IF(H25="Muy Baja",0.2,IF(H25="Baja",0.4,IF(H25="Media",0.6,IF(H25="Alta",0.8,IF(H25="Muy Alta",1,))))))</f>
        <v>0.2</v>
      </c>
      <c r="J25" s="284" t="s">
        <v>145</v>
      </c>
      <c r="K25" s="275" t="str">
        <f>IF(NOT(ISERROR(MATCH(J25,'Tabla Impacto'!$B$221:$B$223,0))),'Tabla Impacto'!$F$223&amp;"Por favor no seleccionar los criterios de impacto(Afectación Económica o presupuestal y Pérdida Reputacional)",J25)</f>
        <v xml:space="preserve">     El riesgo afecta la imagen de la entidad internamente, de conocimiento general, nivel interno, de junta dircetiva y accionistas y/o de provedores</v>
      </c>
      <c r="L25" s="254" t="str">
        <f>IF(OR(K25='Tabla Impacto'!$C$11,K25='Tabla Impacto'!$D$11),"Leve",IF(OR(K25='Tabla Impacto'!$C$12,K25='Tabla Impacto'!$D$12),"Menor",IF(OR(K25='Tabla Impacto'!$C$13,K25='Tabla Impacto'!$D$13),"Moderado",IF(OR(K25='Tabla Impacto'!$C$14,K25='Tabla Impacto'!$D$14),"Mayor",IF(OR(K25='Tabla Impacto'!$C$15,K25='Tabla Impacto'!$D$15),"Catastrófico","")))))</f>
        <v>Menor</v>
      </c>
      <c r="M25" s="275">
        <f>IF(L25="","",IF(L25="Leve",0.2,IF(L25="Menor",0.4,IF(L25="Moderado",0.6,IF(L25="Mayor",0.8,IF(L25="Catastrófico",1,))))))</f>
        <v>0.4</v>
      </c>
      <c r="N25" s="278"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Bajo</v>
      </c>
      <c r="O25" s="227">
        <v>1</v>
      </c>
      <c r="P25" s="230" t="s">
        <v>146</v>
      </c>
      <c r="Q25" s="245" t="str">
        <f>IF(OR(R25="Preventivo",R25="Detectivo"),"Probabilidad",IF(R25="Correctivo","Impacto",""))</f>
        <v>Probabilidad</v>
      </c>
      <c r="R25" s="233" t="s">
        <v>147</v>
      </c>
      <c r="S25" s="233" t="s">
        <v>148</v>
      </c>
      <c r="T25" s="239" t="str">
        <f>IF(AND(R25="Preventivo",S25="Automático"),"50%",IF(AND(R25="Preventivo",S25="Manual"),"40%",IF(AND(R25="Detectivo",S25="Automático"),"40%",IF(AND(R25="Detectivo",S25="Manual"),"30%",IF(AND(R25="Correctivo",S25="Automático"),"35%",IF(AND(R25="Correctivo",S25="Manual"),"25%",""))))))</f>
        <v>40%</v>
      </c>
      <c r="U25" s="233" t="s">
        <v>149</v>
      </c>
      <c r="V25" s="233" t="s">
        <v>150</v>
      </c>
      <c r="W25" s="233" t="s">
        <v>151</v>
      </c>
      <c r="X25" s="167">
        <f>IFERROR(IF(Q25="Probabilidad",(I25-(+I25*T25)),IF(Q25="Impacto",I25,"")),"")</f>
        <v>0.12</v>
      </c>
      <c r="Y25" s="242" t="str">
        <f>IFERROR(IF(X25="","",IF(X25&lt;=0.2,"Muy Baja",IF(X25&lt;=0.4,"Baja",IF(X25&lt;=0.6,"Media",IF(X25&lt;=0.8,"Alta","Muy Alta"))))),"")</f>
        <v>Muy Baja</v>
      </c>
      <c r="Z25" s="239">
        <f>+X25</f>
        <v>0.12</v>
      </c>
      <c r="AA25" s="242" t="str">
        <f>IFERROR(IF(AB25="","",IF(AB25&lt;=0.2,"Leve",IF(AB25&lt;=0.4,"Menor",IF(AB25&lt;=0.6,"Moderado",IF(AB25&lt;=0.8,"Mayor","Catastrófico"))))),"")</f>
        <v>Menor</v>
      </c>
      <c r="AB25" s="239">
        <f>IFERROR(IF(Q25="Impacto",(M25-(+M25*T25)),IF(Q25="Probabilidad",M25,"")),"")</f>
        <v>0.4</v>
      </c>
      <c r="AC25" s="236"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Bajo</v>
      </c>
      <c r="AD25" s="233" t="s">
        <v>152</v>
      </c>
      <c r="AE25" s="248"/>
      <c r="AF25" s="248"/>
      <c r="AG25" s="248"/>
      <c r="AH25" s="248"/>
      <c r="AI25" s="248"/>
      <c r="AJ25" s="24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row>
    <row r="26" spans="1:68" s="2" customFormat="1" ht="84.6" customHeight="1" x14ac:dyDescent="0.25">
      <c r="A26" s="228"/>
      <c r="B26" s="249"/>
      <c r="C26" s="173" t="s">
        <v>153</v>
      </c>
      <c r="D26" s="258"/>
      <c r="E26" s="282"/>
      <c r="F26" s="249"/>
      <c r="G26" s="252"/>
      <c r="H26" s="255"/>
      <c r="I26" s="276"/>
      <c r="J26" s="285"/>
      <c r="K26" s="276">
        <f>IF(NOT(ISERROR(MATCH(J26,_xlfn.ANCHORARRAY(E37),0))),I39&amp;"Por favor no seleccionar los criterios de impacto",J26)</f>
        <v>0</v>
      </c>
      <c r="L26" s="255"/>
      <c r="M26" s="276"/>
      <c r="N26" s="279"/>
      <c r="O26" s="228"/>
      <c r="P26" s="231"/>
      <c r="Q26" s="246"/>
      <c r="R26" s="234"/>
      <c r="S26" s="234"/>
      <c r="T26" s="240"/>
      <c r="U26" s="234"/>
      <c r="V26" s="234"/>
      <c r="W26" s="234"/>
      <c r="X26" s="167" t="str">
        <f>IFERROR(IF(AND(Q25="Probabilidad",Q26="Probabilidad"),(Z25-(+Z25*T26)),IF(Q26="Probabilidad",(I25-(+I25*T26)),IF(Q26="Impacto",Z25,""))),"")</f>
        <v/>
      </c>
      <c r="Y26" s="243"/>
      <c r="Z26" s="240"/>
      <c r="AA26" s="243"/>
      <c r="AB26" s="240"/>
      <c r="AC26" s="237"/>
      <c r="AD26" s="234"/>
      <c r="AE26" s="249"/>
      <c r="AF26" s="249"/>
      <c r="AG26" s="249"/>
      <c r="AH26" s="249"/>
      <c r="AI26" s="249"/>
      <c r="AJ26" s="249"/>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row>
    <row r="27" spans="1:68" s="2" customFormat="1" ht="66" customHeight="1" x14ac:dyDescent="0.25">
      <c r="A27" s="228"/>
      <c r="B27" s="249"/>
      <c r="C27" s="173" t="s">
        <v>154</v>
      </c>
      <c r="D27" s="258"/>
      <c r="E27" s="282"/>
      <c r="F27" s="249"/>
      <c r="G27" s="252"/>
      <c r="H27" s="255"/>
      <c r="I27" s="276"/>
      <c r="J27" s="285"/>
      <c r="K27" s="276">
        <f>IF(NOT(ISERROR(MATCH(J27,_xlfn.ANCHORARRAY(E38),0))),I40&amp;"Por favor no seleccionar los criterios de impacto",J27)</f>
        <v>0</v>
      </c>
      <c r="L27" s="255"/>
      <c r="M27" s="276"/>
      <c r="N27" s="279"/>
      <c r="O27" s="228"/>
      <c r="P27" s="231"/>
      <c r="Q27" s="246"/>
      <c r="R27" s="234"/>
      <c r="S27" s="234"/>
      <c r="T27" s="240"/>
      <c r="U27" s="234"/>
      <c r="V27" s="234"/>
      <c r="W27" s="234"/>
      <c r="X27" s="167" t="str">
        <f>IFERROR(IF(AND(Q26="Probabilidad",Q27="Probabilidad"),(Z26-(+Z26*T27)),IF(AND(Q26="Impacto",Q27="Probabilidad"),(Z25-(+Z25*T27)),IF(Q27="Impacto",Z26,""))),"")</f>
        <v/>
      </c>
      <c r="Y27" s="243"/>
      <c r="Z27" s="240"/>
      <c r="AA27" s="243"/>
      <c r="AB27" s="240"/>
      <c r="AC27" s="237"/>
      <c r="AD27" s="234"/>
      <c r="AE27" s="249"/>
      <c r="AF27" s="249"/>
      <c r="AG27" s="249"/>
      <c r="AH27" s="249"/>
      <c r="AI27" s="249"/>
      <c r="AJ27" s="249"/>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row>
    <row r="28" spans="1:68" s="2" customFormat="1" ht="30.75" customHeight="1" x14ac:dyDescent="0.25">
      <c r="A28" s="228"/>
      <c r="B28" s="249"/>
      <c r="C28" s="260" t="s">
        <v>155</v>
      </c>
      <c r="D28" s="258"/>
      <c r="E28" s="282"/>
      <c r="F28" s="249"/>
      <c r="G28" s="252"/>
      <c r="H28" s="255"/>
      <c r="I28" s="276"/>
      <c r="J28" s="285"/>
      <c r="K28" s="276">
        <f>IF(NOT(ISERROR(MATCH(J28,_xlfn.ANCHORARRAY(E39),0))),I41&amp;"Por favor no seleccionar los criterios de impacto",J28)</f>
        <v>0</v>
      </c>
      <c r="L28" s="255"/>
      <c r="M28" s="276"/>
      <c r="N28" s="279"/>
      <c r="O28" s="228"/>
      <c r="P28" s="231"/>
      <c r="Q28" s="246"/>
      <c r="R28" s="234"/>
      <c r="S28" s="234"/>
      <c r="T28" s="240"/>
      <c r="U28" s="234"/>
      <c r="V28" s="234"/>
      <c r="W28" s="234"/>
      <c r="X28" s="167" t="str">
        <f t="shared" ref="X28:X30" si="0">IFERROR(IF(AND(Q27="Probabilidad",Q28="Probabilidad"),(Z27-(+Z27*T28)),IF(AND(Q27="Impacto",Q28="Probabilidad"),(Z26-(+Z26*T28)),IF(Q28="Impacto",Z27,""))),"")</f>
        <v/>
      </c>
      <c r="Y28" s="243"/>
      <c r="Z28" s="240"/>
      <c r="AA28" s="243"/>
      <c r="AB28" s="240"/>
      <c r="AC28" s="237"/>
      <c r="AD28" s="234"/>
      <c r="AE28" s="249"/>
      <c r="AF28" s="249"/>
      <c r="AG28" s="249"/>
      <c r="AH28" s="249"/>
      <c r="AI28" s="249"/>
      <c r="AJ28" s="249"/>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row>
    <row r="29" spans="1:68" s="2" customFormat="1" ht="30.75" customHeight="1" x14ac:dyDescent="0.25">
      <c r="A29" s="228"/>
      <c r="B29" s="249"/>
      <c r="C29" s="260"/>
      <c r="D29" s="258"/>
      <c r="E29" s="282"/>
      <c r="F29" s="249"/>
      <c r="G29" s="252"/>
      <c r="H29" s="255"/>
      <c r="I29" s="276"/>
      <c r="J29" s="285"/>
      <c r="K29" s="276">
        <f>IF(NOT(ISERROR(MATCH(J29,_xlfn.ANCHORARRAY(E40),0))),I42&amp;"Por favor no seleccionar los criterios de impacto",J29)</f>
        <v>0</v>
      </c>
      <c r="L29" s="255"/>
      <c r="M29" s="276"/>
      <c r="N29" s="279"/>
      <c r="O29" s="228"/>
      <c r="P29" s="231"/>
      <c r="Q29" s="246"/>
      <c r="R29" s="234"/>
      <c r="S29" s="234"/>
      <c r="T29" s="240"/>
      <c r="U29" s="234"/>
      <c r="V29" s="234"/>
      <c r="W29" s="234"/>
      <c r="X29" s="167" t="str">
        <f t="shared" si="0"/>
        <v/>
      </c>
      <c r="Y29" s="243"/>
      <c r="Z29" s="240"/>
      <c r="AA29" s="243"/>
      <c r="AB29" s="240"/>
      <c r="AC29" s="237"/>
      <c r="AD29" s="234"/>
      <c r="AE29" s="249"/>
      <c r="AF29" s="249"/>
      <c r="AG29" s="249"/>
      <c r="AH29" s="249"/>
      <c r="AI29" s="249"/>
      <c r="AJ29" s="249"/>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row>
    <row r="30" spans="1:68" s="2" customFormat="1" ht="30.75" customHeight="1" x14ac:dyDescent="0.25">
      <c r="A30" s="229"/>
      <c r="B30" s="250"/>
      <c r="C30" s="260"/>
      <c r="D30" s="259"/>
      <c r="E30" s="283"/>
      <c r="F30" s="250"/>
      <c r="G30" s="253"/>
      <c r="H30" s="256"/>
      <c r="I30" s="277"/>
      <c r="J30" s="286"/>
      <c r="K30" s="277">
        <f>IF(NOT(ISERROR(MATCH(J30,_xlfn.ANCHORARRAY(E41),0))),I43&amp;"Por favor no seleccionar los criterios de impacto",J30)</f>
        <v>0</v>
      </c>
      <c r="L30" s="256"/>
      <c r="M30" s="277"/>
      <c r="N30" s="280"/>
      <c r="O30" s="229"/>
      <c r="P30" s="232"/>
      <c r="Q30" s="247"/>
      <c r="R30" s="235"/>
      <c r="S30" s="235"/>
      <c r="T30" s="241"/>
      <c r="U30" s="235"/>
      <c r="V30" s="235"/>
      <c r="W30" s="235"/>
      <c r="X30" s="167" t="str">
        <f t="shared" si="0"/>
        <v/>
      </c>
      <c r="Y30" s="244"/>
      <c r="Z30" s="241"/>
      <c r="AA30" s="244"/>
      <c r="AB30" s="241"/>
      <c r="AC30" s="238"/>
      <c r="AD30" s="235"/>
      <c r="AE30" s="250"/>
      <c r="AF30" s="250"/>
      <c r="AG30" s="250"/>
      <c r="AH30" s="250"/>
      <c r="AI30" s="250"/>
      <c r="AJ30" s="250"/>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row>
    <row r="31" spans="1:68" s="3" customFormat="1" ht="72.75" customHeight="1" x14ac:dyDescent="0.25">
      <c r="A31" s="227">
        <v>2</v>
      </c>
      <c r="B31" s="248" t="s">
        <v>140</v>
      </c>
      <c r="C31" s="171" t="s">
        <v>156</v>
      </c>
      <c r="D31" s="257" t="s">
        <v>157</v>
      </c>
      <c r="E31" s="281" t="s">
        <v>158</v>
      </c>
      <c r="F31" s="248" t="s">
        <v>144</v>
      </c>
      <c r="G31" s="251">
        <v>102</v>
      </c>
      <c r="H31" s="254" t="str">
        <f>IF(G31&lt;=0,"",IF(G31&lt;=2,"Muy Baja",IF(G31&lt;=24,"Baja",IF(G31&lt;=500,"Media",IF(G31&lt;=5000,"Alta","Muy Alta")))))</f>
        <v>Media</v>
      </c>
      <c r="I31" s="275">
        <f>IF(H31="","",IF(H31="Muy Baja",0.2,IF(H31="Baja",0.4,IF(H31="Media",0.6,IF(H31="Alta",0.8,IF(H31="Muy Alta",1,))))))</f>
        <v>0.6</v>
      </c>
      <c r="J31" s="284" t="s">
        <v>159</v>
      </c>
      <c r="K31" s="275" t="str">
        <f>IF(NOT(ISERROR(MATCH(J31,'Tabla Impacto'!$B$221:$B$223,0))),'Tabla Impacto'!$F$223&amp;"Por favor no seleccionar los criterios de impacto(Afectación Económica o presupuestal y Pérdida Reputacional)",J31)</f>
        <v xml:space="preserve">     El riesgo afecta la imagen de la entidad con algunos usuarios de relevancia frente al logro de los objetivos</v>
      </c>
      <c r="L31" s="254" t="str">
        <f>IF(OR(K31='Tabla Impacto'!$C$11,K31='Tabla Impacto'!$D$11),"Leve",IF(OR(K31='Tabla Impacto'!$C$12,K31='Tabla Impacto'!$D$12),"Menor",IF(OR(K31='Tabla Impacto'!$C$13,K31='Tabla Impacto'!$D$13),"Moderado",IF(OR(K31='Tabla Impacto'!$C$14,K31='Tabla Impacto'!$D$14),"Mayor",IF(OR(K31='Tabla Impacto'!$C$15,K31='Tabla Impacto'!$D$15),"Catastrófico","")))))</f>
        <v>Moderado</v>
      </c>
      <c r="M31" s="275">
        <f>IF(L31="","",IF(L31="Leve",0.2,IF(L31="Menor",0.4,IF(L31="Moderado",0.6,IF(L31="Mayor",0.8,IF(L31="Catastrófico",1,))))))</f>
        <v>0.6</v>
      </c>
      <c r="N31" s="278"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Moderado</v>
      </c>
      <c r="O31" s="227">
        <v>1</v>
      </c>
      <c r="P31" s="230" t="s">
        <v>160</v>
      </c>
      <c r="Q31" s="245" t="str">
        <f>IF(OR(R31="Preventivo",R31="Detectivo"),"Probabilidad",IF(R31="Correctivo","Impacto",""))</f>
        <v>Probabilidad</v>
      </c>
      <c r="R31" s="233" t="s">
        <v>147</v>
      </c>
      <c r="S31" s="233" t="s">
        <v>148</v>
      </c>
      <c r="T31" s="239" t="str">
        <f>IF(AND(R31="Preventivo",S31="Automático"),"50%",IF(AND(R31="Preventivo",S31="Manual"),"40%",IF(AND(R31="Detectivo",S31="Automático"),"40%",IF(AND(R31="Detectivo",S31="Manual"),"30%",IF(AND(R31="Correctivo",S31="Automático"),"35%",IF(AND(R31="Correctivo",S31="Manual"),"25%",""))))))</f>
        <v>40%</v>
      </c>
      <c r="U31" s="233" t="s">
        <v>149</v>
      </c>
      <c r="V31" s="233" t="s">
        <v>150</v>
      </c>
      <c r="W31" s="233" t="s">
        <v>151</v>
      </c>
      <c r="X31" s="167">
        <f>IFERROR(IF(Q31="Probabilidad",(I31-(+I31*T31)),IF(Q31="Impacto",I31,"")),"")</f>
        <v>0.36</v>
      </c>
      <c r="Y31" s="242" t="str">
        <f>IFERROR(IF(X31="","",IF(X31&lt;=0.2,"Muy Baja",IF(X31&lt;=0.4,"Baja",IF(X31&lt;=0.6,"Media",IF(X31&lt;=0.8,"Alta","Muy Alta"))))),"")</f>
        <v>Baja</v>
      </c>
      <c r="Z31" s="239">
        <f>+X31</f>
        <v>0.36</v>
      </c>
      <c r="AA31" s="242" t="str">
        <f>IFERROR(IF(AB31="","",IF(AB31&lt;=0.2,"Leve",IF(AB31&lt;=0.4,"Menor",IF(AB31&lt;=0.6,"Moderado",IF(AB31&lt;=0.8,"Mayor","Catastrófico"))))),"")</f>
        <v>Moderado</v>
      </c>
      <c r="AB31" s="239">
        <f>IFERROR(IF(Q31="Impacto",(M31-(+M31*T31)),IF(Q31="Probabilidad",M31,"")),"")</f>
        <v>0.6</v>
      </c>
      <c r="AC31" s="236"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Moderado</v>
      </c>
      <c r="AD31" s="233" t="s">
        <v>152</v>
      </c>
      <c r="AE31" s="248"/>
      <c r="AF31" s="248"/>
      <c r="AG31" s="248"/>
      <c r="AH31" s="248"/>
      <c r="AI31" s="248"/>
      <c r="AJ31" s="248"/>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row>
    <row r="32" spans="1:68" s="3" customFormat="1" ht="46.5" customHeight="1" x14ac:dyDescent="0.25">
      <c r="A32" s="228"/>
      <c r="B32" s="249"/>
      <c r="C32" s="171" t="s">
        <v>161</v>
      </c>
      <c r="D32" s="258"/>
      <c r="E32" s="282"/>
      <c r="F32" s="249"/>
      <c r="G32" s="252"/>
      <c r="H32" s="255"/>
      <c r="I32" s="276"/>
      <c r="J32" s="285"/>
      <c r="K32" s="276">
        <f>IF(NOT(ISERROR(MATCH(J32,_xlfn.ANCHORARRAY(E43),0))),I45&amp;"Por favor no seleccionar los criterios de impacto",J32)</f>
        <v>0</v>
      </c>
      <c r="L32" s="255"/>
      <c r="M32" s="276"/>
      <c r="N32" s="279"/>
      <c r="O32" s="228"/>
      <c r="P32" s="231"/>
      <c r="Q32" s="246"/>
      <c r="R32" s="234"/>
      <c r="S32" s="234"/>
      <c r="T32" s="240"/>
      <c r="U32" s="234"/>
      <c r="V32" s="234"/>
      <c r="W32" s="234"/>
      <c r="X32" s="167" t="str">
        <f>IFERROR(IF(AND(Q31="Probabilidad",Q32="Probabilidad"),(Z31-(+Z31*T32)),IF(Q32="Probabilidad",(I31-(+I31*T32)),IF(Q32="Impacto",Z31,""))),"")</f>
        <v/>
      </c>
      <c r="Y32" s="243"/>
      <c r="Z32" s="240"/>
      <c r="AA32" s="243"/>
      <c r="AB32" s="240"/>
      <c r="AC32" s="237"/>
      <c r="AD32" s="234"/>
      <c r="AE32" s="249"/>
      <c r="AF32" s="249"/>
      <c r="AG32" s="249"/>
      <c r="AH32" s="249"/>
      <c r="AI32" s="249"/>
      <c r="AJ32" s="249"/>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row>
    <row r="33" spans="1:68" s="3" customFormat="1" ht="44.25" customHeight="1" x14ac:dyDescent="0.25">
      <c r="A33" s="228"/>
      <c r="B33" s="249"/>
      <c r="C33" s="260" t="s">
        <v>162</v>
      </c>
      <c r="D33" s="258"/>
      <c r="E33" s="282"/>
      <c r="F33" s="249"/>
      <c r="G33" s="252"/>
      <c r="H33" s="255"/>
      <c r="I33" s="276"/>
      <c r="J33" s="285"/>
      <c r="K33" s="276">
        <f>IF(NOT(ISERROR(MATCH(J33,_xlfn.ANCHORARRAY(E44),0))),I46&amp;"Por favor no seleccionar los criterios de impacto",J33)</f>
        <v>0</v>
      </c>
      <c r="L33" s="255"/>
      <c r="M33" s="276"/>
      <c r="N33" s="279"/>
      <c r="O33" s="228"/>
      <c r="P33" s="231"/>
      <c r="Q33" s="246"/>
      <c r="R33" s="234"/>
      <c r="S33" s="234"/>
      <c r="T33" s="240"/>
      <c r="U33" s="234"/>
      <c r="V33" s="234"/>
      <c r="W33" s="234"/>
      <c r="X33" s="167" t="str">
        <f>IFERROR(IF(AND(Q32="Probabilidad",Q33="Probabilidad"),(Z32-(+Z32*T33)),IF(AND(Q32="Impacto",Q33="Probabilidad"),(Z31-(+Z31*T33)),IF(Q33="Impacto",Z32,""))),"")</f>
        <v/>
      </c>
      <c r="Y33" s="243"/>
      <c r="Z33" s="240"/>
      <c r="AA33" s="243"/>
      <c r="AB33" s="240"/>
      <c r="AC33" s="237"/>
      <c r="AD33" s="234"/>
      <c r="AE33" s="249"/>
      <c r="AF33" s="249"/>
      <c r="AG33" s="249"/>
      <c r="AH33" s="249"/>
      <c r="AI33" s="249"/>
      <c r="AJ33" s="249"/>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row>
    <row r="34" spans="1:68" s="3" customFormat="1" ht="34.5" customHeight="1" x14ac:dyDescent="0.25">
      <c r="A34" s="228"/>
      <c r="B34" s="249"/>
      <c r="C34" s="260"/>
      <c r="D34" s="258"/>
      <c r="E34" s="282"/>
      <c r="F34" s="249"/>
      <c r="G34" s="252"/>
      <c r="H34" s="255"/>
      <c r="I34" s="276"/>
      <c r="J34" s="285"/>
      <c r="K34" s="276">
        <f>IF(NOT(ISERROR(MATCH(J34,_xlfn.ANCHORARRAY(E45),0))),I47&amp;"Por favor no seleccionar los criterios de impacto",J34)</f>
        <v>0</v>
      </c>
      <c r="L34" s="255"/>
      <c r="M34" s="276"/>
      <c r="N34" s="279"/>
      <c r="O34" s="228"/>
      <c r="P34" s="231"/>
      <c r="Q34" s="246"/>
      <c r="R34" s="234"/>
      <c r="S34" s="234"/>
      <c r="T34" s="240"/>
      <c r="U34" s="234"/>
      <c r="V34" s="234"/>
      <c r="W34" s="234"/>
      <c r="X34" s="167" t="str">
        <f t="shared" ref="X34:X36" si="1">IFERROR(IF(AND(Q33="Probabilidad",Q34="Probabilidad"),(Z33-(+Z33*T34)),IF(AND(Q33="Impacto",Q34="Probabilidad"),(Z32-(+Z32*T34)),IF(Q34="Impacto",Z33,""))),"")</f>
        <v/>
      </c>
      <c r="Y34" s="243"/>
      <c r="Z34" s="240"/>
      <c r="AA34" s="243"/>
      <c r="AB34" s="240"/>
      <c r="AC34" s="237"/>
      <c r="AD34" s="234"/>
      <c r="AE34" s="249"/>
      <c r="AF34" s="249"/>
      <c r="AG34" s="249"/>
      <c r="AH34" s="249"/>
      <c r="AI34" s="249"/>
      <c r="AJ34" s="249"/>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row>
    <row r="35" spans="1:68" s="3" customFormat="1" ht="23.25" customHeight="1" x14ac:dyDescent="0.25">
      <c r="A35" s="228"/>
      <c r="B35" s="249"/>
      <c r="C35" s="260"/>
      <c r="D35" s="258"/>
      <c r="E35" s="282"/>
      <c r="F35" s="249"/>
      <c r="G35" s="252"/>
      <c r="H35" s="255"/>
      <c r="I35" s="276"/>
      <c r="J35" s="285"/>
      <c r="K35" s="276">
        <f>IF(NOT(ISERROR(MATCH(J35,_xlfn.ANCHORARRAY(E46),0))),I48&amp;"Por favor no seleccionar los criterios de impacto",J35)</f>
        <v>0</v>
      </c>
      <c r="L35" s="255"/>
      <c r="M35" s="276"/>
      <c r="N35" s="279"/>
      <c r="O35" s="228"/>
      <c r="P35" s="231"/>
      <c r="Q35" s="246"/>
      <c r="R35" s="234"/>
      <c r="S35" s="234"/>
      <c r="T35" s="240"/>
      <c r="U35" s="234"/>
      <c r="V35" s="234"/>
      <c r="W35" s="234"/>
      <c r="X35" s="167" t="str">
        <f t="shared" si="1"/>
        <v/>
      </c>
      <c r="Y35" s="243"/>
      <c r="Z35" s="240"/>
      <c r="AA35" s="243"/>
      <c r="AB35" s="240"/>
      <c r="AC35" s="237"/>
      <c r="AD35" s="234"/>
      <c r="AE35" s="249"/>
      <c r="AF35" s="249"/>
      <c r="AG35" s="249"/>
      <c r="AH35" s="249"/>
      <c r="AI35" s="249"/>
      <c r="AJ35" s="249"/>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row>
    <row r="36" spans="1:68" s="3" customFormat="1" ht="23.25" customHeight="1" x14ac:dyDescent="0.25">
      <c r="A36" s="229"/>
      <c r="B36" s="250"/>
      <c r="C36" s="260"/>
      <c r="D36" s="259"/>
      <c r="E36" s="283"/>
      <c r="F36" s="250"/>
      <c r="G36" s="253"/>
      <c r="H36" s="256"/>
      <c r="I36" s="277"/>
      <c r="J36" s="286"/>
      <c r="K36" s="277">
        <f>IF(NOT(ISERROR(MATCH(J36,_xlfn.ANCHORARRAY(E47),0))),I49&amp;"Por favor no seleccionar los criterios de impacto",J36)</f>
        <v>0</v>
      </c>
      <c r="L36" s="256"/>
      <c r="M36" s="277"/>
      <c r="N36" s="280"/>
      <c r="O36" s="229"/>
      <c r="P36" s="232"/>
      <c r="Q36" s="247"/>
      <c r="R36" s="235"/>
      <c r="S36" s="235"/>
      <c r="T36" s="241"/>
      <c r="U36" s="235"/>
      <c r="V36" s="235"/>
      <c r="W36" s="235"/>
      <c r="X36" s="167" t="str">
        <f t="shared" si="1"/>
        <v/>
      </c>
      <c r="Y36" s="244"/>
      <c r="Z36" s="241"/>
      <c r="AA36" s="244"/>
      <c r="AB36" s="241"/>
      <c r="AC36" s="238"/>
      <c r="AD36" s="235"/>
      <c r="AE36" s="250"/>
      <c r="AF36" s="250"/>
      <c r="AG36" s="250"/>
      <c r="AH36" s="250"/>
      <c r="AI36" s="250"/>
      <c r="AJ36" s="250"/>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row>
    <row r="37" spans="1:68" s="3" customFormat="1" ht="57.75" customHeight="1" x14ac:dyDescent="0.25">
      <c r="A37" s="227">
        <v>3</v>
      </c>
      <c r="B37" s="248" t="s">
        <v>140</v>
      </c>
      <c r="C37" s="308" t="s">
        <v>163</v>
      </c>
      <c r="D37" s="257" t="s">
        <v>164</v>
      </c>
      <c r="E37" s="281" t="s">
        <v>165</v>
      </c>
      <c r="F37" s="248" t="s">
        <v>144</v>
      </c>
      <c r="G37" s="251">
        <v>2</v>
      </c>
      <c r="H37" s="254" t="str">
        <f>IF(G37&lt;=0,"",IF(G37&lt;=2,"Muy Baja",IF(G37&lt;=24,"Baja",IF(G37&lt;=500,"Media",IF(G37&lt;=5000,"Alta","Muy Alta")))))</f>
        <v>Muy Baja</v>
      </c>
      <c r="I37" s="275">
        <f>IF(H37="","",IF(H37="Muy Baja",0.2,IF(H37="Baja",0.4,IF(H37="Media",0.6,IF(H37="Alta",0.8,IF(H37="Muy Alta",1,))))))</f>
        <v>0.2</v>
      </c>
      <c r="J37" s="305" t="s">
        <v>145</v>
      </c>
      <c r="K37" s="275" t="str">
        <f>IF(NOT(ISERROR(MATCH(J37,'Tabla Impacto'!$B$221:$B$223,0))),'Tabla Impacto'!$F$223&amp;"Por favor no seleccionar los criterios de impacto(Afectación Económica o presupuestal y Pérdida Reputacional)",J37)</f>
        <v xml:space="preserve">     El riesgo afecta la imagen de la entidad internamente, de conocimiento general, nivel interno, de junta dircetiva y accionistas y/o de provedores</v>
      </c>
      <c r="L37" s="254" t="str">
        <f>IF(OR(K37='Tabla Impacto'!$C$11,K37='Tabla Impacto'!$D$11),"Leve",IF(OR(K37='Tabla Impacto'!$C$12,K37='Tabla Impacto'!$D$12),"Menor",IF(OR(K37='Tabla Impacto'!$C$13,K37='Tabla Impacto'!$D$13),"Moderado",IF(OR(K37='Tabla Impacto'!$C$14,K37='Tabla Impacto'!$D$14),"Mayor",IF(OR(K37='Tabla Impacto'!$C$15,K37='Tabla Impacto'!$D$15),"Catastrófico","")))))</f>
        <v>Menor</v>
      </c>
      <c r="M37" s="275">
        <f>IF(L37="","",IF(L37="Leve",0.2,IF(L37="Menor",0.4,IF(L37="Moderado",0.6,IF(L37="Mayor",0.8,IF(L37="Catastrófico",1,))))))</f>
        <v>0.4</v>
      </c>
      <c r="N37" s="278"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Bajo</v>
      </c>
      <c r="O37" s="227">
        <v>1</v>
      </c>
      <c r="P37" s="230" t="s">
        <v>166</v>
      </c>
      <c r="Q37" s="245" t="s">
        <v>167</v>
      </c>
      <c r="R37" s="233" t="s">
        <v>168</v>
      </c>
      <c r="S37" s="233" t="s">
        <v>148</v>
      </c>
      <c r="T37" s="239" t="str">
        <f>IF(AND(R37="Preventivo",S37="Automático"),"50%",IF(AND(R37="Preventivo",S37="Manual"),"40%",IF(AND(R37="Detectivo",S37="Automático"),"40%",IF(AND(R37="Detectivo",S37="Manual"),"30%",IF(AND(R37="Correctivo",S37="Automático"),"35%",IF(AND(R37="Correctivo",S37="Manual"),"25%",""))))))</f>
        <v>30%</v>
      </c>
      <c r="U37" s="233" t="s">
        <v>149</v>
      </c>
      <c r="V37" s="233" t="s">
        <v>150</v>
      </c>
      <c r="W37" s="233" t="s">
        <v>151</v>
      </c>
      <c r="X37" s="167">
        <f>IFERROR(IF(Q37="Probabilidad",(I37-(+I37*T37)),IF(Q37="Impacto",I37,"")),"")</f>
        <v>0.14000000000000001</v>
      </c>
      <c r="Y37" s="242" t="str">
        <f>IFERROR(IF(X37="","",IF(X37&lt;=0.2,"Muy Baja",IF(X37&lt;=0.4,"Baja",IF(X37&lt;=0.6,"Media",IF(X37&lt;=0.8,"Alta","Muy Alta"))))),"")</f>
        <v>Muy Baja</v>
      </c>
      <c r="Z37" s="239">
        <f>+X37</f>
        <v>0.14000000000000001</v>
      </c>
      <c r="AA37" s="242" t="str">
        <f>IFERROR(IF(AB37="","",IF(AB37&lt;=0.2,"Leve",IF(AB37&lt;=0.4,"Menor",IF(AB37&lt;=0.6,"Moderado",IF(AB37&lt;=0.8,"Mayor","Catastrófico"))))),"")</f>
        <v>Menor</v>
      </c>
      <c r="AB37" s="239">
        <f>IFERROR(IF(Q37="Impacto",(M37-(+M37*T37)),IF(Q37="Probabilidad",M37,"")),"")</f>
        <v>0.4</v>
      </c>
      <c r="AC37" s="236"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Bajo</v>
      </c>
      <c r="AD37" s="233" t="s">
        <v>152</v>
      </c>
      <c r="AE37" s="248"/>
      <c r="AF37" s="248"/>
      <c r="AG37" s="248"/>
      <c r="AH37" s="248"/>
      <c r="AI37" s="248"/>
      <c r="AJ37" s="248"/>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row>
    <row r="38" spans="1:68" s="3" customFormat="1" ht="62.25" customHeight="1" x14ac:dyDescent="0.25">
      <c r="A38" s="228"/>
      <c r="B38" s="249"/>
      <c r="C38" s="309"/>
      <c r="D38" s="258"/>
      <c r="E38" s="282"/>
      <c r="F38" s="249"/>
      <c r="G38" s="252"/>
      <c r="H38" s="255"/>
      <c r="I38" s="276"/>
      <c r="J38" s="306"/>
      <c r="K38" s="276">
        <f t="shared" ref="K38:K42" si="2">IF(NOT(ISERROR(MATCH(J38,_xlfn.ANCHORARRAY(E49),0))),I51&amp;"Por favor no seleccionar los criterios de impacto",J38)</f>
        <v>0</v>
      </c>
      <c r="L38" s="255"/>
      <c r="M38" s="276"/>
      <c r="N38" s="279"/>
      <c r="O38" s="228"/>
      <c r="P38" s="231"/>
      <c r="Q38" s="246"/>
      <c r="R38" s="234"/>
      <c r="S38" s="234"/>
      <c r="T38" s="240"/>
      <c r="U38" s="234"/>
      <c r="V38" s="234"/>
      <c r="W38" s="234"/>
      <c r="X38" s="168" t="str">
        <f>IFERROR(IF(AND(Q37="Probabilidad",Q38="Probabilidad"),(Z37-(+Z37*T38)),IF(Q38="Probabilidad",(I37-(+I37*T38)),IF(Q38="Impacto",Z37,""))),"")</f>
        <v/>
      </c>
      <c r="Y38" s="243"/>
      <c r="Z38" s="240"/>
      <c r="AA38" s="243"/>
      <c r="AB38" s="240"/>
      <c r="AC38" s="237"/>
      <c r="AD38" s="234"/>
      <c r="AE38" s="249"/>
      <c r="AF38" s="249"/>
      <c r="AG38" s="249"/>
      <c r="AH38" s="249"/>
      <c r="AI38" s="249"/>
      <c r="AJ38" s="249"/>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row>
    <row r="39" spans="1:68" s="3" customFormat="1" ht="48" customHeight="1" x14ac:dyDescent="0.25">
      <c r="A39" s="228"/>
      <c r="B39" s="249"/>
      <c r="C39" s="308" t="s">
        <v>169</v>
      </c>
      <c r="D39" s="258"/>
      <c r="E39" s="282"/>
      <c r="F39" s="249"/>
      <c r="G39" s="252"/>
      <c r="H39" s="255"/>
      <c r="I39" s="276"/>
      <c r="J39" s="306"/>
      <c r="K39" s="276">
        <f t="shared" si="2"/>
        <v>0</v>
      </c>
      <c r="L39" s="255"/>
      <c r="M39" s="276"/>
      <c r="N39" s="279"/>
      <c r="O39" s="228"/>
      <c r="P39" s="231"/>
      <c r="Q39" s="246"/>
      <c r="R39" s="234"/>
      <c r="S39" s="234"/>
      <c r="T39" s="240"/>
      <c r="U39" s="234"/>
      <c r="V39" s="234"/>
      <c r="W39" s="234"/>
      <c r="X39" s="167" t="str">
        <f>IFERROR(IF(AND(Q38="Probabilidad",Q39="Probabilidad"),(Z38-(+Z38*T39)),IF(AND(Q38="Impacto",Q39="Probabilidad"),(Z37-(+Z37*T39)),IF(Q39="Impacto",Z38,""))),"")</f>
        <v/>
      </c>
      <c r="Y39" s="243"/>
      <c r="Z39" s="240"/>
      <c r="AA39" s="243"/>
      <c r="AB39" s="240"/>
      <c r="AC39" s="237"/>
      <c r="AD39" s="234"/>
      <c r="AE39" s="249"/>
      <c r="AF39" s="249"/>
      <c r="AG39" s="249"/>
      <c r="AH39" s="249"/>
      <c r="AI39" s="249"/>
      <c r="AJ39" s="249"/>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row>
    <row r="40" spans="1:68" s="3" customFormat="1" ht="42" customHeight="1" x14ac:dyDescent="0.25">
      <c r="A40" s="228"/>
      <c r="B40" s="249"/>
      <c r="C40" s="309"/>
      <c r="D40" s="258"/>
      <c r="E40" s="282"/>
      <c r="F40" s="249"/>
      <c r="G40" s="252"/>
      <c r="H40" s="255"/>
      <c r="I40" s="276"/>
      <c r="J40" s="306"/>
      <c r="K40" s="276">
        <f t="shared" si="2"/>
        <v>0</v>
      </c>
      <c r="L40" s="255"/>
      <c r="M40" s="276"/>
      <c r="N40" s="279"/>
      <c r="O40" s="228"/>
      <c r="P40" s="231"/>
      <c r="Q40" s="246"/>
      <c r="R40" s="234"/>
      <c r="S40" s="234"/>
      <c r="T40" s="240"/>
      <c r="U40" s="234"/>
      <c r="V40" s="234"/>
      <c r="W40" s="234"/>
      <c r="X40" s="167" t="str">
        <f t="shared" ref="X40:X42" si="3">IFERROR(IF(AND(Q39="Probabilidad",Q40="Probabilidad"),(Z39-(+Z39*T40)),IF(AND(Q39="Impacto",Q40="Probabilidad"),(Z38-(+Z38*T40)),IF(Q40="Impacto",Z39,""))),"")</f>
        <v/>
      </c>
      <c r="Y40" s="243"/>
      <c r="Z40" s="240"/>
      <c r="AA40" s="243"/>
      <c r="AB40" s="240"/>
      <c r="AC40" s="237"/>
      <c r="AD40" s="234"/>
      <c r="AE40" s="249"/>
      <c r="AF40" s="249"/>
      <c r="AG40" s="249"/>
      <c r="AH40" s="249"/>
      <c r="AI40" s="249"/>
      <c r="AJ40" s="249"/>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row>
    <row r="41" spans="1:68" s="3" customFormat="1" ht="42" customHeight="1" x14ac:dyDescent="0.25">
      <c r="A41" s="228"/>
      <c r="B41" s="249"/>
      <c r="C41" s="308" t="s">
        <v>170</v>
      </c>
      <c r="D41" s="258"/>
      <c r="E41" s="282"/>
      <c r="F41" s="249"/>
      <c r="G41" s="252"/>
      <c r="H41" s="255"/>
      <c r="I41" s="276"/>
      <c r="J41" s="306"/>
      <c r="K41" s="276">
        <f t="shared" si="2"/>
        <v>0</v>
      </c>
      <c r="L41" s="255"/>
      <c r="M41" s="276"/>
      <c r="N41" s="279"/>
      <c r="O41" s="228"/>
      <c r="P41" s="231"/>
      <c r="Q41" s="246"/>
      <c r="R41" s="234"/>
      <c r="S41" s="234"/>
      <c r="T41" s="240"/>
      <c r="U41" s="234"/>
      <c r="V41" s="234"/>
      <c r="W41" s="234"/>
      <c r="X41" s="167" t="str">
        <f t="shared" si="3"/>
        <v/>
      </c>
      <c r="Y41" s="243"/>
      <c r="Z41" s="240"/>
      <c r="AA41" s="243"/>
      <c r="AB41" s="240"/>
      <c r="AC41" s="237"/>
      <c r="AD41" s="234"/>
      <c r="AE41" s="249"/>
      <c r="AF41" s="249"/>
      <c r="AG41" s="249"/>
      <c r="AH41" s="249"/>
      <c r="AI41" s="249"/>
      <c r="AJ41" s="249"/>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row>
    <row r="42" spans="1:68" s="3" customFormat="1" ht="45.75" customHeight="1" x14ac:dyDescent="0.25">
      <c r="A42" s="229"/>
      <c r="B42" s="250"/>
      <c r="C42" s="309"/>
      <c r="D42" s="259"/>
      <c r="E42" s="283"/>
      <c r="F42" s="250"/>
      <c r="G42" s="253"/>
      <c r="H42" s="256"/>
      <c r="I42" s="277"/>
      <c r="J42" s="307"/>
      <c r="K42" s="277">
        <f t="shared" si="2"/>
        <v>0</v>
      </c>
      <c r="L42" s="256"/>
      <c r="M42" s="277"/>
      <c r="N42" s="280"/>
      <c r="O42" s="229"/>
      <c r="P42" s="232"/>
      <c r="Q42" s="247"/>
      <c r="R42" s="235"/>
      <c r="S42" s="235"/>
      <c r="T42" s="241"/>
      <c r="U42" s="235"/>
      <c r="V42" s="235"/>
      <c r="W42" s="235"/>
      <c r="X42" s="167" t="str">
        <f t="shared" si="3"/>
        <v/>
      </c>
      <c r="Y42" s="244"/>
      <c r="Z42" s="241"/>
      <c r="AA42" s="244"/>
      <c r="AB42" s="241"/>
      <c r="AC42" s="238"/>
      <c r="AD42" s="235"/>
      <c r="AE42" s="250"/>
      <c r="AF42" s="250"/>
      <c r="AG42" s="250"/>
      <c r="AH42" s="250"/>
      <c r="AI42" s="250"/>
      <c r="AJ42" s="250"/>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row>
    <row r="43" spans="1:68" ht="46.5" customHeight="1" x14ac:dyDescent="0.3">
      <c r="A43" s="227">
        <v>4</v>
      </c>
      <c r="B43" s="248" t="s">
        <v>140</v>
      </c>
      <c r="C43" s="308" t="s">
        <v>280</v>
      </c>
      <c r="D43" s="257" t="s">
        <v>285</v>
      </c>
      <c r="E43" s="281" t="s">
        <v>284</v>
      </c>
      <c r="F43" s="248" t="s">
        <v>144</v>
      </c>
      <c r="G43" s="251">
        <v>3</v>
      </c>
      <c r="H43" s="254" t="str">
        <f>IF(G43&lt;=0,"",IF(G43&lt;=2,"Muy Baja",IF(G43&lt;=24,"Baja",IF(G43&lt;=500,"Media",IF(G43&lt;=5000,"Alta","Muy Alta")))))</f>
        <v>Baja</v>
      </c>
      <c r="I43" s="275">
        <f>IF(H43="","",IF(H43="Muy Baja",0.2,IF(H43="Baja",0.4,IF(H43="Media",0.6,IF(H43="Alta",0.8,IF(H43="Muy Alta",1,))))))</f>
        <v>0.4</v>
      </c>
      <c r="J43" s="305" t="s">
        <v>159</v>
      </c>
      <c r="K43" s="275" t="str">
        <f>IF(NOT(ISERROR(MATCH(J43,'Tabla Impacto'!$B$221:$B$223,0))),'Tabla Impacto'!$F$223&amp;"Por favor no seleccionar los criterios de impacto(Afectación Económica o presupuestal y Pérdida Reputacional)",J43)</f>
        <v xml:space="preserve">     El riesgo afecta la imagen de la entidad con algunos usuarios de relevancia frente al logro de los objetivos</v>
      </c>
      <c r="L43" s="254" t="str">
        <f>IF(OR(K43='Tabla Impacto'!$C$11,K43='Tabla Impacto'!$D$11),"Leve",IF(OR(K43='Tabla Impacto'!$C$12,K43='Tabla Impacto'!$D$12),"Menor",IF(OR(K43='Tabla Impacto'!$C$13,K43='Tabla Impacto'!$D$13),"Moderado",IF(OR(K43='Tabla Impacto'!$C$14,K43='Tabla Impacto'!$D$14),"Mayor",IF(OR(K43='Tabla Impacto'!$C$15,K43='Tabla Impacto'!$D$15),"Catastrófico","")))))</f>
        <v>Moderado</v>
      </c>
      <c r="M43" s="275">
        <f>IF(L43="","",IF(L43="Leve",0.2,IF(L43="Menor",0.4,IF(L43="Moderado",0.6,IF(L43="Mayor",0.8,IF(L43="Catastrófico",1,))))))</f>
        <v>0.6</v>
      </c>
      <c r="N43" s="278"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Moderado</v>
      </c>
      <c r="O43" s="227">
        <v>1</v>
      </c>
      <c r="P43" s="230" t="s">
        <v>286</v>
      </c>
      <c r="Q43" s="245" t="s">
        <v>167</v>
      </c>
      <c r="R43" s="505" t="s">
        <v>168</v>
      </c>
      <c r="S43" s="233" t="s">
        <v>148</v>
      </c>
      <c r="T43" s="239" t="str">
        <f>IF(AND(R43="Preventivo",S43="Automático"),"50%",IF(AND(R43="Preventivo",S43="Manual"),"40%",IF(AND(R43="Detectivo",S43="Automático"),"40%",IF(AND(R43="Detectivo",S43="Manual"),"30%",IF(AND(R43="Correctivo",S43="Automático"),"35%",IF(AND(R43="Correctivo",S43="Manual"),"25%",""))))))</f>
        <v>30%</v>
      </c>
      <c r="U43" s="233" t="s">
        <v>149</v>
      </c>
      <c r="V43" s="233" t="s">
        <v>150</v>
      </c>
      <c r="W43" s="233" t="s">
        <v>151</v>
      </c>
      <c r="X43" s="123">
        <f>IFERROR(IF(Q43="Probabilidad",(I43-(+I43*T43)),IF(Q43="Impacto",I43,"")),"")</f>
        <v>0.28000000000000003</v>
      </c>
      <c r="Y43" s="242" t="str">
        <f>IFERROR(IF(X43="","",IF(X43&lt;=0.2,"Muy Baja",IF(X43&lt;=0.4,"Baja",IF(X43&lt;=0.6,"Media",IF(X43&lt;=0.8,"Alta","Muy Alta"))))),"")</f>
        <v>Baja</v>
      </c>
      <c r="Z43" s="239">
        <f>+X43</f>
        <v>0.28000000000000003</v>
      </c>
      <c r="AA43" s="242" t="str">
        <f>IFERROR(IF(AB43="","",IF(AB43&lt;=0.2,"Leve",IF(AB43&lt;=0.4,"Menor",IF(AB43&lt;=0.6,"Moderado",IF(AB43&lt;=0.8,"Mayor","Catastrófico"))))),"")</f>
        <v>Moderado</v>
      </c>
      <c r="AB43" s="239">
        <f>IFERROR(IF(Q43="Impacto",(M43-(+M43*T43)),IF(Q43="Probabilidad",M43,"")),"")</f>
        <v>0.6</v>
      </c>
      <c r="AC43" s="236"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Moderado</v>
      </c>
      <c r="AD43" s="233" t="s">
        <v>152</v>
      </c>
      <c r="AE43" s="248"/>
      <c r="AF43" s="251"/>
      <c r="AG43" s="346"/>
      <c r="AH43" s="346"/>
      <c r="AI43" s="248"/>
      <c r="AJ43" s="251"/>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46.5" customHeight="1" x14ac:dyDescent="0.3">
      <c r="A44" s="228"/>
      <c r="B44" s="249"/>
      <c r="C44" s="504"/>
      <c r="D44" s="258"/>
      <c r="E44" s="282"/>
      <c r="F44" s="249"/>
      <c r="G44" s="252"/>
      <c r="H44" s="255"/>
      <c r="I44" s="276"/>
      <c r="J44" s="306"/>
      <c r="K44" s="276">
        <f t="shared" ref="K44:K48" si="4">IF(NOT(ISERROR(MATCH(J44,_xlfn.ANCHORARRAY(E55),0))),I57&amp;"Por favor no seleccionar los criterios de impacto",J44)</f>
        <v>0</v>
      </c>
      <c r="L44" s="255"/>
      <c r="M44" s="276"/>
      <c r="N44" s="279"/>
      <c r="O44" s="228"/>
      <c r="P44" s="231"/>
      <c r="Q44" s="246"/>
      <c r="R44" s="506"/>
      <c r="S44" s="234"/>
      <c r="T44" s="240"/>
      <c r="U44" s="234"/>
      <c r="V44" s="234"/>
      <c r="W44" s="234"/>
      <c r="X44" s="123" t="str">
        <f>IFERROR(IF(AND(Q43="Probabilidad",Q44="Probabilidad"),(Z43-(+Z43*T44)),IF(Q44="Probabilidad",(I43-(+I43*T44)),IF(Q44="Impacto",Z43,""))),"")</f>
        <v/>
      </c>
      <c r="Y44" s="243"/>
      <c r="Z44" s="240"/>
      <c r="AA44" s="243"/>
      <c r="AB44" s="240"/>
      <c r="AC44" s="237"/>
      <c r="AD44" s="234"/>
      <c r="AE44" s="249"/>
      <c r="AF44" s="252"/>
      <c r="AG44" s="347"/>
      <c r="AH44" s="347"/>
      <c r="AI44" s="249"/>
      <c r="AJ44" s="252"/>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46.5" customHeight="1" x14ac:dyDescent="0.3">
      <c r="A45" s="228"/>
      <c r="B45" s="249"/>
      <c r="C45" s="504"/>
      <c r="D45" s="258"/>
      <c r="E45" s="282"/>
      <c r="F45" s="249"/>
      <c r="G45" s="252"/>
      <c r="H45" s="255"/>
      <c r="I45" s="276"/>
      <c r="J45" s="306"/>
      <c r="K45" s="276">
        <f t="shared" si="4"/>
        <v>0</v>
      </c>
      <c r="L45" s="255"/>
      <c r="M45" s="276"/>
      <c r="N45" s="279"/>
      <c r="O45" s="228"/>
      <c r="P45" s="231"/>
      <c r="Q45" s="246"/>
      <c r="R45" s="506"/>
      <c r="S45" s="234"/>
      <c r="T45" s="240"/>
      <c r="U45" s="234"/>
      <c r="V45" s="234"/>
      <c r="W45" s="234"/>
      <c r="X45" s="123" t="str">
        <f>IFERROR(IF(AND(Q44="Probabilidad",Q45="Probabilidad"),(Z44-(+Z44*T45)),IF(AND(Q44="Impacto",Q45="Probabilidad"),(Z43-(+Z43*T45)),IF(Q45="Impacto",Z44,""))),"")</f>
        <v/>
      </c>
      <c r="Y45" s="243"/>
      <c r="Z45" s="240"/>
      <c r="AA45" s="243"/>
      <c r="AB45" s="240"/>
      <c r="AC45" s="237"/>
      <c r="AD45" s="234"/>
      <c r="AE45" s="249"/>
      <c r="AF45" s="252"/>
      <c r="AG45" s="347"/>
      <c r="AH45" s="347"/>
      <c r="AI45" s="249"/>
      <c r="AJ45" s="252"/>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46.5" customHeight="1" x14ac:dyDescent="0.3">
      <c r="A46" s="228"/>
      <c r="B46" s="249"/>
      <c r="C46" s="309"/>
      <c r="D46" s="258"/>
      <c r="E46" s="282"/>
      <c r="F46" s="249"/>
      <c r="G46" s="252"/>
      <c r="H46" s="255"/>
      <c r="I46" s="276"/>
      <c r="J46" s="306"/>
      <c r="K46" s="276">
        <f t="shared" si="4"/>
        <v>0</v>
      </c>
      <c r="L46" s="255"/>
      <c r="M46" s="276"/>
      <c r="N46" s="279"/>
      <c r="O46" s="228"/>
      <c r="P46" s="231"/>
      <c r="Q46" s="246"/>
      <c r="R46" s="506"/>
      <c r="S46" s="234"/>
      <c r="T46" s="240"/>
      <c r="U46" s="234"/>
      <c r="V46" s="234"/>
      <c r="W46" s="234"/>
      <c r="X46" s="123" t="str">
        <f t="shared" ref="X46:X48" si="5">IFERROR(IF(AND(Q45="Probabilidad",Q46="Probabilidad"),(Z45-(+Z45*T46)),IF(AND(Q45="Impacto",Q46="Probabilidad"),(Z44-(+Z44*T46)),IF(Q46="Impacto",Z45,""))),"")</f>
        <v/>
      </c>
      <c r="Y46" s="243"/>
      <c r="Z46" s="240"/>
      <c r="AA46" s="243"/>
      <c r="AB46" s="240"/>
      <c r="AC46" s="237"/>
      <c r="AD46" s="234"/>
      <c r="AE46" s="249"/>
      <c r="AF46" s="252"/>
      <c r="AG46" s="347"/>
      <c r="AH46" s="347"/>
      <c r="AI46" s="249"/>
      <c r="AJ46" s="252"/>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46.5" customHeight="1" x14ac:dyDescent="0.3">
      <c r="A47" s="228"/>
      <c r="B47" s="249"/>
      <c r="C47" s="308" t="s">
        <v>281</v>
      </c>
      <c r="D47" s="258"/>
      <c r="E47" s="282"/>
      <c r="F47" s="249"/>
      <c r="G47" s="252"/>
      <c r="H47" s="255"/>
      <c r="I47" s="276"/>
      <c r="J47" s="306"/>
      <c r="K47" s="276">
        <f t="shared" si="4"/>
        <v>0</v>
      </c>
      <c r="L47" s="255"/>
      <c r="M47" s="276"/>
      <c r="N47" s="279"/>
      <c r="O47" s="228"/>
      <c r="P47" s="231"/>
      <c r="Q47" s="246"/>
      <c r="R47" s="506"/>
      <c r="S47" s="234"/>
      <c r="T47" s="240"/>
      <c r="U47" s="234"/>
      <c r="V47" s="234"/>
      <c r="W47" s="234"/>
      <c r="X47" s="132" t="str">
        <f t="shared" si="5"/>
        <v/>
      </c>
      <c r="Y47" s="243"/>
      <c r="Z47" s="240"/>
      <c r="AA47" s="243"/>
      <c r="AB47" s="240"/>
      <c r="AC47" s="237"/>
      <c r="AD47" s="234"/>
      <c r="AE47" s="249"/>
      <c r="AF47" s="252"/>
      <c r="AG47" s="347"/>
      <c r="AH47" s="347"/>
      <c r="AI47" s="249"/>
      <c r="AJ47" s="252"/>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46.5" customHeight="1" x14ac:dyDescent="0.3">
      <c r="A48" s="229"/>
      <c r="B48" s="250"/>
      <c r="C48" s="309"/>
      <c r="D48" s="259"/>
      <c r="E48" s="283"/>
      <c r="F48" s="250"/>
      <c r="G48" s="253"/>
      <c r="H48" s="256"/>
      <c r="I48" s="277"/>
      <c r="J48" s="307"/>
      <c r="K48" s="277">
        <f t="shared" si="4"/>
        <v>0</v>
      </c>
      <c r="L48" s="256"/>
      <c r="M48" s="277"/>
      <c r="N48" s="280"/>
      <c r="O48" s="229"/>
      <c r="P48" s="232"/>
      <c r="Q48" s="247"/>
      <c r="R48" s="507"/>
      <c r="S48" s="235"/>
      <c r="T48" s="241"/>
      <c r="U48" s="235"/>
      <c r="V48" s="235"/>
      <c r="W48" s="235"/>
      <c r="X48" s="123" t="str">
        <f t="shared" si="5"/>
        <v/>
      </c>
      <c r="Y48" s="244"/>
      <c r="Z48" s="241"/>
      <c r="AA48" s="244"/>
      <c r="AB48" s="241"/>
      <c r="AC48" s="238"/>
      <c r="AD48" s="235"/>
      <c r="AE48" s="250"/>
      <c r="AF48" s="253"/>
      <c r="AG48" s="348"/>
      <c r="AH48" s="348"/>
      <c r="AI48" s="250"/>
      <c r="AJ48" s="253"/>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hidden="1" customHeight="1" x14ac:dyDescent="0.3">
      <c r="A49" s="322">
        <v>5</v>
      </c>
      <c r="B49" s="325"/>
      <c r="C49" s="325"/>
      <c r="D49" s="325"/>
      <c r="E49" s="328"/>
      <c r="F49" s="325"/>
      <c r="G49" s="331"/>
      <c r="H49" s="319" t="str">
        <f>IF(G49&lt;=0,"",IF(G49&lt;=2,"Muy Baja",IF(G49&lt;=24,"Baja",IF(G49&lt;=500,"Media",IF(G49&lt;=5000,"Alta","Muy Alta")))))</f>
        <v/>
      </c>
      <c r="I49" s="310" t="str">
        <f>IF(H49="","",IF(H49="Muy Baja",0.2,IF(H49="Baja",0.4,IF(H49="Media",0.6,IF(H49="Alta",0.8,IF(H49="Muy Alta",1,))))))</f>
        <v/>
      </c>
      <c r="J49" s="316"/>
      <c r="K49" s="310">
        <f>IF(NOT(ISERROR(MATCH(J49,'Tabla Impacto'!$B$221:$B$223,0))),'Tabla Impacto'!$F$223&amp;"Por favor no seleccionar los criterios de impacto(Afectación Económica o presupuestal y Pérdida Reputacional)",J49)</f>
        <v>0</v>
      </c>
      <c r="L49" s="319" t="str">
        <f>IF(OR(K49='Tabla Impacto'!$C$11,K49='Tabla Impacto'!$D$11),"Leve",IF(OR(K49='Tabla Impacto'!$C$12,K49='Tabla Impacto'!$D$12),"Menor",IF(OR(K49='Tabla Impacto'!$C$13,K49='Tabla Impacto'!$D$13),"Moderado",IF(OR(K49='Tabla Impacto'!$C$14,K49='Tabla Impacto'!$D$14),"Mayor",IF(OR(K49='Tabla Impacto'!$C$15,K49='Tabla Impacto'!$D$15),"Catastrófico","")))))</f>
        <v/>
      </c>
      <c r="M49" s="310" t="str">
        <f>IF(L49="","",IF(L49="Leve",0.2,IF(L49="Menor",0.4,IF(L49="Moderado",0.6,IF(L49="Mayor",0.8,IF(L49="Catastrófico",1,))))))</f>
        <v/>
      </c>
      <c r="N49" s="313"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
      </c>
      <c r="O49" s="118">
        <v>1</v>
      </c>
      <c r="P49" s="119"/>
      <c r="Q49" s="120" t="str">
        <f>IF(OR(R49="Preventivo",R49="Detectivo"),"Probabilidad",IF(R49="Correctivo","Impacto",""))</f>
        <v/>
      </c>
      <c r="R49" s="121"/>
      <c r="S49" s="121"/>
      <c r="T49" s="122" t="str">
        <f>IF(AND(R49="Preventivo",S49="Automático"),"50%",IF(AND(R49="Preventivo",S49="Manual"),"40%",IF(AND(R49="Detectivo",S49="Automático"),"40%",IF(AND(R49="Detectivo",S49="Manual"),"30%",IF(AND(R49="Correctivo",S49="Automático"),"35%",IF(AND(R49="Correctivo",S49="Manual"),"25%",""))))))</f>
        <v/>
      </c>
      <c r="U49" s="121"/>
      <c r="V49" s="121"/>
      <c r="W49" s="121"/>
      <c r="X49" s="123" t="str">
        <f>IFERROR(IF(Q49="Probabilidad",(I49-(+I49*T49)),IF(Q49="Impacto",I49,"")),"")</f>
        <v/>
      </c>
      <c r="Y49" s="124" t="str">
        <f>IFERROR(IF(X49="","",IF(X49&lt;=0.2,"Muy Baja",IF(X49&lt;=0.4,"Baja",IF(X49&lt;=0.6,"Media",IF(X49&lt;=0.8,"Alta","Muy Alta"))))),"")</f>
        <v/>
      </c>
      <c r="Z49" s="125" t="str">
        <f>+X49</f>
        <v/>
      </c>
      <c r="AA49" s="124" t="str">
        <f>IFERROR(IF(AB49="","",IF(AB49&lt;=0.2,"Leve",IF(AB49&lt;=0.4,"Menor",IF(AB49&lt;=0.6,"Moderado",IF(AB49&lt;=0.8,"Mayor","Catastrófico"))))),"")</f>
        <v/>
      </c>
      <c r="AB49" s="125" t="str">
        <f>IFERROR(IF(Q49="Impacto",(M49-(+M49*T49)),IF(Q49="Probabilidad",M49,"")),"")</f>
        <v/>
      </c>
      <c r="AC49" s="12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7"/>
      <c r="AE49" s="128"/>
      <c r="AF49" s="129"/>
      <c r="AG49" s="130"/>
      <c r="AH49" s="130"/>
      <c r="AI49" s="128"/>
      <c r="AJ49" s="129"/>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hidden="1" customHeight="1" x14ac:dyDescent="0.3">
      <c r="A50" s="323"/>
      <c r="B50" s="326"/>
      <c r="C50" s="326"/>
      <c r="D50" s="326"/>
      <c r="E50" s="329"/>
      <c r="F50" s="326"/>
      <c r="G50" s="332"/>
      <c r="H50" s="320"/>
      <c r="I50" s="311"/>
      <c r="J50" s="317"/>
      <c r="K50" s="311">
        <f t="shared" ref="K50:K54" si="6">IF(NOT(ISERROR(MATCH(J50,_xlfn.ANCHORARRAY(E61),0))),I63&amp;"Por favor no seleccionar los criterios de impacto",J50)</f>
        <v>0</v>
      </c>
      <c r="L50" s="320"/>
      <c r="M50" s="311"/>
      <c r="N50" s="314"/>
      <c r="O50" s="118">
        <v>2</v>
      </c>
      <c r="P50" s="119"/>
      <c r="Q50" s="120" t="str">
        <f>IF(OR(R50="Preventivo",R50="Detectivo"),"Probabilidad",IF(R50="Correctivo","Impacto",""))</f>
        <v/>
      </c>
      <c r="R50" s="121"/>
      <c r="S50" s="121"/>
      <c r="T50" s="122" t="str">
        <f t="shared" ref="T50:T54" si="7">IF(AND(R50="Preventivo",S50="Automático"),"50%",IF(AND(R50="Preventivo",S50="Manual"),"40%",IF(AND(R50="Detectivo",S50="Automático"),"40%",IF(AND(R50="Detectivo",S50="Manual"),"30%",IF(AND(R50="Correctivo",S50="Automático"),"35%",IF(AND(R50="Correctivo",S50="Manual"),"25%",""))))))</f>
        <v/>
      </c>
      <c r="U50" s="121"/>
      <c r="V50" s="121"/>
      <c r="W50" s="121"/>
      <c r="X50" s="123" t="str">
        <f>IFERROR(IF(AND(Q49="Probabilidad",Q50="Probabilidad"),(Z49-(+Z49*T50)),IF(Q50="Probabilidad",(I49-(+I49*T50)),IF(Q50="Impacto",Z49,""))),"")</f>
        <v/>
      </c>
      <c r="Y50" s="124" t="str">
        <f t="shared" ref="Y50:Y84" si="8">IFERROR(IF(X50="","",IF(X50&lt;=0.2,"Muy Baja",IF(X50&lt;=0.4,"Baja",IF(X50&lt;=0.6,"Media",IF(X50&lt;=0.8,"Alta","Muy Alta"))))),"")</f>
        <v/>
      </c>
      <c r="Z50" s="125" t="str">
        <f t="shared" ref="Z50:Z54" si="9">+X50</f>
        <v/>
      </c>
      <c r="AA50" s="124" t="str">
        <f t="shared" ref="AA50:AA84" si="10">IFERROR(IF(AB50="","",IF(AB50&lt;=0.2,"Leve",IF(AB50&lt;=0.4,"Menor",IF(AB50&lt;=0.6,"Moderado",IF(AB50&lt;=0.8,"Mayor","Catastrófico"))))),"")</f>
        <v/>
      </c>
      <c r="AB50" s="125" t="str">
        <f>IFERROR(IF(AND(Q49="Impacto",Q50="Impacto"),(AB49-(+AB49*T50)),IF(Q50="Impacto",(M49-(+M49*T50)),IF(Q50="Probabilidad",AB49,""))),"")</f>
        <v/>
      </c>
      <c r="AC50" s="126" t="str">
        <f t="shared" ref="AC50:AC51" si="11">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27"/>
      <c r="AE50" s="128"/>
      <c r="AF50" s="129"/>
      <c r="AG50" s="130"/>
      <c r="AH50" s="130"/>
      <c r="AI50" s="128"/>
      <c r="AJ50" s="129"/>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hidden="1" customHeight="1" x14ac:dyDescent="0.3">
      <c r="A51" s="323"/>
      <c r="B51" s="326"/>
      <c r="C51" s="326"/>
      <c r="D51" s="326"/>
      <c r="E51" s="329"/>
      <c r="F51" s="326"/>
      <c r="G51" s="332"/>
      <c r="H51" s="320"/>
      <c r="I51" s="311"/>
      <c r="J51" s="317"/>
      <c r="K51" s="311">
        <f t="shared" si="6"/>
        <v>0</v>
      </c>
      <c r="L51" s="320"/>
      <c r="M51" s="311"/>
      <c r="N51" s="314"/>
      <c r="O51" s="118">
        <v>3</v>
      </c>
      <c r="P51" s="131"/>
      <c r="Q51" s="120" t="str">
        <f>IF(OR(R51="Preventivo",R51="Detectivo"),"Probabilidad",IF(R51="Correctivo","Impacto",""))</f>
        <v/>
      </c>
      <c r="R51" s="121"/>
      <c r="S51" s="121"/>
      <c r="T51" s="122" t="str">
        <f t="shared" si="7"/>
        <v/>
      </c>
      <c r="U51" s="121"/>
      <c r="V51" s="121"/>
      <c r="W51" s="121"/>
      <c r="X51" s="123" t="str">
        <f>IFERROR(IF(AND(Q50="Probabilidad",Q51="Probabilidad"),(Z50-(+Z50*T51)),IF(AND(Q50="Impacto",Q51="Probabilidad"),(Z49-(+Z49*T51)),IF(Q51="Impacto",Z50,""))),"")</f>
        <v/>
      </c>
      <c r="Y51" s="124" t="str">
        <f t="shared" si="8"/>
        <v/>
      </c>
      <c r="Z51" s="125" t="str">
        <f t="shared" si="9"/>
        <v/>
      </c>
      <c r="AA51" s="124" t="str">
        <f t="shared" si="10"/>
        <v/>
      </c>
      <c r="AB51" s="125" t="str">
        <f>IFERROR(IF(AND(Q50="Impacto",Q51="Impacto"),(AB50-(+AB50*T51)),IF(AND(Q50="Probabilidad",Q51="Impacto"),(AB49-(+AB49*T51)),IF(Q51="Probabilidad",AB50,""))),"")</f>
        <v/>
      </c>
      <c r="AC51" s="126" t="str">
        <f t="shared" si="11"/>
        <v/>
      </c>
      <c r="AD51" s="127"/>
      <c r="AE51" s="128"/>
      <c r="AF51" s="129"/>
      <c r="AG51" s="130"/>
      <c r="AH51" s="130"/>
      <c r="AI51" s="128"/>
      <c r="AJ51" s="129"/>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hidden="1" customHeight="1" x14ac:dyDescent="0.3">
      <c r="A52" s="323"/>
      <c r="B52" s="326"/>
      <c r="C52" s="326"/>
      <c r="D52" s="326"/>
      <c r="E52" s="329"/>
      <c r="F52" s="326"/>
      <c r="G52" s="332"/>
      <c r="H52" s="320"/>
      <c r="I52" s="311"/>
      <c r="J52" s="317"/>
      <c r="K52" s="311">
        <f t="shared" si="6"/>
        <v>0</v>
      </c>
      <c r="L52" s="320"/>
      <c r="M52" s="311"/>
      <c r="N52" s="314"/>
      <c r="O52" s="118">
        <v>4</v>
      </c>
      <c r="P52" s="119"/>
      <c r="Q52" s="120" t="str">
        <f t="shared" ref="Q52:Q54" si="12">IF(OR(R52="Preventivo",R52="Detectivo"),"Probabilidad",IF(R52="Correctivo","Impacto",""))</f>
        <v/>
      </c>
      <c r="R52" s="121"/>
      <c r="S52" s="121"/>
      <c r="T52" s="122" t="str">
        <f t="shared" si="7"/>
        <v/>
      </c>
      <c r="U52" s="121"/>
      <c r="V52" s="121"/>
      <c r="W52" s="121"/>
      <c r="X52" s="123" t="str">
        <f t="shared" ref="X52:X54" si="13">IFERROR(IF(AND(Q51="Probabilidad",Q52="Probabilidad"),(Z51-(+Z51*T52)),IF(AND(Q51="Impacto",Q52="Probabilidad"),(Z50-(+Z50*T52)),IF(Q52="Impacto",Z51,""))),"")</f>
        <v/>
      </c>
      <c r="Y52" s="124" t="str">
        <f t="shared" si="8"/>
        <v/>
      </c>
      <c r="Z52" s="125" t="str">
        <f t="shared" si="9"/>
        <v/>
      </c>
      <c r="AA52" s="124" t="str">
        <f t="shared" si="10"/>
        <v/>
      </c>
      <c r="AB52" s="125" t="str">
        <f t="shared" ref="AB52:AB54" si="14">IFERROR(IF(AND(Q51="Impacto",Q52="Impacto"),(AB51-(+AB51*T52)),IF(AND(Q51="Probabilidad",Q52="Impacto"),(AB50-(+AB50*T52)),IF(Q52="Probabilidad",AB51,""))),"")</f>
        <v/>
      </c>
      <c r="AC52" s="126"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7"/>
      <c r="AE52" s="128"/>
      <c r="AF52" s="129"/>
      <c r="AG52" s="130"/>
      <c r="AH52" s="130"/>
      <c r="AI52" s="128"/>
      <c r="AJ52" s="129"/>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hidden="1" customHeight="1" x14ac:dyDescent="0.3">
      <c r="A53" s="323"/>
      <c r="B53" s="326"/>
      <c r="C53" s="326"/>
      <c r="D53" s="326"/>
      <c r="E53" s="329"/>
      <c r="F53" s="326"/>
      <c r="G53" s="332"/>
      <c r="H53" s="320"/>
      <c r="I53" s="311"/>
      <c r="J53" s="317"/>
      <c r="K53" s="311">
        <f t="shared" si="6"/>
        <v>0</v>
      </c>
      <c r="L53" s="320"/>
      <c r="M53" s="311"/>
      <c r="N53" s="314"/>
      <c r="O53" s="118">
        <v>5</v>
      </c>
      <c r="P53" s="119"/>
      <c r="Q53" s="120" t="str">
        <f t="shared" si="12"/>
        <v/>
      </c>
      <c r="R53" s="121"/>
      <c r="S53" s="121"/>
      <c r="T53" s="122" t="str">
        <f t="shared" si="7"/>
        <v/>
      </c>
      <c r="U53" s="121"/>
      <c r="V53" s="121"/>
      <c r="W53" s="121"/>
      <c r="X53" s="123" t="str">
        <f t="shared" si="13"/>
        <v/>
      </c>
      <c r="Y53" s="124" t="str">
        <f t="shared" si="8"/>
        <v/>
      </c>
      <c r="Z53" s="125" t="str">
        <f t="shared" si="9"/>
        <v/>
      </c>
      <c r="AA53" s="124" t="str">
        <f t="shared" si="10"/>
        <v/>
      </c>
      <c r="AB53" s="125" t="str">
        <f t="shared" si="14"/>
        <v/>
      </c>
      <c r="AC53" s="126" t="str">
        <f t="shared" ref="AC53:AC54" si="15">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27"/>
      <c r="AE53" s="128"/>
      <c r="AF53" s="129"/>
      <c r="AG53" s="130"/>
      <c r="AH53" s="130"/>
      <c r="AI53" s="128"/>
      <c r="AJ53" s="129"/>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hidden="1" customHeight="1" x14ac:dyDescent="0.3">
      <c r="A54" s="324"/>
      <c r="B54" s="327"/>
      <c r="C54" s="327"/>
      <c r="D54" s="327"/>
      <c r="E54" s="330"/>
      <c r="F54" s="327"/>
      <c r="G54" s="333"/>
      <c r="H54" s="321"/>
      <c r="I54" s="312"/>
      <c r="J54" s="318"/>
      <c r="K54" s="312">
        <f t="shared" si="6"/>
        <v>0</v>
      </c>
      <c r="L54" s="321"/>
      <c r="M54" s="312"/>
      <c r="N54" s="315"/>
      <c r="O54" s="118">
        <v>6</v>
      </c>
      <c r="P54" s="119"/>
      <c r="Q54" s="120" t="str">
        <f t="shared" si="12"/>
        <v/>
      </c>
      <c r="R54" s="121"/>
      <c r="S54" s="121"/>
      <c r="T54" s="122" t="str">
        <f t="shared" si="7"/>
        <v/>
      </c>
      <c r="U54" s="121"/>
      <c r="V54" s="121"/>
      <c r="W54" s="121"/>
      <c r="X54" s="123" t="str">
        <f t="shared" si="13"/>
        <v/>
      </c>
      <c r="Y54" s="124" t="str">
        <f t="shared" si="8"/>
        <v/>
      </c>
      <c r="Z54" s="125" t="str">
        <f t="shared" si="9"/>
        <v/>
      </c>
      <c r="AA54" s="124" t="str">
        <f t="shared" si="10"/>
        <v/>
      </c>
      <c r="AB54" s="125" t="str">
        <f t="shared" si="14"/>
        <v/>
      </c>
      <c r="AC54" s="126" t="str">
        <f t="shared" si="15"/>
        <v/>
      </c>
      <c r="AD54" s="127"/>
      <c r="AE54" s="128"/>
      <c r="AF54" s="129"/>
      <c r="AG54" s="130"/>
      <c r="AH54" s="130"/>
      <c r="AI54" s="128"/>
      <c r="AJ54" s="129"/>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hidden="1" customHeight="1" x14ac:dyDescent="0.3">
      <c r="A55" s="322">
        <v>6</v>
      </c>
      <c r="B55" s="325"/>
      <c r="C55" s="325"/>
      <c r="D55" s="325"/>
      <c r="E55" s="328"/>
      <c r="F55" s="325"/>
      <c r="G55" s="331"/>
      <c r="H55" s="319" t="str">
        <f>IF(G55&lt;=0,"",IF(G55&lt;=2,"Muy Baja",IF(G55&lt;=24,"Baja",IF(G55&lt;=500,"Media",IF(G55&lt;=5000,"Alta","Muy Alta")))))</f>
        <v/>
      </c>
      <c r="I55" s="310" t="str">
        <f>IF(H55="","",IF(H55="Muy Baja",0.2,IF(H55="Baja",0.4,IF(H55="Media",0.6,IF(H55="Alta",0.8,IF(H55="Muy Alta",1,))))))</f>
        <v/>
      </c>
      <c r="J55" s="316"/>
      <c r="K55" s="310">
        <f>IF(NOT(ISERROR(MATCH(J55,'Tabla Impacto'!$B$221:$B$223,0))),'Tabla Impacto'!$F$223&amp;"Por favor no seleccionar los criterios de impacto(Afectación Económica o presupuestal y Pérdida Reputacional)",J55)</f>
        <v>0</v>
      </c>
      <c r="L55" s="319" t="str">
        <f>IF(OR(K55='Tabla Impacto'!$C$11,K55='Tabla Impacto'!$D$11),"Leve",IF(OR(K55='Tabla Impacto'!$C$12,K55='Tabla Impacto'!$D$12),"Menor",IF(OR(K55='Tabla Impacto'!$C$13,K55='Tabla Impacto'!$D$13),"Moderado",IF(OR(K55='Tabla Impacto'!$C$14,K55='Tabla Impacto'!$D$14),"Mayor",IF(OR(K55='Tabla Impacto'!$C$15,K55='Tabla Impacto'!$D$15),"Catastrófico","")))))</f>
        <v/>
      </c>
      <c r="M55" s="310" t="str">
        <f>IF(L55="","",IF(L55="Leve",0.2,IF(L55="Menor",0.4,IF(L55="Moderado",0.6,IF(L55="Mayor",0.8,IF(L55="Catastrófico",1,))))))</f>
        <v/>
      </c>
      <c r="N55" s="313" t="str">
        <f>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
      </c>
      <c r="O55" s="118">
        <v>1</v>
      </c>
      <c r="P55" s="119"/>
      <c r="Q55" s="120" t="str">
        <f>IF(OR(R55="Preventivo",R55="Detectivo"),"Probabilidad",IF(R55="Correctivo","Impacto",""))</f>
        <v/>
      </c>
      <c r="R55" s="121"/>
      <c r="S55" s="121"/>
      <c r="T55" s="122" t="str">
        <f>IF(AND(R55="Preventivo",S55="Automático"),"50%",IF(AND(R55="Preventivo",S55="Manual"),"40%",IF(AND(R55="Detectivo",S55="Automático"),"40%",IF(AND(R55="Detectivo",S55="Manual"),"30%",IF(AND(R55="Correctivo",S55="Automático"),"35%",IF(AND(R55="Correctivo",S55="Manual"),"25%",""))))))</f>
        <v/>
      </c>
      <c r="U55" s="121"/>
      <c r="V55" s="121"/>
      <c r="W55" s="121"/>
      <c r="X55" s="123" t="str">
        <f>IFERROR(IF(Q55="Probabilidad",(I55-(+I55*T55)),IF(Q55="Impacto",I55,"")),"")</f>
        <v/>
      </c>
      <c r="Y55" s="124" t="str">
        <f>IFERROR(IF(X55="","",IF(X55&lt;=0.2,"Muy Baja",IF(X55&lt;=0.4,"Baja",IF(X55&lt;=0.6,"Media",IF(X55&lt;=0.8,"Alta","Muy Alta"))))),"")</f>
        <v/>
      </c>
      <c r="Z55" s="125" t="str">
        <f>+X55</f>
        <v/>
      </c>
      <c r="AA55" s="124" t="str">
        <f>IFERROR(IF(AB55="","",IF(AB55&lt;=0.2,"Leve",IF(AB55&lt;=0.4,"Menor",IF(AB55&lt;=0.6,"Moderado",IF(AB55&lt;=0.8,"Mayor","Catastrófico"))))),"")</f>
        <v/>
      </c>
      <c r="AB55" s="125" t="str">
        <f>IFERROR(IF(Q55="Impacto",(M55-(+M55*T55)),IF(Q55="Probabilidad",M55,"")),"")</f>
        <v/>
      </c>
      <c r="AC55" s="126"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7"/>
      <c r="AE55" s="128"/>
      <c r="AF55" s="129"/>
      <c r="AG55" s="130"/>
      <c r="AH55" s="130"/>
      <c r="AI55" s="128"/>
      <c r="AJ55" s="129"/>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hidden="1" customHeight="1" x14ac:dyDescent="0.3">
      <c r="A56" s="323"/>
      <c r="B56" s="326"/>
      <c r="C56" s="326"/>
      <c r="D56" s="326"/>
      <c r="E56" s="329"/>
      <c r="F56" s="326"/>
      <c r="G56" s="332"/>
      <c r="H56" s="320"/>
      <c r="I56" s="311"/>
      <c r="J56" s="317"/>
      <c r="K56" s="311">
        <f t="shared" ref="K56:K60" si="16">IF(NOT(ISERROR(MATCH(J56,_xlfn.ANCHORARRAY(E67),0))),I69&amp;"Por favor no seleccionar los criterios de impacto",J56)</f>
        <v>0</v>
      </c>
      <c r="L56" s="320"/>
      <c r="M56" s="311"/>
      <c r="N56" s="314"/>
      <c r="O56" s="118">
        <v>2</v>
      </c>
      <c r="P56" s="119"/>
      <c r="Q56" s="120" t="str">
        <f>IF(OR(R56="Preventivo",R56="Detectivo"),"Probabilidad",IF(R56="Correctivo","Impacto",""))</f>
        <v/>
      </c>
      <c r="R56" s="121"/>
      <c r="S56" s="121"/>
      <c r="T56" s="122" t="str">
        <f t="shared" ref="T56:T60" si="17">IF(AND(R56="Preventivo",S56="Automático"),"50%",IF(AND(R56="Preventivo",S56="Manual"),"40%",IF(AND(R56="Detectivo",S56="Automático"),"40%",IF(AND(R56="Detectivo",S56="Manual"),"30%",IF(AND(R56="Correctivo",S56="Automático"),"35%",IF(AND(R56="Correctivo",S56="Manual"),"25%",""))))))</f>
        <v/>
      </c>
      <c r="U56" s="121"/>
      <c r="V56" s="121"/>
      <c r="W56" s="121"/>
      <c r="X56" s="123" t="str">
        <f>IFERROR(IF(AND(Q55="Probabilidad",Q56="Probabilidad"),(Z55-(+Z55*T56)),IF(Q56="Probabilidad",(I55-(+I55*T56)),IF(Q56="Impacto",Z55,""))),"")</f>
        <v/>
      </c>
      <c r="Y56" s="124" t="str">
        <f t="shared" si="8"/>
        <v/>
      </c>
      <c r="Z56" s="125" t="str">
        <f t="shared" ref="Z56:Z60" si="18">+X56</f>
        <v/>
      </c>
      <c r="AA56" s="124" t="str">
        <f t="shared" si="10"/>
        <v/>
      </c>
      <c r="AB56" s="125" t="str">
        <f>IFERROR(IF(AND(Q55="Impacto",Q56="Impacto"),(AB55-(+AB55*T56)),IF(Q56="Impacto",(M55-(+M55*T56)),IF(Q56="Probabilidad",AB55,""))),"")</f>
        <v/>
      </c>
      <c r="AC56" s="126" t="str">
        <f t="shared" ref="AC56:AC57" si="19">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27"/>
      <c r="AE56" s="128"/>
      <c r="AF56" s="129"/>
      <c r="AG56" s="130"/>
      <c r="AH56" s="130"/>
      <c r="AI56" s="128"/>
      <c r="AJ56" s="129"/>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hidden="1" customHeight="1" x14ac:dyDescent="0.3">
      <c r="A57" s="323"/>
      <c r="B57" s="326"/>
      <c r="C57" s="326"/>
      <c r="D57" s="326"/>
      <c r="E57" s="329"/>
      <c r="F57" s="326"/>
      <c r="G57" s="332"/>
      <c r="H57" s="320"/>
      <c r="I57" s="311"/>
      <c r="J57" s="317"/>
      <c r="K57" s="311">
        <f t="shared" si="16"/>
        <v>0</v>
      </c>
      <c r="L57" s="320"/>
      <c r="M57" s="311"/>
      <c r="N57" s="314"/>
      <c r="O57" s="118">
        <v>3</v>
      </c>
      <c r="P57" s="131"/>
      <c r="Q57" s="120" t="str">
        <f>IF(OR(R57="Preventivo",R57="Detectivo"),"Probabilidad",IF(R57="Correctivo","Impacto",""))</f>
        <v/>
      </c>
      <c r="R57" s="121"/>
      <c r="S57" s="121"/>
      <c r="T57" s="122" t="str">
        <f t="shared" si="17"/>
        <v/>
      </c>
      <c r="U57" s="121"/>
      <c r="V57" s="121"/>
      <c r="W57" s="121"/>
      <c r="X57" s="123" t="str">
        <f>IFERROR(IF(AND(Q56="Probabilidad",Q57="Probabilidad"),(Z56-(+Z56*T57)),IF(AND(Q56="Impacto",Q57="Probabilidad"),(Z55-(+Z55*T57)),IF(Q57="Impacto",Z56,""))),"")</f>
        <v/>
      </c>
      <c r="Y57" s="124" t="str">
        <f t="shared" si="8"/>
        <v/>
      </c>
      <c r="Z57" s="125" t="str">
        <f t="shared" si="18"/>
        <v/>
      </c>
      <c r="AA57" s="124" t="str">
        <f t="shared" si="10"/>
        <v/>
      </c>
      <c r="AB57" s="125" t="str">
        <f>IFERROR(IF(AND(Q56="Impacto",Q57="Impacto"),(AB56-(+AB56*T57)),IF(AND(Q56="Probabilidad",Q57="Impacto"),(AB55-(+AB55*T57)),IF(Q57="Probabilidad",AB56,""))),"")</f>
        <v/>
      </c>
      <c r="AC57" s="126" t="str">
        <f t="shared" si="19"/>
        <v/>
      </c>
      <c r="AD57" s="127"/>
      <c r="AE57" s="128"/>
      <c r="AF57" s="129"/>
      <c r="AG57" s="130"/>
      <c r="AH57" s="130"/>
      <c r="AI57" s="128"/>
      <c r="AJ57" s="129"/>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hidden="1" customHeight="1" x14ac:dyDescent="0.3">
      <c r="A58" s="323"/>
      <c r="B58" s="326"/>
      <c r="C58" s="326"/>
      <c r="D58" s="326"/>
      <c r="E58" s="329"/>
      <c r="F58" s="326"/>
      <c r="G58" s="332"/>
      <c r="H58" s="320"/>
      <c r="I58" s="311"/>
      <c r="J58" s="317"/>
      <c r="K58" s="311">
        <f t="shared" si="16"/>
        <v>0</v>
      </c>
      <c r="L58" s="320"/>
      <c r="M58" s="311"/>
      <c r="N58" s="314"/>
      <c r="O58" s="118">
        <v>4</v>
      </c>
      <c r="P58" s="119"/>
      <c r="Q58" s="120" t="str">
        <f t="shared" ref="Q58:Q60" si="20">IF(OR(R58="Preventivo",R58="Detectivo"),"Probabilidad",IF(R58="Correctivo","Impacto",""))</f>
        <v/>
      </c>
      <c r="R58" s="121"/>
      <c r="S58" s="121"/>
      <c r="T58" s="122" t="str">
        <f t="shared" si="17"/>
        <v/>
      </c>
      <c r="U58" s="121"/>
      <c r="V58" s="121"/>
      <c r="W58" s="121"/>
      <c r="X58" s="123" t="str">
        <f t="shared" ref="X58:X60" si="21">IFERROR(IF(AND(Q57="Probabilidad",Q58="Probabilidad"),(Z57-(+Z57*T58)),IF(AND(Q57="Impacto",Q58="Probabilidad"),(Z56-(+Z56*T58)),IF(Q58="Impacto",Z57,""))),"")</f>
        <v/>
      </c>
      <c r="Y58" s="124" t="str">
        <f t="shared" si="8"/>
        <v/>
      </c>
      <c r="Z58" s="125" t="str">
        <f t="shared" si="18"/>
        <v/>
      </c>
      <c r="AA58" s="124" t="str">
        <f t="shared" si="10"/>
        <v/>
      </c>
      <c r="AB58" s="125" t="str">
        <f t="shared" ref="AB58:AB60" si="22">IFERROR(IF(AND(Q57="Impacto",Q58="Impacto"),(AB57-(+AB57*T58)),IF(AND(Q57="Probabilidad",Q58="Impacto"),(AB56-(+AB56*T58)),IF(Q58="Probabilidad",AB57,""))),"")</f>
        <v/>
      </c>
      <c r="AC58" s="126"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27"/>
      <c r="AE58" s="128"/>
      <c r="AF58" s="129"/>
      <c r="AG58" s="130"/>
      <c r="AH58" s="130"/>
      <c r="AI58" s="128"/>
      <c r="AJ58" s="129"/>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hidden="1" customHeight="1" x14ac:dyDescent="0.3">
      <c r="A59" s="323"/>
      <c r="B59" s="326"/>
      <c r="C59" s="326"/>
      <c r="D59" s="326"/>
      <c r="E59" s="329"/>
      <c r="F59" s="326"/>
      <c r="G59" s="332"/>
      <c r="H59" s="320"/>
      <c r="I59" s="311"/>
      <c r="J59" s="317"/>
      <c r="K59" s="311">
        <f t="shared" si="16"/>
        <v>0</v>
      </c>
      <c r="L59" s="320"/>
      <c r="M59" s="311"/>
      <c r="N59" s="314"/>
      <c r="O59" s="118">
        <v>5</v>
      </c>
      <c r="P59" s="119"/>
      <c r="Q59" s="120" t="str">
        <f t="shared" si="20"/>
        <v/>
      </c>
      <c r="R59" s="121"/>
      <c r="S59" s="121"/>
      <c r="T59" s="122" t="str">
        <f t="shared" si="17"/>
        <v/>
      </c>
      <c r="U59" s="121"/>
      <c r="V59" s="121"/>
      <c r="W59" s="121"/>
      <c r="X59" s="123" t="str">
        <f t="shared" si="21"/>
        <v/>
      </c>
      <c r="Y59" s="124" t="str">
        <f t="shared" si="8"/>
        <v/>
      </c>
      <c r="Z59" s="125" t="str">
        <f t="shared" si="18"/>
        <v/>
      </c>
      <c r="AA59" s="124" t="str">
        <f t="shared" si="10"/>
        <v/>
      </c>
      <c r="AB59" s="125" t="str">
        <f t="shared" si="22"/>
        <v/>
      </c>
      <c r="AC59" s="126" t="str">
        <f t="shared" ref="AC59" si="23">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27"/>
      <c r="AE59" s="128"/>
      <c r="AF59" s="129"/>
      <c r="AG59" s="130"/>
      <c r="AH59" s="130"/>
      <c r="AI59" s="128"/>
      <c r="AJ59" s="129"/>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hidden="1" customHeight="1" x14ac:dyDescent="0.3">
      <c r="A60" s="324"/>
      <c r="B60" s="327"/>
      <c r="C60" s="327"/>
      <c r="D60" s="327"/>
      <c r="E60" s="330"/>
      <c r="F60" s="327"/>
      <c r="G60" s="333"/>
      <c r="H60" s="321"/>
      <c r="I60" s="312"/>
      <c r="J60" s="318"/>
      <c r="K60" s="312">
        <f t="shared" si="16"/>
        <v>0</v>
      </c>
      <c r="L60" s="321"/>
      <c r="M60" s="312"/>
      <c r="N60" s="315"/>
      <c r="O60" s="118">
        <v>6</v>
      </c>
      <c r="P60" s="119"/>
      <c r="Q60" s="120" t="str">
        <f t="shared" si="20"/>
        <v/>
      </c>
      <c r="R60" s="121"/>
      <c r="S60" s="121"/>
      <c r="T60" s="122" t="str">
        <f t="shared" si="17"/>
        <v/>
      </c>
      <c r="U60" s="121"/>
      <c r="V60" s="121"/>
      <c r="W60" s="121"/>
      <c r="X60" s="123" t="str">
        <f t="shared" si="21"/>
        <v/>
      </c>
      <c r="Y60" s="124" t="str">
        <f t="shared" si="8"/>
        <v/>
      </c>
      <c r="Z60" s="125" t="str">
        <f t="shared" si="18"/>
        <v/>
      </c>
      <c r="AA60" s="124" t="str">
        <f>IFERROR(IF(AB60="","",IF(AB60&lt;=0.2,"Leve",IF(AB60&lt;=0.4,"Menor",IF(AB60&lt;=0.6,"Moderado",IF(AB60&lt;=0.8,"Mayor","Catastrófico"))))),"")</f>
        <v/>
      </c>
      <c r="AB60" s="125" t="str">
        <f t="shared" si="22"/>
        <v/>
      </c>
      <c r="AC60" s="126"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27"/>
      <c r="AE60" s="128"/>
      <c r="AF60" s="129"/>
      <c r="AG60" s="130"/>
      <c r="AH60" s="130"/>
      <c r="AI60" s="128"/>
      <c r="AJ60" s="129"/>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hidden="1" customHeight="1" x14ac:dyDescent="0.3">
      <c r="A61" s="322">
        <v>7</v>
      </c>
      <c r="B61" s="325"/>
      <c r="C61" s="325"/>
      <c r="D61" s="325"/>
      <c r="E61" s="328"/>
      <c r="F61" s="325"/>
      <c r="G61" s="331"/>
      <c r="H61" s="319" t="str">
        <f>IF(G61&lt;=0,"",IF(G61&lt;=2,"Muy Baja",IF(G61&lt;=24,"Baja",IF(G61&lt;=500,"Media",IF(G61&lt;=5000,"Alta","Muy Alta")))))</f>
        <v/>
      </c>
      <c r="I61" s="310" t="str">
        <f>IF(H61="","",IF(H61="Muy Baja",0.2,IF(H61="Baja",0.4,IF(H61="Media",0.6,IF(H61="Alta",0.8,IF(H61="Muy Alta",1,))))))</f>
        <v/>
      </c>
      <c r="J61" s="316"/>
      <c r="K61" s="310">
        <f>IF(NOT(ISERROR(MATCH(J61,'Tabla Impacto'!$B$221:$B$223,0))),'Tabla Impacto'!$F$223&amp;"Por favor no seleccionar los criterios de impacto(Afectación Económica o presupuestal y Pérdida Reputacional)",J61)</f>
        <v>0</v>
      </c>
      <c r="L61" s="319" t="str">
        <f>IF(OR(K61='Tabla Impacto'!$C$11,K61='Tabla Impacto'!$D$11),"Leve",IF(OR(K61='Tabla Impacto'!$C$12,K61='Tabla Impacto'!$D$12),"Menor",IF(OR(K61='Tabla Impacto'!$C$13,K61='Tabla Impacto'!$D$13),"Moderado",IF(OR(K61='Tabla Impacto'!$C$14,K61='Tabla Impacto'!$D$14),"Mayor",IF(OR(K61='Tabla Impacto'!$C$15,K61='Tabla Impacto'!$D$15),"Catastrófico","")))))</f>
        <v/>
      </c>
      <c r="M61" s="310" t="str">
        <f>IF(L61="","",IF(L61="Leve",0.2,IF(L61="Menor",0.4,IF(L61="Moderado",0.6,IF(L61="Mayor",0.8,IF(L61="Catastrófico",1,))))))</f>
        <v/>
      </c>
      <c r="N61" s="313"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118">
        <v>1</v>
      </c>
      <c r="P61" s="119"/>
      <c r="Q61" s="120" t="str">
        <f>IF(OR(R61="Preventivo",R61="Detectivo"),"Probabilidad",IF(R61="Correctivo","Impacto",""))</f>
        <v/>
      </c>
      <c r="R61" s="121"/>
      <c r="S61" s="121"/>
      <c r="T61" s="122" t="str">
        <f>IF(AND(R61="Preventivo",S61="Automático"),"50%",IF(AND(R61="Preventivo",S61="Manual"),"40%",IF(AND(R61="Detectivo",S61="Automático"),"40%",IF(AND(R61="Detectivo",S61="Manual"),"30%",IF(AND(R61="Correctivo",S61="Automático"),"35%",IF(AND(R61="Correctivo",S61="Manual"),"25%",""))))))</f>
        <v/>
      </c>
      <c r="U61" s="121"/>
      <c r="V61" s="121"/>
      <c r="W61" s="121"/>
      <c r="X61" s="123" t="str">
        <f>IFERROR(IF(Q61="Probabilidad",(I61-(+I61*T61)),IF(Q61="Impacto",I61,"")),"")</f>
        <v/>
      </c>
      <c r="Y61" s="124" t="str">
        <f>IFERROR(IF(X61="","",IF(X61&lt;=0.2,"Muy Baja",IF(X61&lt;=0.4,"Baja",IF(X61&lt;=0.6,"Media",IF(X61&lt;=0.8,"Alta","Muy Alta"))))),"")</f>
        <v/>
      </c>
      <c r="Z61" s="125" t="str">
        <f>+X61</f>
        <v/>
      </c>
      <c r="AA61" s="124" t="str">
        <f>IFERROR(IF(AB61="","",IF(AB61&lt;=0.2,"Leve",IF(AB61&lt;=0.4,"Menor",IF(AB61&lt;=0.6,"Moderado",IF(AB61&lt;=0.8,"Mayor","Catastrófico"))))),"")</f>
        <v/>
      </c>
      <c r="AB61" s="125" t="str">
        <f>IFERROR(IF(Q61="Impacto",(M61-(+M61*T61)),IF(Q61="Probabilidad",M61,"")),"")</f>
        <v/>
      </c>
      <c r="AC61" s="126"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27"/>
      <c r="AE61" s="128"/>
      <c r="AF61" s="129"/>
      <c r="AG61" s="130"/>
      <c r="AH61" s="130"/>
      <c r="AI61" s="128"/>
      <c r="AJ61" s="129"/>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hidden="1" customHeight="1" x14ac:dyDescent="0.3">
      <c r="A62" s="323"/>
      <c r="B62" s="326"/>
      <c r="C62" s="326"/>
      <c r="D62" s="326"/>
      <c r="E62" s="329"/>
      <c r="F62" s="326"/>
      <c r="G62" s="332"/>
      <c r="H62" s="320"/>
      <c r="I62" s="311"/>
      <c r="J62" s="317"/>
      <c r="K62" s="311">
        <f t="shared" ref="K62:K66" si="24">IF(NOT(ISERROR(MATCH(J62,_xlfn.ANCHORARRAY(E73),0))),I75&amp;"Por favor no seleccionar los criterios de impacto",J62)</f>
        <v>0</v>
      </c>
      <c r="L62" s="320"/>
      <c r="M62" s="311"/>
      <c r="N62" s="314"/>
      <c r="O62" s="118">
        <v>2</v>
      </c>
      <c r="P62" s="119"/>
      <c r="Q62" s="120" t="str">
        <f>IF(OR(R62="Preventivo",R62="Detectivo"),"Probabilidad",IF(R62="Correctivo","Impacto",""))</f>
        <v/>
      </c>
      <c r="R62" s="121"/>
      <c r="S62" s="121"/>
      <c r="T62" s="122" t="str">
        <f t="shared" ref="T62:T66" si="25">IF(AND(R62="Preventivo",S62="Automático"),"50%",IF(AND(R62="Preventivo",S62="Manual"),"40%",IF(AND(R62="Detectivo",S62="Automático"),"40%",IF(AND(R62="Detectivo",S62="Manual"),"30%",IF(AND(R62="Correctivo",S62="Automático"),"35%",IF(AND(R62="Correctivo",S62="Manual"),"25%",""))))))</f>
        <v/>
      </c>
      <c r="U62" s="121"/>
      <c r="V62" s="121"/>
      <c r="W62" s="121"/>
      <c r="X62" s="123" t="str">
        <f>IFERROR(IF(AND(Q61="Probabilidad",Q62="Probabilidad"),(Z61-(+Z61*T62)),IF(Q62="Probabilidad",(I61-(+I61*T62)),IF(Q62="Impacto",Z61,""))),"")</f>
        <v/>
      </c>
      <c r="Y62" s="124" t="str">
        <f t="shared" si="8"/>
        <v/>
      </c>
      <c r="Z62" s="125" t="str">
        <f t="shared" ref="Z62:Z66" si="26">+X62</f>
        <v/>
      </c>
      <c r="AA62" s="124" t="str">
        <f t="shared" si="10"/>
        <v/>
      </c>
      <c r="AB62" s="125" t="str">
        <f>IFERROR(IF(AND(Q61="Impacto",Q62="Impacto"),(AB61-(+AB61*T62)),IF(Q62="Impacto",(M61-(+M61*T62)),IF(Q62="Probabilidad",AB61,""))),"")</f>
        <v/>
      </c>
      <c r="AC62" s="126" t="str">
        <f t="shared" ref="AC62:AC63" si="27">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27"/>
      <c r="AE62" s="128"/>
      <c r="AF62" s="129"/>
      <c r="AG62" s="130"/>
      <c r="AH62" s="130"/>
      <c r="AI62" s="128"/>
      <c r="AJ62" s="129"/>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hidden="1" customHeight="1" x14ac:dyDescent="0.3">
      <c r="A63" s="323"/>
      <c r="B63" s="326"/>
      <c r="C63" s="326"/>
      <c r="D63" s="326"/>
      <c r="E63" s="329"/>
      <c r="F63" s="326"/>
      <c r="G63" s="332"/>
      <c r="H63" s="320"/>
      <c r="I63" s="311"/>
      <c r="J63" s="317"/>
      <c r="K63" s="311">
        <f t="shared" si="24"/>
        <v>0</v>
      </c>
      <c r="L63" s="320"/>
      <c r="M63" s="311"/>
      <c r="N63" s="314"/>
      <c r="O63" s="118">
        <v>3</v>
      </c>
      <c r="P63" s="131"/>
      <c r="Q63" s="120" t="str">
        <f>IF(OR(R63="Preventivo",R63="Detectivo"),"Probabilidad",IF(R63="Correctivo","Impacto",""))</f>
        <v/>
      </c>
      <c r="R63" s="121"/>
      <c r="S63" s="121"/>
      <c r="T63" s="122" t="str">
        <f t="shared" si="25"/>
        <v/>
      </c>
      <c r="U63" s="121"/>
      <c r="V63" s="121"/>
      <c r="W63" s="121"/>
      <c r="X63" s="123" t="str">
        <f>IFERROR(IF(AND(Q62="Probabilidad",Q63="Probabilidad"),(Z62-(+Z62*T63)),IF(AND(Q62="Impacto",Q63="Probabilidad"),(Z61-(+Z61*T63)),IF(Q63="Impacto",Z62,""))),"")</f>
        <v/>
      </c>
      <c r="Y63" s="124" t="str">
        <f t="shared" si="8"/>
        <v/>
      </c>
      <c r="Z63" s="125" t="str">
        <f t="shared" si="26"/>
        <v/>
      </c>
      <c r="AA63" s="124" t="str">
        <f t="shared" si="10"/>
        <v/>
      </c>
      <c r="AB63" s="125" t="str">
        <f>IFERROR(IF(AND(Q62="Impacto",Q63="Impacto"),(AB62-(+AB62*T63)),IF(AND(Q62="Probabilidad",Q63="Impacto"),(AB61-(+AB61*T63)),IF(Q63="Probabilidad",AB62,""))),"")</f>
        <v/>
      </c>
      <c r="AC63" s="126" t="str">
        <f t="shared" si="27"/>
        <v/>
      </c>
      <c r="AD63" s="127"/>
      <c r="AE63" s="128"/>
      <c r="AF63" s="129"/>
      <c r="AG63" s="130"/>
      <c r="AH63" s="130"/>
      <c r="AI63" s="128"/>
      <c r="AJ63" s="129"/>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hidden="1" customHeight="1" x14ac:dyDescent="0.3">
      <c r="A64" s="323"/>
      <c r="B64" s="326"/>
      <c r="C64" s="326"/>
      <c r="D64" s="326"/>
      <c r="E64" s="329"/>
      <c r="F64" s="326"/>
      <c r="G64" s="332"/>
      <c r="H64" s="320"/>
      <c r="I64" s="311"/>
      <c r="J64" s="317"/>
      <c r="K64" s="311">
        <f t="shared" si="24"/>
        <v>0</v>
      </c>
      <c r="L64" s="320"/>
      <c r="M64" s="311"/>
      <c r="N64" s="314"/>
      <c r="O64" s="118">
        <v>4</v>
      </c>
      <c r="P64" s="119"/>
      <c r="Q64" s="120" t="str">
        <f t="shared" ref="Q64:Q66" si="28">IF(OR(R64="Preventivo",R64="Detectivo"),"Probabilidad",IF(R64="Correctivo","Impacto",""))</f>
        <v/>
      </c>
      <c r="R64" s="121"/>
      <c r="S64" s="121"/>
      <c r="T64" s="122" t="str">
        <f t="shared" si="25"/>
        <v/>
      </c>
      <c r="U64" s="121"/>
      <c r="V64" s="121"/>
      <c r="W64" s="121"/>
      <c r="X64" s="123" t="str">
        <f t="shared" ref="X64:X66" si="29">IFERROR(IF(AND(Q63="Probabilidad",Q64="Probabilidad"),(Z63-(+Z63*T64)),IF(AND(Q63="Impacto",Q64="Probabilidad"),(Z62-(+Z62*T64)),IF(Q64="Impacto",Z63,""))),"")</f>
        <v/>
      </c>
      <c r="Y64" s="124" t="str">
        <f t="shared" si="8"/>
        <v/>
      </c>
      <c r="Z64" s="125" t="str">
        <f t="shared" si="26"/>
        <v/>
      </c>
      <c r="AA64" s="124" t="str">
        <f t="shared" si="10"/>
        <v/>
      </c>
      <c r="AB64" s="125" t="str">
        <f t="shared" ref="AB64:AB66" si="30">IFERROR(IF(AND(Q63="Impacto",Q64="Impacto"),(AB63-(+AB63*T64)),IF(AND(Q63="Probabilidad",Q64="Impacto"),(AB62-(+AB62*T64)),IF(Q64="Probabilidad",AB63,""))),"")</f>
        <v/>
      </c>
      <c r="AC64" s="126"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27"/>
      <c r="AE64" s="128"/>
      <c r="AF64" s="129"/>
      <c r="AG64" s="130"/>
      <c r="AH64" s="130"/>
      <c r="AI64" s="128"/>
      <c r="AJ64" s="129"/>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68" ht="151.5" hidden="1" customHeight="1" x14ac:dyDescent="0.3">
      <c r="A65" s="323"/>
      <c r="B65" s="326"/>
      <c r="C65" s="326"/>
      <c r="D65" s="326"/>
      <c r="E65" s="329"/>
      <c r="F65" s="326"/>
      <c r="G65" s="332"/>
      <c r="H65" s="320"/>
      <c r="I65" s="311"/>
      <c r="J65" s="317"/>
      <c r="K65" s="311">
        <f t="shared" si="24"/>
        <v>0</v>
      </c>
      <c r="L65" s="320"/>
      <c r="M65" s="311"/>
      <c r="N65" s="314"/>
      <c r="O65" s="118">
        <v>5</v>
      </c>
      <c r="P65" s="119"/>
      <c r="Q65" s="120" t="str">
        <f t="shared" si="28"/>
        <v/>
      </c>
      <c r="R65" s="121"/>
      <c r="S65" s="121"/>
      <c r="T65" s="122" t="str">
        <f t="shared" si="25"/>
        <v/>
      </c>
      <c r="U65" s="121"/>
      <c r="V65" s="121"/>
      <c r="W65" s="121"/>
      <c r="X65" s="123" t="str">
        <f t="shared" si="29"/>
        <v/>
      </c>
      <c r="Y65" s="124" t="str">
        <f t="shared" si="8"/>
        <v/>
      </c>
      <c r="Z65" s="125" t="str">
        <f t="shared" si="26"/>
        <v/>
      </c>
      <c r="AA65" s="124" t="str">
        <f t="shared" si="10"/>
        <v/>
      </c>
      <c r="AB65" s="125" t="str">
        <f t="shared" si="30"/>
        <v/>
      </c>
      <c r="AC65" s="126" t="str">
        <f t="shared" ref="AC65:AC66" si="3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27"/>
      <c r="AE65" s="128"/>
      <c r="AF65" s="129"/>
      <c r="AG65" s="130"/>
      <c r="AH65" s="130"/>
      <c r="AI65" s="128"/>
      <c r="AJ65" s="129"/>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row>
    <row r="66" spans="1:68" ht="151.5" hidden="1" customHeight="1" x14ac:dyDescent="0.3">
      <c r="A66" s="324"/>
      <c r="B66" s="327"/>
      <c r="C66" s="327"/>
      <c r="D66" s="327"/>
      <c r="E66" s="330"/>
      <c r="F66" s="327"/>
      <c r="G66" s="333"/>
      <c r="H66" s="321"/>
      <c r="I66" s="312"/>
      <c r="J66" s="318"/>
      <c r="K66" s="312">
        <f t="shared" si="24"/>
        <v>0</v>
      </c>
      <c r="L66" s="321"/>
      <c r="M66" s="312"/>
      <c r="N66" s="315"/>
      <c r="O66" s="118">
        <v>6</v>
      </c>
      <c r="P66" s="119"/>
      <c r="Q66" s="120" t="str">
        <f t="shared" si="28"/>
        <v/>
      </c>
      <c r="R66" s="121"/>
      <c r="S66" s="121"/>
      <c r="T66" s="122" t="str">
        <f t="shared" si="25"/>
        <v/>
      </c>
      <c r="U66" s="121"/>
      <c r="V66" s="121"/>
      <c r="W66" s="121"/>
      <c r="X66" s="123" t="str">
        <f t="shared" si="29"/>
        <v/>
      </c>
      <c r="Y66" s="124" t="str">
        <f t="shared" si="8"/>
        <v/>
      </c>
      <c r="Z66" s="125" t="str">
        <f t="shared" si="26"/>
        <v/>
      </c>
      <c r="AA66" s="124" t="str">
        <f t="shared" si="10"/>
        <v/>
      </c>
      <c r="AB66" s="125" t="str">
        <f t="shared" si="30"/>
        <v/>
      </c>
      <c r="AC66" s="126" t="str">
        <f t="shared" si="31"/>
        <v/>
      </c>
      <c r="AD66" s="127"/>
      <c r="AE66" s="128"/>
      <c r="AF66" s="129"/>
      <c r="AG66" s="130"/>
      <c r="AH66" s="130"/>
      <c r="AI66" s="128"/>
      <c r="AJ66" s="129"/>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row>
    <row r="67" spans="1:68" ht="151.5" hidden="1" customHeight="1" x14ac:dyDescent="0.3">
      <c r="A67" s="322">
        <v>8</v>
      </c>
      <c r="B67" s="325"/>
      <c r="C67" s="325"/>
      <c r="D67" s="325"/>
      <c r="E67" s="328"/>
      <c r="F67" s="325"/>
      <c r="G67" s="331"/>
      <c r="H67" s="319" t="str">
        <f>IF(G67&lt;=0,"",IF(G67&lt;=2,"Muy Baja",IF(G67&lt;=24,"Baja",IF(G67&lt;=500,"Media",IF(G67&lt;=5000,"Alta","Muy Alta")))))</f>
        <v/>
      </c>
      <c r="I67" s="310" t="str">
        <f>IF(H67="","",IF(H67="Muy Baja",0.2,IF(H67="Baja",0.4,IF(H67="Media",0.6,IF(H67="Alta",0.8,IF(H67="Muy Alta",1,))))))</f>
        <v/>
      </c>
      <c r="J67" s="316"/>
      <c r="K67" s="310">
        <f>IF(NOT(ISERROR(MATCH(J67,'Tabla Impacto'!$B$221:$B$223,0))),'Tabla Impacto'!$F$223&amp;"Por favor no seleccionar los criterios de impacto(Afectación Económica o presupuestal y Pérdida Reputacional)",J67)</f>
        <v>0</v>
      </c>
      <c r="L67" s="319" t="str">
        <f>IF(OR(K67='Tabla Impacto'!$C$11,K67='Tabla Impacto'!$D$11),"Leve",IF(OR(K67='Tabla Impacto'!$C$12,K67='Tabla Impacto'!$D$12),"Menor",IF(OR(K67='Tabla Impacto'!$C$13,K67='Tabla Impacto'!$D$13),"Moderado",IF(OR(K67='Tabla Impacto'!$C$14,K67='Tabla Impacto'!$D$14),"Mayor",IF(OR(K67='Tabla Impacto'!$C$15,K67='Tabla Impacto'!$D$15),"Catastrófico","")))))</f>
        <v/>
      </c>
      <c r="M67" s="310" t="str">
        <f>IF(L67="","",IF(L67="Leve",0.2,IF(L67="Menor",0.4,IF(L67="Moderado",0.6,IF(L67="Mayor",0.8,IF(L67="Catastrófico",1,))))))</f>
        <v/>
      </c>
      <c r="N67" s="313"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
      </c>
      <c r="O67" s="118">
        <v>1</v>
      </c>
      <c r="P67" s="119"/>
      <c r="Q67" s="120" t="str">
        <f>IF(OR(R67="Preventivo",R67="Detectivo"),"Probabilidad",IF(R67="Correctivo","Impacto",""))</f>
        <v/>
      </c>
      <c r="R67" s="121"/>
      <c r="S67" s="121"/>
      <c r="T67" s="122" t="str">
        <f>IF(AND(R67="Preventivo",S67="Automático"),"50%",IF(AND(R67="Preventivo",S67="Manual"),"40%",IF(AND(R67="Detectivo",S67="Automático"),"40%",IF(AND(R67="Detectivo",S67="Manual"),"30%",IF(AND(R67="Correctivo",S67="Automático"),"35%",IF(AND(R67="Correctivo",S67="Manual"),"25%",""))))))</f>
        <v/>
      </c>
      <c r="U67" s="121"/>
      <c r="V67" s="121"/>
      <c r="W67" s="121"/>
      <c r="X67" s="123" t="str">
        <f>IFERROR(IF(Q67="Probabilidad",(I67-(+I67*T67)),IF(Q67="Impacto",I67,"")),"")</f>
        <v/>
      </c>
      <c r="Y67" s="124" t="str">
        <f>IFERROR(IF(X67="","",IF(X67&lt;=0.2,"Muy Baja",IF(X67&lt;=0.4,"Baja",IF(X67&lt;=0.6,"Media",IF(X67&lt;=0.8,"Alta","Muy Alta"))))),"")</f>
        <v/>
      </c>
      <c r="Z67" s="125" t="str">
        <f>+X67</f>
        <v/>
      </c>
      <c r="AA67" s="124" t="str">
        <f>IFERROR(IF(AB67="","",IF(AB67&lt;=0.2,"Leve",IF(AB67&lt;=0.4,"Menor",IF(AB67&lt;=0.6,"Moderado",IF(AB67&lt;=0.8,"Mayor","Catastrófico"))))),"")</f>
        <v/>
      </c>
      <c r="AB67" s="125" t="str">
        <f>IFERROR(IF(Q67="Impacto",(M67-(+M67*T67)),IF(Q67="Probabilidad",M67,"")),"")</f>
        <v/>
      </c>
      <c r="AC67" s="126"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27"/>
      <c r="AE67" s="128"/>
      <c r="AF67" s="129"/>
      <c r="AG67" s="130"/>
      <c r="AH67" s="130"/>
      <c r="AI67" s="128"/>
      <c r="AJ67" s="129"/>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row>
    <row r="68" spans="1:68" ht="151.5" hidden="1" customHeight="1" x14ac:dyDescent="0.3">
      <c r="A68" s="323"/>
      <c r="B68" s="326"/>
      <c r="C68" s="326"/>
      <c r="D68" s="326"/>
      <c r="E68" s="329"/>
      <c r="F68" s="326"/>
      <c r="G68" s="332"/>
      <c r="H68" s="320"/>
      <c r="I68" s="311"/>
      <c r="J68" s="317"/>
      <c r="K68" s="311">
        <f>IF(NOT(ISERROR(MATCH(J68,_xlfn.ANCHORARRAY(E79),0))),I81&amp;"Por favor no seleccionar los criterios de impacto",J68)</f>
        <v>0</v>
      </c>
      <c r="L68" s="320"/>
      <c r="M68" s="311"/>
      <c r="N68" s="314"/>
      <c r="O68" s="118">
        <v>2</v>
      </c>
      <c r="P68" s="119"/>
      <c r="Q68" s="120" t="str">
        <f>IF(OR(R68="Preventivo",R68="Detectivo"),"Probabilidad",IF(R68="Correctivo","Impacto",""))</f>
        <v/>
      </c>
      <c r="R68" s="121"/>
      <c r="S68" s="121"/>
      <c r="T68" s="122" t="str">
        <f t="shared" ref="T68:T72" si="32">IF(AND(R68="Preventivo",S68="Automático"),"50%",IF(AND(R68="Preventivo",S68="Manual"),"40%",IF(AND(R68="Detectivo",S68="Automático"),"40%",IF(AND(R68="Detectivo",S68="Manual"),"30%",IF(AND(R68="Correctivo",S68="Automático"),"35%",IF(AND(R68="Correctivo",S68="Manual"),"25%",""))))))</f>
        <v/>
      </c>
      <c r="U68" s="121"/>
      <c r="V68" s="121"/>
      <c r="W68" s="121"/>
      <c r="X68" s="123" t="str">
        <f>IFERROR(IF(AND(Q67="Probabilidad",Q68="Probabilidad"),(Z67-(+Z67*T68)),IF(Q68="Probabilidad",(I67-(+I67*T68)),IF(Q68="Impacto",Z67,""))),"")</f>
        <v/>
      </c>
      <c r="Y68" s="124" t="str">
        <f t="shared" si="8"/>
        <v/>
      </c>
      <c r="Z68" s="125" t="str">
        <f t="shared" ref="Z68:Z72" si="33">+X68</f>
        <v/>
      </c>
      <c r="AA68" s="124" t="str">
        <f t="shared" si="10"/>
        <v/>
      </c>
      <c r="AB68" s="125" t="str">
        <f>IFERROR(IF(AND(Q67="Impacto",Q68="Impacto"),(AB67-(+AB67*T68)),IF(Q68="Impacto",(M67-(+M67*T68)),IF(Q68="Probabilidad",AB67,""))),"")</f>
        <v/>
      </c>
      <c r="AC68" s="126" t="str">
        <f t="shared" ref="AC68:AC69" si="34">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27"/>
      <c r="AE68" s="128"/>
      <c r="AF68" s="129"/>
      <c r="AG68" s="130"/>
      <c r="AH68" s="130"/>
      <c r="AI68" s="128"/>
      <c r="AJ68" s="129"/>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row>
    <row r="69" spans="1:68" ht="151.5" hidden="1" customHeight="1" x14ac:dyDescent="0.3">
      <c r="A69" s="323"/>
      <c r="B69" s="326"/>
      <c r="C69" s="326"/>
      <c r="D69" s="326"/>
      <c r="E69" s="329"/>
      <c r="F69" s="326"/>
      <c r="G69" s="332"/>
      <c r="H69" s="320"/>
      <c r="I69" s="311"/>
      <c r="J69" s="317"/>
      <c r="K69" s="311">
        <f>IF(NOT(ISERROR(MATCH(J69,_xlfn.ANCHORARRAY(E80),0))),I82&amp;"Por favor no seleccionar los criterios de impacto",J69)</f>
        <v>0</v>
      </c>
      <c r="L69" s="320"/>
      <c r="M69" s="311"/>
      <c r="N69" s="314"/>
      <c r="O69" s="118">
        <v>3</v>
      </c>
      <c r="P69" s="131"/>
      <c r="Q69" s="120" t="str">
        <f>IF(OR(R69="Preventivo",R69="Detectivo"),"Probabilidad",IF(R69="Correctivo","Impacto",""))</f>
        <v/>
      </c>
      <c r="R69" s="121"/>
      <c r="S69" s="121"/>
      <c r="T69" s="122" t="str">
        <f t="shared" si="32"/>
        <v/>
      </c>
      <c r="U69" s="121"/>
      <c r="V69" s="121"/>
      <c r="W69" s="121"/>
      <c r="X69" s="123" t="str">
        <f>IFERROR(IF(AND(Q68="Probabilidad",Q69="Probabilidad"),(Z68-(+Z68*T69)),IF(AND(Q68="Impacto",Q69="Probabilidad"),(Z67-(+Z67*T69)),IF(Q69="Impacto",Z68,""))),"")</f>
        <v/>
      </c>
      <c r="Y69" s="124" t="str">
        <f t="shared" si="8"/>
        <v/>
      </c>
      <c r="Z69" s="125" t="str">
        <f t="shared" si="33"/>
        <v/>
      </c>
      <c r="AA69" s="124" t="str">
        <f t="shared" si="10"/>
        <v/>
      </c>
      <c r="AB69" s="125" t="str">
        <f>IFERROR(IF(AND(Q68="Impacto",Q69="Impacto"),(AB68-(+AB68*T69)),IF(AND(Q68="Probabilidad",Q69="Impacto"),(AB67-(+AB67*T69)),IF(Q69="Probabilidad",AB68,""))),"")</f>
        <v/>
      </c>
      <c r="AC69" s="126" t="str">
        <f t="shared" si="34"/>
        <v/>
      </c>
      <c r="AD69" s="127"/>
      <c r="AE69" s="128"/>
      <c r="AF69" s="129"/>
      <c r="AG69" s="130"/>
      <c r="AH69" s="130"/>
      <c r="AI69" s="128"/>
      <c r="AJ69" s="129"/>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row>
    <row r="70" spans="1:68" ht="151.5" hidden="1" customHeight="1" x14ac:dyDescent="0.3">
      <c r="A70" s="323"/>
      <c r="B70" s="326"/>
      <c r="C70" s="326"/>
      <c r="D70" s="326"/>
      <c r="E70" s="329"/>
      <c r="F70" s="326"/>
      <c r="G70" s="332"/>
      <c r="H70" s="320"/>
      <c r="I70" s="311"/>
      <c r="J70" s="317"/>
      <c r="K70" s="311">
        <f>IF(NOT(ISERROR(MATCH(J70,_xlfn.ANCHORARRAY(E81),0))),I83&amp;"Por favor no seleccionar los criterios de impacto",J70)</f>
        <v>0</v>
      </c>
      <c r="L70" s="320"/>
      <c r="M70" s="311"/>
      <c r="N70" s="314"/>
      <c r="O70" s="118">
        <v>4</v>
      </c>
      <c r="P70" s="119"/>
      <c r="Q70" s="120" t="str">
        <f t="shared" ref="Q70:Q72" si="35">IF(OR(R70="Preventivo",R70="Detectivo"),"Probabilidad",IF(R70="Correctivo","Impacto",""))</f>
        <v/>
      </c>
      <c r="R70" s="121"/>
      <c r="S70" s="121"/>
      <c r="T70" s="122" t="str">
        <f t="shared" si="32"/>
        <v/>
      </c>
      <c r="U70" s="121"/>
      <c r="V70" s="121"/>
      <c r="W70" s="121"/>
      <c r="X70" s="123" t="str">
        <f t="shared" ref="X70:X72" si="36">IFERROR(IF(AND(Q69="Probabilidad",Q70="Probabilidad"),(Z69-(+Z69*T70)),IF(AND(Q69="Impacto",Q70="Probabilidad"),(Z68-(+Z68*T70)),IF(Q70="Impacto",Z69,""))),"")</f>
        <v/>
      </c>
      <c r="Y70" s="124" t="str">
        <f t="shared" si="8"/>
        <v/>
      </c>
      <c r="Z70" s="125" t="str">
        <f t="shared" si="33"/>
        <v/>
      </c>
      <c r="AA70" s="124" t="str">
        <f t="shared" si="10"/>
        <v/>
      </c>
      <c r="AB70" s="125" t="str">
        <f t="shared" ref="AB70:AB72" si="37">IFERROR(IF(AND(Q69="Impacto",Q70="Impacto"),(AB69-(+AB69*T70)),IF(AND(Q69="Probabilidad",Q70="Impacto"),(AB68-(+AB68*T70)),IF(Q70="Probabilidad",AB69,""))),"")</f>
        <v/>
      </c>
      <c r="AC70" s="126"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27"/>
      <c r="AE70" s="128"/>
      <c r="AF70" s="129"/>
      <c r="AG70" s="130"/>
      <c r="AH70" s="130"/>
      <c r="AI70" s="128"/>
      <c r="AJ70" s="129"/>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row>
    <row r="71" spans="1:68" ht="151.5" hidden="1" customHeight="1" x14ac:dyDescent="0.3">
      <c r="A71" s="323"/>
      <c r="B71" s="326"/>
      <c r="C71" s="326"/>
      <c r="D71" s="326"/>
      <c r="E71" s="329"/>
      <c r="F71" s="326"/>
      <c r="G71" s="332"/>
      <c r="H71" s="320"/>
      <c r="I71" s="311"/>
      <c r="J71" s="317"/>
      <c r="K71" s="311">
        <f>IF(NOT(ISERROR(MATCH(J71,_xlfn.ANCHORARRAY(E82),0))),I84&amp;"Por favor no seleccionar los criterios de impacto",J71)</f>
        <v>0</v>
      </c>
      <c r="L71" s="320"/>
      <c r="M71" s="311"/>
      <c r="N71" s="314"/>
      <c r="O71" s="118">
        <v>5</v>
      </c>
      <c r="P71" s="119"/>
      <c r="Q71" s="120" t="str">
        <f t="shared" si="35"/>
        <v/>
      </c>
      <c r="R71" s="121"/>
      <c r="S71" s="121"/>
      <c r="T71" s="122" t="str">
        <f t="shared" si="32"/>
        <v/>
      </c>
      <c r="U71" s="121"/>
      <c r="V71" s="121"/>
      <c r="W71" s="121"/>
      <c r="X71" s="123" t="str">
        <f t="shared" si="36"/>
        <v/>
      </c>
      <c r="Y71" s="124" t="str">
        <f t="shared" si="8"/>
        <v/>
      </c>
      <c r="Z71" s="125" t="str">
        <f t="shared" si="33"/>
        <v/>
      </c>
      <c r="AA71" s="124" t="str">
        <f t="shared" si="10"/>
        <v/>
      </c>
      <c r="AB71" s="125" t="str">
        <f t="shared" si="37"/>
        <v/>
      </c>
      <c r="AC71" s="126" t="str">
        <f t="shared" ref="AC71:AC72" si="38">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27"/>
      <c r="AE71" s="128"/>
      <c r="AF71" s="129"/>
      <c r="AG71" s="130"/>
      <c r="AH71" s="130"/>
      <c r="AI71" s="128"/>
      <c r="AJ71" s="129"/>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row>
    <row r="72" spans="1:68" ht="151.5" hidden="1" customHeight="1" x14ac:dyDescent="0.3">
      <c r="A72" s="324"/>
      <c r="B72" s="327"/>
      <c r="C72" s="327"/>
      <c r="D72" s="327"/>
      <c r="E72" s="330"/>
      <c r="F72" s="327"/>
      <c r="G72" s="333"/>
      <c r="H72" s="321"/>
      <c r="I72" s="312"/>
      <c r="J72" s="318"/>
      <c r="K72" s="312">
        <f>IF(NOT(ISERROR(MATCH(J72,_xlfn.ANCHORARRAY(E83),0))),I85&amp;"Por favor no seleccionar los criterios de impacto",J72)</f>
        <v>0</v>
      </c>
      <c r="L72" s="321"/>
      <c r="M72" s="312"/>
      <c r="N72" s="315"/>
      <c r="O72" s="118">
        <v>6</v>
      </c>
      <c r="P72" s="119"/>
      <c r="Q72" s="120" t="str">
        <f t="shared" si="35"/>
        <v/>
      </c>
      <c r="R72" s="121"/>
      <c r="S72" s="121"/>
      <c r="T72" s="122" t="str">
        <f t="shared" si="32"/>
        <v/>
      </c>
      <c r="U72" s="121"/>
      <c r="V72" s="121"/>
      <c r="W72" s="121"/>
      <c r="X72" s="123" t="str">
        <f t="shared" si="36"/>
        <v/>
      </c>
      <c r="Y72" s="124" t="str">
        <f t="shared" si="8"/>
        <v/>
      </c>
      <c r="Z72" s="125" t="str">
        <f t="shared" si="33"/>
        <v/>
      </c>
      <c r="AA72" s="124" t="str">
        <f t="shared" si="10"/>
        <v/>
      </c>
      <c r="AB72" s="125" t="str">
        <f t="shared" si="37"/>
        <v/>
      </c>
      <c r="AC72" s="126" t="str">
        <f t="shared" si="38"/>
        <v/>
      </c>
      <c r="AD72" s="127"/>
      <c r="AE72" s="128"/>
      <c r="AF72" s="129"/>
      <c r="AG72" s="130"/>
      <c r="AH72" s="130"/>
      <c r="AI72" s="128"/>
      <c r="AJ72" s="129"/>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row>
    <row r="73" spans="1:68" ht="151.5" hidden="1" customHeight="1" x14ac:dyDescent="0.3">
      <c r="A73" s="322">
        <v>9</v>
      </c>
      <c r="B73" s="325"/>
      <c r="C73" s="325"/>
      <c r="D73" s="325"/>
      <c r="E73" s="328"/>
      <c r="F73" s="325"/>
      <c r="G73" s="331"/>
      <c r="H73" s="319" t="str">
        <f>IF(G73&lt;=0,"",IF(G73&lt;=2,"Muy Baja",IF(G73&lt;=24,"Baja",IF(G73&lt;=500,"Media",IF(G73&lt;=5000,"Alta","Muy Alta")))))</f>
        <v/>
      </c>
      <c r="I73" s="310" t="str">
        <f>IF(H73="","",IF(H73="Muy Baja",0.2,IF(H73="Baja",0.4,IF(H73="Media",0.6,IF(H73="Alta",0.8,IF(H73="Muy Alta",1,))))))</f>
        <v/>
      </c>
      <c r="J73" s="316"/>
      <c r="K73" s="310">
        <f>IF(NOT(ISERROR(MATCH(J73,'Tabla Impacto'!$B$221:$B$223,0))),'Tabla Impacto'!$F$223&amp;"Por favor no seleccionar los criterios de impacto(Afectación Económica o presupuestal y Pérdida Reputacional)",J73)</f>
        <v>0</v>
      </c>
      <c r="L73" s="319" t="str">
        <f>IF(OR(K73='Tabla Impacto'!$C$11,K73='Tabla Impacto'!$D$11),"Leve",IF(OR(K73='Tabla Impacto'!$C$12,K73='Tabla Impacto'!$D$12),"Menor",IF(OR(K73='Tabla Impacto'!$C$13,K73='Tabla Impacto'!$D$13),"Moderado",IF(OR(K73='Tabla Impacto'!$C$14,K73='Tabla Impacto'!$D$14),"Mayor",IF(OR(K73='Tabla Impacto'!$C$15,K73='Tabla Impacto'!$D$15),"Catastrófico","")))))</f>
        <v/>
      </c>
      <c r="M73" s="310" t="str">
        <f>IF(L73="","",IF(L73="Leve",0.2,IF(L73="Menor",0.4,IF(L73="Moderado",0.6,IF(L73="Mayor",0.8,IF(L73="Catastrófico",1,))))))</f>
        <v/>
      </c>
      <c r="N73" s="313" t="str">
        <f>IF(OR(AND(H73="Muy Baja",L73="Leve"),AND(H73="Muy Baja",L73="Menor"),AND(H73="Baja",L73="Leve")),"Bajo",IF(OR(AND(H73="Muy baja",L73="Moderado"),AND(H73="Baja",L73="Menor"),AND(H73="Baja",L73="Moderado"),AND(H73="Media",L73="Leve"),AND(H73="Media",L73="Menor"),AND(H73="Media",L73="Moderado"),AND(H73="Alta",L73="Leve"),AND(H73="Alta",L73="Menor")),"Moderado",IF(OR(AND(H73="Muy Baja",L73="Mayor"),AND(H73="Baja",L73="Mayor"),AND(H73="Media",L73="Mayor"),AND(H73="Alta",L73="Moderado"),AND(H73="Alta",L73="Mayor"),AND(H73="Muy Alta",L73="Leve"),AND(H73="Muy Alta",L73="Menor"),AND(H73="Muy Alta",L73="Moderado"),AND(H73="Muy Alta",L73="Mayor")),"Alto",IF(OR(AND(H73="Muy Baja",L73="Catastrófico"),AND(H73="Baja",L73="Catastrófico"),AND(H73="Media",L73="Catastrófico"),AND(H73="Alta",L73="Catastrófico"),AND(H73="Muy Alta",L73="Catastrófico")),"Extremo",""))))</f>
        <v/>
      </c>
      <c r="O73" s="118">
        <v>1</v>
      </c>
      <c r="P73" s="119"/>
      <c r="Q73" s="120" t="str">
        <f>IF(OR(R73="Preventivo",R73="Detectivo"),"Probabilidad",IF(R73="Correctivo","Impacto",""))</f>
        <v/>
      </c>
      <c r="R73" s="121"/>
      <c r="S73" s="121"/>
      <c r="T73" s="122" t="str">
        <f>IF(AND(R73="Preventivo",S73="Automático"),"50%",IF(AND(R73="Preventivo",S73="Manual"),"40%",IF(AND(R73="Detectivo",S73="Automático"),"40%",IF(AND(R73="Detectivo",S73="Manual"),"30%",IF(AND(R73="Correctivo",S73="Automático"),"35%",IF(AND(R73="Correctivo",S73="Manual"),"25%",""))))))</f>
        <v/>
      </c>
      <c r="U73" s="121"/>
      <c r="V73" s="121"/>
      <c r="W73" s="121"/>
      <c r="X73" s="123" t="str">
        <f>IFERROR(IF(Q73="Probabilidad",(I73-(+I73*T73)),IF(Q73="Impacto",I73,"")),"")</f>
        <v/>
      </c>
      <c r="Y73" s="124" t="str">
        <f>IFERROR(IF(X73="","",IF(X73&lt;=0.2,"Muy Baja",IF(X73&lt;=0.4,"Baja",IF(X73&lt;=0.6,"Media",IF(X73&lt;=0.8,"Alta","Muy Alta"))))),"")</f>
        <v/>
      </c>
      <c r="Z73" s="125" t="str">
        <f>+X73</f>
        <v/>
      </c>
      <c r="AA73" s="124" t="str">
        <f>IFERROR(IF(AB73="","",IF(AB73&lt;=0.2,"Leve",IF(AB73&lt;=0.4,"Menor",IF(AB73&lt;=0.6,"Moderado",IF(AB73&lt;=0.8,"Mayor","Catastrófico"))))),"")</f>
        <v/>
      </c>
      <c r="AB73" s="125" t="str">
        <f>IFERROR(IF(Q73="Impacto",(M73-(+M73*T73)),IF(Q73="Probabilidad",M73,"")),"")</f>
        <v/>
      </c>
      <c r="AC73" s="126" t="str">
        <f>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27"/>
      <c r="AE73" s="128"/>
      <c r="AF73" s="129"/>
      <c r="AG73" s="130"/>
      <c r="AH73" s="130"/>
      <c r="AI73" s="128"/>
      <c r="AJ73" s="129"/>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row>
    <row r="74" spans="1:68" ht="151.5" hidden="1" customHeight="1" x14ac:dyDescent="0.3">
      <c r="A74" s="323"/>
      <c r="B74" s="326"/>
      <c r="C74" s="326"/>
      <c r="D74" s="326"/>
      <c r="E74" s="329"/>
      <c r="F74" s="326"/>
      <c r="G74" s="332"/>
      <c r="H74" s="320"/>
      <c r="I74" s="311"/>
      <c r="J74" s="317"/>
      <c r="K74" s="311">
        <f>IF(NOT(ISERROR(MATCH(J74,_xlfn.ANCHORARRAY(E85),0))),I87&amp;"Por favor no seleccionar los criterios de impacto",J74)</f>
        <v>0</v>
      </c>
      <c r="L74" s="320"/>
      <c r="M74" s="311"/>
      <c r="N74" s="314"/>
      <c r="O74" s="118">
        <v>2</v>
      </c>
      <c r="P74" s="119"/>
      <c r="Q74" s="120" t="str">
        <f>IF(OR(R74="Preventivo",R74="Detectivo"),"Probabilidad",IF(R74="Correctivo","Impacto",""))</f>
        <v/>
      </c>
      <c r="R74" s="121"/>
      <c r="S74" s="121"/>
      <c r="T74" s="122" t="str">
        <f t="shared" ref="T74:T78" si="39">IF(AND(R74="Preventivo",S74="Automático"),"50%",IF(AND(R74="Preventivo",S74="Manual"),"40%",IF(AND(R74="Detectivo",S74="Automático"),"40%",IF(AND(R74="Detectivo",S74="Manual"),"30%",IF(AND(R74="Correctivo",S74="Automático"),"35%",IF(AND(R74="Correctivo",S74="Manual"),"25%",""))))))</f>
        <v/>
      </c>
      <c r="U74" s="121"/>
      <c r="V74" s="121"/>
      <c r="W74" s="121"/>
      <c r="X74" s="123" t="str">
        <f>IFERROR(IF(AND(Q73="Probabilidad",Q74="Probabilidad"),(Z73-(+Z73*T74)),IF(Q74="Probabilidad",(I73-(+I73*T74)),IF(Q74="Impacto",Z73,""))),"")</f>
        <v/>
      </c>
      <c r="Y74" s="124" t="str">
        <f t="shared" si="8"/>
        <v/>
      </c>
      <c r="Z74" s="125" t="str">
        <f t="shared" ref="Z74:Z78" si="40">+X74</f>
        <v/>
      </c>
      <c r="AA74" s="124" t="str">
        <f t="shared" si="10"/>
        <v/>
      </c>
      <c r="AB74" s="125" t="str">
        <f>IFERROR(IF(AND(Q73="Impacto",Q74="Impacto"),(AB73-(+AB73*T74)),IF(Q74="Impacto",(M73-(+M73*T74)),IF(Q74="Probabilidad",AB73,""))),"")</f>
        <v/>
      </c>
      <c r="AC74" s="126" t="str">
        <f t="shared" ref="AC74:AC75" si="41">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
      </c>
      <c r="AD74" s="127"/>
      <c r="AE74" s="128"/>
      <c r="AF74" s="129"/>
      <c r="AG74" s="130"/>
      <c r="AH74" s="130"/>
      <c r="AI74" s="128"/>
      <c r="AJ74" s="129"/>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row>
    <row r="75" spans="1:68" ht="151.5" hidden="1" customHeight="1" x14ac:dyDescent="0.3">
      <c r="A75" s="323"/>
      <c r="B75" s="326"/>
      <c r="C75" s="326"/>
      <c r="D75" s="326"/>
      <c r="E75" s="329"/>
      <c r="F75" s="326"/>
      <c r="G75" s="332"/>
      <c r="H75" s="320"/>
      <c r="I75" s="311"/>
      <c r="J75" s="317"/>
      <c r="K75" s="311">
        <f>IF(NOT(ISERROR(MATCH(J75,_xlfn.ANCHORARRAY(E86),0))),I88&amp;"Por favor no seleccionar los criterios de impacto",J75)</f>
        <v>0</v>
      </c>
      <c r="L75" s="320"/>
      <c r="M75" s="311"/>
      <c r="N75" s="314"/>
      <c r="O75" s="118">
        <v>3</v>
      </c>
      <c r="P75" s="131"/>
      <c r="Q75" s="120" t="str">
        <f>IF(OR(R75="Preventivo",R75="Detectivo"),"Probabilidad",IF(R75="Correctivo","Impacto",""))</f>
        <v/>
      </c>
      <c r="R75" s="121"/>
      <c r="S75" s="121"/>
      <c r="T75" s="122" t="str">
        <f t="shared" si="39"/>
        <v/>
      </c>
      <c r="U75" s="121"/>
      <c r="V75" s="121"/>
      <c r="W75" s="121"/>
      <c r="X75" s="123" t="str">
        <f>IFERROR(IF(AND(Q74="Probabilidad",Q75="Probabilidad"),(Z74-(+Z74*T75)),IF(AND(Q74="Impacto",Q75="Probabilidad"),(Z73-(+Z73*T75)),IF(Q75="Impacto",Z74,""))),"")</f>
        <v/>
      </c>
      <c r="Y75" s="124" t="str">
        <f t="shared" si="8"/>
        <v/>
      </c>
      <c r="Z75" s="125" t="str">
        <f t="shared" si="40"/>
        <v/>
      </c>
      <c r="AA75" s="124" t="str">
        <f t="shared" si="10"/>
        <v/>
      </c>
      <c r="AB75" s="125" t="str">
        <f>IFERROR(IF(AND(Q74="Impacto",Q75="Impacto"),(AB74-(+AB74*T75)),IF(AND(Q74="Probabilidad",Q75="Impacto"),(AB73-(+AB73*T75)),IF(Q75="Probabilidad",AB74,""))),"")</f>
        <v/>
      </c>
      <c r="AC75" s="126" t="str">
        <f t="shared" si="41"/>
        <v/>
      </c>
      <c r="AD75" s="127"/>
      <c r="AE75" s="128"/>
      <c r="AF75" s="129"/>
      <c r="AG75" s="130"/>
      <c r="AH75" s="130"/>
      <c r="AI75" s="128"/>
      <c r="AJ75" s="129"/>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row>
    <row r="76" spans="1:68" ht="151.5" hidden="1" customHeight="1" x14ac:dyDescent="0.3">
      <c r="A76" s="323"/>
      <c r="B76" s="326"/>
      <c r="C76" s="326"/>
      <c r="D76" s="326"/>
      <c r="E76" s="329"/>
      <c r="F76" s="326"/>
      <c r="G76" s="332"/>
      <c r="H76" s="320"/>
      <c r="I76" s="311"/>
      <c r="J76" s="317"/>
      <c r="K76" s="311">
        <f>IF(NOT(ISERROR(MATCH(J76,_xlfn.ANCHORARRAY(E87),0))),I89&amp;"Por favor no seleccionar los criterios de impacto",J76)</f>
        <v>0</v>
      </c>
      <c r="L76" s="320"/>
      <c r="M76" s="311"/>
      <c r="N76" s="314"/>
      <c r="O76" s="118">
        <v>4</v>
      </c>
      <c r="P76" s="119"/>
      <c r="Q76" s="120" t="str">
        <f t="shared" ref="Q76:Q78" si="42">IF(OR(R76="Preventivo",R76="Detectivo"),"Probabilidad",IF(R76="Correctivo","Impacto",""))</f>
        <v/>
      </c>
      <c r="R76" s="121"/>
      <c r="S76" s="121"/>
      <c r="T76" s="122" t="str">
        <f t="shared" si="39"/>
        <v/>
      </c>
      <c r="U76" s="121"/>
      <c r="V76" s="121"/>
      <c r="W76" s="121"/>
      <c r="X76" s="123" t="str">
        <f t="shared" ref="X76:X78" si="43">IFERROR(IF(AND(Q75="Probabilidad",Q76="Probabilidad"),(Z75-(+Z75*T76)),IF(AND(Q75="Impacto",Q76="Probabilidad"),(Z74-(+Z74*T76)),IF(Q76="Impacto",Z75,""))),"")</f>
        <v/>
      </c>
      <c r="Y76" s="124" t="str">
        <f t="shared" si="8"/>
        <v/>
      </c>
      <c r="Z76" s="125" t="str">
        <f t="shared" si="40"/>
        <v/>
      </c>
      <c r="AA76" s="124" t="str">
        <f t="shared" si="10"/>
        <v/>
      </c>
      <c r="AB76" s="125" t="str">
        <f t="shared" ref="AB76:AB78" si="44">IFERROR(IF(AND(Q75="Impacto",Q76="Impacto"),(AB75-(+AB75*T76)),IF(AND(Q75="Probabilidad",Q76="Impacto"),(AB74-(+AB74*T76)),IF(Q76="Probabilidad",AB75,""))),"")</f>
        <v/>
      </c>
      <c r="AC76" s="126" t="str">
        <f>IFERROR(IF(OR(AND(Y76="Muy Baja",AA76="Leve"),AND(Y76="Muy Baja",AA76="Menor"),AND(Y76="Baja",AA76="Leve")),"Bajo",IF(OR(AND(Y76="Muy baja",AA76="Moderado"),AND(Y76="Baja",AA76="Menor"),AND(Y76="Baja",AA76="Moderado"),AND(Y76="Media",AA76="Leve"),AND(Y76="Media",AA76="Menor"),AND(Y76="Media",AA76="Moderado"),AND(Y76="Alta",AA76="Leve"),AND(Y76="Alta",AA76="Menor")),"Moderado",IF(OR(AND(Y76="Muy Baja",AA76="Mayor"),AND(Y76="Baja",AA76="Mayor"),AND(Y76="Media",AA76="Mayor"),AND(Y76="Alta",AA76="Moderado"),AND(Y76="Alta",AA76="Mayor"),AND(Y76="Muy Alta",AA76="Leve"),AND(Y76="Muy Alta",AA76="Menor"),AND(Y76="Muy Alta",AA76="Moderado"),AND(Y76="Muy Alta",AA76="Mayor")),"Alto",IF(OR(AND(Y76="Muy Baja",AA76="Catastrófico"),AND(Y76="Baja",AA76="Catastrófico"),AND(Y76="Media",AA76="Catastrófico"),AND(Y76="Alta",AA76="Catastrófico"),AND(Y76="Muy Alta",AA76="Catastrófico")),"Extremo","")))),"")</f>
        <v/>
      </c>
      <c r="AD76" s="127"/>
      <c r="AE76" s="128"/>
      <c r="AF76" s="129"/>
      <c r="AG76" s="130"/>
      <c r="AH76" s="130"/>
      <c r="AI76" s="128"/>
      <c r="AJ76" s="129"/>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row>
    <row r="77" spans="1:68" ht="151.5" hidden="1" customHeight="1" x14ac:dyDescent="0.3">
      <c r="A77" s="323"/>
      <c r="B77" s="326"/>
      <c r="C77" s="326"/>
      <c r="D77" s="326"/>
      <c r="E77" s="329"/>
      <c r="F77" s="326"/>
      <c r="G77" s="332"/>
      <c r="H77" s="320"/>
      <c r="I77" s="311"/>
      <c r="J77" s="317"/>
      <c r="K77" s="311">
        <f>IF(NOT(ISERROR(MATCH(J77,_xlfn.ANCHORARRAY(E88),0))),I90&amp;"Por favor no seleccionar los criterios de impacto",J77)</f>
        <v>0</v>
      </c>
      <c r="L77" s="320"/>
      <c r="M77" s="311"/>
      <c r="N77" s="314"/>
      <c r="O77" s="118">
        <v>5</v>
      </c>
      <c r="P77" s="119"/>
      <c r="Q77" s="120" t="str">
        <f t="shared" si="42"/>
        <v/>
      </c>
      <c r="R77" s="121"/>
      <c r="S77" s="121"/>
      <c r="T77" s="122" t="str">
        <f t="shared" si="39"/>
        <v/>
      </c>
      <c r="U77" s="121"/>
      <c r="V77" s="121"/>
      <c r="W77" s="121"/>
      <c r="X77" s="123" t="str">
        <f t="shared" si="43"/>
        <v/>
      </c>
      <c r="Y77" s="124" t="str">
        <f t="shared" si="8"/>
        <v/>
      </c>
      <c r="Z77" s="125" t="str">
        <f t="shared" si="40"/>
        <v/>
      </c>
      <c r="AA77" s="124" t="str">
        <f t="shared" si="10"/>
        <v/>
      </c>
      <c r="AB77" s="125" t="str">
        <f t="shared" si="44"/>
        <v/>
      </c>
      <c r="AC77" s="126" t="str">
        <f t="shared" ref="AC77:AC78" si="45">IFERROR(IF(OR(AND(Y77="Muy Baja",AA77="Leve"),AND(Y77="Muy Baja",AA77="Menor"),AND(Y77="Baja",AA77="Leve")),"Bajo",IF(OR(AND(Y77="Muy baja",AA77="Moderado"),AND(Y77="Baja",AA77="Menor"),AND(Y77="Baja",AA77="Moderado"),AND(Y77="Media",AA77="Leve"),AND(Y77="Media",AA77="Menor"),AND(Y77="Media",AA77="Moderado"),AND(Y77="Alta",AA77="Leve"),AND(Y77="Alta",AA77="Menor")),"Moderado",IF(OR(AND(Y77="Muy Baja",AA77="Mayor"),AND(Y77="Baja",AA77="Mayor"),AND(Y77="Media",AA77="Mayor"),AND(Y77="Alta",AA77="Moderado"),AND(Y77="Alta",AA77="Mayor"),AND(Y77="Muy Alta",AA77="Leve"),AND(Y77="Muy Alta",AA77="Menor"),AND(Y77="Muy Alta",AA77="Moderado"),AND(Y77="Muy Alta",AA77="Mayor")),"Alto",IF(OR(AND(Y77="Muy Baja",AA77="Catastrófico"),AND(Y77="Baja",AA77="Catastrófico"),AND(Y77="Media",AA77="Catastrófico"),AND(Y77="Alta",AA77="Catastrófico"),AND(Y77="Muy Alta",AA77="Catastrófico")),"Extremo","")))),"")</f>
        <v/>
      </c>
      <c r="AD77" s="127"/>
      <c r="AE77" s="128"/>
      <c r="AF77" s="129"/>
      <c r="AG77" s="130"/>
      <c r="AH77" s="130"/>
      <c r="AI77" s="128"/>
      <c r="AJ77" s="129"/>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row>
    <row r="78" spans="1:68" ht="151.5" hidden="1" customHeight="1" x14ac:dyDescent="0.3">
      <c r="A78" s="324"/>
      <c r="B78" s="327"/>
      <c r="C78" s="327"/>
      <c r="D78" s="327"/>
      <c r="E78" s="330"/>
      <c r="F78" s="327"/>
      <c r="G78" s="333"/>
      <c r="H78" s="321"/>
      <c r="I78" s="312"/>
      <c r="J78" s="318"/>
      <c r="K78" s="312">
        <f>IF(NOT(ISERROR(MATCH(J78,_xlfn.ANCHORARRAY(E89),0))),I91&amp;"Por favor no seleccionar los criterios de impacto",J78)</f>
        <v>0</v>
      </c>
      <c r="L78" s="321"/>
      <c r="M78" s="312"/>
      <c r="N78" s="315"/>
      <c r="O78" s="118">
        <v>6</v>
      </c>
      <c r="P78" s="119"/>
      <c r="Q78" s="120" t="str">
        <f t="shared" si="42"/>
        <v/>
      </c>
      <c r="R78" s="121"/>
      <c r="S78" s="121"/>
      <c r="T78" s="122" t="str">
        <f t="shared" si="39"/>
        <v/>
      </c>
      <c r="U78" s="121"/>
      <c r="V78" s="121"/>
      <c r="W78" s="121"/>
      <c r="X78" s="123" t="str">
        <f t="shared" si="43"/>
        <v/>
      </c>
      <c r="Y78" s="124" t="str">
        <f t="shared" si="8"/>
        <v/>
      </c>
      <c r="Z78" s="125" t="str">
        <f t="shared" si="40"/>
        <v/>
      </c>
      <c r="AA78" s="124" t="str">
        <f t="shared" si="10"/>
        <v/>
      </c>
      <c r="AB78" s="125" t="str">
        <f t="shared" si="44"/>
        <v/>
      </c>
      <c r="AC78" s="126" t="str">
        <f t="shared" si="45"/>
        <v/>
      </c>
      <c r="AD78" s="127"/>
      <c r="AE78" s="128"/>
      <c r="AF78" s="129"/>
      <c r="AG78" s="130"/>
      <c r="AH78" s="130"/>
      <c r="AI78" s="128"/>
      <c r="AJ78" s="129"/>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row>
    <row r="79" spans="1:68" ht="151.5" hidden="1" customHeight="1" x14ac:dyDescent="0.3">
      <c r="A79" s="322">
        <v>10</v>
      </c>
      <c r="B79" s="325"/>
      <c r="C79" s="325"/>
      <c r="D79" s="325"/>
      <c r="E79" s="328"/>
      <c r="F79" s="325"/>
      <c r="G79" s="331"/>
      <c r="H79" s="319" t="str">
        <f>IF(G79&lt;=0,"",IF(G79&lt;=2,"Muy Baja",IF(G79&lt;=24,"Baja",IF(G79&lt;=500,"Media",IF(G79&lt;=5000,"Alta","Muy Alta")))))</f>
        <v/>
      </c>
      <c r="I79" s="310" t="str">
        <f>IF(H79="","",IF(H79="Muy Baja",0.2,IF(H79="Baja",0.4,IF(H79="Media",0.6,IF(H79="Alta",0.8,IF(H79="Muy Alta",1,))))))</f>
        <v/>
      </c>
      <c r="J79" s="316"/>
      <c r="K79" s="310">
        <f>IF(NOT(ISERROR(MATCH(J79,'Tabla Impacto'!$B$221:$B$223,0))),'Tabla Impacto'!$F$223&amp;"Por favor no seleccionar los criterios de impacto(Afectación Económica o presupuestal y Pérdida Reputacional)",J79)</f>
        <v>0</v>
      </c>
      <c r="L79" s="319" t="str">
        <f>IF(OR(K79='Tabla Impacto'!$C$11,K79='Tabla Impacto'!$D$11),"Leve",IF(OR(K79='Tabla Impacto'!$C$12,K79='Tabla Impacto'!$D$12),"Menor",IF(OR(K79='Tabla Impacto'!$C$13,K79='Tabla Impacto'!$D$13),"Moderado",IF(OR(K79='Tabla Impacto'!$C$14,K79='Tabla Impacto'!$D$14),"Mayor",IF(OR(K79='Tabla Impacto'!$C$15,K79='Tabla Impacto'!$D$15),"Catastrófico","")))))</f>
        <v/>
      </c>
      <c r="M79" s="310" t="str">
        <f>IF(L79="","",IF(L79="Leve",0.2,IF(L79="Menor",0.4,IF(L79="Moderado",0.6,IF(L79="Mayor",0.8,IF(L79="Catastrófico",1,))))))</f>
        <v/>
      </c>
      <c r="N79" s="313" t="str">
        <f>IF(OR(AND(H79="Muy Baja",L79="Leve"),AND(H79="Muy Baja",L79="Menor"),AND(H79="Baja",L79="Leve")),"Bajo",IF(OR(AND(H79="Muy baja",L79="Moderado"),AND(H79="Baja",L79="Menor"),AND(H79="Baja",L79="Moderado"),AND(H79="Media",L79="Leve"),AND(H79="Media",L79="Menor"),AND(H79="Media",L79="Moderado"),AND(H79="Alta",L79="Leve"),AND(H79="Alta",L79="Menor")),"Moderado",IF(OR(AND(H79="Muy Baja",L79="Mayor"),AND(H79="Baja",L79="Mayor"),AND(H79="Media",L79="Mayor"),AND(H79="Alta",L79="Moderado"),AND(H79="Alta",L79="Mayor"),AND(H79="Muy Alta",L79="Leve"),AND(H79="Muy Alta",L79="Menor"),AND(H79="Muy Alta",L79="Moderado"),AND(H79="Muy Alta",L79="Mayor")),"Alto",IF(OR(AND(H79="Muy Baja",L79="Catastrófico"),AND(H79="Baja",L79="Catastrófico"),AND(H79="Media",L79="Catastrófico"),AND(H79="Alta",L79="Catastrófico"),AND(H79="Muy Alta",L79="Catastrófico")),"Extremo",""))))</f>
        <v/>
      </c>
      <c r="O79" s="118">
        <v>1</v>
      </c>
      <c r="P79" s="119"/>
      <c r="Q79" s="120" t="str">
        <f>IF(OR(R79="Preventivo",R79="Detectivo"),"Probabilidad",IF(R79="Correctivo","Impacto",""))</f>
        <v/>
      </c>
      <c r="R79" s="121"/>
      <c r="S79" s="121"/>
      <c r="T79" s="122" t="str">
        <f>IF(AND(R79="Preventivo",S79="Automático"),"50%",IF(AND(R79="Preventivo",S79="Manual"),"40%",IF(AND(R79="Detectivo",S79="Automático"),"40%",IF(AND(R79="Detectivo",S79="Manual"),"30%",IF(AND(R79="Correctivo",S79="Automático"),"35%",IF(AND(R79="Correctivo",S79="Manual"),"25%",""))))))</f>
        <v/>
      </c>
      <c r="U79" s="121"/>
      <c r="V79" s="121"/>
      <c r="W79" s="121"/>
      <c r="X79" s="123" t="str">
        <f>IFERROR(IF(Q79="Probabilidad",(I79-(+I79*T79)),IF(Q79="Impacto",I79,"")),"")</f>
        <v/>
      </c>
      <c r="Y79" s="124" t="str">
        <f>IFERROR(IF(X79="","",IF(X79&lt;=0.2,"Muy Baja",IF(X79&lt;=0.4,"Baja",IF(X79&lt;=0.6,"Media",IF(X79&lt;=0.8,"Alta","Muy Alta"))))),"")</f>
        <v/>
      </c>
      <c r="Z79" s="125" t="str">
        <f>+X79</f>
        <v/>
      </c>
      <c r="AA79" s="124" t="str">
        <f>IFERROR(IF(AB79="","",IF(AB79&lt;=0.2,"Leve",IF(AB79&lt;=0.4,"Menor",IF(AB79&lt;=0.6,"Moderado",IF(AB79&lt;=0.8,"Mayor","Catastrófico"))))),"")</f>
        <v/>
      </c>
      <c r="AB79" s="125" t="str">
        <f>IFERROR(IF(Q79="Impacto",(M79-(+M79*T79)),IF(Q79="Probabilidad",M79,"")),"")</f>
        <v/>
      </c>
      <c r="AC79" s="126" t="str">
        <f>IFERROR(IF(OR(AND(Y79="Muy Baja",AA79="Leve"),AND(Y79="Muy Baja",AA79="Menor"),AND(Y79="Baja",AA79="Leve")),"Bajo",IF(OR(AND(Y79="Muy baja",AA79="Moderado"),AND(Y79="Baja",AA79="Menor"),AND(Y79="Baja",AA79="Moderado"),AND(Y79="Media",AA79="Leve"),AND(Y79="Media",AA79="Menor"),AND(Y79="Media",AA79="Moderado"),AND(Y79="Alta",AA79="Leve"),AND(Y79="Alta",AA79="Menor")),"Moderado",IF(OR(AND(Y79="Muy Baja",AA79="Mayor"),AND(Y79="Baja",AA79="Mayor"),AND(Y79="Media",AA79="Mayor"),AND(Y79="Alta",AA79="Moderado"),AND(Y79="Alta",AA79="Mayor"),AND(Y79="Muy Alta",AA79="Leve"),AND(Y79="Muy Alta",AA79="Menor"),AND(Y79="Muy Alta",AA79="Moderado"),AND(Y79="Muy Alta",AA79="Mayor")),"Alto",IF(OR(AND(Y79="Muy Baja",AA79="Catastrófico"),AND(Y79="Baja",AA79="Catastrófico"),AND(Y79="Media",AA79="Catastrófico"),AND(Y79="Alta",AA79="Catastrófico"),AND(Y79="Muy Alta",AA79="Catastrófico")),"Extremo","")))),"")</f>
        <v/>
      </c>
      <c r="AD79" s="127"/>
      <c r="AE79" s="128"/>
      <c r="AF79" s="129"/>
      <c r="AG79" s="130"/>
      <c r="AH79" s="130"/>
      <c r="AI79" s="128"/>
      <c r="AJ79" s="129"/>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row>
    <row r="80" spans="1:68" ht="151.5" hidden="1" customHeight="1" x14ac:dyDescent="0.3">
      <c r="A80" s="323"/>
      <c r="B80" s="326"/>
      <c r="C80" s="326"/>
      <c r="D80" s="326"/>
      <c r="E80" s="329"/>
      <c r="F80" s="326"/>
      <c r="G80" s="332"/>
      <c r="H80" s="320"/>
      <c r="I80" s="311"/>
      <c r="J80" s="317"/>
      <c r="K80" s="311">
        <f>IF(NOT(ISERROR(MATCH(J80,_xlfn.ANCHORARRAY(E91),0))),I93&amp;"Por favor no seleccionar los criterios de impacto",J80)</f>
        <v>0</v>
      </c>
      <c r="L80" s="320"/>
      <c r="M80" s="311"/>
      <c r="N80" s="314"/>
      <c r="O80" s="118">
        <v>2</v>
      </c>
      <c r="P80" s="119"/>
      <c r="Q80" s="120" t="str">
        <f>IF(OR(R80="Preventivo",R80="Detectivo"),"Probabilidad",IF(R80="Correctivo","Impacto",""))</f>
        <v/>
      </c>
      <c r="R80" s="121"/>
      <c r="S80" s="121"/>
      <c r="T80" s="122" t="str">
        <f t="shared" ref="T80:T84" si="46">IF(AND(R80="Preventivo",S80="Automático"),"50%",IF(AND(R80="Preventivo",S80="Manual"),"40%",IF(AND(R80="Detectivo",S80="Automático"),"40%",IF(AND(R80="Detectivo",S80="Manual"),"30%",IF(AND(R80="Correctivo",S80="Automático"),"35%",IF(AND(R80="Correctivo",S80="Manual"),"25%",""))))))</f>
        <v/>
      </c>
      <c r="U80" s="121"/>
      <c r="V80" s="121"/>
      <c r="W80" s="121"/>
      <c r="X80" s="123" t="str">
        <f>IFERROR(IF(AND(Q79="Probabilidad",Q80="Probabilidad"),(Z79-(+Z79*T80)),IF(Q80="Probabilidad",(I79-(+I79*T80)),IF(Q80="Impacto",Z79,""))),"")</f>
        <v/>
      </c>
      <c r="Y80" s="124" t="str">
        <f t="shared" si="8"/>
        <v/>
      </c>
      <c r="Z80" s="125" t="str">
        <f t="shared" ref="Z80:Z84" si="47">+X80</f>
        <v/>
      </c>
      <c r="AA80" s="124" t="str">
        <f t="shared" si="10"/>
        <v/>
      </c>
      <c r="AB80" s="125" t="str">
        <f>IFERROR(IF(AND(Q79="Impacto",Q80="Impacto"),(AB79-(+AB79*T80)),IF(Q80="Impacto",(M79-(+M79*T80)),IF(Q80="Probabilidad",AB79,""))),"")</f>
        <v/>
      </c>
      <c r="AC80" s="126" t="str">
        <f t="shared" ref="AC80:AC81" si="48">IFERROR(IF(OR(AND(Y80="Muy Baja",AA80="Leve"),AND(Y80="Muy Baja",AA80="Menor"),AND(Y80="Baja",AA80="Leve")),"Bajo",IF(OR(AND(Y80="Muy baja",AA80="Moderado"),AND(Y80="Baja",AA80="Menor"),AND(Y80="Baja",AA80="Moderado"),AND(Y80="Media",AA80="Leve"),AND(Y80="Media",AA80="Menor"),AND(Y80="Media",AA80="Moderado"),AND(Y80="Alta",AA80="Leve"),AND(Y80="Alta",AA80="Menor")),"Moderado",IF(OR(AND(Y80="Muy Baja",AA80="Mayor"),AND(Y80="Baja",AA80="Mayor"),AND(Y80="Media",AA80="Mayor"),AND(Y80="Alta",AA80="Moderado"),AND(Y80="Alta",AA80="Mayor"),AND(Y80="Muy Alta",AA80="Leve"),AND(Y80="Muy Alta",AA80="Menor"),AND(Y80="Muy Alta",AA80="Moderado"),AND(Y80="Muy Alta",AA80="Mayor")),"Alto",IF(OR(AND(Y80="Muy Baja",AA80="Catastrófico"),AND(Y80="Baja",AA80="Catastrófico"),AND(Y80="Media",AA80="Catastrófico"),AND(Y80="Alta",AA80="Catastrófico"),AND(Y80="Muy Alta",AA80="Catastrófico")),"Extremo","")))),"")</f>
        <v/>
      </c>
      <c r="AD80" s="127"/>
      <c r="AE80" s="128"/>
      <c r="AF80" s="129"/>
      <c r="AG80" s="130"/>
      <c r="AH80" s="130"/>
      <c r="AI80" s="128"/>
      <c r="AJ80" s="129"/>
    </row>
    <row r="81" spans="1:36" ht="151.5" hidden="1" customHeight="1" x14ac:dyDescent="0.3">
      <c r="A81" s="323"/>
      <c r="B81" s="326"/>
      <c r="C81" s="326"/>
      <c r="D81" s="326"/>
      <c r="E81" s="329"/>
      <c r="F81" s="326"/>
      <c r="G81" s="332"/>
      <c r="H81" s="320"/>
      <c r="I81" s="311"/>
      <c r="J81" s="317"/>
      <c r="K81" s="311">
        <f>IF(NOT(ISERROR(MATCH(J81,_xlfn.ANCHORARRAY(E92),0))),I94&amp;"Por favor no seleccionar los criterios de impacto",J81)</f>
        <v>0</v>
      </c>
      <c r="L81" s="320"/>
      <c r="M81" s="311"/>
      <c r="N81" s="314"/>
      <c r="O81" s="118">
        <v>3</v>
      </c>
      <c r="P81" s="131"/>
      <c r="Q81" s="120" t="str">
        <f>IF(OR(R81="Preventivo",R81="Detectivo"),"Probabilidad",IF(R81="Correctivo","Impacto",""))</f>
        <v/>
      </c>
      <c r="R81" s="121"/>
      <c r="S81" s="121"/>
      <c r="T81" s="122" t="str">
        <f t="shared" si="46"/>
        <v/>
      </c>
      <c r="U81" s="121"/>
      <c r="V81" s="121"/>
      <c r="W81" s="121"/>
      <c r="X81" s="123" t="str">
        <f>IFERROR(IF(AND(Q80="Probabilidad",Q81="Probabilidad"),(Z80-(+Z80*T81)),IF(AND(Q80="Impacto",Q81="Probabilidad"),(Z79-(+Z79*T81)),IF(Q81="Impacto",Z80,""))),"")</f>
        <v/>
      </c>
      <c r="Y81" s="124" t="str">
        <f t="shared" si="8"/>
        <v/>
      </c>
      <c r="Z81" s="125" t="str">
        <f t="shared" si="47"/>
        <v/>
      </c>
      <c r="AA81" s="124" t="str">
        <f t="shared" si="10"/>
        <v/>
      </c>
      <c r="AB81" s="125" t="str">
        <f>IFERROR(IF(AND(Q80="Impacto",Q81="Impacto"),(AB80-(+AB80*T81)),IF(AND(Q80="Probabilidad",Q81="Impacto"),(AB79-(+AB79*T81)),IF(Q81="Probabilidad",AB80,""))),"")</f>
        <v/>
      </c>
      <c r="AC81" s="126" t="str">
        <f t="shared" si="48"/>
        <v/>
      </c>
      <c r="AD81" s="127"/>
      <c r="AE81" s="128"/>
      <c r="AF81" s="129"/>
      <c r="AG81" s="130"/>
      <c r="AH81" s="130"/>
      <c r="AI81" s="128"/>
      <c r="AJ81" s="129"/>
    </row>
    <row r="82" spans="1:36" ht="151.5" hidden="1" customHeight="1" x14ac:dyDescent="0.3">
      <c r="A82" s="323"/>
      <c r="B82" s="326"/>
      <c r="C82" s="326"/>
      <c r="D82" s="326"/>
      <c r="E82" s="329"/>
      <c r="F82" s="326"/>
      <c r="G82" s="332"/>
      <c r="H82" s="320"/>
      <c r="I82" s="311"/>
      <c r="J82" s="317"/>
      <c r="K82" s="311">
        <f>IF(NOT(ISERROR(MATCH(J82,_xlfn.ANCHORARRAY(E93),0))),I95&amp;"Por favor no seleccionar los criterios de impacto",J82)</f>
        <v>0</v>
      </c>
      <c r="L82" s="320"/>
      <c r="M82" s="311"/>
      <c r="N82" s="314"/>
      <c r="O82" s="118">
        <v>4</v>
      </c>
      <c r="P82" s="119"/>
      <c r="Q82" s="120" t="str">
        <f t="shared" ref="Q82:Q84" si="49">IF(OR(R82="Preventivo",R82="Detectivo"),"Probabilidad",IF(R82="Correctivo","Impacto",""))</f>
        <v/>
      </c>
      <c r="R82" s="121"/>
      <c r="S82" s="121"/>
      <c r="T82" s="122" t="str">
        <f t="shared" si="46"/>
        <v/>
      </c>
      <c r="U82" s="121"/>
      <c r="V82" s="121"/>
      <c r="W82" s="121"/>
      <c r="X82" s="123" t="str">
        <f t="shared" ref="X82:X84" si="50">IFERROR(IF(AND(Q81="Probabilidad",Q82="Probabilidad"),(Z81-(+Z81*T82)),IF(AND(Q81="Impacto",Q82="Probabilidad"),(Z80-(+Z80*T82)),IF(Q82="Impacto",Z81,""))),"")</f>
        <v/>
      </c>
      <c r="Y82" s="124" t="str">
        <f t="shared" si="8"/>
        <v/>
      </c>
      <c r="Z82" s="125" t="str">
        <f t="shared" si="47"/>
        <v/>
      </c>
      <c r="AA82" s="124" t="str">
        <f t="shared" si="10"/>
        <v/>
      </c>
      <c r="AB82" s="125" t="str">
        <f t="shared" ref="AB82:AB84" si="51">IFERROR(IF(AND(Q81="Impacto",Q82="Impacto"),(AB81-(+AB81*T82)),IF(AND(Q81="Probabilidad",Q82="Impacto"),(AB80-(+AB80*T82)),IF(Q82="Probabilidad",AB81,""))),"")</f>
        <v/>
      </c>
      <c r="AC82" s="126" t="str">
        <f>IFERROR(IF(OR(AND(Y82="Muy Baja",AA82="Leve"),AND(Y82="Muy Baja",AA82="Menor"),AND(Y82="Baja",AA82="Leve")),"Bajo",IF(OR(AND(Y82="Muy baja",AA82="Moderado"),AND(Y82="Baja",AA82="Menor"),AND(Y82="Baja",AA82="Moderado"),AND(Y82="Media",AA82="Leve"),AND(Y82="Media",AA82="Menor"),AND(Y82="Media",AA82="Moderado"),AND(Y82="Alta",AA82="Leve"),AND(Y82="Alta",AA82="Menor")),"Moderado",IF(OR(AND(Y82="Muy Baja",AA82="Mayor"),AND(Y82="Baja",AA82="Mayor"),AND(Y82="Media",AA82="Mayor"),AND(Y82="Alta",AA82="Moderado"),AND(Y82="Alta",AA82="Mayor"),AND(Y82="Muy Alta",AA82="Leve"),AND(Y82="Muy Alta",AA82="Menor"),AND(Y82="Muy Alta",AA82="Moderado"),AND(Y82="Muy Alta",AA82="Mayor")),"Alto",IF(OR(AND(Y82="Muy Baja",AA82="Catastrófico"),AND(Y82="Baja",AA82="Catastrófico"),AND(Y82="Media",AA82="Catastrófico"),AND(Y82="Alta",AA82="Catastrófico"),AND(Y82="Muy Alta",AA82="Catastrófico")),"Extremo","")))),"")</f>
        <v/>
      </c>
      <c r="AD82" s="127"/>
      <c r="AE82" s="128"/>
      <c r="AF82" s="129"/>
      <c r="AG82" s="130"/>
      <c r="AH82" s="130"/>
      <c r="AI82" s="128"/>
      <c r="AJ82" s="129"/>
    </row>
    <row r="83" spans="1:36" ht="151.5" hidden="1" customHeight="1" x14ac:dyDescent="0.3">
      <c r="A83" s="323"/>
      <c r="B83" s="326"/>
      <c r="C83" s="326"/>
      <c r="D83" s="326"/>
      <c r="E83" s="329"/>
      <c r="F83" s="326"/>
      <c r="G83" s="332"/>
      <c r="H83" s="320"/>
      <c r="I83" s="311"/>
      <c r="J83" s="317"/>
      <c r="K83" s="311">
        <f>IF(NOT(ISERROR(MATCH(J83,_xlfn.ANCHORARRAY(E94),0))),I96&amp;"Por favor no seleccionar los criterios de impacto",J83)</f>
        <v>0</v>
      </c>
      <c r="L83" s="320"/>
      <c r="M83" s="311"/>
      <c r="N83" s="314"/>
      <c r="O83" s="118">
        <v>5</v>
      </c>
      <c r="P83" s="119"/>
      <c r="Q83" s="120" t="str">
        <f t="shared" si="49"/>
        <v/>
      </c>
      <c r="R83" s="121"/>
      <c r="S83" s="121"/>
      <c r="T83" s="122" t="str">
        <f t="shared" si="46"/>
        <v/>
      </c>
      <c r="U83" s="121"/>
      <c r="V83" s="121"/>
      <c r="W83" s="121"/>
      <c r="X83" s="123" t="str">
        <f t="shared" si="50"/>
        <v/>
      </c>
      <c r="Y83" s="124" t="str">
        <f t="shared" si="8"/>
        <v/>
      </c>
      <c r="Z83" s="125" t="str">
        <f t="shared" si="47"/>
        <v/>
      </c>
      <c r="AA83" s="124" t="str">
        <f t="shared" si="10"/>
        <v/>
      </c>
      <c r="AB83" s="125" t="str">
        <f t="shared" si="51"/>
        <v/>
      </c>
      <c r="AC83" s="126" t="str">
        <f t="shared" ref="AC83:AC84" si="52">IFERROR(IF(OR(AND(Y83="Muy Baja",AA83="Leve"),AND(Y83="Muy Baja",AA83="Menor"),AND(Y83="Baja",AA83="Leve")),"Bajo",IF(OR(AND(Y83="Muy baja",AA83="Moderado"),AND(Y83="Baja",AA83="Menor"),AND(Y83="Baja",AA83="Moderado"),AND(Y83="Media",AA83="Leve"),AND(Y83="Media",AA83="Menor"),AND(Y83="Media",AA83="Moderado"),AND(Y83="Alta",AA83="Leve"),AND(Y83="Alta",AA83="Menor")),"Moderado",IF(OR(AND(Y83="Muy Baja",AA83="Mayor"),AND(Y83="Baja",AA83="Mayor"),AND(Y83="Media",AA83="Mayor"),AND(Y83="Alta",AA83="Moderado"),AND(Y83="Alta",AA83="Mayor"),AND(Y83="Muy Alta",AA83="Leve"),AND(Y83="Muy Alta",AA83="Menor"),AND(Y83="Muy Alta",AA83="Moderado"),AND(Y83="Muy Alta",AA83="Mayor")),"Alto",IF(OR(AND(Y83="Muy Baja",AA83="Catastrófico"),AND(Y83="Baja",AA83="Catastrófico"),AND(Y83="Media",AA83="Catastrófico"),AND(Y83="Alta",AA83="Catastrófico"),AND(Y83="Muy Alta",AA83="Catastrófico")),"Extremo","")))),"")</f>
        <v/>
      </c>
      <c r="AD83" s="127"/>
      <c r="AE83" s="128"/>
      <c r="AF83" s="129"/>
      <c r="AG83" s="130"/>
      <c r="AH83" s="130"/>
      <c r="AI83" s="128"/>
      <c r="AJ83" s="129"/>
    </row>
    <row r="84" spans="1:36" ht="151.5" hidden="1" customHeight="1" x14ac:dyDescent="0.3">
      <c r="A84" s="324"/>
      <c r="B84" s="327"/>
      <c r="C84" s="327"/>
      <c r="D84" s="327"/>
      <c r="E84" s="330"/>
      <c r="F84" s="327"/>
      <c r="G84" s="333"/>
      <c r="H84" s="321"/>
      <c r="I84" s="312"/>
      <c r="J84" s="318"/>
      <c r="K84" s="312">
        <f>IF(NOT(ISERROR(MATCH(J84,_xlfn.ANCHORARRAY(E95),0))),I97&amp;"Por favor no seleccionar los criterios de impacto",J84)</f>
        <v>0</v>
      </c>
      <c r="L84" s="321"/>
      <c r="M84" s="312"/>
      <c r="N84" s="315"/>
      <c r="O84" s="118">
        <v>6</v>
      </c>
      <c r="P84" s="119"/>
      <c r="Q84" s="120" t="str">
        <f t="shared" si="49"/>
        <v/>
      </c>
      <c r="R84" s="121"/>
      <c r="S84" s="121"/>
      <c r="T84" s="122" t="str">
        <f t="shared" si="46"/>
        <v/>
      </c>
      <c r="U84" s="121"/>
      <c r="V84" s="121"/>
      <c r="W84" s="121"/>
      <c r="X84" s="123" t="str">
        <f t="shared" si="50"/>
        <v/>
      </c>
      <c r="Y84" s="124" t="str">
        <f t="shared" si="8"/>
        <v/>
      </c>
      <c r="Z84" s="125" t="str">
        <f t="shared" si="47"/>
        <v/>
      </c>
      <c r="AA84" s="124" t="str">
        <f t="shared" si="10"/>
        <v/>
      </c>
      <c r="AB84" s="125" t="str">
        <f t="shared" si="51"/>
        <v/>
      </c>
      <c r="AC84" s="126" t="str">
        <f t="shared" si="52"/>
        <v/>
      </c>
      <c r="AD84" s="127"/>
      <c r="AE84" s="128"/>
      <c r="AF84" s="129"/>
      <c r="AG84" s="130"/>
      <c r="AH84" s="130"/>
      <c r="AI84" s="128"/>
      <c r="AJ84" s="129"/>
    </row>
    <row r="85" spans="1:36" ht="49.5" customHeight="1" x14ac:dyDescent="0.3">
      <c r="A85" s="6"/>
      <c r="B85" s="343" t="s">
        <v>171</v>
      </c>
      <c r="C85" s="344"/>
      <c r="D85" s="344"/>
      <c r="E85" s="344"/>
      <c r="F85" s="344"/>
      <c r="G85" s="344"/>
      <c r="H85" s="344"/>
      <c r="I85" s="344"/>
      <c r="J85" s="344"/>
      <c r="K85" s="344"/>
      <c r="L85" s="344"/>
      <c r="M85" s="344"/>
      <c r="N85" s="344"/>
      <c r="O85" s="344"/>
      <c r="P85" s="344"/>
      <c r="Q85" s="344"/>
      <c r="R85" s="344"/>
      <c r="S85" s="344"/>
      <c r="T85" s="344"/>
      <c r="U85" s="344"/>
      <c r="V85" s="344"/>
      <c r="W85" s="344"/>
      <c r="X85" s="344"/>
      <c r="Y85" s="344"/>
      <c r="Z85" s="344"/>
      <c r="AA85" s="344"/>
      <c r="AB85" s="344"/>
      <c r="AC85" s="344"/>
      <c r="AD85" s="344"/>
      <c r="AE85" s="344"/>
      <c r="AF85" s="344"/>
      <c r="AG85" s="344"/>
      <c r="AH85" s="344"/>
      <c r="AI85" s="344"/>
      <c r="AJ85" s="345"/>
    </row>
    <row r="87" spans="1:36" x14ac:dyDescent="0.3">
      <c r="A87" s="1"/>
      <c r="B87" s="24"/>
      <c r="C87" s="1"/>
      <c r="D87" s="1"/>
      <c r="F87" s="1"/>
    </row>
  </sheetData>
  <dataConsolidate/>
  <mergeCells count="285">
    <mergeCell ref="AE43:AE48"/>
    <mergeCell ref="AF43:AF48"/>
    <mergeCell ref="AG43:AG48"/>
    <mergeCell ref="AH43:AH48"/>
    <mergeCell ref="AI43:AI48"/>
    <mergeCell ref="AJ43:AJ48"/>
    <mergeCell ref="U43:U48"/>
    <mergeCell ref="V43:V48"/>
    <mergeCell ref="W43:W48"/>
    <mergeCell ref="Y43:Y48"/>
    <mergeCell ref="Z43:Z48"/>
    <mergeCell ref="AA43:AA48"/>
    <mergeCell ref="AB43:AB48"/>
    <mergeCell ref="AC43:AC48"/>
    <mergeCell ref="AD43:AD48"/>
    <mergeCell ref="C47:C48"/>
    <mergeCell ref="O43:O48"/>
    <mergeCell ref="P43:P48"/>
    <mergeCell ref="Q43:Q48"/>
    <mergeCell ref="R43:R48"/>
    <mergeCell ref="S43:S48"/>
    <mergeCell ref="T43:T48"/>
    <mergeCell ref="C43:C46"/>
    <mergeCell ref="AE37:AE42"/>
    <mergeCell ref="AF37:AF42"/>
    <mergeCell ref="AG37:AG42"/>
    <mergeCell ref="AH37:AH42"/>
    <mergeCell ref="AI37:AI42"/>
    <mergeCell ref="AJ37:AJ42"/>
    <mergeCell ref="AE25:AE30"/>
    <mergeCell ref="AF25:AF30"/>
    <mergeCell ref="AG25:AG30"/>
    <mergeCell ref="AH25:AH30"/>
    <mergeCell ref="AI25:AI30"/>
    <mergeCell ref="AJ25:AJ30"/>
    <mergeCell ref="AE31:AE36"/>
    <mergeCell ref="AF31:AF36"/>
    <mergeCell ref="AG31:AG36"/>
    <mergeCell ref="AH31:AH36"/>
    <mergeCell ref="AI31:AI36"/>
    <mergeCell ref="AJ31:AJ36"/>
    <mergeCell ref="A16:AJ17"/>
    <mergeCell ref="A22:G22"/>
    <mergeCell ref="H22:N22"/>
    <mergeCell ref="O22:W22"/>
    <mergeCell ref="X22:AD22"/>
    <mergeCell ref="AE22:AJ22"/>
    <mergeCell ref="B85:AJ85"/>
    <mergeCell ref="M73:M78"/>
    <mergeCell ref="N73:N78"/>
    <mergeCell ref="A79:A84"/>
    <mergeCell ref="B79:B84"/>
    <mergeCell ref="C79:C84"/>
    <mergeCell ref="D79:D84"/>
    <mergeCell ref="E79:E84"/>
    <mergeCell ref="F79:F84"/>
    <mergeCell ref="G79:G84"/>
    <mergeCell ref="H79:H84"/>
    <mergeCell ref="I79:I84"/>
    <mergeCell ref="J79:J84"/>
    <mergeCell ref="K79:K84"/>
    <mergeCell ref="L79:L84"/>
    <mergeCell ref="M79:M84"/>
    <mergeCell ref="N79:N84"/>
    <mergeCell ref="J73:J78"/>
    <mergeCell ref="K73:K78"/>
    <mergeCell ref="L73:L78"/>
    <mergeCell ref="A73:A78"/>
    <mergeCell ref="B73:B78"/>
    <mergeCell ref="C73:C78"/>
    <mergeCell ref="D73:D78"/>
    <mergeCell ref="E73:E78"/>
    <mergeCell ref="F73:F78"/>
    <mergeCell ref="G73:G78"/>
    <mergeCell ref="H73:H78"/>
    <mergeCell ref="I73:I78"/>
    <mergeCell ref="M61:M66"/>
    <mergeCell ref="N61:N66"/>
    <mergeCell ref="F67:F72"/>
    <mergeCell ref="G67:G72"/>
    <mergeCell ref="H67:H72"/>
    <mergeCell ref="I67:I72"/>
    <mergeCell ref="J67:J72"/>
    <mergeCell ref="F61:F66"/>
    <mergeCell ref="G61:G66"/>
    <mergeCell ref="H61:H66"/>
    <mergeCell ref="I61:I66"/>
    <mergeCell ref="K67:K72"/>
    <mergeCell ref="L67:L72"/>
    <mergeCell ref="M67:M72"/>
    <mergeCell ref="N67:N72"/>
    <mergeCell ref="I49:I54"/>
    <mergeCell ref="J49:J54"/>
    <mergeCell ref="G55:G60"/>
    <mergeCell ref="H55:H60"/>
    <mergeCell ref="I55:I60"/>
    <mergeCell ref="K49:K54"/>
    <mergeCell ref="L49:L54"/>
    <mergeCell ref="A67:A72"/>
    <mergeCell ref="B67:B72"/>
    <mergeCell ref="C67:C72"/>
    <mergeCell ref="D67:D72"/>
    <mergeCell ref="E67:E72"/>
    <mergeCell ref="A61:A66"/>
    <mergeCell ref="B61:B66"/>
    <mergeCell ref="C61:C66"/>
    <mergeCell ref="D61:D66"/>
    <mergeCell ref="E61:E66"/>
    <mergeCell ref="M49:M54"/>
    <mergeCell ref="N49:N54"/>
    <mergeCell ref="M55:M60"/>
    <mergeCell ref="N55:N60"/>
    <mergeCell ref="J61:J66"/>
    <mergeCell ref="K61:K66"/>
    <mergeCell ref="L61:L66"/>
    <mergeCell ref="A49:A54"/>
    <mergeCell ref="B49:B54"/>
    <mergeCell ref="C49:C54"/>
    <mergeCell ref="A55:A60"/>
    <mergeCell ref="B55:B60"/>
    <mergeCell ref="C55:C60"/>
    <mergeCell ref="D55:D60"/>
    <mergeCell ref="E55:E60"/>
    <mergeCell ref="F55:F60"/>
    <mergeCell ref="D49:D54"/>
    <mergeCell ref="E49:E54"/>
    <mergeCell ref="J55:J60"/>
    <mergeCell ref="K55:K60"/>
    <mergeCell ref="L55:L60"/>
    <mergeCell ref="F49:F54"/>
    <mergeCell ref="G49:G54"/>
    <mergeCell ref="H49:H54"/>
    <mergeCell ref="I37:I42"/>
    <mergeCell ref="J37:J42"/>
    <mergeCell ref="C33:C36"/>
    <mergeCell ref="M37:M42"/>
    <mergeCell ref="N37:N42"/>
    <mergeCell ref="A43:A48"/>
    <mergeCell ref="B43:B48"/>
    <mergeCell ref="D43:D48"/>
    <mergeCell ref="E43:E48"/>
    <mergeCell ref="F43:F48"/>
    <mergeCell ref="G43:G48"/>
    <mergeCell ref="H43:H48"/>
    <mergeCell ref="I43:I48"/>
    <mergeCell ref="J43:J48"/>
    <mergeCell ref="K43:K48"/>
    <mergeCell ref="L43:L48"/>
    <mergeCell ref="M43:M48"/>
    <mergeCell ref="N43:N48"/>
    <mergeCell ref="C37:C38"/>
    <mergeCell ref="C39:C40"/>
    <mergeCell ref="C41:C42"/>
    <mergeCell ref="K37:K42"/>
    <mergeCell ref="L37:L42"/>
    <mergeCell ref="A31:A36"/>
    <mergeCell ref="B31:B36"/>
    <mergeCell ref="A37:A42"/>
    <mergeCell ref="B37:B42"/>
    <mergeCell ref="D37:D42"/>
    <mergeCell ref="E37:E42"/>
    <mergeCell ref="F37:F42"/>
    <mergeCell ref="G37:G42"/>
    <mergeCell ref="H37:H42"/>
    <mergeCell ref="D31:D36"/>
    <mergeCell ref="E31:E36"/>
    <mergeCell ref="AJ23:AJ24"/>
    <mergeCell ref="AI23:AI24"/>
    <mergeCell ref="AH23:AH24"/>
    <mergeCell ref="AG23:AG24"/>
    <mergeCell ref="AF23:AF24"/>
    <mergeCell ref="A19:B19"/>
    <mergeCell ref="A20:B20"/>
    <mergeCell ref="A21:B21"/>
    <mergeCell ref="A23:A24"/>
    <mergeCell ref="F23:F24"/>
    <mergeCell ref="E23:E24"/>
    <mergeCell ref="D23:D24"/>
    <mergeCell ref="C23:C24"/>
    <mergeCell ref="AD23:AD24"/>
    <mergeCell ref="C20:N20"/>
    <mergeCell ref="C21:N21"/>
    <mergeCell ref="O23:O24"/>
    <mergeCell ref="AC23:AC24"/>
    <mergeCell ref="AB23:AB24"/>
    <mergeCell ref="X23:X24"/>
    <mergeCell ref="P23:P24"/>
    <mergeCell ref="C19:N19"/>
    <mergeCell ref="O19:Q19"/>
    <mergeCell ref="B23:B24"/>
    <mergeCell ref="AE23:AE24"/>
    <mergeCell ref="K31:K36"/>
    <mergeCell ref="L31:L36"/>
    <mergeCell ref="M31:M36"/>
    <mergeCell ref="N31:N36"/>
    <mergeCell ref="E25:E30"/>
    <mergeCell ref="N25:N30"/>
    <mergeCell ref="I25:I30"/>
    <mergeCell ref="J25:J30"/>
    <mergeCell ref="K25:K30"/>
    <mergeCell ref="L25:L30"/>
    <mergeCell ref="M25:M30"/>
    <mergeCell ref="AA23:AA24"/>
    <mergeCell ref="Y23:Y24"/>
    <mergeCell ref="Z23:Z24"/>
    <mergeCell ref="G23:G24"/>
    <mergeCell ref="H23:H24"/>
    <mergeCell ref="F31:F36"/>
    <mergeCell ref="G31:G36"/>
    <mergeCell ref="H31:H36"/>
    <mergeCell ref="I31:I36"/>
    <mergeCell ref="J31:J36"/>
    <mergeCell ref="I23:I24"/>
    <mergeCell ref="L23:L24"/>
    <mergeCell ref="M23:M24"/>
    <mergeCell ref="R25:R30"/>
    <mergeCell ref="S25:S30"/>
    <mergeCell ref="T25:T30"/>
    <mergeCell ref="U25:U30"/>
    <mergeCell ref="V25:V30"/>
    <mergeCell ref="W25:W30"/>
    <mergeCell ref="N23:N24"/>
    <mergeCell ref="J23:J24"/>
    <mergeCell ref="K23:K24"/>
    <mergeCell ref="Q23:Q24"/>
    <mergeCell ref="R23:W23"/>
    <mergeCell ref="A1:AE5"/>
    <mergeCell ref="W10:AB10"/>
    <mergeCell ref="W12:AB12"/>
    <mergeCell ref="A15:J15"/>
    <mergeCell ref="N7:S7"/>
    <mergeCell ref="W9:AB9"/>
    <mergeCell ref="P8:S8"/>
    <mergeCell ref="P9:S9"/>
    <mergeCell ref="P10:S10"/>
    <mergeCell ref="P11:S11"/>
    <mergeCell ref="P12:S12"/>
    <mergeCell ref="P14:S14"/>
    <mergeCell ref="P13:S13"/>
    <mergeCell ref="F25:F30"/>
    <mergeCell ref="G25:G30"/>
    <mergeCell ref="H25:H30"/>
    <mergeCell ref="A25:A30"/>
    <mergeCell ref="B25:B30"/>
    <mergeCell ref="D25:D30"/>
    <mergeCell ref="Y25:Y30"/>
    <mergeCell ref="Z25:Z30"/>
    <mergeCell ref="C28:C30"/>
    <mergeCell ref="AA25:AA30"/>
    <mergeCell ref="AB25:AB30"/>
    <mergeCell ref="AC25:AC30"/>
    <mergeCell ref="AD25:AD30"/>
    <mergeCell ref="O31:O36"/>
    <mergeCell ref="P31:P36"/>
    <mergeCell ref="Q31:Q36"/>
    <mergeCell ref="R31:R36"/>
    <mergeCell ref="S31:S36"/>
    <mergeCell ref="T31:T36"/>
    <mergeCell ref="U31:U36"/>
    <mergeCell ref="V31:V36"/>
    <mergeCell ref="W31:W36"/>
    <mergeCell ref="Y31:Y36"/>
    <mergeCell ref="Z31:Z36"/>
    <mergeCell ref="AA31:AA36"/>
    <mergeCell ref="AB31:AB36"/>
    <mergeCell ref="AC31:AC36"/>
    <mergeCell ref="AD31:AD36"/>
    <mergeCell ref="O25:O30"/>
    <mergeCell ref="P25:P30"/>
    <mergeCell ref="Q25:Q30"/>
    <mergeCell ref="O37:O42"/>
    <mergeCell ref="P37:P42"/>
    <mergeCell ref="AD37:AD42"/>
    <mergeCell ref="AC37:AC42"/>
    <mergeCell ref="AB37:AB42"/>
    <mergeCell ref="AA37:AA42"/>
    <mergeCell ref="Z37:Z42"/>
    <mergeCell ref="Y37:Y42"/>
    <mergeCell ref="W37:W42"/>
    <mergeCell ref="V37:V42"/>
    <mergeCell ref="U37:U42"/>
    <mergeCell ref="T37:T42"/>
    <mergeCell ref="S37:S42"/>
    <mergeCell ref="R37:R42"/>
    <mergeCell ref="Q37:Q42"/>
  </mergeCells>
  <conditionalFormatting sqref="H25 H31">
    <cfRule type="cellIs" dxfId="146" priority="319" operator="equal">
      <formula>"Muy Alta"</formula>
    </cfRule>
    <cfRule type="cellIs" dxfId="145" priority="320" operator="equal">
      <formula>"Alta"</formula>
    </cfRule>
    <cfRule type="cellIs" dxfId="144" priority="321" operator="equal">
      <formula>"Media"</formula>
    </cfRule>
    <cfRule type="cellIs" dxfId="143" priority="322" operator="equal">
      <formula>"Baja"</formula>
    </cfRule>
    <cfRule type="cellIs" dxfId="142" priority="323" operator="equal">
      <formula>"Muy Baja"</formula>
    </cfRule>
  </conditionalFormatting>
  <conditionalFormatting sqref="H37">
    <cfRule type="cellIs" dxfId="141" priority="221" operator="equal">
      <formula>"Muy Alta"</formula>
    </cfRule>
    <cfRule type="cellIs" dxfId="140" priority="222" operator="equal">
      <formula>"Alta"</formula>
    </cfRule>
    <cfRule type="cellIs" dxfId="139" priority="223" operator="equal">
      <formula>"Media"</formula>
    </cfRule>
    <cfRule type="cellIs" dxfId="138" priority="224" operator="equal">
      <formula>"Baja"</formula>
    </cfRule>
    <cfRule type="cellIs" dxfId="137" priority="225" operator="equal">
      <formula>"Muy Baja"</formula>
    </cfRule>
  </conditionalFormatting>
  <conditionalFormatting sqref="H43">
    <cfRule type="cellIs" dxfId="136" priority="193" operator="equal">
      <formula>"Muy Alta"</formula>
    </cfRule>
    <cfRule type="cellIs" dxfId="135" priority="194" operator="equal">
      <formula>"Alta"</formula>
    </cfRule>
    <cfRule type="cellIs" dxfId="134" priority="195" operator="equal">
      <formula>"Media"</formula>
    </cfRule>
    <cfRule type="cellIs" dxfId="133" priority="196" operator="equal">
      <formula>"Baja"</formula>
    </cfRule>
    <cfRule type="cellIs" dxfId="132" priority="197" operator="equal">
      <formula>"Muy Baja"</formula>
    </cfRule>
  </conditionalFormatting>
  <conditionalFormatting sqref="H49">
    <cfRule type="cellIs" dxfId="131" priority="165" operator="equal">
      <formula>"Muy Alta"</formula>
    </cfRule>
    <cfRule type="cellIs" dxfId="130" priority="166" operator="equal">
      <formula>"Alta"</formula>
    </cfRule>
    <cfRule type="cellIs" dxfId="129" priority="167" operator="equal">
      <formula>"Media"</formula>
    </cfRule>
    <cfRule type="cellIs" dxfId="128" priority="168" operator="equal">
      <formula>"Baja"</formula>
    </cfRule>
    <cfRule type="cellIs" dxfId="127" priority="169" operator="equal">
      <formula>"Muy Baja"</formula>
    </cfRule>
  </conditionalFormatting>
  <conditionalFormatting sqref="H55">
    <cfRule type="cellIs" dxfId="126" priority="137" operator="equal">
      <formula>"Muy Alta"</formula>
    </cfRule>
    <cfRule type="cellIs" dxfId="125" priority="138" operator="equal">
      <formula>"Alta"</formula>
    </cfRule>
    <cfRule type="cellIs" dxfId="124" priority="139" operator="equal">
      <formula>"Media"</formula>
    </cfRule>
    <cfRule type="cellIs" dxfId="123" priority="140" operator="equal">
      <formula>"Baja"</formula>
    </cfRule>
    <cfRule type="cellIs" dxfId="122" priority="141" operator="equal">
      <formula>"Muy Baja"</formula>
    </cfRule>
  </conditionalFormatting>
  <conditionalFormatting sqref="H61">
    <cfRule type="cellIs" dxfId="121" priority="109" operator="equal">
      <formula>"Muy Alta"</formula>
    </cfRule>
    <cfRule type="cellIs" dxfId="120" priority="110" operator="equal">
      <formula>"Alta"</formula>
    </cfRule>
    <cfRule type="cellIs" dxfId="119" priority="111" operator="equal">
      <formula>"Media"</formula>
    </cfRule>
    <cfRule type="cellIs" dxfId="118" priority="112" operator="equal">
      <formula>"Baja"</formula>
    </cfRule>
    <cfRule type="cellIs" dxfId="117" priority="113" operator="equal">
      <formula>"Muy Baja"</formula>
    </cfRule>
  </conditionalFormatting>
  <conditionalFormatting sqref="H67">
    <cfRule type="cellIs" dxfId="116" priority="81" operator="equal">
      <formula>"Muy Alta"</formula>
    </cfRule>
    <cfRule type="cellIs" dxfId="115" priority="82" operator="equal">
      <formula>"Alta"</formula>
    </cfRule>
    <cfRule type="cellIs" dxfId="114" priority="83" operator="equal">
      <formula>"Media"</formula>
    </cfRule>
    <cfRule type="cellIs" dxfId="113" priority="84" operator="equal">
      <formula>"Baja"</formula>
    </cfRule>
    <cfRule type="cellIs" dxfId="112" priority="85" operator="equal">
      <formula>"Muy Baja"</formula>
    </cfRule>
  </conditionalFormatting>
  <conditionalFormatting sqref="H73">
    <cfRule type="cellIs" dxfId="111" priority="53" operator="equal">
      <formula>"Muy Alta"</formula>
    </cfRule>
    <cfRule type="cellIs" dxfId="110" priority="54" operator="equal">
      <formula>"Alta"</formula>
    </cfRule>
    <cfRule type="cellIs" dxfId="109" priority="55" operator="equal">
      <formula>"Media"</formula>
    </cfRule>
    <cfRule type="cellIs" dxfId="108" priority="56" operator="equal">
      <formula>"Baja"</formula>
    </cfRule>
    <cfRule type="cellIs" dxfId="107" priority="57" operator="equal">
      <formula>"Muy Baja"</formula>
    </cfRule>
  </conditionalFormatting>
  <conditionalFormatting sqref="H79">
    <cfRule type="cellIs" dxfId="106" priority="25" operator="equal">
      <formula>"Muy Alta"</formula>
    </cfRule>
    <cfRule type="cellIs" dxfId="105" priority="26" operator="equal">
      <formula>"Alta"</formula>
    </cfRule>
    <cfRule type="cellIs" dxfId="104" priority="27" operator="equal">
      <formula>"Media"</formula>
    </cfRule>
    <cfRule type="cellIs" dxfId="103" priority="28" operator="equal">
      <formula>"Baja"</formula>
    </cfRule>
    <cfRule type="cellIs" dxfId="102" priority="29" operator="equal">
      <formula>"Muy Baja"</formula>
    </cfRule>
  </conditionalFormatting>
  <conditionalFormatting sqref="K25:K84">
    <cfRule type="containsText" dxfId="101" priority="1" operator="containsText" text="❌">
      <formula>NOT(ISERROR(SEARCH("❌",K25)))</formula>
    </cfRule>
  </conditionalFormatting>
  <conditionalFormatting sqref="L25 L31 L37 L43 L49 L55 L61 L67 L73 L79">
    <cfRule type="cellIs" dxfId="100" priority="314" operator="equal">
      <formula>"Catastrófico"</formula>
    </cfRule>
    <cfRule type="cellIs" dxfId="99" priority="315" operator="equal">
      <formula>"Mayor"</formula>
    </cfRule>
    <cfRule type="cellIs" dxfId="98" priority="316" operator="equal">
      <formula>"Moderado"</formula>
    </cfRule>
    <cfRule type="cellIs" dxfId="97" priority="317" operator="equal">
      <formula>"Menor"</formula>
    </cfRule>
    <cfRule type="cellIs" dxfId="96" priority="318" operator="equal">
      <formula>"Leve"</formula>
    </cfRule>
  </conditionalFormatting>
  <conditionalFormatting sqref="N25">
    <cfRule type="cellIs" dxfId="95" priority="310" operator="equal">
      <formula>"Extremo"</formula>
    </cfRule>
    <cfRule type="cellIs" dxfId="94" priority="311" operator="equal">
      <formula>"Alto"</formula>
    </cfRule>
    <cfRule type="cellIs" dxfId="93" priority="312" operator="equal">
      <formula>"Moderado"</formula>
    </cfRule>
    <cfRule type="cellIs" dxfId="92" priority="313" operator="equal">
      <formula>"Bajo"</formula>
    </cfRule>
  </conditionalFormatting>
  <conditionalFormatting sqref="N31">
    <cfRule type="cellIs" dxfId="91" priority="240" operator="equal">
      <formula>"Extremo"</formula>
    </cfRule>
    <cfRule type="cellIs" dxfId="90" priority="241" operator="equal">
      <formula>"Alto"</formula>
    </cfRule>
    <cfRule type="cellIs" dxfId="89" priority="242" operator="equal">
      <formula>"Moderado"</formula>
    </cfRule>
    <cfRule type="cellIs" dxfId="88" priority="243" operator="equal">
      <formula>"Bajo"</formula>
    </cfRule>
  </conditionalFormatting>
  <conditionalFormatting sqref="N37">
    <cfRule type="cellIs" dxfId="87" priority="212" operator="equal">
      <formula>"Extremo"</formula>
    </cfRule>
    <cfRule type="cellIs" dxfId="86" priority="213" operator="equal">
      <formula>"Alto"</formula>
    </cfRule>
    <cfRule type="cellIs" dxfId="85" priority="214" operator="equal">
      <formula>"Moderado"</formula>
    </cfRule>
    <cfRule type="cellIs" dxfId="84" priority="215" operator="equal">
      <formula>"Bajo"</formula>
    </cfRule>
  </conditionalFormatting>
  <conditionalFormatting sqref="N43">
    <cfRule type="cellIs" dxfId="83" priority="184" operator="equal">
      <formula>"Extremo"</formula>
    </cfRule>
    <cfRule type="cellIs" dxfId="82" priority="185" operator="equal">
      <formula>"Alto"</formula>
    </cfRule>
    <cfRule type="cellIs" dxfId="81" priority="186" operator="equal">
      <formula>"Moderado"</formula>
    </cfRule>
    <cfRule type="cellIs" dxfId="80" priority="187" operator="equal">
      <formula>"Bajo"</formula>
    </cfRule>
  </conditionalFormatting>
  <conditionalFormatting sqref="N49">
    <cfRule type="cellIs" dxfId="79" priority="156" operator="equal">
      <formula>"Extremo"</formula>
    </cfRule>
    <cfRule type="cellIs" dxfId="78" priority="157" operator="equal">
      <formula>"Alto"</formula>
    </cfRule>
    <cfRule type="cellIs" dxfId="77" priority="158" operator="equal">
      <formula>"Moderado"</formula>
    </cfRule>
    <cfRule type="cellIs" dxfId="76" priority="159" operator="equal">
      <formula>"Bajo"</formula>
    </cfRule>
  </conditionalFormatting>
  <conditionalFormatting sqref="N55">
    <cfRule type="cellIs" dxfId="75" priority="128" operator="equal">
      <formula>"Extremo"</formula>
    </cfRule>
    <cfRule type="cellIs" dxfId="74" priority="129" operator="equal">
      <formula>"Alto"</formula>
    </cfRule>
    <cfRule type="cellIs" dxfId="73" priority="130" operator="equal">
      <formula>"Moderado"</formula>
    </cfRule>
    <cfRule type="cellIs" dxfId="72" priority="131" operator="equal">
      <formula>"Bajo"</formula>
    </cfRule>
  </conditionalFormatting>
  <conditionalFormatting sqref="N61">
    <cfRule type="cellIs" dxfId="71" priority="100" operator="equal">
      <formula>"Extremo"</formula>
    </cfRule>
    <cfRule type="cellIs" dxfId="70" priority="101" operator="equal">
      <formula>"Alto"</formula>
    </cfRule>
    <cfRule type="cellIs" dxfId="69" priority="102" operator="equal">
      <formula>"Moderado"</formula>
    </cfRule>
    <cfRule type="cellIs" dxfId="68" priority="103" operator="equal">
      <formula>"Bajo"</formula>
    </cfRule>
  </conditionalFormatting>
  <conditionalFormatting sqref="N67">
    <cfRule type="cellIs" dxfId="67" priority="72" operator="equal">
      <formula>"Extremo"</formula>
    </cfRule>
    <cfRule type="cellIs" dxfId="66" priority="73" operator="equal">
      <formula>"Alto"</formula>
    </cfRule>
    <cfRule type="cellIs" dxfId="65" priority="74" operator="equal">
      <formula>"Moderado"</formula>
    </cfRule>
    <cfRule type="cellIs" dxfId="64" priority="75" operator="equal">
      <formula>"Bajo"</formula>
    </cfRule>
  </conditionalFormatting>
  <conditionalFormatting sqref="N73">
    <cfRule type="cellIs" dxfId="63" priority="44" operator="equal">
      <formula>"Extremo"</formula>
    </cfRule>
    <cfRule type="cellIs" dxfId="62" priority="45" operator="equal">
      <formula>"Alto"</formula>
    </cfRule>
    <cfRule type="cellIs" dxfId="61" priority="46" operator="equal">
      <formula>"Moderado"</formula>
    </cfRule>
    <cfRule type="cellIs" dxfId="60" priority="47" operator="equal">
      <formula>"Bajo"</formula>
    </cfRule>
  </conditionalFormatting>
  <conditionalFormatting sqref="N79">
    <cfRule type="cellIs" dxfId="59" priority="16" operator="equal">
      <formula>"Extremo"</formula>
    </cfRule>
    <cfRule type="cellIs" dxfId="58" priority="17" operator="equal">
      <formula>"Alto"</formula>
    </cfRule>
    <cfRule type="cellIs" dxfId="57" priority="18" operator="equal">
      <formula>"Moderado"</formula>
    </cfRule>
    <cfRule type="cellIs" dxfId="56" priority="19" operator="equal">
      <formula>"Bajo"</formula>
    </cfRule>
  </conditionalFormatting>
  <conditionalFormatting sqref="Y25">
    <cfRule type="cellIs" dxfId="55" priority="305" operator="equal">
      <formula>"Muy Alta"</formula>
    </cfRule>
    <cfRule type="cellIs" dxfId="54" priority="306" operator="equal">
      <formula>"Alta"</formula>
    </cfRule>
    <cfRule type="cellIs" dxfId="53" priority="307" operator="equal">
      <formula>"Media"</formula>
    </cfRule>
    <cfRule type="cellIs" dxfId="52" priority="308" operator="equal">
      <formula>"Baja"</formula>
    </cfRule>
    <cfRule type="cellIs" dxfId="51" priority="309" operator="equal">
      <formula>"Muy Baja"</formula>
    </cfRule>
  </conditionalFormatting>
  <conditionalFormatting sqref="Y31">
    <cfRule type="cellIs" dxfId="50" priority="235" operator="equal">
      <formula>"Muy Alta"</formula>
    </cfRule>
    <cfRule type="cellIs" dxfId="49" priority="236" operator="equal">
      <formula>"Alta"</formula>
    </cfRule>
    <cfRule type="cellIs" dxfId="48" priority="237" operator="equal">
      <formula>"Media"</formula>
    </cfRule>
    <cfRule type="cellIs" dxfId="47" priority="238" operator="equal">
      <formula>"Baja"</formula>
    </cfRule>
    <cfRule type="cellIs" dxfId="46" priority="239" operator="equal">
      <formula>"Muy Baja"</formula>
    </cfRule>
  </conditionalFormatting>
  <conditionalFormatting sqref="Y37">
    <cfRule type="cellIs" dxfId="45" priority="207" operator="equal">
      <formula>"Muy Alta"</formula>
    </cfRule>
    <cfRule type="cellIs" dxfId="44" priority="208" operator="equal">
      <formula>"Alta"</formula>
    </cfRule>
    <cfRule type="cellIs" dxfId="43" priority="209" operator="equal">
      <formula>"Media"</formula>
    </cfRule>
    <cfRule type="cellIs" dxfId="42" priority="210" operator="equal">
      <formula>"Baja"</formula>
    </cfRule>
    <cfRule type="cellIs" dxfId="41" priority="211" operator="equal">
      <formula>"Muy Baja"</formula>
    </cfRule>
  </conditionalFormatting>
  <conditionalFormatting sqref="Y43 Y49:Y84">
    <cfRule type="cellIs" dxfId="40" priority="11" operator="equal">
      <formula>"Muy Alta"</formula>
    </cfRule>
    <cfRule type="cellIs" dxfId="39" priority="12" operator="equal">
      <formula>"Alta"</formula>
    </cfRule>
    <cfRule type="cellIs" dxfId="38" priority="13" operator="equal">
      <formula>"Media"</formula>
    </cfRule>
    <cfRule type="cellIs" dxfId="37" priority="14" operator="equal">
      <formula>"Baja"</formula>
    </cfRule>
    <cfRule type="cellIs" dxfId="36" priority="15" operator="equal">
      <formula>"Muy Baja"</formula>
    </cfRule>
  </conditionalFormatting>
  <conditionalFormatting sqref="AA25">
    <cfRule type="cellIs" dxfId="35" priority="300" operator="equal">
      <formula>"Catastrófico"</formula>
    </cfRule>
    <cfRule type="cellIs" dxfId="34" priority="301" operator="equal">
      <formula>"Mayor"</formula>
    </cfRule>
    <cfRule type="cellIs" dxfId="33" priority="302" operator="equal">
      <formula>"Moderado"</formula>
    </cfRule>
    <cfRule type="cellIs" dxfId="32" priority="303" operator="equal">
      <formula>"Menor"</formula>
    </cfRule>
    <cfRule type="cellIs" dxfId="31" priority="304" operator="equal">
      <formula>"Leve"</formula>
    </cfRule>
  </conditionalFormatting>
  <conditionalFormatting sqref="AA31">
    <cfRule type="cellIs" dxfId="30" priority="230" operator="equal">
      <formula>"Catastrófico"</formula>
    </cfRule>
    <cfRule type="cellIs" dxfId="29" priority="231" operator="equal">
      <formula>"Mayor"</formula>
    </cfRule>
    <cfRule type="cellIs" dxfId="28" priority="232" operator="equal">
      <formula>"Moderado"</formula>
    </cfRule>
    <cfRule type="cellIs" dxfId="27" priority="233" operator="equal">
      <formula>"Menor"</formula>
    </cfRule>
    <cfRule type="cellIs" dxfId="26" priority="234" operator="equal">
      <formula>"Leve"</formula>
    </cfRule>
  </conditionalFormatting>
  <conditionalFormatting sqref="AA37">
    <cfRule type="cellIs" dxfId="25" priority="202" operator="equal">
      <formula>"Catastrófico"</formula>
    </cfRule>
    <cfRule type="cellIs" dxfId="24" priority="203" operator="equal">
      <formula>"Mayor"</formula>
    </cfRule>
    <cfRule type="cellIs" dxfId="23" priority="204" operator="equal">
      <formula>"Moderado"</formula>
    </cfRule>
    <cfRule type="cellIs" dxfId="22" priority="205" operator="equal">
      <formula>"Menor"</formula>
    </cfRule>
    <cfRule type="cellIs" dxfId="21" priority="206" operator="equal">
      <formula>"Leve"</formula>
    </cfRule>
  </conditionalFormatting>
  <conditionalFormatting sqref="AA43 AA49:AA84">
    <cfRule type="cellIs" dxfId="20" priority="6" operator="equal">
      <formula>"Catastrófico"</formula>
    </cfRule>
    <cfRule type="cellIs" dxfId="19" priority="7" operator="equal">
      <formula>"Mayor"</formula>
    </cfRule>
    <cfRule type="cellIs" dxfId="18" priority="8" operator="equal">
      <formula>"Moderado"</formula>
    </cfRule>
    <cfRule type="cellIs" dxfId="17" priority="9" operator="equal">
      <formula>"Menor"</formula>
    </cfRule>
    <cfRule type="cellIs" dxfId="16" priority="10" operator="equal">
      <formula>"Leve"</formula>
    </cfRule>
  </conditionalFormatting>
  <conditionalFormatting sqref="AC25">
    <cfRule type="cellIs" dxfId="15" priority="296" operator="equal">
      <formula>"Extremo"</formula>
    </cfRule>
    <cfRule type="cellIs" dxfId="14" priority="297" operator="equal">
      <formula>"Alto"</formula>
    </cfRule>
    <cfRule type="cellIs" dxfId="13" priority="298" operator="equal">
      <formula>"Moderado"</formula>
    </cfRule>
    <cfRule type="cellIs" dxfId="12" priority="299" operator="equal">
      <formula>"Bajo"</formula>
    </cfRule>
  </conditionalFormatting>
  <conditionalFormatting sqref="AC31">
    <cfRule type="cellIs" dxfId="11" priority="226" operator="equal">
      <formula>"Extremo"</formula>
    </cfRule>
    <cfRule type="cellIs" dxfId="10" priority="227" operator="equal">
      <formula>"Alto"</formula>
    </cfRule>
    <cfRule type="cellIs" dxfId="9" priority="228" operator="equal">
      <formula>"Moderado"</formula>
    </cfRule>
    <cfRule type="cellIs" dxfId="8" priority="229" operator="equal">
      <formula>"Bajo"</formula>
    </cfRule>
  </conditionalFormatting>
  <conditionalFormatting sqref="AC37">
    <cfRule type="cellIs" dxfId="7" priority="198" operator="equal">
      <formula>"Extremo"</formula>
    </cfRule>
    <cfRule type="cellIs" dxfId="6" priority="199" operator="equal">
      <formula>"Alto"</formula>
    </cfRule>
    <cfRule type="cellIs" dxfId="5" priority="200" operator="equal">
      <formula>"Moderado"</formula>
    </cfRule>
    <cfRule type="cellIs" dxfId="4" priority="201" operator="equal">
      <formula>"Bajo"</formula>
    </cfRule>
  </conditionalFormatting>
  <conditionalFormatting sqref="AC43 AC49:AC84">
    <cfRule type="cellIs" dxfId="3" priority="2" operator="equal">
      <formula>"Extremo"</formula>
    </cfRule>
    <cfRule type="cellIs" dxfId="2" priority="3" operator="equal">
      <formula>"Alto"</formula>
    </cfRule>
    <cfRule type="cellIs" dxfId="1" priority="4" operator="equal">
      <formula>"Moderado"</formula>
    </cfRule>
    <cfRule type="cellIs" dxfId="0" priority="5"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R25 R31 R37 R43 R49:R84</xm:sqref>
        </x14:dataValidation>
        <x14:dataValidation type="list" allowBlank="1" showInputMessage="1" showErrorMessage="1" xr:uid="{00000000-0002-0000-0100-000001000000}">
          <x14:formula1>
            <xm:f>'Tabla Valoración controles'!$D$7:$D$8</xm:f>
          </x14:formula1>
          <xm:sqref>S25 S31 S37 S43 S49:S84</xm:sqref>
        </x14:dataValidation>
        <x14:dataValidation type="list" allowBlank="1" showInputMessage="1" showErrorMessage="1" xr:uid="{00000000-0002-0000-0100-000002000000}">
          <x14:formula1>
            <xm:f>'Tabla Valoración controles'!$D$9:$D$10</xm:f>
          </x14:formula1>
          <xm:sqref>U25 U31 U37 U43 U49:U84</xm:sqref>
        </x14:dataValidation>
        <x14:dataValidation type="list" allowBlank="1" showInputMessage="1" showErrorMessage="1" xr:uid="{00000000-0002-0000-0100-000003000000}">
          <x14:formula1>
            <xm:f>'Tabla Valoración controles'!$D$11:$D$12</xm:f>
          </x14:formula1>
          <xm:sqref>V25 V31 V37 V43 V49:V84</xm:sqref>
        </x14:dataValidation>
        <x14:dataValidation type="list" allowBlank="1" showInputMessage="1" showErrorMessage="1" xr:uid="{00000000-0002-0000-0100-000004000000}">
          <x14:formula1>
            <xm:f>'Opciones Tratamiento'!$B$9:$B$10</xm:f>
          </x14:formula1>
          <xm:sqref>AJ25:AJ26 AJ28:AJ29 AJ31:AJ32 AJ34:AJ35 AJ37:AJ38 AJ40:AJ41 AJ79:AJ80 AJ82:AJ83 AJ49:AJ50 AJ52:AJ53 AJ55:AJ56 AJ58:AJ59 AJ61:AJ62 AJ64:AJ65 AJ67:AJ68 AJ70:AJ71 AJ73:AJ74 AJ76:AJ77 AJ43</xm:sqref>
        </x14:dataValidation>
        <x14:dataValidation type="list" allowBlank="1" showInputMessage="1" showErrorMessage="1" xr:uid="{00000000-0002-0000-0100-000005000000}">
          <x14:formula1>
            <xm:f>'Tabla Valoración controles'!$D$13:$D$14</xm:f>
          </x14:formula1>
          <xm:sqref>W25 W31 W37 W43 W49:W84</xm:sqref>
        </x14:dataValidation>
        <x14:dataValidation type="list" allowBlank="1" showInputMessage="1" showErrorMessage="1" xr:uid="{00000000-0002-0000-0100-000006000000}">
          <x14:formula1>
            <xm:f>'Opciones Tratamiento'!$B$13:$B$19</xm:f>
          </x14:formula1>
          <xm:sqref>F25:F84</xm:sqref>
        </x14:dataValidation>
        <x14:dataValidation type="list" allowBlank="1" showInputMessage="1" showErrorMessage="1" xr:uid="{00000000-0002-0000-0100-000007000000}">
          <x14:formula1>
            <xm:f>'Opciones Tratamiento'!$E$2:$E$4</xm:f>
          </x14:formula1>
          <xm:sqref>B25:B84</xm:sqref>
        </x14:dataValidation>
        <x14:dataValidation type="list" allowBlank="1" showInputMessage="1" showErrorMessage="1" xr:uid="{00000000-0002-0000-0100-000008000000}">
          <x14:formula1>
            <xm:f>'Opciones Tratamiento'!$B$2:$B$5</xm:f>
          </x14:formula1>
          <xm:sqref>AD25 AD31 AD37 AD43 AD49:AD84</xm:sqref>
        </x14:dataValidation>
        <x14:dataValidation type="list" allowBlank="1" showInputMessage="1" showErrorMessage="1" xr:uid="{00000000-0002-0000-0100-000009000000}">
          <x14:formula1>
            <xm:f>'Tabla Impacto'!$F$210:$F$221</xm:f>
          </x14:formula1>
          <xm:sqref>J25:J84</xm:sqref>
        </x14:dataValidation>
        <x14:dataValidation type="custom" allowBlank="1" showInputMessage="1" showErrorMessage="1" error="Recuerde que las acciones se generan bajo la medida de mitigar el riesgo" xr:uid="{00000000-0002-0000-0100-00000A000000}">
          <x14:formula1>
            <xm:f>IF(OR(AD25='Opciones Tratamiento'!$B$2,AD25='Opciones Tratamiento'!$B$3,AD25='Opciones Tratamiento'!$B$4),ISBLANK(AD25),ISTEXT(AD25))</xm:f>
          </x14:formula1>
          <xm:sqref>AE25 AE31 AE37 AE43 AE49:AE84</xm:sqref>
        </x14:dataValidation>
        <x14:dataValidation type="custom" allowBlank="1" showInputMessage="1" showErrorMessage="1" error="Recuerde que las acciones se generan bajo la medida de mitigar el riesgo" xr:uid="{00000000-0002-0000-0100-00000B000000}">
          <x14:formula1>
            <xm:f>IF(OR(AD25='Opciones Tratamiento'!$B$2,AD25='Opciones Tratamiento'!$B$3,AD25='Opciones Tratamiento'!$B$4),ISBLANK(AD25),ISTEXT(AD25))</xm:f>
          </x14:formula1>
          <xm:sqref>AF25:AF43 AF49:AF84</xm:sqref>
        </x14:dataValidation>
        <x14:dataValidation type="custom" allowBlank="1" showInputMessage="1" showErrorMessage="1" error="Recuerde que las acciones se generan bajo la medida de mitigar el riesgo" xr:uid="{00000000-0002-0000-0100-00000C000000}">
          <x14:formula1>
            <xm:f>IF(OR(AD25='Opciones Tratamiento'!$B$2,AD25='Opciones Tratamiento'!$B$3,AD25='Opciones Tratamiento'!$B$4),ISBLANK(AD25),ISTEXT(AD25))</xm:f>
          </x14:formula1>
          <xm:sqref>AG25:AG43 AG49:AG84</xm:sqref>
        </x14:dataValidation>
        <x14:dataValidation type="custom" allowBlank="1" showInputMessage="1" showErrorMessage="1" error="Recuerde que las acciones se generan bajo la medida de mitigar el riesgo" xr:uid="{00000000-0002-0000-0100-00000D000000}">
          <x14:formula1>
            <xm:f>IF(OR(AD25='Opciones Tratamiento'!$B$2,AD25='Opciones Tratamiento'!$B$3,AD25='Opciones Tratamiento'!$B$4),ISBLANK(AD25),ISTEXT(AD25))</xm:f>
          </x14:formula1>
          <xm:sqref>AH25:AH43 AH49:AH84</xm:sqref>
        </x14:dataValidation>
        <x14:dataValidation type="custom" allowBlank="1" showInputMessage="1" showErrorMessage="1" error="Recuerde que las acciones se generan bajo la medida de mitigar el riesgo" xr:uid="{00000000-0002-0000-0100-00000E000000}">
          <x14:formula1>
            <xm:f>IF(OR(AD25='Opciones Tratamiento'!$B$2,AD25='Opciones Tratamiento'!$B$3,AD25='Opciones Tratamiento'!$B$4),ISBLANK(AD25),ISTEXT(AD25))</xm:f>
          </x14:formula1>
          <xm:sqref>AI25:AI43 AI49:AI84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X22" sqref="X22:Y23"/>
    </sheetView>
  </sheetViews>
  <sheetFormatPr baseColWidth="10" defaultColWidth="11.42578125" defaultRowHeight="15" x14ac:dyDescent="0.25"/>
  <cols>
    <col min="2" max="39" width="5.7109375" customWidth="1"/>
    <col min="41" max="46" width="5.710937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349" t="s">
        <v>172</v>
      </c>
      <c r="C2" s="349"/>
      <c r="D2" s="349"/>
      <c r="E2" s="349"/>
      <c r="F2" s="349"/>
      <c r="G2" s="349"/>
      <c r="H2" s="349"/>
      <c r="I2" s="349"/>
      <c r="J2" s="386" t="s">
        <v>15</v>
      </c>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349"/>
      <c r="C3" s="349"/>
      <c r="D3" s="349"/>
      <c r="E3" s="349"/>
      <c r="F3" s="349"/>
      <c r="G3" s="349"/>
      <c r="H3" s="349"/>
      <c r="I3" s="349"/>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c r="AL3" s="386"/>
      <c r="AM3" s="386"/>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349"/>
      <c r="C4" s="349"/>
      <c r="D4" s="349"/>
      <c r="E4" s="349"/>
      <c r="F4" s="349"/>
      <c r="G4" s="349"/>
      <c r="H4" s="349"/>
      <c r="I4" s="349"/>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397" t="s">
        <v>167</v>
      </c>
      <c r="C6" s="397"/>
      <c r="D6" s="398"/>
      <c r="E6" s="387" t="s">
        <v>173</v>
      </c>
      <c r="F6" s="388"/>
      <c r="G6" s="388"/>
      <c r="H6" s="388"/>
      <c r="I6" s="389"/>
      <c r="J6" s="383" t="str">
        <f>IF(AND('Mapa final'!$H$25="Muy Alta",'Mapa final'!$L$25="Leve"),CONCATENATE("R",'Mapa final'!$A$25),"")</f>
        <v/>
      </c>
      <c r="K6" s="384"/>
      <c r="L6" s="384" t="str">
        <f>IF(AND('Mapa final'!$H$31="Muy Alta",'Mapa final'!$L$31="Leve"),CONCATENATE("R",'Mapa final'!$A$31),"")</f>
        <v/>
      </c>
      <c r="M6" s="384"/>
      <c r="N6" s="384" t="str">
        <f>IF(AND('Mapa final'!$H$37="Muy Alta",'Mapa final'!$L$37="Leve"),CONCATENATE("R",'Mapa final'!$A$37),"")</f>
        <v/>
      </c>
      <c r="O6" s="385"/>
      <c r="P6" s="383" t="str">
        <f>IF(AND('Mapa final'!$H$25="Muy Alta",'Mapa final'!$L$25="Menor"),CONCATENATE("R",'Mapa final'!$A$25),"")</f>
        <v/>
      </c>
      <c r="Q6" s="384"/>
      <c r="R6" s="384" t="str">
        <f>IF(AND('Mapa final'!$H$31="Muy Alta",'Mapa final'!$L$31="Menor"),CONCATENATE("R",'Mapa final'!$A$31),"")</f>
        <v/>
      </c>
      <c r="S6" s="384"/>
      <c r="T6" s="384" t="str">
        <f>IF(AND('Mapa final'!$H$37="Muy Alta",'Mapa final'!$L$37="Menor"),CONCATENATE("R",'Mapa final'!$A$37),"")</f>
        <v/>
      </c>
      <c r="U6" s="385"/>
      <c r="V6" s="383" t="str">
        <f>IF(AND('Mapa final'!$H$25="Muy Alta",'Mapa final'!$L$25="Moderado"),CONCATENATE("R",'Mapa final'!$A$25),"")</f>
        <v/>
      </c>
      <c r="W6" s="384"/>
      <c r="X6" s="384" t="str">
        <f>IF(AND('Mapa final'!$H$31="Muy Alta",'Mapa final'!$L$31="Moderado"),CONCATENATE("R",'Mapa final'!$A$31),"")</f>
        <v/>
      </c>
      <c r="Y6" s="384"/>
      <c r="Z6" s="384" t="str">
        <f>IF(AND('Mapa final'!$H$37="Muy Alta",'Mapa final'!$L$37="Moderado"),CONCATENATE("R",'Mapa final'!$A$37),"")</f>
        <v/>
      </c>
      <c r="AA6" s="385"/>
      <c r="AB6" s="383" t="str">
        <f>IF(AND('Mapa final'!$H$25="Muy Alta",'Mapa final'!$L$25="Mayor"),CONCATENATE("R",'Mapa final'!$A$25),"")</f>
        <v/>
      </c>
      <c r="AC6" s="384"/>
      <c r="AD6" s="384" t="str">
        <f>IF(AND('Mapa final'!$H$31="Muy Alta",'Mapa final'!$L$31="Mayor"),CONCATENATE("R",'Mapa final'!$A$31),"")</f>
        <v/>
      </c>
      <c r="AE6" s="384"/>
      <c r="AF6" s="384" t="str">
        <f>IF(AND('Mapa final'!$H$37="Muy Alta",'Mapa final'!$L$37="Mayor"),CONCATENATE("R",'Mapa final'!$A$37),"")</f>
        <v/>
      </c>
      <c r="AG6" s="385"/>
      <c r="AH6" s="374" t="str">
        <f>IF(AND('Mapa final'!$H$25="Muy Alta",'Mapa final'!$L$25="Catastrófico"),CONCATENATE("R",'Mapa final'!$A$25),"")</f>
        <v/>
      </c>
      <c r="AI6" s="375"/>
      <c r="AJ6" s="375" t="str">
        <f>IF(AND('Mapa final'!$H$31="Muy Alta",'Mapa final'!$L$31="Catastrófico"),CONCATENATE("R",'Mapa final'!$A$31),"")</f>
        <v/>
      </c>
      <c r="AK6" s="375"/>
      <c r="AL6" s="375" t="str">
        <f>IF(AND('Mapa final'!$H$37="Muy Alta",'Mapa final'!$L$37="Catastrófico"),CONCATENATE("R",'Mapa final'!$A$37),"")</f>
        <v/>
      </c>
      <c r="AM6" s="376"/>
      <c r="AO6" s="399" t="s">
        <v>174</v>
      </c>
      <c r="AP6" s="400"/>
      <c r="AQ6" s="400"/>
      <c r="AR6" s="400"/>
      <c r="AS6" s="400"/>
      <c r="AT6" s="401"/>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397"/>
      <c r="C7" s="397"/>
      <c r="D7" s="398"/>
      <c r="E7" s="390"/>
      <c r="F7" s="391"/>
      <c r="G7" s="391"/>
      <c r="H7" s="391"/>
      <c r="I7" s="392"/>
      <c r="J7" s="377"/>
      <c r="K7" s="378"/>
      <c r="L7" s="378"/>
      <c r="M7" s="378"/>
      <c r="N7" s="378"/>
      <c r="O7" s="379"/>
      <c r="P7" s="377"/>
      <c r="Q7" s="378"/>
      <c r="R7" s="378"/>
      <c r="S7" s="378"/>
      <c r="T7" s="378"/>
      <c r="U7" s="379"/>
      <c r="V7" s="377"/>
      <c r="W7" s="378"/>
      <c r="X7" s="378"/>
      <c r="Y7" s="378"/>
      <c r="Z7" s="378"/>
      <c r="AA7" s="379"/>
      <c r="AB7" s="377"/>
      <c r="AC7" s="378"/>
      <c r="AD7" s="378"/>
      <c r="AE7" s="378"/>
      <c r="AF7" s="378"/>
      <c r="AG7" s="379"/>
      <c r="AH7" s="368"/>
      <c r="AI7" s="369"/>
      <c r="AJ7" s="369"/>
      <c r="AK7" s="369"/>
      <c r="AL7" s="369"/>
      <c r="AM7" s="370"/>
      <c r="AN7" s="82"/>
      <c r="AO7" s="402"/>
      <c r="AP7" s="403"/>
      <c r="AQ7" s="403"/>
      <c r="AR7" s="403"/>
      <c r="AS7" s="403"/>
      <c r="AT7" s="404"/>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397"/>
      <c r="C8" s="397"/>
      <c r="D8" s="398"/>
      <c r="E8" s="390"/>
      <c r="F8" s="391"/>
      <c r="G8" s="391"/>
      <c r="H8" s="391"/>
      <c r="I8" s="392"/>
      <c r="J8" s="377" t="str">
        <f>IF(AND('Mapa final'!$H$43="Muy Alta",'Mapa final'!$L$43="Leve"),CONCATENATE("R",'Mapa final'!$A$43),"")</f>
        <v/>
      </c>
      <c r="K8" s="378"/>
      <c r="L8" s="378" t="str">
        <f>IF(AND('Mapa final'!$H$49="Muy Alta",'Mapa final'!$L$49="Leve"),CONCATENATE("R",'Mapa final'!$A$49),"")</f>
        <v/>
      </c>
      <c r="M8" s="378"/>
      <c r="N8" s="378" t="str">
        <f>IF(AND('Mapa final'!$H$55="Muy Alta",'Mapa final'!$L$55="Leve"),CONCATENATE("R",'Mapa final'!$A$55),"")</f>
        <v/>
      </c>
      <c r="O8" s="379"/>
      <c r="P8" s="377" t="str">
        <f>IF(AND('Mapa final'!$H$43="Muy Alta",'Mapa final'!$L$43="Menor"),CONCATENATE("R",'Mapa final'!$A$43),"")</f>
        <v/>
      </c>
      <c r="Q8" s="378"/>
      <c r="R8" s="378" t="str">
        <f>IF(AND('Mapa final'!$H$49="Muy Alta",'Mapa final'!$L$49="Menor"),CONCATENATE("R",'Mapa final'!$A$49),"")</f>
        <v/>
      </c>
      <c r="S8" s="378"/>
      <c r="T8" s="378" t="str">
        <f>IF(AND('Mapa final'!$H$55="Muy Alta",'Mapa final'!$L$55="Menor"),CONCATENATE("R",'Mapa final'!$A$55),"")</f>
        <v/>
      </c>
      <c r="U8" s="379"/>
      <c r="V8" s="377" t="str">
        <f>IF(AND('Mapa final'!$H$43="Muy Alta",'Mapa final'!$L$43="Moderado"),CONCATENATE("R",'Mapa final'!$A$43),"")</f>
        <v/>
      </c>
      <c r="W8" s="378"/>
      <c r="X8" s="378" t="str">
        <f>IF(AND('Mapa final'!$H$49="Muy Alta",'Mapa final'!$L$49="Moderado"),CONCATENATE("R",'Mapa final'!$A$49),"")</f>
        <v/>
      </c>
      <c r="Y8" s="378"/>
      <c r="Z8" s="378" t="str">
        <f>IF(AND('Mapa final'!$H$55="Muy Alta",'Mapa final'!$L$55="Moderado"),CONCATENATE("R",'Mapa final'!$A$55),"")</f>
        <v/>
      </c>
      <c r="AA8" s="379"/>
      <c r="AB8" s="377" t="str">
        <f>IF(AND('Mapa final'!$H$43="Muy Alta",'Mapa final'!$L$43="Mayor"),CONCATENATE("R",'Mapa final'!$A$43),"")</f>
        <v/>
      </c>
      <c r="AC8" s="378"/>
      <c r="AD8" s="378" t="str">
        <f>IF(AND('Mapa final'!$H$49="Muy Alta",'Mapa final'!$L$49="Mayor"),CONCATENATE("R",'Mapa final'!$A$49),"")</f>
        <v/>
      </c>
      <c r="AE8" s="378"/>
      <c r="AF8" s="378" t="str">
        <f>IF(AND('Mapa final'!$H$55="Muy Alta",'Mapa final'!$L$55="Mayor"),CONCATENATE("R",'Mapa final'!$A$55),"")</f>
        <v/>
      </c>
      <c r="AG8" s="379"/>
      <c r="AH8" s="368" t="str">
        <f>IF(AND('Mapa final'!$H$43="Muy Alta",'Mapa final'!$L$43="Catastrófico"),CONCATENATE("R",'Mapa final'!$A$43),"")</f>
        <v/>
      </c>
      <c r="AI8" s="369"/>
      <c r="AJ8" s="369" t="str">
        <f>IF(AND('Mapa final'!$H$49="Muy Alta",'Mapa final'!$L$49="Catastrófico"),CONCATENATE("R",'Mapa final'!$A$49),"")</f>
        <v/>
      </c>
      <c r="AK8" s="369"/>
      <c r="AL8" s="369" t="str">
        <f>IF(AND('Mapa final'!$H$55="Muy Alta",'Mapa final'!$L$55="Catastrófico"),CONCATENATE("R",'Mapa final'!$A$55),"")</f>
        <v/>
      </c>
      <c r="AM8" s="370"/>
      <c r="AN8" s="82"/>
      <c r="AO8" s="402"/>
      <c r="AP8" s="403"/>
      <c r="AQ8" s="403"/>
      <c r="AR8" s="403"/>
      <c r="AS8" s="403"/>
      <c r="AT8" s="404"/>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397"/>
      <c r="C9" s="397"/>
      <c r="D9" s="398"/>
      <c r="E9" s="390"/>
      <c r="F9" s="391"/>
      <c r="G9" s="391"/>
      <c r="H9" s="391"/>
      <c r="I9" s="392"/>
      <c r="J9" s="377"/>
      <c r="K9" s="378"/>
      <c r="L9" s="378"/>
      <c r="M9" s="378"/>
      <c r="N9" s="378"/>
      <c r="O9" s="379"/>
      <c r="P9" s="377"/>
      <c r="Q9" s="378"/>
      <c r="R9" s="378"/>
      <c r="S9" s="378"/>
      <c r="T9" s="378"/>
      <c r="U9" s="379"/>
      <c r="V9" s="377"/>
      <c r="W9" s="378"/>
      <c r="X9" s="378"/>
      <c r="Y9" s="378"/>
      <c r="Z9" s="378"/>
      <c r="AA9" s="379"/>
      <c r="AB9" s="377"/>
      <c r="AC9" s="378"/>
      <c r="AD9" s="378"/>
      <c r="AE9" s="378"/>
      <c r="AF9" s="378"/>
      <c r="AG9" s="379"/>
      <c r="AH9" s="368"/>
      <c r="AI9" s="369"/>
      <c r="AJ9" s="369"/>
      <c r="AK9" s="369"/>
      <c r="AL9" s="369"/>
      <c r="AM9" s="370"/>
      <c r="AN9" s="82"/>
      <c r="AO9" s="402"/>
      <c r="AP9" s="403"/>
      <c r="AQ9" s="403"/>
      <c r="AR9" s="403"/>
      <c r="AS9" s="403"/>
      <c r="AT9" s="404"/>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397"/>
      <c r="C10" s="397"/>
      <c r="D10" s="398"/>
      <c r="E10" s="390"/>
      <c r="F10" s="391"/>
      <c r="G10" s="391"/>
      <c r="H10" s="391"/>
      <c r="I10" s="392"/>
      <c r="J10" s="377" t="str">
        <f>IF(AND('Mapa final'!$H$61="Muy Alta",'Mapa final'!$L$61="Leve"),CONCATENATE("R",'Mapa final'!$A$61),"")</f>
        <v/>
      </c>
      <c r="K10" s="378"/>
      <c r="L10" s="378" t="str">
        <f>IF(AND('Mapa final'!$H$67="Muy Alta",'Mapa final'!$L$67="Leve"),CONCATENATE("R",'Mapa final'!$A$67),"")</f>
        <v/>
      </c>
      <c r="M10" s="378"/>
      <c r="N10" s="378" t="str">
        <f>IF(AND('Mapa final'!$H$73="Muy Alta",'Mapa final'!$L$73="Leve"),CONCATENATE("R",'Mapa final'!$A$73),"")</f>
        <v/>
      </c>
      <c r="O10" s="379"/>
      <c r="P10" s="377" t="str">
        <f>IF(AND('Mapa final'!$H$61="Muy Alta",'Mapa final'!$L$61="Menor"),CONCATENATE("R",'Mapa final'!$A$61),"")</f>
        <v/>
      </c>
      <c r="Q10" s="378"/>
      <c r="R10" s="378" t="str">
        <f>IF(AND('Mapa final'!$H$67="Muy Alta",'Mapa final'!$L$67="Menor"),CONCATENATE("R",'Mapa final'!$A$67),"")</f>
        <v/>
      </c>
      <c r="S10" s="378"/>
      <c r="T10" s="378" t="str">
        <f>IF(AND('Mapa final'!$H$73="Muy Alta",'Mapa final'!$L$73="Menor"),CONCATENATE("R",'Mapa final'!$A$73),"")</f>
        <v/>
      </c>
      <c r="U10" s="379"/>
      <c r="V10" s="377" t="str">
        <f>IF(AND('Mapa final'!$H$61="Muy Alta",'Mapa final'!$L$61="Moderado"),CONCATENATE("R",'Mapa final'!$A$61),"")</f>
        <v/>
      </c>
      <c r="W10" s="378"/>
      <c r="X10" s="378" t="str">
        <f>IF(AND('Mapa final'!$H$67="Muy Alta",'Mapa final'!$L$67="Moderado"),CONCATENATE("R",'Mapa final'!$A$67),"")</f>
        <v/>
      </c>
      <c r="Y10" s="378"/>
      <c r="Z10" s="378" t="str">
        <f>IF(AND('Mapa final'!$H$73="Muy Alta",'Mapa final'!$L$73="Moderado"),CONCATENATE("R",'Mapa final'!$A$73),"")</f>
        <v/>
      </c>
      <c r="AA10" s="379"/>
      <c r="AB10" s="377" t="str">
        <f>IF(AND('Mapa final'!$H$61="Muy Alta",'Mapa final'!$L$61="Mayor"),CONCATENATE("R",'Mapa final'!$A$61),"")</f>
        <v/>
      </c>
      <c r="AC10" s="378"/>
      <c r="AD10" s="378" t="str">
        <f>IF(AND('Mapa final'!$H$67="Muy Alta",'Mapa final'!$L$67="Mayor"),CONCATENATE("R",'Mapa final'!$A$67),"")</f>
        <v/>
      </c>
      <c r="AE10" s="378"/>
      <c r="AF10" s="378" t="str">
        <f>IF(AND('Mapa final'!$H$73="Muy Alta",'Mapa final'!$L$73="Mayor"),CONCATENATE("R",'Mapa final'!$A$73),"")</f>
        <v/>
      </c>
      <c r="AG10" s="379"/>
      <c r="AH10" s="368" t="str">
        <f>IF(AND('Mapa final'!$H$61="Muy Alta",'Mapa final'!$L$61="Catastrófico"),CONCATENATE("R",'Mapa final'!$A$61),"")</f>
        <v/>
      </c>
      <c r="AI10" s="369"/>
      <c r="AJ10" s="369" t="str">
        <f>IF(AND('Mapa final'!$H$67="Muy Alta",'Mapa final'!$L$67="Catastrófico"),CONCATENATE("R",'Mapa final'!$A$67),"")</f>
        <v/>
      </c>
      <c r="AK10" s="369"/>
      <c r="AL10" s="369" t="str">
        <f>IF(AND('Mapa final'!$H$73="Muy Alta",'Mapa final'!$L$73="Catastrófico"),CONCATENATE("R",'Mapa final'!$A$73),"")</f>
        <v/>
      </c>
      <c r="AM10" s="370"/>
      <c r="AN10" s="82"/>
      <c r="AO10" s="402"/>
      <c r="AP10" s="403"/>
      <c r="AQ10" s="403"/>
      <c r="AR10" s="403"/>
      <c r="AS10" s="403"/>
      <c r="AT10" s="404"/>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397"/>
      <c r="C11" s="397"/>
      <c r="D11" s="398"/>
      <c r="E11" s="390"/>
      <c r="F11" s="391"/>
      <c r="G11" s="391"/>
      <c r="H11" s="391"/>
      <c r="I11" s="392"/>
      <c r="J11" s="377"/>
      <c r="K11" s="378"/>
      <c r="L11" s="378"/>
      <c r="M11" s="378"/>
      <c r="N11" s="378"/>
      <c r="O11" s="379"/>
      <c r="P11" s="377"/>
      <c r="Q11" s="378"/>
      <c r="R11" s="378"/>
      <c r="S11" s="378"/>
      <c r="T11" s="378"/>
      <c r="U11" s="379"/>
      <c r="V11" s="377"/>
      <c r="W11" s="378"/>
      <c r="X11" s="378"/>
      <c r="Y11" s="378"/>
      <c r="Z11" s="378"/>
      <c r="AA11" s="379"/>
      <c r="AB11" s="377"/>
      <c r="AC11" s="378"/>
      <c r="AD11" s="378"/>
      <c r="AE11" s="378"/>
      <c r="AF11" s="378"/>
      <c r="AG11" s="379"/>
      <c r="AH11" s="368"/>
      <c r="AI11" s="369"/>
      <c r="AJ11" s="369"/>
      <c r="AK11" s="369"/>
      <c r="AL11" s="369"/>
      <c r="AM11" s="370"/>
      <c r="AN11" s="82"/>
      <c r="AO11" s="402"/>
      <c r="AP11" s="403"/>
      <c r="AQ11" s="403"/>
      <c r="AR11" s="403"/>
      <c r="AS11" s="403"/>
      <c r="AT11" s="404"/>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397"/>
      <c r="C12" s="397"/>
      <c r="D12" s="398"/>
      <c r="E12" s="390"/>
      <c r="F12" s="391"/>
      <c r="G12" s="391"/>
      <c r="H12" s="391"/>
      <c r="I12" s="392"/>
      <c r="J12" s="377" t="str">
        <f>IF(AND('Mapa final'!$H$79="Muy Alta",'Mapa final'!$L$79="Leve"),CONCATENATE("R",'Mapa final'!$A$79),"")</f>
        <v/>
      </c>
      <c r="K12" s="378"/>
      <c r="L12" s="378" t="str">
        <f>IF(AND('Mapa final'!$H$85="Muy Alta",'Mapa final'!$L$85="Leve"),CONCATENATE("R",'Mapa final'!$A$85),"")</f>
        <v/>
      </c>
      <c r="M12" s="378"/>
      <c r="N12" s="378" t="str">
        <f>IF(AND('Mapa final'!$H$91="Muy Alta",'Mapa final'!$L$91="Leve"),CONCATENATE("R",'Mapa final'!$A$91),"")</f>
        <v/>
      </c>
      <c r="O12" s="379"/>
      <c r="P12" s="377" t="str">
        <f>IF(AND('Mapa final'!$H$79="Muy Alta",'Mapa final'!$L$79="Menor"),CONCATENATE("R",'Mapa final'!$A$79),"")</f>
        <v/>
      </c>
      <c r="Q12" s="378"/>
      <c r="R12" s="378" t="str">
        <f>IF(AND('Mapa final'!$H$85="Muy Alta",'Mapa final'!$L$85="Menor"),CONCATENATE("R",'Mapa final'!$A$85),"")</f>
        <v/>
      </c>
      <c r="S12" s="378"/>
      <c r="T12" s="378" t="str">
        <f>IF(AND('Mapa final'!$H$91="Muy Alta",'Mapa final'!$L$91="Menor"),CONCATENATE("R",'Mapa final'!$A$91),"")</f>
        <v/>
      </c>
      <c r="U12" s="379"/>
      <c r="V12" s="377" t="str">
        <f>IF(AND('Mapa final'!$H$79="Muy Alta",'Mapa final'!$L$79="Moderado"),CONCATENATE("R",'Mapa final'!$A$79),"")</f>
        <v/>
      </c>
      <c r="W12" s="378"/>
      <c r="X12" s="378" t="str">
        <f>IF(AND('Mapa final'!$H$85="Muy Alta",'Mapa final'!$L$85="Moderado"),CONCATENATE("R",'Mapa final'!$A$85),"")</f>
        <v/>
      </c>
      <c r="Y12" s="378"/>
      <c r="Z12" s="378" t="str">
        <f>IF(AND('Mapa final'!$H$91="Muy Alta",'Mapa final'!$L$91="Moderado"),CONCATENATE("R",'Mapa final'!$A$91),"")</f>
        <v/>
      </c>
      <c r="AA12" s="379"/>
      <c r="AB12" s="377" t="str">
        <f>IF(AND('Mapa final'!$H$79="Muy Alta",'Mapa final'!$L$79="Mayor"),CONCATENATE("R",'Mapa final'!$A$79),"")</f>
        <v/>
      </c>
      <c r="AC12" s="378"/>
      <c r="AD12" s="378" t="str">
        <f>IF(AND('Mapa final'!$H$85="Muy Alta",'Mapa final'!$L$85="Mayor"),CONCATENATE("R",'Mapa final'!$A$85),"")</f>
        <v/>
      </c>
      <c r="AE12" s="378"/>
      <c r="AF12" s="378" t="str">
        <f>IF(AND('Mapa final'!$H$91="Muy Alta",'Mapa final'!$L$91="Mayor"),CONCATENATE("R",'Mapa final'!$A$91),"")</f>
        <v/>
      </c>
      <c r="AG12" s="379"/>
      <c r="AH12" s="368" t="str">
        <f>IF(AND('Mapa final'!$H$79="Muy Alta",'Mapa final'!$L$79="Catastrófico"),CONCATENATE("R",'Mapa final'!$A$79),"")</f>
        <v/>
      </c>
      <c r="AI12" s="369"/>
      <c r="AJ12" s="369" t="str">
        <f>IF(AND('Mapa final'!$H$85="Muy Alta",'Mapa final'!$L$85="Catastrófico"),CONCATENATE("R",'Mapa final'!$A$85),"")</f>
        <v/>
      </c>
      <c r="AK12" s="369"/>
      <c r="AL12" s="369" t="str">
        <f>IF(AND('Mapa final'!$H$91="Muy Alta",'Mapa final'!$L$91="Catastrófico"),CONCATENATE("R",'Mapa final'!$A$91),"")</f>
        <v/>
      </c>
      <c r="AM12" s="370"/>
      <c r="AN12" s="82"/>
      <c r="AO12" s="402"/>
      <c r="AP12" s="403"/>
      <c r="AQ12" s="403"/>
      <c r="AR12" s="403"/>
      <c r="AS12" s="403"/>
      <c r="AT12" s="404"/>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397"/>
      <c r="C13" s="397"/>
      <c r="D13" s="398"/>
      <c r="E13" s="393"/>
      <c r="F13" s="394"/>
      <c r="G13" s="394"/>
      <c r="H13" s="394"/>
      <c r="I13" s="395"/>
      <c r="J13" s="377"/>
      <c r="K13" s="378"/>
      <c r="L13" s="378"/>
      <c r="M13" s="378"/>
      <c r="N13" s="378"/>
      <c r="O13" s="379"/>
      <c r="P13" s="377"/>
      <c r="Q13" s="378"/>
      <c r="R13" s="378"/>
      <c r="S13" s="378"/>
      <c r="T13" s="378"/>
      <c r="U13" s="379"/>
      <c r="V13" s="377"/>
      <c r="W13" s="378"/>
      <c r="X13" s="378"/>
      <c r="Y13" s="378"/>
      <c r="Z13" s="378"/>
      <c r="AA13" s="379"/>
      <c r="AB13" s="377"/>
      <c r="AC13" s="378"/>
      <c r="AD13" s="378"/>
      <c r="AE13" s="378"/>
      <c r="AF13" s="378"/>
      <c r="AG13" s="379"/>
      <c r="AH13" s="371"/>
      <c r="AI13" s="372"/>
      <c r="AJ13" s="372"/>
      <c r="AK13" s="372"/>
      <c r="AL13" s="372"/>
      <c r="AM13" s="373"/>
      <c r="AN13" s="82"/>
      <c r="AO13" s="405"/>
      <c r="AP13" s="406"/>
      <c r="AQ13" s="406"/>
      <c r="AR13" s="406"/>
      <c r="AS13" s="406"/>
      <c r="AT13" s="407"/>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397"/>
      <c r="C14" s="397"/>
      <c r="D14" s="398"/>
      <c r="E14" s="387" t="s">
        <v>175</v>
      </c>
      <c r="F14" s="388"/>
      <c r="G14" s="388"/>
      <c r="H14" s="388"/>
      <c r="I14" s="388"/>
      <c r="J14" s="365" t="str">
        <f>IF(AND('Mapa final'!$H$25="Alta",'Mapa final'!$L$25="Leve"),CONCATENATE("R",'Mapa final'!$A$25),"")</f>
        <v/>
      </c>
      <c r="K14" s="366"/>
      <c r="L14" s="366" t="str">
        <f>IF(AND('Mapa final'!$H$31="Alta",'Mapa final'!$L$31="Leve"),CONCATENATE("R",'Mapa final'!$A$31),"")</f>
        <v/>
      </c>
      <c r="M14" s="366"/>
      <c r="N14" s="366" t="str">
        <f>IF(AND('Mapa final'!$H$37="Alta",'Mapa final'!$L$37="Leve"),CONCATENATE("R",'Mapa final'!$A$37),"")</f>
        <v/>
      </c>
      <c r="O14" s="367"/>
      <c r="P14" s="365" t="str">
        <f>IF(AND('Mapa final'!$H$25="Alta",'Mapa final'!$L$25="Menor"),CONCATENATE("R",'Mapa final'!$A$25),"")</f>
        <v/>
      </c>
      <c r="Q14" s="366"/>
      <c r="R14" s="366" t="str">
        <f>IF(AND('Mapa final'!$H$31="Alta",'Mapa final'!$L$31="Menor"),CONCATENATE("R",'Mapa final'!$A$31),"")</f>
        <v/>
      </c>
      <c r="S14" s="366"/>
      <c r="T14" s="366" t="str">
        <f>IF(AND('Mapa final'!$H$37="Alta",'Mapa final'!$L$37="Menor"),CONCATENATE("R",'Mapa final'!$A$37),"")</f>
        <v/>
      </c>
      <c r="U14" s="367"/>
      <c r="V14" s="383" t="str">
        <f>IF(AND('Mapa final'!$H$25="Alta",'Mapa final'!$L$25="Moderado"),CONCATENATE("R",'Mapa final'!$A$25),"")</f>
        <v/>
      </c>
      <c r="W14" s="384"/>
      <c r="X14" s="384" t="str">
        <f>IF(AND('Mapa final'!$H$31="Alta",'Mapa final'!$L$31="Moderado"),CONCATENATE("R",'Mapa final'!$A$31),"")</f>
        <v/>
      </c>
      <c r="Y14" s="384"/>
      <c r="Z14" s="384" t="str">
        <f>IF(AND('Mapa final'!$H$37="Alta",'Mapa final'!$L$37="Moderado"),CONCATENATE("R",'Mapa final'!$A$37),"")</f>
        <v/>
      </c>
      <c r="AA14" s="385"/>
      <c r="AB14" s="383" t="str">
        <f>IF(AND('Mapa final'!$H$25="Alta",'Mapa final'!$L$25="Mayor"),CONCATENATE("R",'Mapa final'!$A$25),"")</f>
        <v/>
      </c>
      <c r="AC14" s="384"/>
      <c r="AD14" s="384" t="str">
        <f>IF(AND('Mapa final'!$H$31="Alta",'Mapa final'!$L$31="Mayor"),CONCATENATE("R",'Mapa final'!$A$31),"")</f>
        <v/>
      </c>
      <c r="AE14" s="384"/>
      <c r="AF14" s="384" t="str">
        <f>IF(AND('Mapa final'!$H$37="Alta",'Mapa final'!$L$37="Mayor"),CONCATENATE("R",'Mapa final'!$A$37),"")</f>
        <v/>
      </c>
      <c r="AG14" s="385"/>
      <c r="AH14" s="374" t="str">
        <f>IF(AND('Mapa final'!$H$25="Alta",'Mapa final'!$L$25="Catastrófico"),CONCATENATE("R",'Mapa final'!$A$25),"")</f>
        <v/>
      </c>
      <c r="AI14" s="375"/>
      <c r="AJ14" s="375" t="str">
        <f>IF(AND('Mapa final'!$H$31="Alta",'Mapa final'!$L$31="Catastrófico"),CONCATENATE("R",'Mapa final'!$A$31),"")</f>
        <v/>
      </c>
      <c r="AK14" s="375"/>
      <c r="AL14" s="375" t="str">
        <f>IF(AND('Mapa final'!$H$37="Alta",'Mapa final'!$L$37="Catastrófico"),CONCATENATE("R",'Mapa final'!$A$37),"")</f>
        <v/>
      </c>
      <c r="AM14" s="376"/>
      <c r="AN14" s="82"/>
      <c r="AO14" s="408" t="s">
        <v>176</v>
      </c>
      <c r="AP14" s="409"/>
      <c r="AQ14" s="409"/>
      <c r="AR14" s="409"/>
      <c r="AS14" s="409"/>
      <c r="AT14" s="410"/>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397"/>
      <c r="C15" s="397"/>
      <c r="D15" s="398"/>
      <c r="E15" s="390"/>
      <c r="F15" s="391"/>
      <c r="G15" s="391"/>
      <c r="H15" s="391"/>
      <c r="I15" s="391"/>
      <c r="J15" s="359"/>
      <c r="K15" s="360"/>
      <c r="L15" s="360"/>
      <c r="M15" s="360"/>
      <c r="N15" s="360"/>
      <c r="O15" s="361"/>
      <c r="P15" s="359"/>
      <c r="Q15" s="360"/>
      <c r="R15" s="360"/>
      <c r="S15" s="360"/>
      <c r="T15" s="360"/>
      <c r="U15" s="361"/>
      <c r="V15" s="377"/>
      <c r="W15" s="378"/>
      <c r="X15" s="378"/>
      <c r="Y15" s="378"/>
      <c r="Z15" s="378"/>
      <c r="AA15" s="379"/>
      <c r="AB15" s="377"/>
      <c r="AC15" s="378"/>
      <c r="AD15" s="378"/>
      <c r="AE15" s="378"/>
      <c r="AF15" s="378"/>
      <c r="AG15" s="379"/>
      <c r="AH15" s="368"/>
      <c r="AI15" s="369"/>
      <c r="AJ15" s="369"/>
      <c r="AK15" s="369"/>
      <c r="AL15" s="369"/>
      <c r="AM15" s="370"/>
      <c r="AN15" s="82"/>
      <c r="AO15" s="411"/>
      <c r="AP15" s="412"/>
      <c r="AQ15" s="412"/>
      <c r="AR15" s="412"/>
      <c r="AS15" s="412"/>
      <c r="AT15" s="413"/>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397"/>
      <c r="C16" s="397"/>
      <c r="D16" s="398"/>
      <c r="E16" s="390"/>
      <c r="F16" s="391"/>
      <c r="G16" s="391"/>
      <c r="H16" s="391"/>
      <c r="I16" s="391"/>
      <c r="J16" s="359" t="str">
        <f>IF(AND('Mapa final'!$H$43="Alta",'Mapa final'!$L$43="Leve"),CONCATENATE("R",'Mapa final'!$A$43),"")</f>
        <v/>
      </c>
      <c r="K16" s="360"/>
      <c r="L16" s="360" t="str">
        <f>IF(AND('Mapa final'!$H$49="Alta",'Mapa final'!$L$49="Leve"),CONCATENATE("R",'Mapa final'!$A$49),"")</f>
        <v/>
      </c>
      <c r="M16" s="360"/>
      <c r="N16" s="360" t="str">
        <f>IF(AND('Mapa final'!$H$55="Alta",'Mapa final'!$L$55="Leve"),CONCATENATE("R",'Mapa final'!$A$55),"")</f>
        <v/>
      </c>
      <c r="O16" s="361"/>
      <c r="P16" s="359" t="str">
        <f>IF(AND('Mapa final'!$H$43="Alta",'Mapa final'!$L$43="Menor"),CONCATENATE("R",'Mapa final'!$A$43),"")</f>
        <v/>
      </c>
      <c r="Q16" s="360"/>
      <c r="R16" s="360" t="str">
        <f>IF(AND('Mapa final'!$H$49="Alta",'Mapa final'!$L$49="Menor"),CONCATENATE("R",'Mapa final'!$A$49),"")</f>
        <v/>
      </c>
      <c r="S16" s="360"/>
      <c r="T16" s="360" t="str">
        <f>IF(AND('Mapa final'!$H$55="Alta",'Mapa final'!$L$55="Menor"),CONCATENATE("R",'Mapa final'!$A$55),"")</f>
        <v/>
      </c>
      <c r="U16" s="361"/>
      <c r="V16" s="377" t="str">
        <f>IF(AND('Mapa final'!$H$43="Alta",'Mapa final'!$L$43="Moderado"),CONCATENATE("R",'Mapa final'!$A$43),"")</f>
        <v/>
      </c>
      <c r="W16" s="378"/>
      <c r="X16" s="378" t="str">
        <f>IF(AND('Mapa final'!$H$49="Alta",'Mapa final'!$L$49="Moderado"),CONCATENATE("R",'Mapa final'!$A$49),"")</f>
        <v/>
      </c>
      <c r="Y16" s="378"/>
      <c r="Z16" s="378" t="str">
        <f>IF(AND('Mapa final'!$H$55="Alta",'Mapa final'!$L$55="Moderado"),CONCATENATE("R",'Mapa final'!$A$55),"")</f>
        <v/>
      </c>
      <c r="AA16" s="379"/>
      <c r="AB16" s="377" t="str">
        <f>IF(AND('Mapa final'!$H$43="Alta",'Mapa final'!$L$43="Mayor"),CONCATENATE("R",'Mapa final'!$A$43),"")</f>
        <v/>
      </c>
      <c r="AC16" s="378"/>
      <c r="AD16" s="378" t="str">
        <f>IF(AND('Mapa final'!$H$49="Alta",'Mapa final'!$L$49="Mayor"),CONCATENATE("R",'Mapa final'!$A$49),"")</f>
        <v/>
      </c>
      <c r="AE16" s="378"/>
      <c r="AF16" s="378" t="str">
        <f>IF(AND('Mapa final'!$H$55="Alta",'Mapa final'!$L$55="Mayor"),CONCATENATE("R",'Mapa final'!$A$55),"")</f>
        <v/>
      </c>
      <c r="AG16" s="379"/>
      <c r="AH16" s="368" t="str">
        <f>IF(AND('Mapa final'!$H$43="Alta",'Mapa final'!$L$43="Catastrófico"),CONCATENATE("R",'Mapa final'!$A$43),"")</f>
        <v/>
      </c>
      <c r="AI16" s="369"/>
      <c r="AJ16" s="369" t="str">
        <f>IF(AND('Mapa final'!$H$49="Alta",'Mapa final'!$L$49="Catastrófico"),CONCATENATE("R",'Mapa final'!$A$49),"")</f>
        <v/>
      </c>
      <c r="AK16" s="369"/>
      <c r="AL16" s="369" t="str">
        <f>IF(AND('Mapa final'!$H$55="Alta",'Mapa final'!$L$55="Catastrófico"),CONCATENATE("R",'Mapa final'!$A$55),"")</f>
        <v/>
      </c>
      <c r="AM16" s="370"/>
      <c r="AN16" s="82"/>
      <c r="AO16" s="411"/>
      <c r="AP16" s="412"/>
      <c r="AQ16" s="412"/>
      <c r="AR16" s="412"/>
      <c r="AS16" s="412"/>
      <c r="AT16" s="413"/>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397"/>
      <c r="C17" s="397"/>
      <c r="D17" s="398"/>
      <c r="E17" s="390"/>
      <c r="F17" s="391"/>
      <c r="G17" s="391"/>
      <c r="H17" s="391"/>
      <c r="I17" s="391"/>
      <c r="J17" s="359"/>
      <c r="K17" s="360"/>
      <c r="L17" s="360"/>
      <c r="M17" s="360"/>
      <c r="N17" s="360"/>
      <c r="O17" s="361"/>
      <c r="P17" s="359"/>
      <c r="Q17" s="360"/>
      <c r="R17" s="360"/>
      <c r="S17" s="360"/>
      <c r="T17" s="360"/>
      <c r="U17" s="361"/>
      <c r="V17" s="377"/>
      <c r="W17" s="378"/>
      <c r="X17" s="378"/>
      <c r="Y17" s="378"/>
      <c r="Z17" s="378"/>
      <c r="AA17" s="379"/>
      <c r="AB17" s="377"/>
      <c r="AC17" s="378"/>
      <c r="AD17" s="378"/>
      <c r="AE17" s="378"/>
      <c r="AF17" s="378"/>
      <c r="AG17" s="379"/>
      <c r="AH17" s="368"/>
      <c r="AI17" s="369"/>
      <c r="AJ17" s="369"/>
      <c r="AK17" s="369"/>
      <c r="AL17" s="369"/>
      <c r="AM17" s="370"/>
      <c r="AN17" s="82"/>
      <c r="AO17" s="411"/>
      <c r="AP17" s="412"/>
      <c r="AQ17" s="412"/>
      <c r="AR17" s="412"/>
      <c r="AS17" s="412"/>
      <c r="AT17" s="413"/>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397"/>
      <c r="C18" s="397"/>
      <c r="D18" s="398"/>
      <c r="E18" s="390"/>
      <c r="F18" s="391"/>
      <c r="G18" s="391"/>
      <c r="H18" s="391"/>
      <c r="I18" s="391"/>
      <c r="J18" s="359" t="str">
        <f>IF(AND('Mapa final'!$H$61="Alta",'Mapa final'!$L$61="Leve"),CONCATENATE("R",'Mapa final'!$A$61),"")</f>
        <v/>
      </c>
      <c r="K18" s="360"/>
      <c r="L18" s="360" t="str">
        <f>IF(AND('Mapa final'!$H$67="Alta",'Mapa final'!$L$67="Leve"),CONCATENATE("R",'Mapa final'!$A$67),"")</f>
        <v/>
      </c>
      <c r="M18" s="360"/>
      <c r="N18" s="360" t="str">
        <f>IF(AND('Mapa final'!$H$73="Alta",'Mapa final'!$L$73="Leve"),CONCATENATE("R",'Mapa final'!$A$73),"")</f>
        <v/>
      </c>
      <c r="O18" s="361"/>
      <c r="P18" s="359" t="str">
        <f>IF(AND('Mapa final'!$H$61="Alta",'Mapa final'!$L$61="Menor"),CONCATENATE("R",'Mapa final'!$A$61),"")</f>
        <v/>
      </c>
      <c r="Q18" s="360"/>
      <c r="R18" s="360" t="str">
        <f>IF(AND('Mapa final'!$H$67="Alta",'Mapa final'!$L$67="Menor"),CONCATENATE("R",'Mapa final'!$A$67),"")</f>
        <v/>
      </c>
      <c r="S18" s="360"/>
      <c r="T18" s="360" t="str">
        <f>IF(AND('Mapa final'!$H$73="Alta",'Mapa final'!$L$73="Menor"),CONCATENATE("R",'Mapa final'!$A$73),"")</f>
        <v/>
      </c>
      <c r="U18" s="361"/>
      <c r="V18" s="377" t="str">
        <f>IF(AND('Mapa final'!$H$61="Alta",'Mapa final'!$L$61="Moderado"),CONCATENATE("R",'Mapa final'!$A$61),"")</f>
        <v/>
      </c>
      <c r="W18" s="378"/>
      <c r="X18" s="378" t="str">
        <f>IF(AND('Mapa final'!$H$67="Alta",'Mapa final'!$L$67="Moderado"),CONCATENATE("R",'Mapa final'!$A$67),"")</f>
        <v/>
      </c>
      <c r="Y18" s="378"/>
      <c r="Z18" s="378" t="str">
        <f>IF(AND('Mapa final'!$H$73="Alta",'Mapa final'!$L$73="Moderado"),CONCATENATE("R",'Mapa final'!$A$73),"")</f>
        <v/>
      </c>
      <c r="AA18" s="379"/>
      <c r="AB18" s="377" t="str">
        <f>IF(AND('Mapa final'!$H$61="Alta",'Mapa final'!$L$61="Mayor"),CONCATENATE("R",'Mapa final'!$A$61),"")</f>
        <v/>
      </c>
      <c r="AC18" s="378"/>
      <c r="AD18" s="378" t="str">
        <f>IF(AND('Mapa final'!$H$67="Alta",'Mapa final'!$L$67="Mayor"),CONCATENATE("R",'Mapa final'!$A$67),"")</f>
        <v/>
      </c>
      <c r="AE18" s="378"/>
      <c r="AF18" s="378" t="str">
        <f>IF(AND('Mapa final'!$H$73="Alta",'Mapa final'!$L$73="Mayor"),CONCATENATE("R",'Mapa final'!$A$73),"")</f>
        <v/>
      </c>
      <c r="AG18" s="379"/>
      <c r="AH18" s="368" t="str">
        <f>IF(AND('Mapa final'!$H$61="Alta",'Mapa final'!$L$61="Catastrófico"),CONCATENATE("R",'Mapa final'!$A$61),"")</f>
        <v/>
      </c>
      <c r="AI18" s="369"/>
      <c r="AJ18" s="369" t="str">
        <f>IF(AND('Mapa final'!$H$67="Alta",'Mapa final'!$L$67="Catastrófico"),CONCATENATE("R",'Mapa final'!$A$67),"")</f>
        <v/>
      </c>
      <c r="AK18" s="369"/>
      <c r="AL18" s="369" t="str">
        <f>IF(AND('Mapa final'!$H$73="Alta",'Mapa final'!$L$73="Catastrófico"),CONCATENATE("R",'Mapa final'!$A$73),"")</f>
        <v/>
      </c>
      <c r="AM18" s="370"/>
      <c r="AN18" s="82"/>
      <c r="AO18" s="411"/>
      <c r="AP18" s="412"/>
      <c r="AQ18" s="412"/>
      <c r="AR18" s="412"/>
      <c r="AS18" s="412"/>
      <c r="AT18" s="413"/>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397"/>
      <c r="C19" s="397"/>
      <c r="D19" s="398"/>
      <c r="E19" s="390"/>
      <c r="F19" s="391"/>
      <c r="G19" s="391"/>
      <c r="H19" s="391"/>
      <c r="I19" s="391"/>
      <c r="J19" s="359"/>
      <c r="K19" s="360"/>
      <c r="L19" s="360"/>
      <c r="M19" s="360"/>
      <c r="N19" s="360"/>
      <c r="O19" s="361"/>
      <c r="P19" s="359"/>
      <c r="Q19" s="360"/>
      <c r="R19" s="360"/>
      <c r="S19" s="360"/>
      <c r="T19" s="360"/>
      <c r="U19" s="361"/>
      <c r="V19" s="377"/>
      <c r="W19" s="378"/>
      <c r="X19" s="378"/>
      <c r="Y19" s="378"/>
      <c r="Z19" s="378"/>
      <c r="AA19" s="379"/>
      <c r="AB19" s="377"/>
      <c r="AC19" s="378"/>
      <c r="AD19" s="378"/>
      <c r="AE19" s="378"/>
      <c r="AF19" s="378"/>
      <c r="AG19" s="379"/>
      <c r="AH19" s="368"/>
      <c r="AI19" s="369"/>
      <c r="AJ19" s="369"/>
      <c r="AK19" s="369"/>
      <c r="AL19" s="369"/>
      <c r="AM19" s="370"/>
      <c r="AN19" s="82"/>
      <c r="AO19" s="411"/>
      <c r="AP19" s="412"/>
      <c r="AQ19" s="412"/>
      <c r="AR19" s="412"/>
      <c r="AS19" s="412"/>
      <c r="AT19" s="413"/>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397"/>
      <c r="C20" s="397"/>
      <c r="D20" s="398"/>
      <c r="E20" s="390"/>
      <c r="F20" s="391"/>
      <c r="G20" s="391"/>
      <c r="H20" s="391"/>
      <c r="I20" s="391"/>
      <c r="J20" s="359" t="str">
        <f>IF(AND('Mapa final'!$H$79="Alta",'Mapa final'!$L$79="Leve"),CONCATENATE("R",'Mapa final'!$A$79),"")</f>
        <v/>
      </c>
      <c r="K20" s="360"/>
      <c r="L20" s="360" t="str">
        <f>IF(AND('Mapa final'!$H$85="Alta",'Mapa final'!$L$85="Leve"),CONCATENATE("R",'Mapa final'!$A$85),"")</f>
        <v/>
      </c>
      <c r="M20" s="360"/>
      <c r="N20" s="360" t="str">
        <f>IF(AND('Mapa final'!$H$91="Alta",'Mapa final'!$L$91="Leve"),CONCATENATE("R",'Mapa final'!$A$91),"")</f>
        <v/>
      </c>
      <c r="O20" s="361"/>
      <c r="P20" s="359" t="str">
        <f>IF(AND('Mapa final'!$H$79="Alta",'Mapa final'!$L$79="Menor"),CONCATENATE("R",'Mapa final'!$A$79),"")</f>
        <v/>
      </c>
      <c r="Q20" s="360"/>
      <c r="R20" s="360" t="str">
        <f>IF(AND('Mapa final'!$H$85="Alta",'Mapa final'!$L$85="Menor"),CONCATENATE("R",'Mapa final'!$A$85),"")</f>
        <v/>
      </c>
      <c r="S20" s="360"/>
      <c r="T20" s="360" t="str">
        <f>IF(AND('Mapa final'!$H$91="Alta",'Mapa final'!$L$91="Menor"),CONCATENATE("R",'Mapa final'!$A$91),"")</f>
        <v/>
      </c>
      <c r="U20" s="361"/>
      <c r="V20" s="377" t="str">
        <f>IF(AND('Mapa final'!$H$79="Alta",'Mapa final'!$L$79="Moderado"),CONCATENATE("R",'Mapa final'!$A$79),"")</f>
        <v/>
      </c>
      <c r="W20" s="378"/>
      <c r="X20" s="378" t="str">
        <f>IF(AND('Mapa final'!$H$85="Alta",'Mapa final'!$L$85="Moderado"),CONCATENATE("R",'Mapa final'!$A$85),"")</f>
        <v/>
      </c>
      <c r="Y20" s="378"/>
      <c r="Z20" s="378" t="str">
        <f>IF(AND('Mapa final'!$H$91="Alta",'Mapa final'!$L$91="Moderado"),CONCATENATE("R",'Mapa final'!$A$91),"")</f>
        <v/>
      </c>
      <c r="AA20" s="379"/>
      <c r="AB20" s="377" t="str">
        <f>IF(AND('Mapa final'!$H$79="Alta",'Mapa final'!$L$79="Mayor"),CONCATENATE("R",'Mapa final'!$A$79),"")</f>
        <v/>
      </c>
      <c r="AC20" s="378"/>
      <c r="AD20" s="378" t="str">
        <f>IF(AND('Mapa final'!$H$85="Alta",'Mapa final'!$L$85="Mayor"),CONCATENATE("R",'Mapa final'!$A$85),"")</f>
        <v/>
      </c>
      <c r="AE20" s="378"/>
      <c r="AF20" s="378" t="str">
        <f>IF(AND('Mapa final'!$H$91="Alta",'Mapa final'!$L$91="Mayor"),CONCATENATE("R",'Mapa final'!$A$91),"")</f>
        <v/>
      </c>
      <c r="AG20" s="379"/>
      <c r="AH20" s="368" t="str">
        <f>IF(AND('Mapa final'!$H$79="Alta",'Mapa final'!$L$79="Catastrófico"),CONCATENATE("R",'Mapa final'!$A$79),"")</f>
        <v/>
      </c>
      <c r="AI20" s="369"/>
      <c r="AJ20" s="369" t="str">
        <f>IF(AND('Mapa final'!$H$85="Alta",'Mapa final'!$L$85="Catastrófico"),CONCATENATE("R",'Mapa final'!$A$85),"")</f>
        <v/>
      </c>
      <c r="AK20" s="369"/>
      <c r="AL20" s="369" t="str">
        <f>IF(AND('Mapa final'!$H$91="Alta",'Mapa final'!$L$91="Catastrófico"),CONCATENATE("R",'Mapa final'!$A$91),"")</f>
        <v/>
      </c>
      <c r="AM20" s="370"/>
      <c r="AN20" s="82"/>
      <c r="AO20" s="411"/>
      <c r="AP20" s="412"/>
      <c r="AQ20" s="412"/>
      <c r="AR20" s="412"/>
      <c r="AS20" s="412"/>
      <c r="AT20" s="413"/>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397"/>
      <c r="C21" s="397"/>
      <c r="D21" s="398"/>
      <c r="E21" s="393"/>
      <c r="F21" s="394"/>
      <c r="G21" s="394"/>
      <c r="H21" s="394"/>
      <c r="I21" s="394"/>
      <c r="J21" s="362"/>
      <c r="K21" s="363"/>
      <c r="L21" s="363"/>
      <c r="M21" s="363"/>
      <c r="N21" s="363"/>
      <c r="O21" s="364"/>
      <c r="P21" s="362"/>
      <c r="Q21" s="363"/>
      <c r="R21" s="363"/>
      <c r="S21" s="363"/>
      <c r="T21" s="363"/>
      <c r="U21" s="364"/>
      <c r="V21" s="380"/>
      <c r="W21" s="381"/>
      <c r="X21" s="381"/>
      <c r="Y21" s="381"/>
      <c r="Z21" s="381"/>
      <c r="AA21" s="382"/>
      <c r="AB21" s="380"/>
      <c r="AC21" s="381"/>
      <c r="AD21" s="381"/>
      <c r="AE21" s="381"/>
      <c r="AF21" s="381"/>
      <c r="AG21" s="382"/>
      <c r="AH21" s="371"/>
      <c r="AI21" s="372"/>
      <c r="AJ21" s="372"/>
      <c r="AK21" s="372"/>
      <c r="AL21" s="372"/>
      <c r="AM21" s="373"/>
      <c r="AN21" s="82"/>
      <c r="AO21" s="414"/>
      <c r="AP21" s="415"/>
      <c r="AQ21" s="415"/>
      <c r="AR21" s="415"/>
      <c r="AS21" s="415"/>
      <c r="AT21" s="416"/>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397"/>
      <c r="C22" s="397"/>
      <c r="D22" s="398"/>
      <c r="E22" s="387" t="s">
        <v>177</v>
      </c>
      <c r="F22" s="388"/>
      <c r="G22" s="388"/>
      <c r="H22" s="388"/>
      <c r="I22" s="389"/>
      <c r="J22" s="365" t="str">
        <f>IF(AND('Mapa final'!$H$25="Media",'Mapa final'!$L$25="Leve"),CONCATENATE("R",'Mapa final'!$A$25),"")</f>
        <v/>
      </c>
      <c r="K22" s="366"/>
      <c r="L22" s="366" t="str">
        <f>IF(AND('Mapa final'!$H$31="Media",'Mapa final'!$L$31="Leve"),CONCATENATE("R",'Mapa final'!$A$31),"")</f>
        <v/>
      </c>
      <c r="M22" s="366"/>
      <c r="N22" s="366" t="str">
        <f>IF(AND('Mapa final'!$H$37="Media",'Mapa final'!$L$37="Leve"),CONCATENATE("R",'Mapa final'!$A$37),"")</f>
        <v/>
      </c>
      <c r="O22" s="367"/>
      <c r="P22" s="365" t="str">
        <f>IF(AND('Mapa final'!$H$25="Media",'Mapa final'!$L$25="Menor"),CONCATENATE("R",'Mapa final'!$A$25),"")</f>
        <v/>
      </c>
      <c r="Q22" s="366"/>
      <c r="R22" s="366" t="str">
        <f>IF(AND('Mapa final'!$H$31="Media",'Mapa final'!$L$31="Menor"),CONCATENATE("R",'Mapa final'!$A$31),"")</f>
        <v/>
      </c>
      <c r="S22" s="366"/>
      <c r="T22" s="366" t="str">
        <f>IF(AND('Mapa final'!$H$37="Media",'Mapa final'!$L$37="Menor"),CONCATENATE("R",'Mapa final'!$A$37),"")</f>
        <v/>
      </c>
      <c r="U22" s="367"/>
      <c r="V22" s="365" t="str">
        <f>IF(AND('Mapa final'!$H$25="Media",'Mapa final'!$L$25="Moderado"),CONCATENATE("R",'Mapa final'!$A$25),"")</f>
        <v/>
      </c>
      <c r="W22" s="366"/>
      <c r="X22" s="366" t="str">
        <f>IF(AND('Mapa final'!$H$31="Media",'Mapa final'!$L$31="Moderado"),CONCATENATE("R",'Mapa final'!$A$31),"")</f>
        <v>R2</v>
      </c>
      <c r="Y22" s="366"/>
      <c r="Z22" s="366" t="str">
        <f>IF(AND('Mapa final'!$H$37="Media",'Mapa final'!$L$37="Moderado"),CONCATENATE("R",'Mapa final'!$A$37),"")</f>
        <v/>
      </c>
      <c r="AA22" s="367"/>
      <c r="AB22" s="383" t="str">
        <f>IF(AND('Mapa final'!$H$25="Media",'Mapa final'!$L$25="Mayor"),CONCATENATE("R",'Mapa final'!$A$25),"")</f>
        <v/>
      </c>
      <c r="AC22" s="384"/>
      <c r="AD22" s="384" t="str">
        <f>IF(AND('Mapa final'!$H$31="Media",'Mapa final'!$L$31="Mayor"),CONCATENATE("R",'Mapa final'!$A$31),"")</f>
        <v/>
      </c>
      <c r="AE22" s="384"/>
      <c r="AF22" s="384" t="str">
        <f>IF(AND('Mapa final'!$H$37="Media",'Mapa final'!$L$37="Mayor"),CONCATENATE("R",'Mapa final'!$A$37),"")</f>
        <v/>
      </c>
      <c r="AG22" s="385"/>
      <c r="AH22" s="374" t="str">
        <f>IF(AND('Mapa final'!$H$25="Media",'Mapa final'!$L$25="Catastrófico"),CONCATENATE("R",'Mapa final'!$A$25),"")</f>
        <v/>
      </c>
      <c r="AI22" s="375"/>
      <c r="AJ22" s="375" t="str">
        <f>IF(AND('Mapa final'!$H$31="Media",'Mapa final'!$L$31="Catastrófico"),CONCATENATE("R",'Mapa final'!$A$31),"")</f>
        <v/>
      </c>
      <c r="AK22" s="375"/>
      <c r="AL22" s="375" t="str">
        <f>IF(AND('Mapa final'!$H$37="Media",'Mapa final'!$L$37="Catastrófico"),CONCATENATE("R",'Mapa final'!$A$37),"")</f>
        <v/>
      </c>
      <c r="AM22" s="376"/>
      <c r="AN22" s="82"/>
      <c r="AO22" s="417" t="s">
        <v>178</v>
      </c>
      <c r="AP22" s="418"/>
      <c r="AQ22" s="418"/>
      <c r="AR22" s="418"/>
      <c r="AS22" s="418"/>
      <c r="AT22" s="419"/>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397"/>
      <c r="C23" s="397"/>
      <c r="D23" s="398"/>
      <c r="E23" s="390"/>
      <c r="F23" s="391"/>
      <c r="G23" s="391"/>
      <c r="H23" s="391"/>
      <c r="I23" s="392"/>
      <c r="J23" s="359"/>
      <c r="K23" s="360"/>
      <c r="L23" s="360"/>
      <c r="M23" s="360"/>
      <c r="N23" s="360"/>
      <c r="O23" s="361"/>
      <c r="P23" s="359"/>
      <c r="Q23" s="360"/>
      <c r="R23" s="360"/>
      <c r="S23" s="360"/>
      <c r="T23" s="360"/>
      <c r="U23" s="361"/>
      <c r="V23" s="359"/>
      <c r="W23" s="360"/>
      <c r="X23" s="360"/>
      <c r="Y23" s="360"/>
      <c r="Z23" s="360"/>
      <c r="AA23" s="361"/>
      <c r="AB23" s="377"/>
      <c r="AC23" s="378"/>
      <c r="AD23" s="378"/>
      <c r="AE23" s="378"/>
      <c r="AF23" s="378"/>
      <c r="AG23" s="379"/>
      <c r="AH23" s="368"/>
      <c r="AI23" s="369"/>
      <c r="AJ23" s="369"/>
      <c r="AK23" s="369"/>
      <c r="AL23" s="369"/>
      <c r="AM23" s="370"/>
      <c r="AN23" s="82"/>
      <c r="AO23" s="420"/>
      <c r="AP23" s="421"/>
      <c r="AQ23" s="421"/>
      <c r="AR23" s="421"/>
      <c r="AS23" s="421"/>
      <c r="AT23" s="42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397"/>
      <c r="C24" s="397"/>
      <c r="D24" s="398"/>
      <c r="E24" s="390"/>
      <c r="F24" s="391"/>
      <c r="G24" s="391"/>
      <c r="H24" s="391"/>
      <c r="I24" s="392"/>
      <c r="J24" s="359" t="str">
        <f>IF(AND('Mapa final'!$H$43="Media",'Mapa final'!$L$43="Leve"),CONCATENATE("R",'Mapa final'!$A$43),"")</f>
        <v/>
      </c>
      <c r="K24" s="360"/>
      <c r="L24" s="360" t="str">
        <f>IF(AND('Mapa final'!$H$49="Media",'Mapa final'!$L$49="Leve"),CONCATENATE("R",'Mapa final'!$A$49),"")</f>
        <v/>
      </c>
      <c r="M24" s="360"/>
      <c r="N24" s="360" t="str">
        <f>IF(AND('Mapa final'!$H$55="Media",'Mapa final'!$L$55="Leve"),CONCATENATE("R",'Mapa final'!$A$55),"")</f>
        <v/>
      </c>
      <c r="O24" s="361"/>
      <c r="P24" s="359" t="str">
        <f>IF(AND('Mapa final'!$H$43="Media",'Mapa final'!$L$43="Menor"),CONCATENATE("R",'Mapa final'!$A$43),"")</f>
        <v/>
      </c>
      <c r="Q24" s="360"/>
      <c r="R24" s="360" t="str">
        <f>IF(AND('Mapa final'!$H$49="Media",'Mapa final'!$L$49="Menor"),CONCATENATE("R",'Mapa final'!$A$49),"")</f>
        <v/>
      </c>
      <c r="S24" s="360"/>
      <c r="T24" s="360" t="str">
        <f>IF(AND('Mapa final'!$H$55="Media",'Mapa final'!$L$55="Menor"),CONCATENATE("R",'Mapa final'!$A$55),"")</f>
        <v/>
      </c>
      <c r="U24" s="361"/>
      <c r="V24" s="359" t="str">
        <f>IF(AND('Mapa final'!$H$43="Media",'Mapa final'!$L$43="Moderado"),CONCATENATE("R",'Mapa final'!$A$43),"")</f>
        <v/>
      </c>
      <c r="W24" s="360"/>
      <c r="X24" s="360" t="str">
        <f>IF(AND('Mapa final'!$H$49="Media",'Mapa final'!$L$49="Moderado"),CONCATENATE("R",'Mapa final'!$A$49),"")</f>
        <v/>
      </c>
      <c r="Y24" s="360"/>
      <c r="Z24" s="360" t="str">
        <f>IF(AND('Mapa final'!$H$55="Media",'Mapa final'!$L$55="Moderado"),CONCATENATE("R",'Mapa final'!$A$55),"")</f>
        <v/>
      </c>
      <c r="AA24" s="361"/>
      <c r="AB24" s="377" t="str">
        <f>IF(AND('Mapa final'!$H$43="Media",'Mapa final'!$L$43="Mayor"),CONCATENATE("R",'Mapa final'!$A$43),"")</f>
        <v/>
      </c>
      <c r="AC24" s="378"/>
      <c r="AD24" s="378" t="str">
        <f>IF(AND('Mapa final'!$H$49="Media",'Mapa final'!$L$49="Mayor"),CONCATENATE("R",'Mapa final'!$A$49),"")</f>
        <v/>
      </c>
      <c r="AE24" s="378"/>
      <c r="AF24" s="378" t="str">
        <f>IF(AND('Mapa final'!$H$55="Media",'Mapa final'!$L$55="Mayor"),CONCATENATE("R",'Mapa final'!$A$55),"")</f>
        <v/>
      </c>
      <c r="AG24" s="379"/>
      <c r="AH24" s="368" t="str">
        <f>IF(AND('Mapa final'!$H$43="Media",'Mapa final'!$L$43="Catastrófico"),CONCATENATE("R",'Mapa final'!$A$43),"")</f>
        <v/>
      </c>
      <c r="AI24" s="369"/>
      <c r="AJ24" s="369" t="str">
        <f>IF(AND('Mapa final'!$H$49="Media",'Mapa final'!$L$49="Catastrófico"),CONCATENATE("R",'Mapa final'!$A$49),"")</f>
        <v/>
      </c>
      <c r="AK24" s="369"/>
      <c r="AL24" s="369" t="str">
        <f>IF(AND('Mapa final'!$H$55="Media",'Mapa final'!$L$55="Catastrófico"),CONCATENATE("R",'Mapa final'!$A$55),"")</f>
        <v/>
      </c>
      <c r="AM24" s="370"/>
      <c r="AN24" s="82"/>
      <c r="AO24" s="420"/>
      <c r="AP24" s="421"/>
      <c r="AQ24" s="421"/>
      <c r="AR24" s="421"/>
      <c r="AS24" s="421"/>
      <c r="AT24" s="42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397"/>
      <c r="C25" s="397"/>
      <c r="D25" s="398"/>
      <c r="E25" s="390"/>
      <c r="F25" s="391"/>
      <c r="G25" s="391"/>
      <c r="H25" s="391"/>
      <c r="I25" s="392"/>
      <c r="J25" s="359"/>
      <c r="K25" s="360"/>
      <c r="L25" s="360"/>
      <c r="M25" s="360"/>
      <c r="N25" s="360"/>
      <c r="O25" s="361"/>
      <c r="P25" s="359"/>
      <c r="Q25" s="360"/>
      <c r="R25" s="360"/>
      <c r="S25" s="360"/>
      <c r="T25" s="360"/>
      <c r="U25" s="361"/>
      <c r="V25" s="359"/>
      <c r="W25" s="360"/>
      <c r="X25" s="360"/>
      <c r="Y25" s="360"/>
      <c r="Z25" s="360"/>
      <c r="AA25" s="361"/>
      <c r="AB25" s="377"/>
      <c r="AC25" s="378"/>
      <c r="AD25" s="378"/>
      <c r="AE25" s="378"/>
      <c r="AF25" s="378"/>
      <c r="AG25" s="379"/>
      <c r="AH25" s="368"/>
      <c r="AI25" s="369"/>
      <c r="AJ25" s="369"/>
      <c r="AK25" s="369"/>
      <c r="AL25" s="369"/>
      <c r="AM25" s="370"/>
      <c r="AN25" s="82"/>
      <c r="AO25" s="420"/>
      <c r="AP25" s="421"/>
      <c r="AQ25" s="421"/>
      <c r="AR25" s="421"/>
      <c r="AS25" s="421"/>
      <c r="AT25" s="42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397"/>
      <c r="C26" s="397"/>
      <c r="D26" s="398"/>
      <c r="E26" s="390"/>
      <c r="F26" s="391"/>
      <c r="G26" s="391"/>
      <c r="H26" s="391"/>
      <c r="I26" s="392"/>
      <c r="J26" s="359" t="str">
        <f>IF(AND('Mapa final'!$H$61="Media",'Mapa final'!$L$61="Leve"),CONCATENATE("R",'Mapa final'!$A$61),"")</f>
        <v/>
      </c>
      <c r="K26" s="360"/>
      <c r="L26" s="360" t="str">
        <f>IF(AND('Mapa final'!$H$67="Media",'Mapa final'!$L$67="Leve"),CONCATENATE("R",'Mapa final'!$A$67),"")</f>
        <v/>
      </c>
      <c r="M26" s="360"/>
      <c r="N26" s="360" t="str">
        <f>IF(AND('Mapa final'!$H$73="Media",'Mapa final'!$L$73="Leve"),CONCATENATE("R",'Mapa final'!$A$73),"")</f>
        <v/>
      </c>
      <c r="O26" s="361"/>
      <c r="P26" s="359" t="str">
        <f>IF(AND('Mapa final'!$H$61="Media",'Mapa final'!$L$61="Menor"),CONCATENATE("R",'Mapa final'!$A$61),"")</f>
        <v/>
      </c>
      <c r="Q26" s="360"/>
      <c r="R26" s="360" t="str">
        <f>IF(AND('Mapa final'!$H$67="Media",'Mapa final'!$L$67="Menor"),CONCATENATE("R",'Mapa final'!$A$67),"")</f>
        <v/>
      </c>
      <c r="S26" s="360"/>
      <c r="T26" s="360" t="str">
        <f>IF(AND('Mapa final'!$H$73="Media",'Mapa final'!$L$73="Menor"),CONCATENATE("R",'Mapa final'!$A$73),"")</f>
        <v/>
      </c>
      <c r="U26" s="361"/>
      <c r="V26" s="359" t="str">
        <f>IF(AND('Mapa final'!$H$61="Media",'Mapa final'!$L$61="Moderado"),CONCATENATE("R",'Mapa final'!$A$61),"")</f>
        <v/>
      </c>
      <c r="W26" s="360"/>
      <c r="X26" s="360" t="str">
        <f>IF(AND('Mapa final'!$H$67="Media",'Mapa final'!$L$67="Moderado"),CONCATENATE("R",'Mapa final'!$A$67),"")</f>
        <v/>
      </c>
      <c r="Y26" s="360"/>
      <c r="Z26" s="360" t="str">
        <f>IF(AND('Mapa final'!$H$73="Media",'Mapa final'!$L$73="Moderado"),CONCATENATE("R",'Mapa final'!$A$73),"")</f>
        <v/>
      </c>
      <c r="AA26" s="361"/>
      <c r="AB26" s="377" t="str">
        <f>IF(AND('Mapa final'!$H$61="Media",'Mapa final'!$L$61="Mayor"),CONCATENATE("R",'Mapa final'!$A$61),"")</f>
        <v/>
      </c>
      <c r="AC26" s="378"/>
      <c r="AD26" s="378" t="str">
        <f>IF(AND('Mapa final'!$H$67="Media",'Mapa final'!$L$67="Mayor"),CONCATENATE("R",'Mapa final'!$A$67),"")</f>
        <v/>
      </c>
      <c r="AE26" s="378"/>
      <c r="AF26" s="378" t="str">
        <f>IF(AND('Mapa final'!$H$73="Media",'Mapa final'!$L$73="Mayor"),CONCATENATE("R",'Mapa final'!$A$73),"")</f>
        <v/>
      </c>
      <c r="AG26" s="379"/>
      <c r="AH26" s="368" t="str">
        <f>IF(AND('Mapa final'!$H$61="Media",'Mapa final'!$L$61="Catastrófico"),CONCATENATE("R",'Mapa final'!$A$61),"")</f>
        <v/>
      </c>
      <c r="AI26" s="369"/>
      <c r="AJ26" s="369" t="str">
        <f>IF(AND('Mapa final'!$H$67="Media",'Mapa final'!$L$67="Catastrófico"),CONCATENATE("R",'Mapa final'!$A$67),"")</f>
        <v/>
      </c>
      <c r="AK26" s="369"/>
      <c r="AL26" s="369" t="str">
        <f>IF(AND('Mapa final'!$H$73="Media",'Mapa final'!$L$73="Catastrófico"),CONCATENATE("R",'Mapa final'!$A$73),"")</f>
        <v/>
      </c>
      <c r="AM26" s="370"/>
      <c r="AN26" s="82"/>
      <c r="AO26" s="420"/>
      <c r="AP26" s="421"/>
      <c r="AQ26" s="421"/>
      <c r="AR26" s="421"/>
      <c r="AS26" s="421"/>
      <c r="AT26" s="42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397"/>
      <c r="C27" s="397"/>
      <c r="D27" s="398"/>
      <c r="E27" s="390"/>
      <c r="F27" s="391"/>
      <c r="G27" s="391"/>
      <c r="H27" s="391"/>
      <c r="I27" s="392"/>
      <c r="J27" s="359"/>
      <c r="K27" s="360"/>
      <c r="L27" s="360"/>
      <c r="M27" s="360"/>
      <c r="N27" s="360"/>
      <c r="O27" s="361"/>
      <c r="P27" s="359"/>
      <c r="Q27" s="360"/>
      <c r="R27" s="360"/>
      <c r="S27" s="360"/>
      <c r="T27" s="360"/>
      <c r="U27" s="361"/>
      <c r="V27" s="359"/>
      <c r="W27" s="360"/>
      <c r="X27" s="360"/>
      <c r="Y27" s="360"/>
      <c r="Z27" s="360"/>
      <c r="AA27" s="361"/>
      <c r="AB27" s="377"/>
      <c r="AC27" s="378"/>
      <c r="AD27" s="378"/>
      <c r="AE27" s="378"/>
      <c r="AF27" s="378"/>
      <c r="AG27" s="379"/>
      <c r="AH27" s="368"/>
      <c r="AI27" s="369"/>
      <c r="AJ27" s="369"/>
      <c r="AK27" s="369"/>
      <c r="AL27" s="369"/>
      <c r="AM27" s="370"/>
      <c r="AN27" s="82"/>
      <c r="AO27" s="420"/>
      <c r="AP27" s="421"/>
      <c r="AQ27" s="421"/>
      <c r="AR27" s="421"/>
      <c r="AS27" s="421"/>
      <c r="AT27" s="42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397"/>
      <c r="C28" s="397"/>
      <c r="D28" s="398"/>
      <c r="E28" s="390"/>
      <c r="F28" s="391"/>
      <c r="G28" s="391"/>
      <c r="H28" s="391"/>
      <c r="I28" s="392"/>
      <c r="J28" s="359" t="str">
        <f>IF(AND('Mapa final'!$H$79="Media",'Mapa final'!$L$79="Leve"),CONCATENATE("R",'Mapa final'!$A$79),"")</f>
        <v/>
      </c>
      <c r="K28" s="360"/>
      <c r="L28" s="360" t="str">
        <f>IF(AND('Mapa final'!$H$85="Media",'Mapa final'!$L$85="Leve"),CONCATENATE("R",'Mapa final'!$A$85),"")</f>
        <v/>
      </c>
      <c r="M28" s="360"/>
      <c r="N28" s="360" t="str">
        <f>IF(AND('Mapa final'!$H$91="Media",'Mapa final'!$L$91="Leve"),CONCATENATE("R",'Mapa final'!$A$91),"")</f>
        <v/>
      </c>
      <c r="O28" s="361"/>
      <c r="P28" s="359" t="str">
        <f>IF(AND('Mapa final'!$H$79="Media",'Mapa final'!$L$79="Menor"),CONCATENATE("R",'Mapa final'!$A$79),"")</f>
        <v/>
      </c>
      <c r="Q28" s="360"/>
      <c r="R28" s="360" t="str">
        <f>IF(AND('Mapa final'!$H$85="Media",'Mapa final'!$L$85="Menor"),CONCATENATE("R",'Mapa final'!$A$85),"")</f>
        <v/>
      </c>
      <c r="S28" s="360"/>
      <c r="T28" s="360" t="str">
        <f>IF(AND('Mapa final'!$H$91="Media",'Mapa final'!$L$91="Menor"),CONCATENATE("R",'Mapa final'!$A$91),"")</f>
        <v/>
      </c>
      <c r="U28" s="361"/>
      <c r="V28" s="359" t="str">
        <f>IF(AND('Mapa final'!$H$79="Media",'Mapa final'!$L$79="Moderado"),CONCATENATE("R",'Mapa final'!$A$79),"")</f>
        <v/>
      </c>
      <c r="W28" s="360"/>
      <c r="X28" s="360" t="str">
        <f>IF(AND('Mapa final'!$H$85="Media",'Mapa final'!$L$85="Moderado"),CONCATENATE("R",'Mapa final'!$A$85),"")</f>
        <v/>
      </c>
      <c r="Y28" s="360"/>
      <c r="Z28" s="360" t="str">
        <f>IF(AND('Mapa final'!$H$91="Media",'Mapa final'!$L$91="Moderado"),CONCATENATE("R",'Mapa final'!$A$91),"")</f>
        <v/>
      </c>
      <c r="AA28" s="361"/>
      <c r="AB28" s="377" t="str">
        <f>IF(AND('Mapa final'!$H$79="Media",'Mapa final'!$L$79="Mayor"),CONCATENATE("R",'Mapa final'!$A$79),"")</f>
        <v/>
      </c>
      <c r="AC28" s="378"/>
      <c r="AD28" s="378" t="str">
        <f>IF(AND('Mapa final'!$H$85="Media",'Mapa final'!$L$85="Mayor"),CONCATENATE("R",'Mapa final'!$A$85),"")</f>
        <v/>
      </c>
      <c r="AE28" s="378"/>
      <c r="AF28" s="378" t="str">
        <f>IF(AND('Mapa final'!$H$91="Media",'Mapa final'!$L$91="Mayor"),CONCATENATE("R",'Mapa final'!$A$91),"")</f>
        <v/>
      </c>
      <c r="AG28" s="379"/>
      <c r="AH28" s="368" t="str">
        <f>IF(AND('Mapa final'!$H$79="Media",'Mapa final'!$L$79="Catastrófico"),CONCATENATE("R",'Mapa final'!$A$79),"")</f>
        <v/>
      </c>
      <c r="AI28" s="369"/>
      <c r="AJ28" s="369" t="str">
        <f>IF(AND('Mapa final'!$H$85="Media",'Mapa final'!$L$85="Catastrófico"),CONCATENATE("R",'Mapa final'!$A$85),"")</f>
        <v/>
      </c>
      <c r="AK28" s="369"/>
      <c r="AL28" s="369" t="str">
        <f>IF(AND('Mapa final'!$H$91="Media",'Mapa final'!$L$91="Catastrófico"),CONCATENATE("R",'Mapa final'!$A$91),"")</f>
        <v/>
      </c>
      <c r="AM28" s="370"/>
      <c r="AN28" s="82"/>
      <c r="AO28" s="420"/>
      <c r="AP28" s="421"/>
      <c r="AQ28" s="421"/>
      <c r="AR28" s="421"/>
      <c r="AS28" s="421"/>
      <c r="AT28" s="42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397"/>
      <c r="C29" s="397"/>
      <c r="D29" s="398"/>
      <c r="E29" s="393"/>
      <c r="F29" s="394"/>
      <c r="G29" s="394"/>
      <c r="H29" s="394"/>
      <c r="I29" s="395"/>
      <c r="J29" s="359"/>
      <c r="K29" s="360"/>
      <c r="L29" s="360"/>
      <c r="M29" s="360"/>
      <c r="N29" s="360"/>
      <c r="O29" s="361"/>
      <c r="P29" s="362"/>
      <c r="Q29" s="363"/>
      <c r="R29" s="363"/>
      <c r="S29" s="363"/>
      <c r="T29" s="363"/>
      <c r="U29" s="364"/>
      <c r="V29" s="362"/>
      <c r="W29" s="363"/>
      <c r="X29" s="363"/>
      <c r="Y29" s="363"/>
      <c r="Z29" s="363"/>
      <c r="AA29" s="364"/>
      <c r="AB29" s="380"/>
      <c r="AC29" s="381"/>
      <c r="AD29" s="381"/>
      <c r="AE29" s="381"/>
      <c r="AF29" s="381"/>
      <c r="AG29" s="382"/>
      <c r="AH29" s="371"/>
      <c r="AI29" s="372"/>
      <c r="AJ29" s="372"/>
      <c r="AK29" s="372"/>
      <c r="AL29" s="372"/>
      <c r="AM29" s="373"/>
      <c r="AN29" s="82"/>
      <c r="AO29" s="423"/>
      <c r="AP29" s="424"/>
      <c r="AQ29" s="424"/>
      <c r="AR29" s="424"/>
      <c r="AS29" s="424"/>
      <c r="AT29" s="425"/>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397"/>
      <c r="C30" s="397"/>
      <c r="D30" s="398"/>
      <c r="E30" s="387" t="s">
        <v>179</v>
      </c>
      <c r="F30" s="388"/>
      <c r="G30" s="388"/>
      <c r="H30" s="388"/>
      <c r="I30" s="388"/>
      <c r="J30" s="356" t="str">
        <f>IF(AND('Mapa final'!$H$25="Baja",'Mapa final'!$L$25="Leve"),CONCATENATE("R",'Mapa final'!$A$25),"")</f>
        <v/>
      </c>
      <c r="K30" s="357"/>
      <c r="L30" s="357" t="str">
        <f>IF(AND('Mapa final'!$H$31="Baja",'Mapa final'!$L$31="Leve"),CONCATENATE("R",'Mapa final'!$A$31),"")</f>
        <v/>
      </c>
      <c r="M30" s="357"/>
      <c r="N30" s="357" t="str">
        <f>IF(AND('Mapa final'!$H$37="Baja",'Mapa final'!$L$37="Leve"),CONCATENATE("R",'Mapa final'!$A$37),"")</f>
        <v/>
      </c>
      <c r="O30" s="358"/>
      <c r="P30" s="366" t="str">
        <f>IF(AND('Mapa final'!$H$25="Baja",'Mapa final'!$L$25="Menor"),CONCATENATE("R",'Mapa final'!$A$25),"")</f>
        <v/>
      </c>
      <c r="Q30" s="366"/>
      <c r="R30" s="366" t="str">
        <f>IF(AND('Mapa final'!$H$31="Baja",'Mapa final'!$L$31="Menor"),CONCATENATE("R",'Mapa final'!$A$31),"")</f>
        <v/>
      </c>
      <c r="S30" s="366"/>
      <c r="T30" s="366" t="str">
        <f>IF(AND('Mapa final'!$H$37="Baja",'Mapa final'!$L$37="Menor"),CONCATENATE("R",'Mapa final'!$A$37),"")</f>
        <v/>
      </c>
      <c r="U30" s="367"/>
      <c r="V30" s="365" t="str">
        <f>IF(AND('Mapa final'!$H$25="Baja",'Mapa final'!$L$25="Moderado"),CONCATENATE("R",'Mapa final'!$A$25),"")</f>
        <v/>
      </c>
      <c r="W30" s="366"/>
      <c r="X30" s="366" t="str">
        <f>IF(AND('Mapa final'!$H$31="Baja",'Mapa final'!$L$31="Moderado"),CONCATENATE("R",'Mapa final'!$A$31),"")</f>
        <v/>
      </c>
      <c r="Y30" s="366"/>
      <c r="Z30" s="366" t="str">
        <f>IF(AND('Mapa final'!$H$37="Baja",'Mapa final'!$L$37="Moderado"),CONCATENATE("R",'Mapa final'!$A$37),"")</f>
        <v/>
      </c>
      <c r="AA30" s="367"/>
      <c r="AB30" s="383" t="str">
        <f>IF(AND('Mapa final'!$H$25="Baja",'Mapa final'!$L$25="Mayor"),CONCATENATE("R",'Mapa final'!$A$25),"")</f>
        <v/>
      </c>
      <c r="AC30" s="384"/>
      <c r="AD30" s="384" t="str">
        <f>IF(AND('Mapa final'!$H$31="Baja",'Mapa final'!$L$31="Mayor"),CONCATENATE("R",'Mapa final'!$A$31),"")</f>
        <v/>
      </c>
      <c r="AE30" s="384"/>
      <c r="AF30" s="384" t="str">
        <f>IF(AND('Mapa final'!$H$37="Baja",'Mapa final'!$L$37="Mayor"),CONCATENATE("R",'Mapa final'!$A$37),"")</f>
        <v/>
      </c>
      <c r="AG30" s="385"/>
      <c r="AH30" s="374" t="str">
        <f>IF(AND('Mapa final'!$H$25="Baja",'Mapa final'!$L$25="Catastrófico"),CONCATENATE("R",'Mapa final'!$A$25),"")</f>
        <v/>
      </c>
      <c r="AI30" s="375"/>
      <c r="AJ30" s="375" t="str">
        <f>IF(AND('Mapa final'!$H$31="Baja",'Mapa final'!$L$31="Catastrófico"),CONCATENATE("R",'Mapa final'!$A$31),"")</f>
        <v/>
      </c>
      <c r="AK30" s="375"/>
      <c r="AL30" s="375" t="str">
        <f>IF(AND('Mapa final'!$H$37="Baja",'Mapa final'!$L$37="Catastrófico"),CONCATENATE("R",'Mapa final'!$A$37),"")</f>
        <v/>
      </c>
      <c r="AM30" s="376"/>
      <c r="AN30" s="82"/>
      <c r="AO30" s="426" t="s">
        <v>180</v>
      </c>
      <c r="AP30" s="427"/>
      <c r="AQ30" s="427"/>
      <c r="AR30" s="427"/>
      <c r="AS30" s="427"/>
      <c r="AT30" s="428"/>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397"/>
      <c r="C31" s="397"/>
      <c r="D31" s="398"/>
      <c r="E31" s="390"/>
      <c r="F31" s="391"/>
      <c r="G31" s="391"/>
      <c r="H31" s="391"/>
      <c r="I31" s="391"/>
      <c r="J31" s="350"/>
      <c r="K31" s="351"/>
      <c r="L31" s="351"/>
      <c r="M31" s="351"/>
      <c r="N31" s="351"/>
      <c r="O31" s="352"/>
      <c r="P31" s="360"/>
      <c r="Q31" s="360"/>
      <c r="R31" s="360"/>
      <c r="S31" s="360"/>
      <c r="T31" s="360"/>
      <c r="U31" s="361"/>
      <c r="V31" s="359"/>
      <c r="W31" s="360"/>
      <c r="X31" s="360"/>
      <c r="Y31" s="360"/>
      <c r="Z31" s="360"/>
      <c r="AA31" s="361"/>
      <c r="AB31" s="377"/>
      <c r="AC31" s="378"/>
      <c r="AD31" s="378"/>
      <c r="AE31" s="378"/>
      <c r="AF31" s="378"/>
      <c r="AG31" s="379"/>
      <c r="AH31" s="368"/>
      <c r="AI31" s="369"/>
      <c r="AJ31" s="369"/>
      <c r="AK31" s="369"/>
      <c r="AL31" s="369"/>
      <c r="AM31" s="370"/>
      <c r="AN31" s="82"/>
      <c r="AO31" s="429"/>
      <c r="AP31" s="430"/>
      <c r="AQ31" s="430"/>
      <c r="AR31" s="430"/>
      <c r="AS31" s="430"/>
      <c r="AT31" s="431"/>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397"/>
      <c r="C32" s="397"/>
      <c r="D32" s="398"/>
      <c r="E32" s="390"/>
      <c r="F32" s="391"/>
      <c r="G32" s="391"/>
      <c r="H32" s="391"/>
      <c r="I32" s="391"/>
      <c r="J32" s="350" t="str">
        <f>IF(AND('Mapa final'!$H$43="Baja",'Mapa final'!$L$43="Leve"),CONCATENATE("R",'Mapa final'!$A$43),"")</f>
        <v/>
      </c>
      <c r="K32" s="351"/>
      <c r="L32" s="351" t="str">
        <f>IF(AND('Mapa final'!$H$49="Baja",'Mapa final'!$L$49="Leve"),CONCATENATE("R",'Mapa final'!$A$49),"")</f>
        <v/>
      </c>
      <c r="M32" s="351"/>
      <c r="N32" s="351" t="str">
        <f>IF(AND('Mapa final'!$H$55="Baja",'Mapa final'!$L$55="Leve"),CONCATENATE("R",'Mapa final'!$A$55),"")</f>
        <v/>
      </c>
      <c r="O32" s="352"/>
      <c r="P32" s="360" t="str">
        <f>IF(AND('Mapa final'!$H$43="Baja",'Mapa final'!$L$43="Menor"),CONCATENATE("R",'Mapa final'!$A$43),"")</f>
        <v/>
      </c>
      <c r="Q32" s="360"/>
      <c r="R32" s="360" t="str">
        <f>IF(AND('Mapa final'!$H$49="Baja",'Mapa final'!$L$49="Menor"),CONCATENATE("R",'Mapa final'!$A$49),"")</f>
        <v/>
      </c>
      <c r="S32" s="360"/>
      <c r="T32" s="360" t="str">
        <f>IF(AND('Mapa final'!$H$55="Baja",'Mapa final'!$L$55="Menor"),CONCATENATE("R",'Mapa final'!$A$55),"")</f>
        <v/>
      </c>
      <c r="U32" s="361"/>
      <c r="V32" s="359" t="str">
        <f>IF(AND('Mapa final'!$H$43="Baja",'Mapa final'!$L$43="Moderado"),CONCATENATE("R",'Mapa final'!$A$43),"")</f>
        <v>R4</v>
      </c>
      <c r="W32" s="360"/>
      <c r="X32" s="360" t="str">
        <f>IF(AND('Mapa final'!$H$49="Baja",'Mapa final'!$L$49="Moderado"),CONCATENATE("R",'Mapa final'!$A$49),"")</f>
        <v/>
      </c>
      <c r="Y32" s="360"/>
      <c r="Z32" s="360" t="str">
        <f>IF(AND('Mapa final'!$H$55="Baja",'Mapa final'!$L$55="Moderado"),CONCATENATE("R",'Mapa final'!$A$55),"")</f>
        <v/>
      </c>
      <c r="AA32" s="361"/>
      <c r="AB32" s="377" t="str">
        <f>IF(AND('Mapa final'!$H$43="Baja",'Mapa final'!$L$43="Mayor"),CONCATENATE("R",'Mapa final'!$A$43),"")</f>
        <v/>
      </c>
      <c r="AC32" s="378"/>
      <c r="AD32" s="378" t="str">
        <f>IF(AND('Mapa final'!$H$49="Baja",'Mapa final'!$L$49="Mayor"),CONCATENATE("R",'Mapa final'!$A$49),"")</f>
        <v/>
      </c>
      <c r="AE32" s="378"/>
      <c r="AF32" s="378" t="str">
        <f>IF(AND('Mapa final'!$H$55="Baja",'Mapa final'!$L$55="Mayor"),CONCATENATE("R",'Mapa final'!$A$55),"")</f>
        <v/>
      </c>
      <c r="AG32" s="379"/>
      <c r="AH32" s="368" t="str">
        <f>IF(AND('Mapa final'!$H$43="Baja",'Mapa final'!$L$43="Catastrófico"),CONCATENATE("R",'Mapa final'!$A$43),"")</f>
        <v/>
      </c>
      <c r="AI32" s="369"/>
      <c r="AJ32" s="369" t="str">
        <f>IF(AND('Mapa final'!$H$49="Baja",'Mapa final'!$L$49="Catastrófico"),CONCATENATE("R",'Mapa final'!$A$49),"")</f>
        <v/>
      </c>
      <c r="AK32" s="369"/>
      <c r="AL32" s="369" t="str">
        <f>IF(AND('Mapa final'!$H$55="Baja",'Mapa final'!$L$55="Catastrófico"),CONCATENATE("R",'Mapa final'!$A$55),"")</f>
        <v/>
      </c>
      <c r="AM32" s="370"/>
      <c r="AN32" s="82"/>
      <c r="AO32" s="429"/>
      <c r="AP32" s="430"/>
      <c r="AQ32" s="430"/>
      <c r="AR32" s="430"/>
      <c r="AS32" s="430"/>
      <c r="AT32" s="431"/>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397"/>
      <c r="C33" s="397"/>
      <c r="D33" s="398"/>
      <c r="E33" s="390"/>
      <c r="F33" s="391"/>
      <c r="G33" s="391"/>
      <c r="H33" s="391"/>
      <c r="I33" s="391"/>
      <c r="J33" s="350"/>
      <c r="K33" s="351"/>
      <c r="L33" s="351"/>
      <c r="M33" s="351"/>
      <c r="N33" s="351"/>
      <c r="O33" s="352"/>
      <c r="P33" s="360"/>
      <c r="Q33" s="360"/>
      <c r="R33" s="360"/>
      <c r="S33" s="360"/>
      <c r="T33" s="360"/>
      <c r="U33" s="361"/>
      <c r="V33" s="359"/>
      <c r="W33" s="360"/>
      <c r="X33" s="360"/>
      <c r="Y33" s="360"/>
      <c r="Z33" s="360"/>
      <c r="AA33" s="361"/>
      <c r="AB33" s="377"/>
      <c r="AC33" s="378"/>
      <c r="AD33" s="378"/>
      <c r="AE33" s="378"/>
      <c r="AF33" s="378"/>
      <c r="AG33" s="379"/>
      <c r="AH33" s="368"/>
      <c r="AI33" s="369"/>
      <c r="AJ33" s="369"/>
      <c r="AK33" s="369"/>
      <c r="AL33" s="369"/>
      <c r="AM33" s="370"/>
      <c r="AN33" s="82"/>
      <c r="AO33" s="429"/>
      <c r="AP33" s="430"/>
      <c r="AQ33" s="430"/>
      <c r="AR33" s="430"/>
      <c r="AS33" s="430"/>
      <c r="AT33" s="431"/>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397"/>
      <c r="C34" s="397"/>
      <c r="D34" s="398"/>
      <c r="E34" s="390"/>
      <c r="F34" s="391"/>
      <c r="G34" s="391"/>
      <c r="H34" s="391"/>
      <c r="I34" s="391"/>
      <c r="J34" s="350" t="str">
        <f>IF(AND('Mapa final'!$H$61="Baja",'Mapa final'!$L$61="Leve"),CONCATENATE("R",'Mapa final'!$A$61),"")</f>
        <v/>
      </c>
      <c r="K34" s="351"/>
      <c r="L34" s="351" t="str">
        <f>IF(AND('Mapa final'!$H$67="Baja",'Mapa final'!$L$67="Leve"),CONCATENATE("R",'Mapa final'!$A$67),"")</f>
        <v/>
      </c>
      <c r="M34" s="351"/>
      <c r="N34" s="351" t="str">
        <f>IF(AND('Mapa final'!$H$73="Baja",'Mapa final'!$L$73="Leve"),CONCATENATE("R",'Mapa final'!$A$73),"")</f>
        <v/>
      </c>
      <c r="O34" s="352"/>
      <c r="P34" s="360" t="str">
        <f>IF(AND('Mapa final'!$H$61="Baja",'Mapa final'!$L$61="Menor"),CONCATENATE("R",'Mapa final'!$A$61),"")</f>
        <v/>
      </c>
      <c r="Q34" s="360"/>
      <c r="R34" s="360" t="str">
        <f>IF(AND('Mapa final'!$H$67="Baja",'Mapa final'!$L$67="Menor"),CONCATENATE("R",'Mapa final'!$A$67),"")</f>
        <v/>
      </c>
      <c r="S34" s="360"/>
      <c r="T34" s="360" t="str">
        <f>IF(AND('Mapa final'!$H$73="Baja",'Mapa final'!$L$73="Menor"),CONCATENATE("R",'Mapa final'!$A$73),"")</f>
        <v/>
      </c>
      <c r="U34" s="361"/>
      <c r="V34" s="359" t="str">
        <f>IF(AND('Mapa final'!$H$61="Baja",'Mapa final'!$L$61="Moderado"),CONCATENATE("R",'Mapa final'!$A$61),"")</f>
        <v/>
      </c>
      <c r="W34" s="360"/>
      <c r="X34" s="360" t="str">
        <f>IF(AND('Mapa final'!$H$67="Baja",'Mapa final'!$L$67="Moderado"),CONCATENATE("R",'Mapa final'!$A$67),"")</f>
        <v/>
      </c>
      <c r="Y34" s="360"/>
      <c r="Z34" s="360" t="str">
        <f>IF(AND('Mapa final'!$H$73="Baja",'Mapa final'!$L$73="Moderado"),CONCATENATE("R",'Mapa final'!$A$73),"")</f>
        <v/>
      </c>
      <c r="AA34" s="361"/>
      <c r="AB34" s="377" t="str">
        <f>IF(AND('Mapa final'!$H$61="Baja",'Mapa final'!$L$61="Mayor"),CONCATENATE("R",'Mapa final'!$A$61),"")</f>
        <v/>
      </c>
      <c r="AC34" s="378"/>
      <c r="AD34" s="378" t="str">
        <f>IF(AND('Mapa final'!$H$67="Baja",'Mapa final'!$L$67="Mayor"),CONCATENATE("R",'Mapa final'!$A$67),"")</f>
        <v/>
      </c>
      <c r="AE34" s="378"/>
      <c r="AF34" s="378" t="str">
        <f>IF(AND('Mapa final'!$H$73="Baja",'Mapa final'!$L$73="Mayor"),CONCATENATE("R",'Mapa final'!$A$73),"")</f>
        <v/>
      </c>
      <c r="AG34" s="379"/>
      <c r="AH34" s="368" t="str">
        <f>IF(AND('Mapa final'!$H$61="Baja",'Mapa final'!$L$61="Catastrófico"),CONCATENATE("R",'Mapa final'!$A$61),"")</f>
        <v/>
      </c>
      <c r="AI34" s="369"/>
      <c r="AJ34" s="369" t="str">
        <f>IF(AND('Mapa final'!$H$67="Baja",'Mapa final'!$L$67="Catastrófico"),CONCATENATE("R",'Mapa final'!$A$67),"")</f>
        <v/>
      </c>
      <c r="AK34" s="369"/>
      <c r="AL34" s="369" t="str">
        <f>IF(AND('Mapa final'!$H$73="Baja",'Mapa final'!$L$73="Catastrófico"),CONCATENATE("R",'Mapa final'!$A$73),"")</f>
        <v/>
      </c>
      <c r="AM34" s="370"/>
      <c r="AN34" s="82"/>
      <c r="AO34" s="429"/>
      <c r="AP34" s="430"/>
      <c r="AQ34" s="430"/>
      <c r="AR34" s="430"/>
      <c r="AS34" s="430"/>
      <c r="AT34" s="431"/>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397"/>
      <c r="C35" s="397"/>
      <c r="D35" s="398"/>
      <c r="E35" s="390"/>
      <c r="F35" s="391"/>
      <c r="G35" s="391"/>
      <c r="H35" s="391"/>
      <c r="I35" s="391"/>
      <c r="J35" s="350"/>
      <c r="K35" s="351"/>
      <c r="L35" s="351"/>
      <c r="M35" s="351"/>
      <c r="N35" s="351"/>
      <c r="O35" s="352"/>
      <c r="P35" s="360"/>
      <c r="Q35" s="360"/>
      <c r="R35" s="360"/>
      <c r="S35" s="360"/>
      <c r="T35" s="360"/>
      <c r="U35" s="361"/>
      <c r="V35" s="359"/>
      <c r="W35" s="360"/>
      <c r="X35" s="360"/>
      <c r="Y35" s="360"/>
      <c r="Z35" s="360"/>
      <c r="AA35" s="361"/>
      <c r="AB35" s="377"/>
      <c r="AC35" s="378"/>
      <c r="AD35" s="378"/>
      <c r="AE35" s="378"/>
      <c r="AF35" s="378"/>
      <c r="AG35" s="379"/>
      <c r="AH35" s="368"/>
      <c r="AI35" s="369"/>
      <c r="AJ35" s="369"/>
      <c r="AK35" s="369"/>
      <c r="AL35" s="369"/>
      <c r="AM35" s="370"/>
      <c r="AN35" s="82"/>
      <c r="AO35" s="429"/>
      <c r="AP35" s="430"/>
      <c r="AQ35" s="430"/>
      <c r="AR35" s="430"/>
      <c r="AS35" s="430"/>
      <c r="AT35" s="431"/>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397"/>
      <c r="C36" s="397"/>
      <c r="D36" s="398"/>
      <c r="E36" s="390"/>
      <c r="F36" s="391"/>
      <c r="G36" s="391"/>
      <c r="H36" s="391"/>
      <c r="I36" s="391"/>
      <c r="J36" s="350" t="str">
        <f>IF(AND('Mapa final'!$H$79="Baja",'Mapa final'!$L$79="Leve"),CONCATENATE("R",'Mapa final'!$A$79),"")</f>
        <v/>
      </c>
      <c r="K36" s="351"/>
      <c r="L36" s="351" t="str">
        <f>IF(AND('Mapa final'!$H$85="Baja",'Mapa final'!$L$85="Leve"),CONCATENATE("R",'Mapa final'!$A$85),"")</f>
        <v/>
      </c>
      <c r="M36" s="351"/>
      <c r="N36" s="351" t="str">
        <f>IF(AND('Mapa final'!$H$91="Baja",'Mapa final'!$L$91="Leve"),CONCATENATE("R",'Mapa final'!$A$91),"")</f>
        <v/>
      </c>
      <c r="O36" s="352"/>
      <c r="P36" s="360" t="str">
        <f>IF(AND('Mapa final'!$H$79="Baja",'Mapa final'!$L$79="Menor"),CONCATENATE("R",'Mapa final'!$A$79),"")</f>
        <v/>
      </c>
      <c r="Q36" s="360"/>
      <c r="R36" s="360" t="str">
        <f>IF(AND('Mapa final'!$H$85="Baja",'Mapa final'!$L$85="Menor"),CONCATENATE("R",'Mapa final'!$A$85),"")</f>
        <v/>
      </c>
      <c r="S36" s="360"/>
      <c r="T36" s="360" t="str">
        <f>IF(AND('Mapa final'!$H$91="Baja",'Mapa final'!$L$91="Menor"),CONCATENATE("R",'Mapa final'!$A$91),"")</f>
        <v/>
      </c>
      <c r="U36" s="361"/>
      <c r="V36" s="359" t="str">
        <f>IF(AND('Mapa final'!$H$79="Baja",'Mapa final'!$L$79="Moderado"),CONCATENATE("R",'Mapa final'!$A$79),"")</f>
        <v/>
      </c>
      <c r="W36" s="360"/>
      <c r="X36" s="360" t="str">
        <f>IF(AND('Mapa final'!$H$85="Baja",'Mapa final'!$L$85="Moderado"),CONCATENATE("R",'Mapa final'!$A$85),"")</f>
        <v/>
      </c>
      <c r="Y36" s="360"/>
      <c r="Z36" s="360" t="str">
        <f>IF(AND('Mapa final'!$H$91="Baja",'Mapa final'!$L$91="Moderado"),CONCATENATE("R",'Mapa final'!$A$91),"")</f>
        <v/>
      </c>
      <c r="AA36" s="361"/>
      <c r="AB36" s="377" t="str">
        <f>IF(AND('Mapa final'!$H$79="Baja",'Mapa final'!$L$79="Mayor"),CONCATENATE("R",'Mapa final'!$A$79),"")</f>
        <v/>
      </c>
      <c r="AC36" s="378"/>
      <c r="AD36" s="378" t="str">
        <f>IF(AND('Mapa final'!$H$85="Baja",'Mapa final'!$L$85="Mayor"),CONCATENATE("R",'Mapa final'!$A$85),"")</f>
        <v/>
      </c>
      <c r="AE36" s="378"/>
      <c r="AF36" s="378" t="str">
        <f>IF(AND('Mapa final'!$H$91="Baja",'Mapa final'!$L$91="Mayor"),CONCATENATE("R",'Mapa final'!$A$91),"")</f>
        <v/>
      </c>
      <c r="AG36" s="379"/>
      <c r="AH36" s="368" t="str">
        <f>IF(AND('Mapa final'!$H$79="Baja",'Mapa final'!$L$79="Catastrófico"),CONCATENATE("R",'Mapa final'!$A$79),"")</f>
        <v/>
      </c>
      <c r="AI36" s="369"/>
      <c r="AJ36" s="369" t="str">
        <f>IF(AND('Mapa final'!$H$85="Baja",'Mapa final'!$L$85="Catastrófico"),CONCATENATE("R",'Mapa final'!$A$85),"")</f>
        <v/>
      </c>
      <c r="AK36" s="369"/>
      <c r="AL36" s="369" t="str">
        <f>IF(AND('Mapa final'!$H$91="Baja",'Mapa final'!$L$91="Catastrófico"),CONCATENATE("R",'Mapa final'!$A$91),"")</f>
        <v/>
      </c>
      <c r="AM36" s="370"/>
      <c r="AN36" s="82"/>
      <c r="AO36" s="429"/>
      <c r="AP36" s="430"/>
      <c r="AQ36" s="430"/>
      <c r="AR36" s="430"/>
      <c r="AS36" s="430"/>
      <c r="AT36" s="431"/>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397"/>
      <c r="C37" s="397"/>
      <c r="D37" s="398"/>
      <c r="E37" s="393"/>
      <c r="F37" s="394"/>
      <c r="G37" s="394"/>
      <c r="H37" s="394"/>
      <c r="I37" s="394"/>
      <c r="J37" s="353"/>
      <c r="K37" s="354"/>
      <c r="L37" s="354"/>
      <c r="M37" s="354"/>
      <c r="N37" s="354"/>
      <c r="O37" s="355"/>
      <c r="P37" s="363"/>
      <c r="Q37" s="363"/>
      <c r="R37" s="363"/>
      <c r="S37" s="363"/>
      <c r="T37" s="363"/>
      <c r="U37" s="364"/>
      <c r="V37" s="362"/>
      <c r="W37" s="363"/>
      <c r="X37" s="363"/>
      <c r="Y37" s="363"/>
      <c r="Z37" s="363"/>
      <c r="AA37" s="364"/>
      <c r="AB37" s="380"/>
      <c r="AC37" s="381"/>
      <c r="AD37" s="381"/>
      <c r="AE37" s="381"/>
      <c r="AF37" s="381"/>
      <c r="AG37" s="382"/>
      <c r="AH37" s="371"/>
      <c r="AI37" s="372"/>
      <c r="AJ37" s="372"/>
      <c r="AK37" s="372"/>
      <c r="AL37" s="372"/>
      <c r="AM37" s="373"/>
      <c r="AN37" s="82"/>
      <c r="AO37" s="432"/>
      <c r="AP37" s="433"/>
      <c r="AQ37" s="433"/>
      <c r="AR37" s="433"/>
      <c r="AS37" s="433"/>
      <c r="AT37" s="434"/>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397"/>
      <c r="C38" s="397"/>
      <c r="D38" s="398"/>
      <c r="E38" s="387" t="s">
        <v>181</v>
      </c>
      <c r="F38" s="388"/>
      <c r="G38" s="388"/>
      <c r="H38" s="388"/>
      <c r="I38" s="389"/>
      <c r="J38" s="356" t="str">
        <f>IF(AND('Mapa final'!$H$25="Muy Baja",'Mapa final'!$L$25="Leve"),CONCATENATE("R",'Mapa final'!$A$25),"")</f>
        <v/>
      </c>
      <c r="K38" s="357"/>
      <c r="L38" s="357" t="str">
        <f>IF(AND('Mapa final'!$H$31="Muy Baja",'Mapa final'!$L$31="Leve"),CONCATENATE("R",'Mapa final'!$A$31),"")</f>
        <v/>
      </c>
      <c r="M38" s="357"/>
      <c r="N38" s="357" t="str">
        <f>IF(AND('Mapa final'!$H$37="Muy Baja",'Mapa final'!$L$37="Leve"),CONCATENATE("R",'Mapa final'!$A$37),"")</f>
        <v/>
      </c>
      <c r="O38" s="358"/>
      <c r="P38" s="356" t="str">
        <f>IF(AND('Mapa final'!$H$25="Muy Baja",'Mapa final'!$L$25="Menor"),CONCATENATE("R",'Mapa final'!$A$25),"")</f>
        <v>R1</v>
      </c>
      <c r="Q38" s="357"/>
      <c r="R38" s="357" t="str">
        <f>IF(AND('Mapa final'!$H$31="Muy Baja",'Mapa final'!$L$31="Menor"),CONCATENATE("R",'Mapa final'!$A$31),"")</f>
        <v/>
      </c>
      <c r="S38" s="357"/>
      <c r="T38" s="357" t="str">
        <f>IF(AND('Mapa final'!$H$37="Muy Baja",'Mapa final'!$L$37="Menor"),CONCATENATE("R",'Mapa final'!$A$37),"")</f>
        <v>R3</v>
      </c>
      <c r="U38" s="358"/>
      <c r="V38" s="365" t="str">
        <f>IF(AND('Mapa final'!$H$25="Muy Baja",'Mapa final'!$L$25="Moderado"),CONCATENATE("R",'Mapa final'!$A$25),"")</f>
        <v/>
      </c>
      <c r="W38" s="366"/>
      <c r="X38" s="366" t="str">
        <f>IF(AND('Mapa final'!$H$31="Muy Baja",'Mapa final'!$L$31="Moderado"),CONCATENATE("R",'Mapa final'!$A$31),"")</f>
        <v/>
      </c>
      <c r="Y38" s="366"/>
      <c r="Z38" s="366" t="str">
        <f>IF(AND('Mapa final'!$H$37="Muy Baja",'Mapa final'!$L$37="Moderado"),CONCATENATE("R",'Mapa final'!$A$37),"")</f>
        <v/>
      </c>
      <c r="AA38" s="367"/>
      <c r="AB38" s="383" t="str">
        <f>IF(AND('Mapa final'!$H$25="Muy Baja",'Mapa final'!$L$25="Mayor"),CONCATENATE("R",'Mapa final'!$A$25),"")</f>
        <v/>
      </c>
      <c r="AC38" s="384"/>
      <c r="AD38" s="384" t="str">
        <f>IF(AND('Mapa final'!$H$31="Muy Baja",'Mapa final'!$L$31="Mayor"),CONCATENATE("R",'Mapa final'!$A$31),"")</f>
        <v/>
      </c>
      <c r="AE38" s="384"/>
      <c r="AF38" s="384" t="str">
        <f>IF(AND('Mapa final'!$H$37="Muy Baja",'Mapa final'!$L$37="Mayor"),CONCATENATE("R",'Mapa final'!$A$37),"")</f>
        <v/>
      </c>
      <c r="AG38" s="385"/>
      <c r="AH38" s="374" t="str">
        <f>IF(AND('Mapa final'!$H$25="Muy Baja",'Mapa final'!$L$25="Catastrófico"),CONCATENATE("R",'Mapa final'!$A$25),"")</f>
        <v/>
      </c>
      <c r="AI38" s="375"/>
      <c r="AJ38" s="375" t="str">
        <f>IF(AND('Mapa final'!$H$31="Muy Baja",'Mapa final'!$L$31="Catastrófico"),CONCATENATE("R",'Mapa final'!$A$31),"")</f>
        <v/>
      </c>
      <c r="AK38" s="375"/>
      <c r="AL38" s="375" t="str">
        <f>IF(AND('Mapa final'!$H$37="Muy Baja",'Mapa final'!$L$37="Catastrófico"),CONCATENATE("R",'Mapa final'!$A$37),"")</f>
        <v/>
      </c>
      <c r="AM38" s="376"/>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397"/>
      <c r="C39" s="397"/>
      <c r="D39" s="398"/>
      <c r="E39" s="390"/>
      <c r="F39" s="391"/>
      <c r="G39" s="391"/>
      <c r="H39" s="391"/>
      <c r="I39" s="392"/>
      <c r="J39" s="350"/>
      <c r="K39" s="351"/>
      <c r="L39" s="351"/>
      <c r="M39" s="351"/>
      <c r="N39" s="351"/>
      <c r="O39" s="352"/>
      <c r="P39" s="350"/>
      <c r="Q39" s="351"/>
      <c r="R39" s="351"/>
      <c r="S39" s="351"/>
      <c r="T39" s="351"/>
      <c r="U39" s="352"/>
      <c r="V39" s="359"/>
      <c r="W39" s="360"/>
      <c r="X39" s="360"/>
      <c r="Y39" s="360"/>
      <c r="Z39" s="360"/>
      <c r="AA39" s="361"/>
      <c r="AB39" s="377"/>
      <c r="AC39" s="378"/>
      <c r="AD39" s="378"/>
      <c r="AE39" s="378"/>
      <c r="AF39" s="378"/>
      <c r="AG39" s="379"/>
      <c r="AH39" s="368"/>
      <c r="AI39" s="369"/>
      <c r="AJ39" s="369"/>
      <c r="AK39" s="369"/>
      <c r="AL39" s="369"/>
      <c r="AM39" s="370"/>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397"/>
      <c r="C40" s="397"/>
      <c r="D40" s="398"/>
      <c r="E40" s="390"/>
      <c r="F40" s="391"/>
      <c r="G40" s="391"/>
      <c r="H40" s="391"/>
      <c r="I40" s="392"/>
      <c r="J40" s="350" t="str">
        <f>IF(AND('Mapa final'!$H$43="Muy Baja",'Mapa final'!$L$43="Leve"),CONCATENATE("R",'Mapa final'!$A$43),"")</f>
        <v/>
      </c>
      <c r="K40" s="351"/>
      <c r="L40" s="351" t="str">
        <f>IF(AND('Mapa final'!$H$49="Muy Baja",'Mapa final'!$L$49="Leve"),CONCATENATE("R",'Mapa final'!$A$49),"")</f>
        <v/>
      </c>
      <c r="M40" s="351"/>
      <c r="N40" s="351" t="str">
        <f>IF(AND('Mapa final'!$H$55="Muy Baja",'Mapa final'!$L$55="Leve"),CONCATENATE("R",'Mapa final'!$A$55),"")</f>
        <v/>
      </c>
      <c r="O40" s="352"/>
      <c r="P40" s="350" t="str">
        <f>IF(AND('Mapa final'!$H$43="Muy Baja",'Mapa final'!$L$43="Menor"),CONCATENATE("R",'Mapa final'!$A$43),"")</f>
        <v/>
      </c>
      <c r="Q40" s="351"/>
      <c r="R40" s="351" t="str">
        <f>IF(AND('Mapa final'!$H$49="Muy Baja",'Mapa final'!$L$49="Menor"),CONCATENATE("R",'Mapa final'!$A$49),"")</f>
        <v/>
      </c>
      <c r="S40" s="351"/>
      <c r="T40" s="351" t="str">
        <f>IF(AND('Mapa final'!$H$55="Muy Baja",'Mapa final'!$L$55="Menor"),CONCATENATE("R",'Mapa final'!$A$55),"")</f>
        <v/>
      </c>
      <c r="U40" s="352"/>
      <c r="V40" s="359" t="str">
        <f>IF(AND('Mapa final'!$H$43="Muy Baja",'Mapa final'!$L$43="Moderado"),CONCATENATE("R",'Mapa final'!$A$43),"")</f>
        <v/>
      </c>
      <c r="W40" s="360"/>
      <c r="X40" s="360" t="str">
        <f>IF(AND('Mapa final'!$H$49="Muy Baja",'Mapa final'!$L$49="Moderado"),CONCATENATE("R",'Mapa final'!$A$49),"")</f>
        <v/>
      </c>
      <c r="Y40" s="360"/>
      <c r="Z40" s="360" t="str">
        <f>IF(AND('Mapa final'!$H$55="Muy Baja",'Mapa final'!$L$55="Moderado"),CONCATENATE("R",'Mapa final'!$A$55),"")</f>
        <v/>
      </c>
      <c r="AA40" s="361"/>
      <c r="AB40" s="377" t="str">
        <f>IF(AND('Mapa final'!$H$43="Muy Baja",'Mapa final'!$L$43="Mayor"),CONCATENATE("R",'Mapa final'!$A$43),"")</f>
        <v/>
      </c>
      <c r="AC40" s="378"/>
      <c r="AD40" s="378" t="str">
        <f>IF(AND('Mapa final'!$H$49="Muy Baja",'Mapa final'!$L$49="Mayor"),CONCATENATE("R",'Mapa final'!$A$49),"")</f>
        <v/>
      </c>
      <c r="AE40" s="378"/>
      <c r="AF40" s="378" t="str">
        <f>IF(AND('Mapa final'!$H$55="Muy Baja",'Mapa final'!$L$55="Mayor"),CONCATENATE("R",'Mapa final'!$A$55),"")</f>
        <v/>
      </c>
      <c r="AG40" s="379"/>
      <c r="AH40" s="368" t="str">
        <f>IF(AND('Mapa final'!$H$43="Muy Baja",'Mapa final'!$L$43="Catastrófico"),CONCATENATE("R",'Mapa final'!$A$43),"")</f>
        <v/>
      </c>
      <c r="AI40" s="369"/>
      <c r="AJ40" s="369" t="str">
        <f>IF(AND('Mapa final'!$H$49="Muy Baja",'Mapa final'!$L$49="Catastrófico"),CONCATENATE("R",'Mapa final'!$A$49),"")</f>
        <v/>
      </c>
      <c r="AK40" s="369"/>
      <c r="AL40" s="369" t="str">
        <f>IF(AND('Mapa final'!$H$55="Muy Baja",'Mapa final'!$L$55="Catastrófico"),CONCATENATE("R",'Mapa final'!$A$55),"")</f>
        <v/>
      </c>
      <c r="AM40" s="370"/>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397"/>
      <c r="C41" s="397"/>
      <c r="D41" s="398"/>
      <c r="E41" s="390"/>
      <c r="F41" s="391"/>
      <c r="G41" s="391"/>
      <c r="H41" s="391"/>
      <c r="I41" s="392"/>
      <c r="J41" s="350"/>
      <c r="K41" s="351"/>
      <c r="L41" s="351"/>
      <c r="M41" s="351"/>
      <c r="N41" s="351"/>
      <c r="O41" s="352"/>
      <c r="P41" s="350"/>
      <c r="Q41" s="351"/>
      <c r="R41" s="351"/>
      <c r="S41" s="351"/>
      <c r="T41" s="351"/>
      <c r="U41" s="352"/>
      <c r="V41" s="359"/>
      <c r="W41" s="360"/>
      <c r="X41" s="360"/>
      <c r="Y41" s="360"/>
      <c r="Z41" s="360"/>
      <c r="AA41" s="361"/>
      <c r="AB41" s="377"/>
      <c r="AC41" s="378"/>
      <c r="AD41" s="378"/>
      <c r="AE41" s="378"/>
      <c r="AF41" s="378"/>
      <c r="AG41" s="379"/>
      <c r="AH41" s="368"/>
      <c r="AI41" s="369"/>
      <c r="AJ41" s="369"/>
      <c r="AK41" s="369"/>
      <c r="AL41" s="369"/>
      <c r="AM41" s="370"/>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397"/>
      <c r="C42" s="397"/>
      <c r="D42" s="398"/>
      <c r="E42" s="390"/>
      <c r="F42" s="391"/>
      <c r="G42" s="391"/>
      <c r="H42" s="391"/>
      <c r="I42" s="392"/>
      <c r="J42" s="350" t="str">
        <f>IF(AND('Mapa final'!$H$61="Muy Baja",'Mapa final'!$L$61="Leve"),CONCATENATE("R",'Mapa final'!$A$61),"")</f>
        <v/>
      </c>
      <c r="K42" s="351"/>
      <c r="L42" s="351" t="str">
        <f>IF(AND('Mapa final'!$H$67="Muy Baja",'Mapa final'!$L$67="Leve"),CONCATENATE("R",'Mapa final'!$A$67),"")</f>
        <v/>
      </c>
      <c r="M42" s="351"/>
      <c r="N42" s="351" t="str">
        <f>IF(AND('Mapa final'!$H$73="Muy Baja",'Mapa final'!$L$73="Leve"),CONCATENATE("R",'Mapa final'!$A$73),"")</f>
        <v/>
      </c>
      <c r="O42" s="352"/>
      <c r="P42" s="350" t="str">
        <f>IF(AND('Mapa final'!$H$61="Muy Baja",'Mapa final'!$L$61="Menor"),CONCATENATE("R",'Mapa final'!$A$61),"")</f>
        <v/>
      </c>
      <c r="Q42" s="351"/>
      <c r="R42" s="351" t="str">
        <f>IF(AND('Mapa final'!$H$67="Muy Baja",'Mapa final'!$L$67="Menor"),CONCATENATE("R",'Mapa final'!$A$67),"")</f>
        <v/>
      </c>
      <c r="S42" s="351"/>
      <c r="T42" s="351" t="str">
        <f>IF(AND('Mapa final'!$H$73="Muy Baja",'Mapa final'!$L$73="Menor"),CONCATENATE("R",'Mapa final'!$A$73),"")</f>
        <v/>
      </c>
      <c r="U42" s="352"/>
      <c r="V42" s="359" t="str">
        <f>IF(AND('Mapa final'!$H$61="Muy Baja",'Mapa final'!$L$61="Moderado"),CONCATENATE("R",'Mapa final'!$A$61),"")</f>
        <v/>
      </c>
      <c r="W42" s="360"/>
      <c r="X42" s="360" t="str">
        <f>IF(AND('Mapa final'!$H$67="Muy Baja",'Mapa final'!$L$67="Moderado"),CONCATENATE("R",'Mapa final'!$A$67),"")</f>
        <v/>
      </c>
      <c r="Y42" s="360"/>
      <c r="Z42" s="360" t="str">
        <f>IF(AND('Mapa final'!$H$73="Muy Baja",'Mapa final'!$L$73="Moderado"),CONCATENATE("R",'Mapa final'!$A$73),"")</f>
        <v/>
      </c>
      <c r="AA42" s="361"/>
      <c r="AB42" s="377" t="str">
        <f>IF(AND('Mapa final'!$H$61="Muy Baja",'Mapa final'!$L$61="Mayor"),CONCATENATE("R",'Mapa final'!$A$61),"")</f>
        <v/>
      </c>
      <c r="AC42" s="378"/>
      <c r="AD42" s="378" t="str">
        <f>IF(AND('Mapa final'!$H$67="Muy Baja",'Mapa final'!$L$67="Mayor"),CONCATENATE("R",'Mapa final'!$A$67),"")</f>
        <v/>
      </c>
      <c r="AE42" s="378"/>
      <c r="AF42" s="378" t="str">
        <f>IF(AND('Mapa final'!$H$73="Muy Baja",'Mapa final'!$L$73="Mayor"),CONCATENATE("R",'Mapa final'!$A$73),"")</f>
        <v/>
      </c>
      <c r="AG42" s="379"/>
      <c r="AH42" s="368" t="str">
        <f>IF(AND('Mapa final'!$H$61="Muy Baja",'Mapa final'!$L$61="Catastrófico"),CONCATENATE("R",'Mapa final'!$A$61),"")</f>
        <v/>
      </c>
      <c r="AI42" s="369"/>
      <c r="AJ42" s="369" t="str">
        <f>IF(AND('Mapa final'!$H$67="Muy Baja",'Mapa final'!$L$67="Catastrófico"),CONCATENATE("R",'Mapa final'!$A$67),"")</f>
        <v/>
      </c>
      <c r="AK42" s="369"/>
      <c r="AL42" s="369" t="str">
        <f>IF(AND('Mapa final'!$H$73="Muy Baja",'Mapa final'!$L$73="Catastrófico"),CONCATENATE("R",'Mapa final'!$A$73),"")</f>
        <v/>
      </c>
      <c r="AM42" s="370"/>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397"/>
      <c r="C43" s="397"/>
      <c r="D43" s="398"/>
      <c r="E43" s="390"/>
      <c r="F43" s="391"/>
      <c r="G43" s="391"/>
      <c r="H43" s="391"/>
      <c r="I43" s="392"/>
      <c r="J43" s="350"/>
      <c r="K43" s="351"/>
      <c r="L43" s="351"/>
      <c r="M43" s="351"/>
      <c r="N43" s="351"/>
      <c r="O43" s="352"/>
      <c r="P43" s="350"/>
      <c r="Q43" s="351"/>
      <c r="R43" s="351"/>
      <c r="S43" s="351"/>
      <c r="T43" s="351"/>
      <c r="U43" s="352"/>
      <c r="V43" s="359"/>
      <c r="W43" s="360"/>
      <c r="X43" s="360"/>
      <c r="Y43" s="360"/>
      <c r="Z43" s="360"/>
      <c r="AA43" s="361"/>
      <c r="AB43" s="377"/>
      <c r="AC43" s="378"/>
      <c r="AD43" s="378"/>
      <c r="AE43" s="378"/>
      <c r="AF43" s="378"/>
      <c r="AG43" s="379"/>
      <c r="AH43" s="368"/>
      <c r="AI43" s="369"/>
      <c r="AJ43" s="369"/>
      <c r="AK43" s="369"/>
      <c r="AL43" s="369"/>
      <c r="AM43" s="370"/>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397"/>
      <c r="C44" s="397"/>
      <c r="D44" s="398"/>
      <c r="E44" s="390"/>
      <c r="F44" s="391"/>
      <c r="G44" s="391"/>
      <c r="H44" s="391"/>
      <c r="I44" s="392"/>
      <c r="J44" s="350" t="str">
        <f>IF(AND('Mapa final'!$H$79="Muy Baja",'Mapa final'!$L$79="Leve"),CONCATENATE("R",'Mapa final'!$A$79),"")</f>
        <v/>
      </c>
      <c r="K44" s="351"/>
      <c r="L44" s="351" t="str">
        <f>IF(AND('Mapa final'!$H$85="Muy Baja",'Mapa final'!$L$85="Leve"),CONCATENATE("R",'Mapa final'!$A$85),"")</f>
        <v/>
      </c>
      <c r="M44" s="351"/>
      <c r="N44" s="351" t="str">
        <f>IF(AND('Mapa final'!$H$91="Muy Baja",'Mapa final'!$L$91="Leve"),CONCATENATE("R",'Mapa final'!$A$91),"")</f>
        <v/>
      </c>
      <c r="O44" s="352"/>
      <c r="P44" s="350" t="str">
        <f>IF(AND('Mapa final'!$H$79="Muy Baja",'Mapa final'!$L$79="Menor"),CONCATENATE("R",'Mapa final'!$A$79),"")</f>
        <v/>
      </c>
      <c r="Q44" s="351"/>
      <c r="R44" s="351" t="str">
        <f>IF(AND('Mapa final'!$H$85="Muy Baja",'Mapa final'!$L$85="Menor"),CONCATENATE("R",'Mapa final'!$A$85),"")</f>
        <v/>
      </c>
      <c r="S44" s="351"/>
      <c r="T44" s="351" t="str">
        <f>IF(AND('Mapa final'!$H$91="Muy Baja",'Mapa final'!$L$91="Menor"),CONCATENATE("R",'Mapa final'!$A$91),"")</f>
        <v/>
      </c>
      <c r="U44" s="352"/>
      <c r="V44" s="359" t="str">
        <f>IF(AND('Mapa final'!$H$79="Muy Baja",'Mapa final'!$L$79="Moderado"),CONCATENATE("R",'Mapa final'!$A$79),"")</f>
        <v/>
      </c>
      <c r="W44" s="360"/>
      <c r="X44" s="360" t="str">
        <f>IF(AND('Mapa final'!$H$85="Muy Baja",'Mapa final'!$L$85="Moderado"),CONCATENATE("R",'Mapa final'!$A$85),"")</f>
        <v/>
      </c>
      <c r="Y44" s="360"/>
      <c r="Z44" s="360" t="str">
        <f>IF(AND('Mapa final'!$H$91="Muy Baja",'Mapa final'!$L$91="Moderado"),CONCATENATE("R",'Mapa final'!$A$91),"")</f>
        <v/>
      </c>
      <c r="AA44" s="361"/>
      <c r="AB44" s="377" t="str">
        <f>IF(AND('Mapa final'!$H$79="Muy Baja",'Mapa final'!$L$79="Mayor"),CONCATENATE("R",'Mapa final'!$A$79),"")</f>
        <v/>
      </c>
      <c r="AC44" s="378"/>
      <c r="AD44" s="378" t="str">
        <f>IF(AND('Mapa final'!$H$85="Muy Baja",'Mapa final'!$L$85="Mayor"),CONCATENATE("R",'Mapa final'!$A$85),"")</f>
        <v/>
      </c>
      <c r="AE44" s="378"/>
      <c r="AF44" s="378" t="str">
        <f>IF(AND('Mapa final'!$H$91="Muy Baja",'Mapa final'!$L$91="Mayor"),CONCATENATE("R",'Mapa final'!$A$91),"")</f>
        <v/>
      </c>
      <c r="AG44" s="379"/>
      <c r="AH44" s="368" t="str">
        <f>IF(AND('Mapa final'!$H$79="Muy Baja",'Mapa final'!$L$79="Catastrófico"),CONCATENATE("R",'Mapa final'!$A$79),"")</f>
        <v/>
      </c>
      <c r="AI44" s="369"/>
      <c r="AJ44" s="369" t="str">
        <f>IF(AND('Mapa final'!$H$85="Muy Baja",'Mapa final'!$L$85="Catastrófico"),CONCATENATE("R",'Mapa final'!$A$85),"")</f>
        <v/>
      </c>
      <c r="AK44" s="369"/>
      <c r="AL44" s="369" t="str">
        <f>IF(AND('Mapa final'!$H$91="Muy Baja",'Mapa final'!$L$91="Catastrófico"),CONCATENATE("R",'Mapa final'!$A$91),"")</f>
        <v/>
      </c>
      <c r="AM44" s="370"/>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397"/>
      <c r="C45" s="397"/>
      <c r="D45" s="398"/>
      <c r="E45" s="393"/>
      <c r="F45" s="394"/>
      <c r="G45" s="394"/>
      <c r="H45" s="394"/>
      <c r="I45" s="395"/>
      <c r="J45" s="353"/>
      <c r="K45" s="354"/>
      <c r="L45" s="354"/>
      <c r="M45" s="354"/>
      <c r="N45" s="354"/>
      <c r="O45" s="355"/>
      <c r="P45" s="353"/>
      <c r="Q45" s="354"/>
      <c r="R45" s="354"/>
      <c r="S45" s="354"/>
      <c r="T45" s="354"/>
      <c r="U45" s="355"/>
      <c r="V45" s="362"/>
      <c r="W45" s="363"/>
      <c r="X45" s="363"/>
      <c r="Y45" s="363"/>
      <c r="Z45" s="363"/>
      <c r="AA45" s="364"/>
      <c r="AB45" s="380"/>
      <c r="AC45" s="381"/>
      <c r="AD45" s="381"/>
      <c r="AE45" s="381"/>
      <c r="AF45" s="381"/>
      <c r="AG45" s="382"/>
      <c r="AH45" s="371"/>
      <c r="AI45" s="372"/>
      <c r="AJ45" s="372"/>
      <c r="AK45" s="372"/>
      <c r="AL45" s="372"/>
      <c r="AM45" s="373"/>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387" t="s">
        <v>182</v>
      </c>
      <c r="K46" s="388"/>
      <c r="L46" s="388"/>
      <c r="M46" s="388"/>
      <c r="N46" s="388"/>
      <c r="O46" s="389"/>
      <c r="P46" s="387" t="s">
        <v>183</v>
      </c>
      <c r="Q46" s="388"/>
      <c r="R46" s="388"/>
      <c r="S46" s="388"/>
      <c r="T46" s="388"/>
      <c r="U46" s="389"/>
      <c r="V46" s="387" t="s">
        <v>184</v>
      </c>
      <c r="W46" s="388"/>
      <c r="X46" s="388"/>
      <c r="Y46" s="388"/>
      <c r="Z46" s="388"/>
      <c r="AA46" s="389"/>
      <c r="AB46" s="387" t="s">
        <v>185</v>
      </c>
      <c r="AC46" s="396"/>
      <c r="AD46" s="388"/>
      <c r="AE46" s="388"/>
      <c r="AF46" s="388"/>
      <c r="AG46" s="389"/>
      <c r="AH46" s="387" t="s">
        <v>186</v>
      </c>
      <c r="AI46" s="388"/>
      <c r="AJ46" s="388"/>
      <c r="AK46" s="388"/>
      <c r="AL46" s="388"/>
      <c r="AM46" s="389"/>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390"/>
      <c r="K47" s="391"/>
      <c r="L47" s="391"/>
      <c r="M47" s="391"/>
      <c r="N47" s="391"/>
      <c r="O47" s="392"/>
      <c r="P47" s="390"/>
      <c r="Q47" s="391"/>
      <c r="R47" s="391"/>
      <c r="S47" s="391"/>
      <c r="T47" s="391"/>
      <c r="U47" s="392"/>
      <c r="V47" s="390"/>
      <c r="W47" s="391"/>
      <c r="X47" s="391"/>
      <c r="Y47" s="391"/>
      <c r="Z47" s="391"/>
      <c r="AA47" s="392"/>
      <c r="AB47" s="390"/>
      <c r="AC47" s="391"/>
      <c r="AD47" s="391"/>
      <c r="AE47" s="391"/>
      <c r="AF47" s="391"/>
      <c r="AG47" s="392"/>
      <c r="AH47" s="390"/>
      <c r="AI47" s="391"/>
      <c r="AJ47" s="391"/>
      <c r="AK47" s="391"/>
      <c r="AL47" s="391"/>
      <c r="AM47" s="39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390"/>
      <c r="K48" s="391"/>
      <c r="L48" s="391"/>
      <c r="M48" s="391"/>
      <c r="N48" s="391"/>
      <c r="O48" s="392"/>
      <c r="P48" s="390"/>
      <c r="Q48" s="391"/>
      <c r="R48" s="391"/>
      <c r="S48" s="391"/>
      <c r="T48" s="391"/>
      <c r="U48" s="392"/>
      <c r="V48" s="390"/>
      <c r="W48" s="391"/>
      <c r="X48" s="391"/>
      <c r="Y48" s="391"/>
      <c r="Z48" s="391"/>
      <c r="AA48" s="392"/>
      <c r="AB48" s="390"/>
      <c r="AC48" s="391"/>
      <c r="AD48" s="391"/>
      <c r="AE48" s="391"/>
      <c r="AF48" s="391"/>
      <c r="AG48" s="392"/>
      <c r="AH48" s="390"/>
      <c r="AI48" s="391"/>
      <c r="AJ48" s="391"/>
      <c r="AK48" s="391"/>
      <c r="AL48" s="391"/>
      <c r="AM48" s="39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390"/>
      <c r="K49" s="391"/>
      <c r="L49" s="391"/>
      <c r="M49" s="391"/>
      <c r="N49" s="391"/>
      <c r="O49" s="392"/>
      <c r="P49" s="390"/>
      <c r="Q49" s="391"/>
      <c r="R49" s="391"/>
      <c r="S49" s="391"/>
      <c r="T49" s="391"/>
      <c r="U49" s="392"/>
      <c r="V49" s="390"/>
      <c r="W49" s="391"/>
      <c r="X49" s="391"/>
      <c r="Y49" s="391"/>
      <c r="Z49" s="391"/>
      <c r="AA49" s="392"/>
      <c r="AB49" s="390"/>
      <c r="AC49" s="391"/>
      <c r="AD49" s="391"/>
      <c r="AE49" s="391"/>
      <c r="AF49" s="391"/>
      <c r="AG49" s="392"/>
      <c r="AH49" s="390"/>
      <c r="AI49" s="391"/>
      <c r="AJ49" s="391"/>
      <c r="AK49" s="391"/>
      <c r="AL49" s="391"/>
      <c r="AM49" s="39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390"/>
      <c r="K50" s="391"/>
      <c r="L50" s="391"/>
      <c r="M50" s="391"/>
      <c r="N50" s="391"/>
      <c r="O50" s="392"/>
      <c r="P50" s="390"/>
      <c r="Q50" s="391"/>
      <c r="R50" s="391"/>
      <c r="S50" s="391"/>
      <c r="T50" s="391"/>
      <c r="U50" s="392"/>
      <c r="V50" s="390"/>
      <c r="W50" s="391"/>
      <c r="X50" s="391"/>
      <c r="Y50" s="391"/>
      <c r="Z50" s="391"/>
      <c r="AA50" s="392"/>
      <c r="AB50" s="390"/>
      <c r="AC50" s="391"/>
      <c r="AD50" s="391"/>
      <c r="AE50" s="391"/>
      <c r="AF50" s="391"/>
      <c r="AG50" s="392"/>
      <c r="AH50" s="390"/>
      <c r="AI50" s="391"/>
      <c r="AJ50" s="391"/>
      <c r="AK50" s="391"/>
      <c r="AL50" s="391"/>
      <c r="AM50" s="39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393"/>
      <c r="K51" s="394"/>
      <c r="L51" s="394"/>
      <c r="M51" s="394"/>
      <c r="N51" s="394"/>
      <c r="O51" s="395"/>
      <c r="P51" s="393"/>
      <c r="Q51" s="394"/>
      <c r="R51" s="394"/>
      <c r="S51" s="394"/>
      <c r="T51" s="394"/>
      <c r="U51" s="395"/>
      <c r="V51" s="393"/>
      <c r="W51" s="394"/>
      <c r="X51" s="394"/>
      <c r="Y51" s="394"/>
      <c r="Z51" s="394"/>
      <c r="AA51" s="395"/>
      <c r="AB51" s="393"/>
      <c r="AC51" s="394"/>
      <c r="AD51" s="394"/>
      <c r="AE51" s="394"/>
      <c r="AF51" s="394"/>
      <c r="AG51" s="395"/>
      <c r="AH51" s="393"/>
      <c r="AI51" s="394"/>
      <c r="AJ51" s="394"/>
      <c r="AK51" s="394"/>
      <c r="AL51" s="394"/>
      <c r="AM51" s="395"/>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P46" sqref="P46"/>
    </sheetView>
  </sheetViews>
  <sheetFormatPr baseColWidth="10" defaultColWidth="11.42578125" defaultRowHeight="15" x14ac:dyDescent="0.25"/>
  <cols>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1" max="46" width="5.710937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464" t="s">
        <v>187</v>
      </c>
      <c r="C2" s="465"/>
      <c r="D2" s="465"/>
      <c r="E2" s="465"/>
      <c r="F2" s="465"/>
      <c r="G2" s="465"/>
      <c r="H2" s="465"/>
      <c r="I2" s="465"/>
      <c r="J2" s="386" t="s">
        <v>15</v>
      </c>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465"/>
      <c r="C3" s="465"/>
      <c r="D3" s="465"/>
      <c r="E3" s="465"/>
      <c r="F3" s="465"/>
      <c r="G3" s="465"/>
      <c r="H3" s="465"/>
      <c r="I3" s="465"/>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c r="AL3" s="386"/>
      <c r="AM3" s="386"/>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465"/>
      <c r="C4" s="465"/>
      <c r="D4" s="465"/>
      <c r="E4" s="465"/>
      <c r="F4" s="465"/>
      <c r="G4" s="465"/>
      <c r="H4" s="465"/>
      <c r="I4" s="465"/>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397" t="s">
        <v>167</v>
      </c>
      <c r="C6" s="397"/>
      <c r="D6" s="398"/>
      <c r="E6" s="435" t="s">
        <v>173</v>
      </c>
      <c r="F6" s="436"/>
      <c r="G6" s="436"/>
      <c r="H6" s="436"/>
      <c r="I6" s="437"/>
      <c r="J6" s="45" t="str">
        <f>IF(AND('Mapa final'!$Y$25="Muy Alta",'Mapa final'!$AA$25="Leve"),CONCATENATE("R1C",'Mapa final'!$O$25),"")</f>
        <v/>
      </c>
      <c r="K6" s="46" t="str">
        <f>IF(AND('Mapa final'!$Y$26="Muy Alta",'Mapa final'!$AA$26="Leve"),CONCATENATE("R1C",'Mapa final'!$O$26),"")</f>
        <v/>
      </c>
      <c r="L6" s="46" t="str">
        <f>IF(AND('Mapa final'!$Y$27="Muy Alta",'Mapa final'!$AA$27="Leve"),CONCATENATE("R1C",'Mapa final'!$O$27),"")</f>
        <v/>
      </c>
      <c r="M6" s="46" t="str">
        <f>IF(AND('Mapa final'!$Y$28="Muy Alta",'Mapa final'!$AA$28="Leve"),CONCATENATE("R1C",'Mapa final'!$O$28),"")</f>
        <v/>
      </c>
      <c r="N6" s="46" t="str">
        <f>IF(AND('Mapa final'!$Y$29="Muy Alta",'Mapa final'!$AA$29="Leve"),CONCATENATE("R1C",'Mapa final'!$O$29),"")</f>
        <v/>
      </c>
      <c r="O6" s="47" t="str">
        <f>IF(AND('Mapa final'!$Y$30="Muy Alta",'Mapa final'!$AA$30="Leve"),CONCATENATE("R1C",'Mapa final'!$O$30),"")</f>
        <v/>
      </c>
      <c r="P6" s="45" t="str">
        <f>IF(AND('Mapa final'!$Y$25="Muy Alta",'Mapa final'!$AA$25="Menor"),CONCATENATE("R1C",'Mapa final'!$O$25),"")</f>
        <v/>
      </c>
      <c r="Q6" s="46" t="str">
        <f>IF(AND('Mapa final'!$Y$26="Muy Alta",'Mapa final'!$AA$26="Menor"),CONCATENATE("R1C",'Mapa final'!$O$26),"")</f>
        <v/>
      </c>
      <c r="R6" s="46" t="str">
        <f>IF(AND('Mapa final'!$Y$27="Muy Alta",'Mapa final'!$AA$27="Menor"),CONCATENATE("R1C",'Mapa final'!$O$27),"")</f>
        <v/>
      </c>
      <c r="S6" s="46" t="str">
        <f>IF(AND('Mapa final'!$Y$28="Muy Alta",'Mapa final'!$AA$28="Menor"),CONCATENATE("R1C",'Mapa final'!$O$28),"")</f>
        <v/>
      </c>
      <c r="T6" s="46" t="str">
        <f>IF(AND('Mapa final'!$Y$29="Muy Alta",'Mapa final'!$AA$29="Menor"),CONCATENATE("R1C",'Mapa final'!$O$29),"")</f>
        <v/>
      </c>
      <c r="U6" s="47" t="str">
        <f>IF(AND('Mapa final'!$Y$30="Muy Alta",'Mapa final'!$AA$30="Menor"),CONCATENATE("R1C",'Mapa final'!$O$30),"")</f>
        <v/>
      </c>
      <c r="V6" s="45" t="str">
        <f>IF(AND('Mapa final'!$Y$25="Muy Alta",'Mapa final'!$AA$25="Moderado"),CONCATENATE("R1C",'Mapa final'!$O$25),"")</f>
        <v/>
      </c>
      <c r="W6" s="46" t="str">
        <f>IF(AND('Mapa final'!$Y$26="Muy Alta",'Mapa final'!$AA$26="Moderado"),CONCATENATE("R1C",'Mapa final'!$O$26),"")</f>
        <v/>
      </c>
      <c r="X6" s="46" t="str">
        <f>IF(AND('Mapa final'!$Y$27="Muy Alta",'Mapa final'!$AA$27="Moderado"),CONCATENATE("R1C",'Mapa final'!$O$27),"")</f>
        <v/>
      </c>
      <c r="Y6" s="46" t="str">
        <f>IF(AND('Mapa final'!$Y$28="Muy Alta",'Mapa final'!$AA$28="Moderado"),CONCATENATE("R1C",'Mapa final'!$O$28),"")</f>
        <v/>
      </c>
      <c r="Z6" s="46" t="str">
        <f>IF(AND('Mapa final'!$Y$29="Muy Alta",'Mapa final'!$AA$29="Moderado"),CONCATENATE("R1C",'Mapa final'!$O$29),"")</f>
        <v/>
      </c>
      <c r="AA6" s="47" t="str">
        <f>IF(AND('Mapa final'!$Y$30="Muy Alta",'Mapa final'!$AA$30="Moderado"),CONCATENATE("R1C",'Mapa final'!$O$30),"")</f>
        <v/>
      </c>
      <c r="AB6" s="45" t="str">
        <f>IF(AND('Mapa final'!$Y$25="Muy Alta",'Mapa final'!$AA$25="Mayor"),CONCATENATE("R1C",'Mapa final'!$O$25),"")</f>
        <v/>
      </c>
      <c r="AC6" s="46" t="str">
        <f>IF(AND('Mapa final'!$Y$26="Muy Alta",'Mapa final'!$AA$26="Mayor"),CONCATENATE("R1C",'Mapa final'!$O$26),"")</f>
        <v/>
      </c>
      <c r="AD6" s="46" t="str">
        <f>IF(AND('Mapa final'!$Y$27="Muy Alta",'Mapa final'!$AA$27="Mayor"),CONCATENATE("R1C",'Mapa final'!$O$27),"")</f>
        <v/>
      </c>
      <c r="AE6" s="46" t="str">
        <f>IF(AND('Mapa final'!$Y$28="Muy Alta",'Mapa final'!$AA$28="Mayor"),CONCATENATE("R1C",'Mapa final'!$O$28),"")</f>
        <v/>
      </c>
      <c r="AF6" s="46" t="str">
        <f>IF(AND('Mapa final'!$Y$29="Muy Alta",'Mapa final'!$AA$29="Mayor"),CONCATENATE("R1C",'Mapa final'!$O$29),"")</f>
        <v/>
      </c>
      <c r="AG6" s="47" t="str">
        <f>IF(AND('Mapa final'!$Y$30="Muy Alta",'Mapa final'!$AA$30="Mayor"),CONCATENATE("R1C",'Mapa final'!$O$30),"")</f>
        <v/>
      </c>
      <c r="AH6" s="48" t="str">
        <f>IF(AND('Mapa final'!$Y$25="Muy Alta",'Mapa final'!$AA$25="Catastrófico"),CONCATENATE("R1C",'Mapa final'!$O$25),"")</f>
        <v/>
      </c>
      <c r="AI6" s="49" t="str">
        <f>IF(AND('Mapa final'!$Y$26="Muy Alta",'Mapa final'!$AA$26="Catastrófico"),CONCATENATE("R1C",'Mapa final'!$O$26),"")</f>
        <v/>
      </c>
      <c r="AJ6" s="49" t="str">
        <f>IF(AND('Mapa final'!$Y$27="Muy Alta",'Mapa final'!$AA$27="Catastrófico"),CONCATENATE("R1C",'Mapa final'!$O$27),"")</f>
        <v/>
      </c>
      <c r="AK6" s="49" t="str">
        <f>IF(AND('Mapa final'!$Y$28="Muy Alta",'Mapa final'!$AA$28="Catastrófico"),CONCATENATE("R1C",'Mapa final'!$O$28),"")</f>
        <v/>
      </c>
      <c r="AL6" s="49" t="str">
        <f>IF(AND('Mapa final'!$Y$29="Muy Alta",'Mapa final'!$AA$29="Catastrófico"),CONCATENATE("R1C",'Mapa final'!$O$29),"")</f>
        <v/>
      </c>
      <c r="AM6" s="50" t="str">
        <f>IF(AND('Mapa final'!$Y$30="Muy Alta",'Mapa final'!$AA$30="Catastrófico"),CONCATENATE("R1C",'Mapa final'!$O$30),"")</f>
        <v/>
      </c>
      <c r="AN6" s="82"/>
      <c r="AO6" s="455" t="s">
        <v>174</v>
      </c>
      <c r="AP6" s="456"/>
      <c r="AQ6" s="456"/>
      <c r="AR6" s="456"/>
      <c r="AS6" s="456"/>
      <c r="AT6" s="457"/>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397"/>
      <c r="C7" s="397"/>
      <c r="D7" s="398"/>
      <c r="E7" s="438"/>
      <c r="F7" s="439"/>
      <c r="G7" s="439"/>
      <c r="H7" s="439"/>
      <c r="I7" s="440"/>
      <c r="J7" s="51" t="str">
        <f>IF(AND('Mapa final'!$Y$31="Muy Alta",'Mapa final'!$AA$31="Leve"),CONCATENATE("R2C",'Mapa final'!$O$31),"")</f>
        <v/>
      </c>
      <c r="K7" s="52" t="str">
        <f>IF(AND('Mapa final'!$Y$32="Muy Alta",'Mapa final'!$AA$32="Leve"),CONCATENATE("R2C",'Mapa final'!$O$32),"")</f>
        <v/>
      </c>
      <c r="L7" s="52" t="str">
        <f>IF(AND('Mapa final'!$Y$33="Muy Alta",'Mapa final'!$AA$33="Leve"),CONCATENATE("R2C",'Mapa final'!$O$33),"")</f>
        <v/>
      </c>
      <c r="M7" s="52" t="str">
        <f>IF(AND('Mapa final'!$Y$34="Muy Alta",'Mapa final'!$AA$34="Leve"),CONCATENATE("R2C",'Mapa final'!$O$34),"")</f>
        <v/>
      </c>
      <c r="N7" s="52" t="str">
        <f>IF(AND('Mapa final'!$Y$35="Muy Alta",'Mapa final'!$AA$35="Leve"),CONCATENATE("R2C",'Mapa final'!$O$35),"")</f>
        <v/>
      </c>
      <c r="O7" s="53" t="str">
        <f>IF(AND('Mapa final'!$Y$36="Muy Alta",'Mapa final'!$AA$36="Leve"),CONCATENATE("R2C",'Mapa final'!$O$36),"")</f>
        <v/>
      </c>
      <c r="P7" s="51" t="str">
        <f>IF(AND('Mapa final'!$Y$31="Muy Alta",'Mapa final'!$AA$31="Menor"),CONCATENATE("R2C",'Mapa final'!$O$31),"")</f>
        <v/>
      </c>
      <c r="Q7" s="52" t="str">
        <f>IF(AND('Mapa final'!$Y$32="Muy Alta",'Mapa final'!$AA$32="Menor"),CONCATENATE("R2C",'Mapa final'!$O$32),"")</f>
        <v/>
      </c>
      <c r="R7" s="52" t="str">
        <f>IF(AND('Mapa final'!$Y$33="Muy Alta",'Mapa final'!$AA$33="Menor"),CONCATENATE("R2C",'Mapa final'!$O$33),"")</f>
        <v/>
      </c>
      <c r="S7" s="52" t="str">
        <f>IF(AND('Mapa final'!$Y$34="Muy Alta",'Mapa final'!$AA$34="Menor"),CONCATENATE("R2C",'Mapa final'!$O$34),"")</f>
        <v/>
      </c>
      <c r="T7" s="52" t="str">
        <f>IF(AND('Mapa final'!$Y$35="Muy Alta",'Mapa final'!$AA$35="Menor"),CONCATENATE("R2C",'Mapa final'!$O$35),"")</f>
        <v/>
      </c>
      <c r="U7" s="53" t="str">
        <f>IF(AND('Mapa final'!$Y$36="Muy Alta",'Mapa final'!$AA$36="Menor"),CONCATENATE("R2C",'Mapa final'!$O$36),"")</f>
        <v/>
      </c>
      <c r="V7" s="51" t="str">
        <f>IF(AND('Mapa final'!$Y$31="Muy Alta",'Mapa final'!$AA$31="Moderado"),CONCATENATE("R2C",'Mapa final'!$O$31),"")</f>
        <v/>
      </c>
      <c r="W7" s="52" t="str">
        <f>IF(AND('Mapa final'!$Y$32="Muy Alta",'Mapa final'!$AA$32="Moderado"),CONCATENATE("R2C",'Mapa final'!$O$32),"")</f>
        <v/>
      </c>
      <c r="X7" s="52" t="str">
        <f>IF(AND('Mapa final'!$Y$33="Muy Alta",'Mapa final'!$AA$33="Moderado"),CONCATENATE("R2C",'Mapa final'!$O$33),"")</f>
        <v/>
      </c>
      <c r="Y7" s="52" t="str">
        <f>IF(AND('Mapa final'!$Y$34="Muy Alta",'Mapa final'!$AA$34="Moderado"),CONCATENATE("R2C",'Mapa final'!$O$34),"")</f>
        <v/>
      </c>
      <c r="Z7" s="52" t="str">
        <f>IF(AND('Mapa final'!$Y$35="Muy Alta",'Mapa final'!$AA$35="Moderado"),CONCATENATE("R2C",'Mapa final'!$O$35),"")</f>
        <v/>
      </c>
      <c r="AA7" s="53" t="str">
        <f>IF(AND('Mapa final'!$Y$36="Muy Alta",'Mapa final'!$AA$36="Moderado"),CONCATENATE("R2C",'Mapa final'!$O$36),"")</f>
        <v/>
      </c>
      <c r="AB7" s="51" t="str">
        <f>IF(AND('Mapa final'!$Y$31="Muy Alta",'Mapa final'!$AA$31="Mayor"),CONCATENATE("R2C",'Mapa final'!$O$31),"")</f>
        <v/>
      </c>
      <c r="AC7" s="52" t="str">
        <f>IF(AND('Mapa final'!$Y$32="Muy Alta",'Mapa final'!$AA$32="Mayor"),CONCATENATE("R2C",'Mapa final'!$O$32),"")</f>
        <v/>
      </c>
      <c r="AD7" s="52" t="str">
        <f>IF(AND('Mapa final'!$Y$33="Muy Alta",'Mapa final'!$AA$33="Mayor"),CONCATENATE("R2C",'Mapa final'!$O$33),"")</f>
        <v/>
      </c>
      <c r="AE7" s="52" t="str">
        <f>IF(AND('Mapa final'!$Y$34="Muy Alta",'Mapa final'!$AA$34="Mayor"),CONCATENATE("R2C",'Mapa final'!$O$34),"")</f>
        <v/>
      </c>
      <c r="AF7" s="52" t="str">
        <f>IF(AND('Mapa final'!$Y$35="Muy Alta",'Mapa final'!$AA$35="Mayor"),CONCATENATE("R2C",'Mapa final'!$O$35),"")</f>
        <v/>
      </c>
      <c r="AG7" s="53" t="str">
        <f>IF(AND('Mapa final'!$Y$36="Muy Alta",'Mapa final'!$AA$36="Mayor"),CONCATENATE("R2C",'Mapa final'!$O$36),"")</f>
        <v/>
      </c>
      <c r="AH7" s="54" t="str">
        <f>IF(AND('Mapa final'!$Y$31="Muy Alta",'Mapa final'!$AA$31="Catastrófico"),CONCATENATE("R2C",'Mapa final'!$O$31),"")</f>
        <v/>
      </c>
      <c r="AI7" s="55" t="str">
        <f>IF(AND('Mapa final'!$Y$32="Muy Alta",'Mapa final'!$AA$32="Catastrófico"),CONCATENATE("R2C",'Mapa final'!$O$32),"")</f>
        <v/>
      </c>
      <c r="AJ7" s="55" t="str">
        <f>IF(AND('Mapa final'!$Y$33="Muy Alta",'Mapa final'!$AA$33="Catastrófico"),CONCATENATE("R2C",'Mapa final'!$O$33),"")</f>
        <v/>
      </c>
      <c r="AK7" s="55" t="str">
        <f>IF(AND('Mapa final'!$Y$34="Muy Alta",'Mapa final'!$AA$34="Catastrófico"),CONCATENATE("R2C",'Mapa final'!$O$34),"")</f>
        <v/>
      </c>
      <c r="AL7" s="55" t="str">
        <f>IF(AND('Mapa final'!$Y$35="Muy Alta",'Mapa final'!$AA$35="Catastrófico"),CONCATENATE("R2C",'Mapa final'!$O$35),"")</f>
        <v/>
      </c>
      <c r="AM7" s="56" t="str">
        <f>IF(AND('Mapa final'!$Y$36="Muy Alta",'Mapa final'!$AA$36="Catastrófico"),CONCATENATE("R2C",'Mapa final'!$O$36),"")</f>
        <v/>
      </c>
      <c r="AN7" s="82"/>
      <c r="AO7" s="458"/>
      <c r="AP7" s="459"/>
      <c r="AQ7" s="459"/>
      <c r="AR7" s="459"/>
      <c r="AS7" s="459"/>
      <c r="AT7" s="460"/>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397"/>
      <c r="C8" s="397"/>
      <c r="D8" s="398"/>
      <c r="E8" s="438"/>
      <c r="F8" s="439"/>
      <c r="G8" s="439"/>
      <c r="H8" s="439"/>
      <c r="I8" s="440"/>
      <c r="J8" s="51" t="str">
        <f>IF(AND('Mapa final'!$Y$37="Muy Alta",'Mapa final'!$AA$37="Leve"),CONCATENATE("R3C",'Mapa final'!$O$37),"")</f>
        <v/>
      </c>
      <c r="K8" s="52" t="str">
        <f>IF(AND('Mapa final'!$Y$38="Muy Alta",'Mapa final'!$AA$38="Leve"),CONCATENATE("R3C",'Mapa final'!$O$38),"")</f>
        <v/>
      </c>
      <c r="L8" s="52" t="str">
        <f>IF(AND('Mapa final'!$Y$39="Muy Alta",'Mapa final'!$AA$39="Leve"),CONCATENATE("R3C",'Mapa final'!$O$39),"")</f>
        <v/>
      </c>
      <c r="M8" s="52" t="str">
        <f>IF(AND('Mapa final'!$Y$40="Muy Alta",'Mapa final'!$AA$40="Leve"),CONCATENATE("R3C",'Mapa final'!$O$40),"")</f>
        <v/>
      </c>
      <c r="N8" s="52" t="str">
        <f>IF(AND('Mapa final'!$Y$41="Muy Alta",'Mapa final'!$AA$41="Leve"),CONCATENATE("R3C",'Mapa final'!$O$41),"")</f>
        <v/>
      </c>
      <c r="O8" s="53" t="str">
        <f>IF(AND('Mapa final'!$Y$42="Muy Alta",'Mapa final'!$AA$42="Leve"),CONCATENATE("R3C",'Mapa final'!$O$42),"")</f>
        <v/>
      </c>
      <c r="P8" s="51" t="str">
        <f>IF(AND('Mapa final'!$Y$37="Muy Alta",'Mapa final'!$AA$37="Menor"),CONCATENATE("R3C",'Mapa final'!$O$37),"")</f>
        <v/>
      </c>
      <c r="Q8" s="52" t="str">
        <f>IF(AND('Mapa final'!$Y$38="Muy Alta",'Mapa final'!$AA$38="Menor"),CONCATENATE("R3C",'Mapa final'!$O$38),"")</f>
        <v/>
      </c>
      <c r="R8" s="52" t="str">
        <f>IF(AND('Mapa final'!$Y$39="Muy Alta",'Mapa final'!$AA$39="Menor"),CONCATENATE("R3C",'Mapa final'!$O$39),"")</f>
        <v/>
      </c>
      <c r="S8" s="52" t="str">
        <f>IF(AND('Mapa final'!$Y$40="Muy Alta",'Mapa final'!$AA$40="Menor"),CONCATENATE("R3C",'Mapa final'!$O$40),"")</f>
        <v/>
      </c>
      <c r="T8" s="52" t="str">
        <f>IF(AND('Mapa final'!$Y$41="Muy Alta",'Mapa final'!$AA$41="Menor"),CONCATENATE("R3C",'Mapa final'!$O$41),"")</f>
        <v/>
      </c>
      <c r="U8" s="53" t="str">
        <f>IF(AND('Mapa final'!$Y$42="Muy Alta",'Mapa final'!$AA$42="Menor"),CONCATENATE("R3C",'Mapa final'!$O$42),"")</f>
        <v/>
      </c>
      <c r="V8" s="51" t="str">
        <f>IF(AND('Mapa final'!$Y$37="Muy Alta",'Mapa final'!$AA$37="Moderado"),CONCATENATE("R3C",'Mapa final'!$O$37),"")</f>
        <v/>
      </c>
      <c r="W8" s="52" t="str">
        <f>IF(AND('Mapa final'!$Y$38="Muy Alta",'Mapa final'!$AA$38="Moderado"),CONCATENATE("R3C",'Mapa final'!$O$38),"")</f>
        <v/>
      </c>
      <c r="X8" s="52" t="str">
        <f>IF(AND('Mapa final'!$Y$39="Muy Alta",'Mapa final'!$AA$39="Moderado"),CONCATENATE("R3C",'Mapa final'!$O$39),"")</f>
        <v/>
      </c>
      <c r="Y8" s="52" t="str">
        <f>IF(AND('Mapa final'!$Y$40="Muy Alta",'Mapa final'!$AA$40="Moderado"),CONCATENATE("R3C",'Mapa final'!$O$40),"")</f>
        <v/>
      </c>
      <c r="Z8" s="52" t="str">
        <f>IF(AND('Mapa final'!$Y$41="Muy Alta",'Mapa final'!$AA$41="Moderado"),CONCATENATE("R3C",'Mapa final'!$O$41),"")</f>
        <v/>
      </c>
      <c r="AA8" s="53" t="str">
        <f>IF(AND('Mapa final'!$Y$42="Muy Alta",'Mapa final'!$AA$42="Moderado"),CONCATENATE("R3C",'Mapa final'!$O$42),"")</f>
        <v/>
      </c>
      <c r="AB8" s="51" t="str">
        <f>IF(AND('Mapa final'!$Y$37="Muy Alta",'Mapa final'!$AA$37="Mayor"),CONCATENATE("R3C",'Mapa final'!$O$37),"")</f>
        <v/>
      </c>
      <c r="AC8" s="52" t="str">
        <f>IF(AND('Mapa final'!$Y$38="Muy Alta",'Mapa final'!$AA$38="Mayor"),CONCATENATE("R3C",'Mapa final'!$O$38),"")</f>
        <v/>
      </c>
      <c r="AD8" s="52" t="str">
        <f>IF(AND('Mapa final'!$Y$39="Muy Alta",'Mapa final'!$AA$39="Mayor"),CONCATENATE("R3C",'Mapa final'!$O$39),"")</f>
        <v/>
      </c>
      <c r="AE8" s="52" t="str">
        <f>IF(AND('Mapa final'!$Y$40="Muy Alta",'Mapa final'!$AA$40="Mayor"),CONCATENATE("R3C",'Mapa final'!$O$40),"")</f>
        <v/>
      </c>
      <c r="AF8" s="52" t="str">
        <f>IF(AND('Mapa final'!$Y$41="Muy Alta",'Mapa final'!$AA$41="Mayor"),CONCATENATE("R3C",'Mapa final'!$O$41),"")</f>
        <v/>
      </c>
      <c r="AG8" s="53" t="str">
        <f>IF(AND('Mapa final'!$Y$42="Muy Alta",'Mapa final'!$AA$42="Mayor"),CONCATENATE("R3C",'Mapa final'!$O$42),"")</f>
        <v/>
      </c>
      <c r="AH8" s="54" t="str">
        <f>IF(AND('Mapa final'!$Y$37="Muy Alta",'Mapa final'!$AA$37="Catastrófico"),CONCATENATE("R3C",'Mapa final'!$O$37),"")</f>
        <v/>
      </c>
      <c r="AI8" s="55" t="str">
        <f>IF(AND('Mapa final'!$Y$38="Muy Alta",'Mapa final'!$AA$38="Catastrófico"),CONCATENATE("R3C",'Mapa final'!$O$38),"")</f>
        <v/>
      </c>
      <c r="AJ8" s="55" t="str">
        <f>IF(AND('Mapa final'!$Y$39="Muy Alta",'Mapa final'!$AA$39="Catastrófico"),CONCATENATE("R3C",'Mapa final'!$O$39),"")</f>
        <v/>
      </c>
      <c r="AK8" s="55" t="str">
        <f>IF(AND('Mapa final'!$Y$40="Muy Alta",'Mapa final'!$AA$40="Catastrófico"),CONCATENATE("R3C",'Mapa final'!$O$40),"")</f>
        <v/>
      </c>
      <c r="AL8" s="55" t="str">
        <f>IF(AND('Mapa final'!$Y$41="Muy Alta",'Mapa final'!$AA$41="Catastrófico"),CONCATENATE("R3C",'Mapa final'!$O$41),"")</f>
        <v/>
      </c>
      <c r="AM8" s="56" t="str">
        <f>IF(AND('Mapa final'!$Y$42="Muy Alta",'Mapa final'!$AA$42="Catastrófico"),CONCATENATE("R3C",'Mapa final'!$O$42),"")</f>
        <v/>
      </c>
      <c r="AN8" s="82"/>
      <c r="AO8" s="458"/>
      <c r="AP8" s="459"/>
      <c r="AQ8" s="459"/>
      <c r="AR8" s="459"/>
      <c r="AS8" s="459"/>
      <c r="AT8" s="460"/>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397"/>
      <c r="C9" s="397"/>
      <c r="D9" s="398"/>
      <c r="E9" s="438"/>
      <c r="F9" s="439"/>
      <c r="G9" s="439"/>
      <c r="H9" s="439"/>
      <c r="I9" s="440"/>
      <c r="J9" s="51" t="str">
        <f>IF(AND('Mapa final'!$Y$43="Muy Alta",'Mapa final'!$AA$43="Leve"),CONCATENATE("R4C",'Mapa final'!$O$43),"")</f>
        <v/>
      </c>
      <c r="K9" s="52" t="str">
        <f>IF(AND('Mapa final'!$Y$44="Muy Alta",'Mapa final'!$AA$44="Leve"),CONCATENATE("R4C",'Mapa final'!$O$44),"")</f>
        <v/>
      </c>
      <c r="L9" s="52" t="str">
        <f>IF(AND('Mapa final'!$Y$45="Muy Alta",'Mapa final'!$AA$45="Leve"),CONCATENATE("R4C",'Mapa final'!$O$45),"")</f>
        <v/>
      </c>
      <c r="M9" s="52" t="str">
        <f>IF(AND('Mapa final'!$Y$46="Muy Alta",'Mapa final'!$AA$46="Leve"),CONCATENATE("R4C",'Mapa final'!$O$46),"")</f>
        <v/>
      </c>
      <c r="N9" s="52" t="str">
        <f>IF(AND('Mapa final'!$Y$47="Muy Alta",'Mapa final'!$AA$47="Leve"),CONCATENATE("R4C",'Mapa final'!$O$47),"")</f>
        <v/>
      </c>
      <c r="O9" s="53" t="str">
        <f>IF(AND('Mapa final'!$Y$48="Muy Alta",'Mapa final'!$AA$48="Leve"),CONCATENATE("R4C",'Mapa final'!$O$48),"")</f>
        <v/>
      </c>
      <c r="P9" s="51" t="str">
        <f>IF(AND('Mapa final'!$Y$43="Muy Alta",'Mapa final'!$AA$43="Menor"),CONCATENATE("R4C",'Mapa final'!$O$43),"")</f>
        <v/>
      </c>
      <c r="Q9" s="52" t="str">
        <f>IF(AND('Mapa final'!$Y$44="Muy Alta",'Mapa final'!$AA$44="Menor"),CONCATENATE("R4C",'Mapa final'!$O$44),"")</f>
        <v/>
      </c>
      <c r="R9" s="52" t="str">
        <f>IF(AND('Mapa final'!$Y$45="Muy Alta",'Mapa final'!$AA$45="Menor"),CONCATENATE("R4C",'Mapa final'!$O$45),"")</f>
        <v/>
      </c>
      <c r="S9" s="52" t="str">
        <f>IF(AND('Mapa final'!$Y$46="Muy Alta",'Mapa final'!$AA$46="Menor"),CONCATENATE("R4C",'Mapa final'!$O$46),"")</f>
        <v/>
      </c>
      <c r="T9" s="52" t="str">
        <f>IF(AND('Mapa final'!$Y$47="Muy Alta",'Mapa final'!$AA$47="Menor"),CONCATENATE("R4C",'Mapa final'!$O$47),"")</f>
        <v/>
      </c>
      <c r="U9" s="53" t="str">
        <f>IF(AND('Mapa final'!$Y$48="Muy Alta",'Mapa final'!$AA$48="Menor"),CONCATENATE("R4C",'Mapa final'!$O$48),"")</f>
        <v/>
      </c>
      <c r="V9" s="51" t="str">
        <f>IF(AND('Mapa final'!$Y$43="Muy Alta",'Mapa final'!$AA$43="Moderado"),CONCATENATE("R4C",'Mapa final'!$O$43),"")</f>
        <v/>
      </c>
      <c r="W9" s="52" t="str">
        <f>IF(AND('Mapa final'!$Y$44="Muy Alta",'Mapa final'!$AA$44="Moderado"),CONCATENATE("R4C",'Mapa final'!$O$44),"")</f>
        <v/>
      </c>
      <c r="X9" s="52" t="str">
        <f>IF(AND('Mapa final'!$Y$45="Muy Alta",'Mapa final'!$AA$45="Moderado"),CONCATENATE("R4C",'Mapa final'!$O$45),"")</f>
        <v/>
      </c>
      <c r="Y9" s="52" t="str">
        <f>IF(AND('Mapa final'!$Y$46="Muy Alta",'Mapa final'!$AA$46="Moderado"),CONCATENATE("R4C",'Mapa final'!$O$46),"")</f>
        <v/>
      </c>
      <c r="Z9" s="52" t="str">
        <f>IF(AND('Mapa final'!$Y$47="Muy Alta",'Mapa final'!$AA$47="Moderado"),CONCATENATE("R4C",'Mapa final'!$O$47),"")</f>
        <v/>
      </c>
      <c r="AA9" s="53" t="str">
        <f>IF(AND('Mapa final'!$Y$48="Muy Alta",'Mapa final'!$AA$48="Moderado"),CONCATENATE("R4C",'Mapa final'!$O$48),"")</f>
        <v/>
      </c>
      <c r="AB9" s="51" t="str">
        <f>IF(AND('Mapa final'!$Y$43="Muy Alta",'Mapa final'!$AA$43="Mayor"),CONCATENATE("R4C",'Mapa final'!$O$43),"")</f>
        <v/>
      </c>
      <c r="AC9" s="52" t="str">
        <f>IF(AND('Mapa final'!$Y$44="Muy Alta",'Mapa final'!$AA$44="Mayor"),CONCATENATE("R4C",'Mapa final'!$O$44),"")</f>
        <v/>
      </c>
      <c r="AD9" s="52" t="str">
        <f>IF(AND('Mapa final'!$Y$45="Muy Alta",'Mapa final'!$AA$45="Mayor"),CONCATENATE("R4C",'Mapa final'!$O$45),"")</f>
        <v/>
      </c>
      <c r="AE9" s="52" t="str">
        <f>IF(AND('Mapa final'!$Y$46="Muy Alta",'Mapa final'!$AA$46="Mayor"),CONCATENATE("R4C",'Mapa final'!$O$46),"")</f>
        <v/>
      </c>
      <c r="AF9" s="52" t="str">
        <f>IF(AND('Mapa final'!$Y$47="Muy Alta",'Mapa final'!$AA$47="Mayor"),CONCATENATE("R4C",'Mapa final'!$O$47),"")</f>
        <v/>
      </c>
      <c r="AG9" s="53" t="str">
        <f>IF(AND('Mapa final'!$Y$48="Muy Alta",'Mapa final'!$AA$48="Mayor"),CONCATENATE("R4C",'Mapa final'!$O$48),"")</f>
        <v/>
      </c>
      <c r="AH9" s="54" t="str">
        <f>IF(AND('Mapa final'!$Y$43="Muy Alta",'Mapa final'!$AA$43="Catastrófico"),CONCATENATE("R4C",'Mapa final'!$O$43),"")</f>
        <v/>
      </c>
      <c r="AI9" s="55" t="str">
        <f>IF(AND('Mapa final'!$Y$44="Muy Alta",'Mapa final'!$AA$44="Catastrófico"),CONCATENATE("R4C",'Mapa final'!$O$44),"")</f>
        <v/>
      </c>
      <c r="AJ9" s="55" t="str">
        <f>IF(AND('Mapa final'!$Y$45="Muy Alta",'Mapa final'!$AA$45="Catastrófico"),CONCATENATE("R4C",'Mapa final'!$O$45),"")</f>
        <v/>
      </c>
      <c r="AK9" s="55" t="str">
        <f>IF(AND('Mapa final'!$Y$46="Muy Alta",'Mapa final'!$AA$46="Catastrófico"),CONCATENATE("R4C",'Mapa final'!$O$46),"")</f>
        <v/>
      </c>
      <c r="AL9" s="55" t="str">
        <f>IF(AND('Mapa final'!$Y$47="Muy Alta",'Mapa final'!$AA$47="Catastrófico"),CONCATENATE("R4C",'Mapa final'!$O$47),"")</f>
        <v/>
      </c>
      <c r="AM9" s="56" t="str">
        <f>IF(AND('Mapa final'!$Y$48="Muy Alta",'Mapa final'!$AA$48="Catastrófico"),CONCATENATE("R4C",'Mapa final'!$O$48),"")</f>
        <v/>
      </c>
      <c r="AN9" s="82"/>
      <c r="AO9" s="458"/>
      <c r="AP9" s="459"/>
      <c r="AQ9" s="459"/>
      <c r="AR9" s="459"/>
      <c r="AS9" s="459"/>
      <c r="AT9" s="460"/>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397"/>
      <c r="C10" s="397"/>
      <c r="D10" s="398"/>
      <c r="E10" s="438"/>
      <c r="F10" s="439"/>
      <c r="G10" s="439"/>
      <c r="H10" s="439"/>
      <c r="I10" s="440"/>
      <c r="J10" s="51" t="str">
        <f>IF(AND('Mapa final'!$Y$49="Muy Alta",'Mapa final'!$AA$49="Leve"),CONCATENATE("R5C",'Mapa final'!$O$49),"")</f>
        <v/>
      </c>
      <c r="K10" s="52" t="str">
        <f>IF(AND('Mapa final'!$Y$50="Muy Alta",'Mapa final'!$AA$50="Leve"),CONCATENATE("R5C",'Mapa final'!$O$50),"")</f>
        <v/>
      </c>
      <c r="L10" s="52" t="str">
        <f>IF(AND('Mapa final'!$Y$51="Muy Alta",'Mapa final'!$AA$51="Leve"),CONCATENATE("R5C",'Mapa final'!$O$51),"")</f>
        <v/>
      </c>
      <c r="M10" s="52" t="str">
        <f>IF(AND('Mapa final'!$Y$52="Muy Alta",'Mapa final'!$AA$52="Leve"),CONCATENATE("R5C",'Mapa final'!$O$52),"")</f>
        <v/>
      </c>
      <c r="N10" s="52" t="str">
        <f>IF(AND('Mapa final'!$Y$53="Muy Alta",'Mapa final'!$AA$53="Leve"),CONCATENATE("R5C",'Mapa final'!$O$53),"")</f>
        <v/>
      </c>
      <c r="O10" s="53" t="str">
        <f>IF(AND('Mapa final'!$Y$54="Muy Alta",'Mapa final'!$AA$54="Leve"),CONCATENATE("R5C",'Mapa final'!$O$54),"")</f>
        <v/>
      </c>
      <c r="P10" s="51" t="str">
        <f>IF(AND('Mapa final'!$Y$49="Muy Alta",'Mapa final'!$AA$49="Menor"),CONCATENATE("R5C",'Mapa final'!$O$49),"")</f>
        <v/>
      </c>
      <c r="Q10" s="52" t="str">
        <f>IF(AND('Mapa final'!$Y$50="Muy Alta",'Mapa final'!$AA$50="Menor"),CONCATENATE("R5C",'Mapa final'!$O$50),"")</f>
        <v/>
      </c>
      <c r="R10" s="52" t="str">
        <f>IF(AND('Mapa final'!$Y$51="Muy Alta",'Mapa final'!$AA$51="Menor"),CONCATENATE("R5C",'Mapa final'!$O$51),"")</f>
        <v/>
      </c>
      <c r="S10" s="52" t="str">
        <f>IF(AND('Mapa final'!$Y$52="Muy Alta",'Mapa final'!$AA$52="Menor"),CONCATENATE("R5C",'Mapa final'!$O$52),"")</f>
        <v/>
      </c>
      <c r="T10" s="52" t="str">
        <f>IF(AND('Mapa final'!$Y$53="Muy Alta",'Mapa final'!$AA$53="Menor"),CONCATENATE("R5C",'Mapa final'!$O$53),"")</f>
        <v/>
      </c>
      <c r="U10" s="53" t="str">
        <f>IF(AND('Mapa final'!$Y$54="Muy Alta",'Mapa final'!$AA$54="Menor"),CONCATENATE("R5C",'Mapa final'!$O$54),"")</f>
        <v/>
      </c>
      <c r="V10" s="51" t="str">
        <f>IF(AND('Mapa final'!$Y$49="Muy Alta",'Mapa final'!$AA$49="Moderado"),CONCATENATE("R5C",'Mapa final'!$O$49),"")</f>
        <v/>
      </c>
      <c r="W10" s="52" t="str">
        <f>IF(AND('Mapa final'!$Y$50="Muy Alta",'Mapa final'!$AA$50="Moderado"),CONCATENATE("R5C",'Mapa final'!$O$50),"")</f>
        <v/>
      </c>
      <c r="X10" s="52" t="str">
        <f>IF(AND('Mapa final'!$Y$51="Muy Alta",'Mapa final'!$AA$51="Moderado"),CONCATENATE("R5C",'Mapa final'!$O$51),"")</f>
        <v/>
      </c>
      <c r="Y10" s="52" t="str">
        <f>IF(AND('Mapa final'!$Y$52="Muy Alta",'Mapa final'!$AA$52="Moderado"),CONCATENATE("R5C",'Mapa final'!$O$52),"")</f>
        <v/>
      </c>
      <c r="Z10" s="52" t="str">
        <f>IF(AND('Mapa final'!$Y$53="Muy Alta",'Mapa final'!$AA$53="Moderado"),CONCATENATE("R5C",'Mapa final'!$O$53),"")</f>
        <v/>
      </c>
      <c r="AA10" s="53" t="str">
        <f>IF(AND('Mapa final'!$Y$54="Muy Alta",'Mapa final'!$AA$54="Moderado"),CONCATENATE("R5C",'Mapa final'!$O$54),"")</f>
        <v/>
      </c>
      <c r="AB10" s="51" t="str">
        <f>IF(AND('Mapa final'!$Y$49="Muy Alta",'Mapa final'!$AA$49="Mayor"),CONCATENATE("R5C",'Mapa final'!$O$49),"")</f>
        <v/>
      </c>
      <c r="AC10" s="52" t="str">
        <f>IF(AND('Mapa final'!$Y$50="Muy Alta",'Mapa final'!$AA$50="Mayor"),CONCATENATE("R5C",'Mapa final'!$O$50),"")</f>
        <v/>
      </c>
      <c r="AD10" s="52" t="str">
        <f>IF(AND('Mapa final'!$Y$51="Muy Alta",'Mapa final'!$AA$51="Mayor"),CONCATENATE("R5C",'Mapa final'!$O$51),"")</f>
        <v/>
      </c>
      <c r="AE10" s="52" t="str">
        <f>IF(AND('Mapa final'!$Y$52="Muy Alta",'Mapa final'!$AA$52="Mayor"),CONCATENATE("R5C",'Mapa final'!$O$52),"")</f>
        <v/>
      </c>
      <c r="AF10" s="52" t="str">
        <f>IF(AND('Mapa final'!$Y$53="Muy Alta",'Mapa final'!$AA$53="Mayor"),CONCATENATE("R5C",'Mapa final'!$O$53),"")</f>
        <v/>
      </c>
      <c r="AG10" s="53" t="str">
        <f>IF(AND('Mapa final'!$Y$54="Muy Alta",'Mapa final'!$AA$54="Mayor"),CONCATENATE("R5C",'Mapa final'!$O$54),"")</f>
        <v/>
      </c>
      <c r="AH10" s="54" t="str">
        <f>IF(AND('Mapa final'!$Y$49="Muy Alta",'Mapa final'!$AA$49="Catastrófico"),CONCATENATE("R5C",'Mapa final'!$O$49),"")</f>
        <v/>
      </c>
      <c r="AI10" s="55" t="str">
        <f>IF(AND('Mapa final'!$Y$50="Muy Alta",'Mapa final'!$AA$50="Catastrófico"),CONCATENATE("R5C",'Mapa final'!$O$50),"")</f>
        <v/>
      </c>
      <c r="AJ10" s="55" t="str">
        <f>IF(AND('Mapa final'!$Y$51="Muy Alta",'Mapa final'!$AA$51="Catastrófico"),CONCATENATE("R5C",'Mapa final'!$O$51),"")</f>
        <v/>
      </c>
      <c r="AK10" s="55" t="str">
        <f>IF(AND('Mapa final'!$Y$52="Muy Alta",'Mapa final'!$AA$52="Catastrófico"),CONCATENATE("R5C",'Mapa final'!$O$52),"")</f>
        <v/>
      </c>
      <c r="AL10" s="55" t="str">
        <f>IF(AND('Mapa final'!$Y$53="Muy Alta",'Mapa final'!$AA$53="Catastrófico"),CONCATENATE("R5C",'Mapa final'!$O$53),"")</f>
        <v/>
      </c>
      <c r="AM10" s="56" t="str">
        <f>IF(AND('Mapa final'!$Y$54="Muy Alta",'Mapa final'!$AA$54="Catastrófico"),CONCATENATE("R5C",'Mapa final'!$O$54),"")</f>
        <v/>
      </c>
      <c r="AN10" s="82"/>
      <c r="AO10" s="458"/>
      <c r="AP10" s="459"/>
      <c r="AQ10" s="459"/>
      <c r="AR10" s="459"/>
      <c r="AS10" s="459"/>
      <c r="AT10" s="460"/>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397"/>
      <c r="C11" s="397"/>
      <c r="D11" s="398"/>
      <c r="E11" s="438"/>
      <c r="F11" s="439"/>
      <c r="G11" s="439"/>
      <c r="H11" s="439"/>
      <c r="I11" s="440"/>
      <c r="J11" s="51" t="str">
        <f>IF(AND('Mapa final'!$Y$55="Muy Alta",'Mapa final'!$AA$55="Leve"),CONCATENATE("R6C",'Mapa final'!$O$55),"")</f>
        <v/>
      </c>
      <c r="K11" s="52" t="str">
        <f>IF(AND('Mapa final'!$Y$56="Muy Alta",'Mapa final'!$AA$56="Leve"),CONCATENATE("R6C",'Mapa final'!$O$56),"")</f>
        <v/>
      </c>
      <c r="L11" s="52" t="str">
        <f>IF(AND('Mapa final'!$Y$57="Muy Alta",'Mapa final'!$AA$57="Leve"),CONCATENATE("R6C",'Mapa final'!$O$57),"")</f>
        <v/>
      </c>
      <c r="M11" s="52" t="str">
        <f>IF(AND('Mapa final'!$Y$58="Muy Alta",'Mapa final'!$AA$58="Leve"),CONCATENATE("R6C",'Mapa final'!$O$58),"")</f>
        <v/>
      </c>
      <c r="N11" s="52" t="str">
        <f>IF(AND('Mapa final'!$Y$59="Muy Alta",'Mapa final'!$AA$59="Leve"),CONCATENATE("R6C",'Mapa final'!$O$59),"")</f>
        <v/>
      </c>
      <c r="O11" s="53" t="str">
        <f>IF(AND('Mapa final'!$Y$60="Muy Alta",'Mapa final'!$AA$60="Leve"),CONCATENATE("R6C",'Mapa final'!$O$60),"")</f>
        <v/>
      </c>
      <c r="P11" s="51" t="str">
        <f>IF(AND('Mapa final'!$Y$55="Muy Alta",'Mapa final'!$AA$55="Menor"),CONCATENATE("R6C",'Mapa final'!$O$55),"")</f>
        <v/>
      </c>
      <c r="Q11" s="52" t="str">
        <f>IF(AND('Mapa final'!$Y$56="Muy Alta",'Mapa final'!$AA$56="Menor"),CONCATENATE("R6C",'Mapa final'!$O$56),"")</f>
        <v/>
      </c>
      <c r="R11" s="52" t="str">
        <f>IF(AND('Mapa final'!$Y$57="Muy Alta",'Mapa final'!$AA$57="Menor"),CONCATENATE("R6C",'Mapa final'!$O$57),"")</f>
        <v/>
      </c>
      <c r="S11" s="52" t="str">
        <f>IF(AND('Mapa final'!$Y$58="Muy Alta",'Mapa final'!$AA$58="Menor"),CONCATENATE("R6C",'Mapa final'!$O$58),"")</f>
        <v/>
      </c>
      <c r="T11" s="52" t="str">
        <f>IF(AND('Mapa final'!$Y$59="Muy Alta",'Mapa final'!$AA$59="Menor"),CONCATENATE("R6C",'Mapa final'!$O$59),"")</f>
        <v/>
      </c>
      <c r="U11" s="53" t="str">
        <f>IF(AND('Mapa final'!$Y$60="Muy Alta",'Mapa final'!$AA$60="Menor"),CONCATENATE("R6C",'Mapa final'!$O$60),"")</f>
        <v/>
      </c>
      <c r="V11" s="51" t="str">
        <f>IF(AND('Mapa final'!$Y$55="Muy Alta",'Mapa final'!$AA$55="Moderado"),CONCATENATE("R6C",'Mapa final'!$O$55),"")</f>
        <v/>
      </c>
      <c r="W11" s="52" t="str">
        <f>IF(AND('Mapa final'!$Y$56="Muy Alta",'Mapa final'!$AA$56="Moderado"),CONCATENATE("R6C",'Mapa final'!$O$56),"")</f>
        <v/>
      </c>
      <c r="X11" s="52" t="str">
        <f>IF(AND('Mapa final'!$Y$57="Muy Alta",'Mapa final'!$AA$57="Moderado"),CONCATENATE("R6C",'Mapa final'!$O$57),"")</f>
        <v/>
      </c>
      <c r="Y11" s="52" t="str">
        <f>IF(AND('Mapa final'!$Y$58="Muy Alta",'Mapa final'!$AA$58="Moderado"),CONCATENATE("R6C",'Mapa final'!$O$58),"")</f>
        <v/>
      </c>
      <c r="Z11" s="52" t="str">
        <f>IF(AND('Mapa final'!$Y$59="Muy Alta",'Mapa final'!$AA$59="Moderado"),CONCATENATE("R6C",'Mapa final'!$O$59),"")</f>
        <v/>
      </c>
      <c r="AA11" s="53" t="str">
        <f>IF(AND('Mapa final'!$Y$60="Muy Alta",'Mapa final'!$AA$60="Moderado"),CONCATENATE("R6C",'Mapa final'!$O$60),"")</f>
        <v/>
      </c>
      <c r="AB11" s="51" t="str">
        <f>IF(AND('Mapa final'!$Y$55="Muy Alta",'Mapa final'!$AA$55="Mayor"),CONCATENATE("R6C",'Mapa final'!$O$55),"")</f>
        <v/>
      </c>
      <c r="AC11" s="52" t="str">
        <f>IF(AND('Mapa final'!$Y$56="Muy Alta",'Mapa final'!$AA$56="Mayor"),CONCATENATE("R6C",'Mapa final'!$O$56),"")</f>
        <v/>
      </c>
      <c r="AD11" s="52" t="str">
        <f>IF(AND('Mapa final'!$Y$57="Muy Alta",'Mapa final'!$AA$57="Mayor"),CONCATENATE("R6C",'Mapa final'!$O$57),"")</f>
        <v/>
      </c>
      <c r="AE11" s="52" t="str">
        <f>IF(AND('Mapa final'!$Y$58="Muy Alta",'Mapa final'!$AA$58="Mayor"),CONCATENATE("R6C",'Mapa final'!$O$58),"")</f>
        <v/>
      </c>
      <c r="AF11" s="52" t="str">
        <f>IF(AND('Mapa final'!$Y$59="Muy Alta",'Mapa final'!$AA$59="Mayor"),CONCATENATE("R6C",'Mapa final'!$O$59),"")</f>
        <v/>
      </c>
      <c r="AG11" s="53" t="str">
        <f>IF(AND('Mapa final'!$Y$60="Muy Alta",'Mapa final'!$AA$60="Mayor"),CONCATENATE("R6C",'Mapa final'!$O$60),"")</f>
        <v/>
      </c>
      <c r="AH11" s="54" t="str">
        <f>IF(AND('Mapa final'!$Y$55="Muy Alta",'Mapa final'!$AA$55="Catastrófico"),CONCATENATE("R6C",'Mapa final'!$O$55),"")</f>
        <v/>
      </c>
      <c r="AI11" s="55" t="str">
        <f>IF(AND('Mapa final'!$Y$56="Muy Alta",'Mapa final'!$AA$56="Catastrófico"),CONCATENATE("R6C",'Mapa final'!$O$56),"")</f>
        <v/>
      </c>
      <c r="AJ11" s="55" t="str">
        <f>IF(AND('Mapa final'!$Y$57="Muy Alta",'Mapa final'!$AA$57="Catastrófico"),CONCATENATE("R6C",'Mapa final'!$O$57),"")</f>
        <v/>
      </c>
      <c r="AK11" s="55" t="str">
        <f>IF(AND('Mapa final'!$Y$58="Muy Alta",'Mapa final'!$AA$58="Catastrófico"),CONCATENATE("R6C",'Mapa final'!$O$58),"")</f>
        <v/>
      </c>
      <c r="AL11" s="55" t="str">
        <f>IF(AND('Mapa final'!$Y$59="Muy Alta",'Mapa final'!$AA$59="Catastrófico"),CONCATENATE("R6C",'Mapa final'!$O$59),"")</f>
        <v/>
      </c>
      <c r="AM11" s="56" t="str">
        <f>IF(AND('Mapa final'!$Y$60="Muy Alta",'Mapa final'!$AA$60="Catastrófico"),CONCATENATE("R6C",'Mapa final'!$O$60),"")</f>
        <v/>
      </c>
      <c r="AN11" s="82"/>
      <c r="AO11" s="458"/>
      <c r="AP11" s="459"/>
      <c r="AQ11" s="459"/>
      <c r="AR11" s="459"/>
      <c r="AS11" s="459"/>
      <c r="AT11" s="460"/>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397"/>
      <c r="C12" s="397"/>
      <c r="D12" s="398"/>
      <c r="E12" s="438"/>
      <c r="F12" s="439"/>
      <c r="G12" s="439"/>
      <c r="H12" s="439"/>
      <c r="I12" s="440"/>
      <c r="J12" s="51" t="str">
        <f>IF(AND('Mapa final'!$Y$61="Muy Alta",'Mapa final'!$AA$61="Leve"),CONCATENATE("R7C",'Mapa final'!$O$61),"")</f>
        <v/>
      </c>
      <c r="K12" s="52" t="str">
        <f>IF(AND('Mapa final'!$Y$62="Muy Alta",'Mapa final'!$AA$62="Leve"),CONCATENATE("R7C",'Mapa final'!$O$62),"")</f>
        <v/>
      </c>
      <c r="L12" s="52" t="str">
        <f>IF(AND('Mapa final'!$Y$63="Muy Alta",'Mapa final'!$AA$63="Leve"),CONCATENATE("R7C",'Mapa final'!$O$63),"")</f>
        <v/>
      </c>
      <c r="M12" s="52" t="str">
        <f>IF(AND('Mapa final'!$Y$64="Muy Alta",'Mapa final'!$AA$64="Leve"),CONCATENATE("R7C",'Mapa final'!$O$64),"")</f>
        <v/>
      </c>
      <c r="N12" s="52" t="str">
        <f>IF(AND('Mapa final'!$Y$65="Muy Alta",'Mapa final'!$AA$65="Leve"),CONCATENATE("R7C",'Mapa final'!$O$65),"")</f>
        <v/>
      </c>
      <c r="O12" s="53" t="str">
        <f>IF(AND('Mapa final'!$Y$66="Muy Alta",'Mapa final'!$AA$66="Leve"),CONCATENATE("R7C",'Mapa final'!$O$66),"")</f>
        <v/>
      </c>
      <c r="P12" s="51" t="str">
        <f>IF(AND('Mapa final'!$Y$61="Muy Alta",'Mapa final'!$AA$61="Menor"),CONCATENATE("R7C",'Mapa final'!$O$61),"")</f>
        <v/>
      </c>
      <c r="Q12" s="52" t="str">
        <f>IF(AND('Mapa final'!$Y$62="Muy Alta",'Mapa final'!$AA$62="Menor"),CONCATENATE("R7C",'Mapa final'!$O$62),"")</f>
        <v/>
      </c>
      <c r="R12" s="52" t="str">
        <f>IF(AND('Mapa final'!$Y$63="Muy Alta",'Mapa final'!$AA$63="Menor"),CONCATENATE("R7C",'Mapa final'!$O$63),"")</f>
        <v/>
      </c>
      <c r="S12" s="52" t="str">
        <f>IF(AND('Mapa final'!$Y$64="Muy Alta",'Mapa final'!$AA$64="Menor"),CONCATENATE("R7C",'Mapa final'!$O$64),"")</f>
        <v/>
      </c>
      <c r="T12" s="52" t="str">
        <f>IF(AND('Mapa final'!$Y$65="Muy Alta",'Mapa final'!$AA$65="Menor"),CONCATENATE("R7C",'Mapa final'!$O$65),"")</f>
        <v/>
      </c>
      <c r="U12" s="53" t="str">
        <f>IF(AND('Mapa final'!$Y$66="Muy Alta",'Mapa final'!$AA$66="Menor"),CONCATENATE("R7C",'Mapa final'!$O$66),"")</f>
        <v/>
      </c>
      <c r="V12" s="51" t="str">
        <f>IF(AND('Mapa final'!$Y$61="Muy Alta",'Mapa final'!$AA$61="Moderado"),CONCATENATE("R7C",'Mapa final'!$O$61),"")</f>
        <v/>
      </c>
      <c r="W12" s="52" t="str">
        <f>IF(AND('Mapa final'!$Y$62="Muy Alta",'Mapa final'!$AA$62="Moderado"),CONCATENATE("R7C",'Mapa final'!$O$62),"")</f>
        <v/>
      </c>
      <c r="X12" s="52" t="str">
        <f>IF(AND('Mapa final'!$Y$63="Muy Alta",'Mapa final'!$AA$63="Moderado"),CONCATENATE("R7C",'Mapa final'!$O$63),"")</f>
        <v/>
      </c>
      <c r="Y12" s="52" t="str">
        <f>IF(AND('Mapa final'!$Y$64="Muy Alta",'Mapa final'!$AA$64="Moderado"),CONCATENATE("R7C",'Mapa final'!$O$64),"")</f>
        <v/>
      </c>
      <c r="Z12" s="52" t="str">
        <f>IF(AND('Mapa final'!$Y$65="Muy Alta",'Mapa final'!$AA$65="Moderado"),CONCATENATE("R7C",'Mapa final'!$O$65),"")</f>
        <v/>
      </c>
      <c r="AA12" s="53" t="str">
        <f>IF(AND('Mapa final'!$Y$66="Muy Alta",'Mapa final'!$AA$66="Moderado"),CONCATENATE("R7C",'Mapa final'!$O$66),"")</f>
        <v/>
      </c>
      <c r="AB12" s="51" t="str">
        <f>IF(AND('Mapa final'!$Y$61="Muy Alta",'Mapa final'!$AA$61="Mayor"),CONCATENATE("R7C",'Mapa final'!$O$61),"")</f>
        <v/>
      </c>
      <c r="AC12" s="52" t="str">
        <f>IF(AND('Mapa final'!$Y$62="Muy Alta",'Mapa final'!$AA$62="Mayor"),CONCATENATE("R7C",'Mapa final'!$O$62),"")</f>
        <v/>
      </c>
      <c r="AD12" s="52" t="str">
        <f>IF(AND('Mapa final'!$Y$63="Muy Alta",'Mapa final'!$AA$63="Mayor"),CONCATENATE("R7C",'Mapa final'!$O$63),"")</f>
        <v/>
      </c>
      <c r="AE12" s="52" t="str">
        <f>IF(AND('Mapa final'!$Y$64="Muy Alta",'Mapa final'!$AA$64="Mayor"),CONCATENATE("R7C",'Mapa final'!$O$64),"")</f>
        <v/>
      </c>
      <c r="AF12" s="52" t="str">
        <f>IF(AND('Mapa final'!$Y$65="Muy Alta",'Mapa final'!$AA$65="Mayor"),CONCATENATE("R7C",'Mapa final'!$O$65),"")</f>
        <v/>
      </c>
      <c r="AG12" s="53" t="str">
        <f>IF(AND('Mapa final'!$Y$66="Muy Alta",'Mapa final'!$AA$66="Mayor"),CONCATENATE("R7C",'Mapa final'!$O$66),"")</f>
        <v/>
      </c>
      <c r="AH12" s="54" t="str">
        <f>IF(AND('Mapa final'!$Y$61="Muy Alta",'Mapa final'!$AA$61="Catastrófico"),CONCATENATE("R7C",'Mapa final'!$O$61),"")</f>
        <v/>
      </c>
      <c r="AI12" s="55" t="str">
        <f>IF(AND('Mapa final'!$Y$62="Muy Alta",'Mapa final'!$AA$62="Catastrófico"),CONCATENATE("R7C",'Mapa final'!$O$62),"")</f>
        <v/>
      </c>
      <c r="AJ12" s="55" t="str">
        <f>IF(AND('Mapa final'!$Y$63="Muy Alta",'Mapa final'!$AA$63="Catastrófico"),CONCATENATE("R7C",'Mapa final'!$O$63),"")</f>
        <v/>
      </c>
      <c r="AK12" s="55" t="str">
        <f>IF(AND('Mapa final'!$Y$64="Muy Alta",'Mapa final'!$AA$64="Catastrófico"),CONCATENATE("R7C",'Mapa final'!$O$64),"")</f>
        <v/>
      </c>
      <c r="AL12" s="55" t="str">
        <f>IF(AND('Mapa final'!$Y$65="Muy Alta",'Mapa final'!$AA$65="Catastrófico"),CONCATENATE("R7C",'Mapa final'!$O$65),"")</f>
        <v/>
      </c>
      <c r="AM12" s="56" t="str">
        <f>IF(AND('Mapa final'!$Y$66="Muy Alta",'Mapa final'!$AA$66="Catastrófico"),CONCATENATE("R7C",'Mapa final'!$O$66),"")</f>
        <v/>
      </c>
      <c r="AN12" s="82"/>
      <c r="AO12" s="458"/>
      <c r="AP12" s="459"/>
      <c r="AQ12" s="459"/>
      <c r="AR12" s="459"/>
      <c r="AS12" s="459"/>
      <c r="AT12" s="460"/>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397"/>
      <c r="C13" s="397"/>
      <c r="D13" s="398"/>
      <c r="E13" s="438"/>
      <c r="F13" s="439"/>
      <c r="G13" s="439"/>
      <c r="H13" s="439"/>
      <c r="I13" s="440"/>
      <c r="J13" s="51" t="str">
        <f>IF(AND('Mapa final'!$Y$67="Muy Alta",'Mapa final'!$AA$67="Leve"),CONCATENATE("R8C",'Mapa final'!$O$67),"")</f>
        <v/>
      </c>
      <c r="K13" s="52" t="str">
        <f>IF(AND('Mapa final'!$Y$68="Muy Alta",'Mapa final'!$AA$68="Leve"),CONCATENATE("R8C",'Mapa final'!$O$68),"")</f>
        <v/>
      </c>
      <c r="L13" s="52" t="str">
        <f>IF(AND('Mapa final'!$Y$69="Muy Alta",'Mapa final'!$AA$69="Leve"),CONCATENATE("R8C",'Mapa final'!$O$69),"")</f>
        <v/>
      </c>
      <c r="M13" s="52" t="str">
        <f>IF(AND('Mapa final'!$Y$70="Muy Alta",'Mapa final'!$AA$70="Leve"),CONCATENATE("R8C",'Mapa final'!$O$70),"")</f>
        <v/>
      </c>
      <c r="N13" s="52" t="str">
        <f>IF(AND('Mapa final'!$Y$71="Muy Alta",'Mapa final'!$AA$71="Leve"),CONCATENATE("R8C",'Mapa final'!$O$71),"")</f>
        <v/>
      </c>
      <c r="O13" s="53" t="str">
        <f>IF(AND('Mapa final'!$Y$72="Muy Alta",'Mapa final'!$AA$72="Leve"),CONCATENATE("R8C",'Mapa final'!$O$72),"")</f>
        <v/>
      </c>
      <c r="P13" s="51" t="str">
        <f>IF(AND('Mapa final'!$Y$67="Muy Alta",'Mapa final'!$AA$67="Menor"),CONCATENATE("R8C",'Mapa final'!$O$67),"")</f>
        <v/>
      </c>
      <c r="Q13" s="52" t="str">
        <f>IF(AND('Mapa final'!$Y$68="Muy Alta",'Mapa final'!$AA$68="Menor"),CONCATENATE("R8C",'Mapa final'!$O$68),"")</f>
        <v/>
      </c>
      <c r="R13" s="52" t="str">
        <f>IF(AND('Mapa final'!$Y$69="Muy Alta",'Mapa final'!$AA$69="Menor"),CONCATENATE("R8C",'Mapa final'!$O$69),"")</f>
        <v/>
      </c>
      <c r="S13" s="52" t="str">
        <f>IF(AND('Mapa final'!$Y$70="Muy Alta",'Mapa final'!$AA$70="Menor"),CONCATENATE("R8C",'Mapa final'!$O$70),"")</f>
        <v/>
      </c>
      <c r="T13" s="52" t="str">
        <f>IF(AND('Mapa final'!$Y$71="Muy Alta",'Mapa final'!$AA$71="Menor"),CONCATENATE("R8C",'Mapa final'!$O$71),"")</f>
        <v/>
      </c>
      <c r="U13" s="53" t="str">
        <f>IF(AND('Mapa final'!$Y$72="Muy Alta",'Mapa final'!$AA$72="Menor"),CONCATENATE("R8C",'Mapa final'!$O$72),"")</f>
        <v/>
      </c>
      <c r="V13" s="51" t="str">
        <f>IF(AND('Mapa final'!$Y$67="Muy Alta",'Mapa final'!$AA$67="Moderado"),CONCATENATE("R8C",'Mapa final'!$O$67),"")</f>
        <v/>
      </c>
      <c r="W13" s="52" t="str">
        <f>IF(AND('Mapa final'!$Y$68="Muy Alta",'Mapa final'!$AA$68="Moderado"),CONCATENATE("R8C",'Mapa final'!$O$68),"")</f>
        <v/>
      </c>
      <c r="X13" s="52" t="str">
        <f>IF(AND('Mapa final'!$Y$69="Muy Alta",'Mapa final'!$AA$69="Moderado"),CONCATENATE("R8C",'Mapa final'!$O$69),"")</f>
        <v/>
      </c>
      <c r="Y13" s="52" t="str">
        <f>IF(AND('Mapa final'!$Y$70="Muy Alta",'Mapa final'!$AA$70="Moderado"),CONCATENATE("R8C",'Mapa final'!$O$70),"")</f>
        <v/>
      </c>
      <c r="Z13" s="52" t="str">
        <f>IF(AND('Mapa final'!$Y$71="Muy Alta",'Mapa final'!$AA$71="Moderado"),CONCATENATE("R8C",'Mapa final'!$O$71),"")</f>
        <v/>
      </c>
      <c r="AA13" s="53" t="str">
        <f>IF(AND('Mapa final'!$Y$72="Muy Alta",'Mapa final'!$AA$72="Moderado"),CONCATENATE("R8C",'Mapa final'!$O$72),"")</f>
        <v/>
      </c>
      <c r="AB13" s="51" t="str">
        <f>IF(AND('Mapa final'!$Y$67="Muy Alta",'Mapa final'!$AA$67="Mayor"),CONCATENATE("R8C",'Mapa final'!$O$67),"")</f>
        <v/>
      </c>
      <c r="AC13" s="52" t="str">
        <f>IF(AND('Mapa final'!$Y$68="Muy Alta",'Mapa final'!$AA$68="Mayor"),CONCATENATE("R8C",'Mapa final'!$O$68),"")</f>
        <v/>
      </c>
      <c r="AD13" s="52" t="str">
        <f>IF(AND('Mapa final'!$Y$69="Muy Alta",'Mapa final'!$AA$69="Mayor"),CONCATENATE("R8C",'Mapa final'!$O$69),"")</f>
        <v/>
      </c>
      <c r="AE13" s="52" t="str">
        <f>IF(AND('Mapa final'!$Y$70="Muy Alta",'Mapa final'!$AA$70="Mayor"),CONCATENATE("R8C",'Mapa final'!$O$70),"")</f>
        <v/>
      </c>
      <c r="AF13" s="52" t="str">
        <f>IF(AND('Mapa final'!$Y$71="Muy Alta",'Mapa final'!$AA$71="Mayor"),CONCATENATE("R8C",'Mapa final'!$O$71),"")</f>
        <v/>
      </c>
      <c r="AG13" s="53" t="str">
        <f>IF(AND('Mapa final'!$Y$72="Muy Alta",'Mapa final'!$AA$72="Mayor"),CONCATENATE("R8C",'Mapa final'!$O$72),"")</f>
        <v/>
      </c>
      <c r="AH13" s="54" t="str">
        <f>IF(AND('Mapa final'!$Y$67="Muy Alta",'Mapa final'!$AA$67="Catastrófico"),CONCATENATE("R8C",'Mapa final'!$O$67),"")</f>
        <v/>
      </c>
      <c r="AI13" s="55" t="str">
        <f>IF(AND('Mapa final'!$Y$68="Muy Alta",'Mapa final'!$AA$68="Catastrófico"),CONCATENATE("R8C",'Mapa final'!$O$68),"")</f>
        <v/>
      </c>
      <c r="AJ13" s="55" t="str">
        <f>IF(AND('Mapa final'!$Y$69="Muy Alta",'Mapa final'!$AA$69="Catastrófico"),CONCATENATE("R8C",'Mapa final'!$O$69),"")</f>
        <v/>
      </c>
      <c r="AK13" s="55" t="str">
        <f>IF(AND('Mapa final'!$Y$70="Muy Alta",'Mapa final'!$AA$70="Catastrófico"),CONCATENATE("R8C",'Mapa final'!$O$70),"")</f>
        <v/>
      </c>
      <c r="AL13" s="55" t="str">
        <f>IF(AND('Mapa final'!$Y$71="Muy Alta",'Mapa final'!$AA$71="Catastrófico"),CONCATENATE("R8C",'Mapa final'!$O$71),"")</f>
        <v/>
      </c>
      <c r="AM13" s="56" t="str">
        <f>IF(AND('Mapa final'!$Y$72="Muy Alta",'Mapa final'!$AA$72="Catastrófico"),CONCATENATE("R8C",'Mapa final'!$O$72),"")</f>
        <v/>
      </c>
      <c r="AN13" s="82"/>
      <c r="AO13" s="458"/>
      <c r="AP13" s="459"/>
      <c r="AQ13" s="459"/>
      <c r="AR13" s="459"/>
      <c r="AS13" s="459"/>
      <c r="AT13" s="460"/>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397"/>
      <c r="C14" s="397"/>
      <c r="D14" s="398"/>
      <c r="E14" s="438"/>
      <c r="F14" s="439"/>
      <c r="G14" s="439"/>
      <c r="H14" s="439"/>
      <c r="I14" s="440"/>
      <c r="J14" s="51" t="str">
        <f>IF(AND('Mapa final'!$Y$73="Muy Alta",'Mapa final'!$AA$73="Leve"),CONCATENATE("R9C",'Mapa final'!$O$73),"")</f>
        <v/>
      </c>
      <c r="K14" s="52" t="str">
        <f>IF(AND('Mapa final'!$Y$74="Muy Alta",'Mapa final'!$AA$74="Leve"),CONCATENATE("R9C",'Mapa final'!$O$74),"")</f>
        <v/>
      </c>
      <c r="L14" s="52" t="str">
        <f>IF(AND('Mapa final'!$Y$75="Muy Alta",'Mapa final'!$AA$75="Leve"),CONCATENATE("R9C",'Mapa final'!$O$75),"")</f>
        <v/>
      </c>
      <c r="M14" s="52" t="str">
        <f>IF(AND('Mapa final'!$Y$76="Muy Alta",'Mapa final'!$AA$76="Leve"),CONCATENATE("R9C",'Mapa final'!$O$76),"")</f>
        <v/>
      </c>
      <c r="N14" s="52" t="str">
        <f>IF(AND('Mapa final'!$Y$77="Muy Alta",'Mapa final'!$AA$77="Leve"),CONCATENATE("R9C",'Mapa final'!$O$77),"")</f>
        <v/>
      </c>
      <c r="O14" s="53" t="str">
        <f>IF(AND('Mapa final'!$Y$78="Muy Alta",'Mapa final'!$AA$78="Leve"),CONCATENATE("R9C",'Mapa final'!$O$78),"")</f>
        <v/>
      </c>
      <c r="P14" s="51" t="str">
        <f>IF(AND('Mapa final'!$Y$73="Muy Alta",'Mapa final'!$AA$73="Menor"),CONCATENATE("R9C",'Mapa final'!$O$73),"")</f>
        <v/>
      </c>
      <c r="Q14" s="52" t="str">
        <f>IF(AND('Mapa final'!$Y$74="Muy Alta",'Mapa final'!$AA$74="Menor"),CONCATENATE("R9C",'Mapa final'!$O$74),"")</f>
        <v/>
      </c>
      <c r="R14" s="52" t="str">
        <f>IF(AND('Mapa final'!$Y$75="Muy Alta",'Mapa final'!$AA$75="Menor"),CONCATENATE("R9C",'Mapa final'!$O$75),"")</f>
        <v/>
      </c>
      <c r="S14" s="52" t="str">
        <f>IF(AND('Mapa final'!$Y$76="Muy Alta",'Mapa final'!$AA$76="Menor"),CONCATENATE("R9C",'Mapa final'!$O$76),"")</f>
        <v/>
      </c>
      <c r="T14" s="52" t="str">
        <f>IF(AND('Mapa final'!$Y$77="Muy Alta",'Mapa final'!$AA$77="Menor"),CONCATENATE("R9C",'Mapa final'!$O$77),"")</f>
        <v/>
      </c>
      <c r="U14" s="53" t="str">
        <f>IF(AND('Mapa final'!$Y$78="Muy Alta",'Mapa final'!$AA$78="Menor"),CONCATENATE("R9C",'Mapa final'!$O$78),"")</f>
        <v/>
      </c>
      <c r="V14" s="51" t="str">
        <f>IF(AND('Mapa final'!$Y$73="Muy Alta",'Mapa final'!$AA$73="Moderado"),CONCATENATE("R9C",'Mapa final'!$O$73),"")</f>
        <v/>
      </c>
      <c r="W14" s="52" t="str">
        <f>IF(AND('Mapa final'!$Y$74="Muy Alta",'Mapa final'!$AA$74="Moderado"),CONCATENATE("R9C",'Mapa final'!$O$74),"")</f>
        <v/>
      </c>
      <c r="X14" s="52" t="str">
        <f>IF(AND('Mapa final'!$Y$75="Muy Alta",'Mapa final'!$AA$75="Moderado"),CONCATENATE("R9C",'Mapa final'!$O$75),"")</f>
        <v/>
      </c>
      <c r="Y14" s="52" t="str">
        <f>IF(AND('Mapa final'!$Y$76="Muy Alta",'Mapa final'!$AA$76="Moderado"),CONCATENATE("R9C",'Mapa final'!$O$76),"")</f>
        <v/>
      </c>
      <c r="Z14" s="52" t="str">
        <f>IF(AND('Mapa final'!$Y$77="Muy Alta",'Mapa final'!$AA$77="Moderado"),CONCATENATE("R9C",'Mapa final'!$O$77),"")</f>
        <v/>
      </c>
      <c r="AA14" s="53" t="str">
        <f>IF(AND('Mapa final'!$Y$78="Muy Alta",'Mapa final'!$AA$78="Moderado"),CONCATENATE("R9C",'Mapa final'!$O$78),"")</f>
        <v/>
      </c>
      <c r="AB14" s="51" t="str">
        <f>IF(AND('Mapa final'!$Y$73="Muy Alta",'Mapa final'!$AA$73="Mayor"),CONCATENATE("R9C",'Mapa final'!$O$73),"")</f>
        <v/>
      </c>
      <c r="AC14" s="52" t="str">
        <f>IF(AND('Mapa final'!$Y$74="Muy Alta",'Mapa final'!$AA$74="Mayor"),CONCATENATE("R9C",'Mapa final'!$O$74),"")</f>
        <v/>
      </c>
      <c r="AD14" s="52" t="str">
        <f>IF(AND('Mapa final'!$Y$75="Muy Alta",'Mapa final'!$AA$75="Mayor"),CONCATENATE("R9C",'Mapa final'!$O$75),"")</f>
        <v/>
      </c>
      <c r="AE14" s="52" t="str">
        <f>IF(AND('Mapa final'!$Y$76="Muy Alta",'Mapa final'!$AA$76="Mayor"),CONCATENATE("R9C",'Mapa final'!$O$76),"")</f>
        <v/>
      </c>
      <c r="AF14" s="52" t="str">
        <f>IF(AND('Mapa final'!$Y$77="Muy Alta",'Mapa final'!$AA$77="Mayor"),CONCATENATE("R9C",'Mapa final'!$O$77),"")</f>
        <v/>
      </c>
      <c r="AG14" s="53" t="str">
        <f>IF(AND('Mapa final'!$Y$78="Muy Alta",'Mapa final'!$AA$78="Mayor"),CONCATENATE("R9C",'Mapa final'!$O$78),"")</f>
        <v/>
      </c>
      <c r="AH14" s="54" t="str">
        <f>IF(AND('Mapa final'!$Y$73="Muy Alta",'Mapa final'!$AA$73="Catastrófico"),CONCATENATE("R9C",'Mapa final'!$O$73),"")</f>
        <v/>
      </c>
      <c r="AI14" s="55" t="str">
        <f>IF(AND('Mapa final'!$Y$74="Muy Alta",'Mapa final'!$AA$74="Catastrófico"),CONCATENATE("R9C",'Mapa final'!$O$74),"")</f>
        <v/>
      </c>
      <c r="AJ14" s="55" t="str">
        <f>IF(AND('Mapa final'!$Y$75="Muy Alta",'Mapa final'!$AA$75="Catastrófico"),CONCATENATE("R9C",'Mapa final'!$O$75),"")</f>
        <v/>
      </c>
      <c r="AK14" s="55" t="str">
        <f>IF(AND('Mapa final'!$Y$76="Muy Alta",'Mapa final'!$AA$76="Catastrófico"),CONCATENATE("R9C",'Mapa final'!$O$76),"")</f>
        <v/>
      </c>
      <c r="AL14" s="55" t="str">
        <f>IF(AND('Mapa final'!$Y$77="Muy Alta",'Mapa final'!$AA$77="Catastrófico"),CONCATENATE("R9C",'Mapa final'!$O$77),"")</f>
        <v/>
      </c>
      <c r="AM14" s="56" t="str">
        <f>IF(AND('Mapa final'!$Y$78="Muy Alta",'Mapa final'!$AA$78="Catastrófico"),CONCATENATE("R9C",'Mapa final'!$O$78),"")</f>
        <v/>
      </c>
      <c r="AN14" s="82"/>
      <c r="AO14" s="458"/>
      <c r="AP14" s="459"/>
      <c r="AQ14" s="459"/>
      <c r="AR14" s="459"/>
      <c r="AS14" s="459"/>
      <c r="AT14" s="460"/>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397"/>
      <c r="C15" s="397"/>
      <c r="D15" s="398"/>
      <c r="E15" s="441"/>
      <c r="F15" s="442"/>
      <c r="G15" s="442"/>
      <c r="H15" s="442"/>
      <c r="I15" s="443"/>
      <c r="J15" s="57" t="str">
        <f>IF(AND('Mapa final'!$Y$79="Muy Alta",'Mapa final'!$AA$79="Leve"),CONCATENATE("R10C",'Mapa final'!$O$79),"")</f>
        <v/>
      </c>
      <c r="K15" s="58" t="str">
        <f>IF(AND('Mapa final'!$Y$80="Muy Alta",'Mapa final'!$AA$80="Leve"),CONCATENATE("R10C",'Mapa final'!$O$80),"")</f>
        <v/>
      </c>
      <c r="L15" s="58" t="str">
        <f>IF(AND('Mapa final'!$Y$81="Muy Alta",'Mapa final'!$AA$81="Leve"),CONCATENATE("R10C",'Mapa final'!$O$81),"")</f>
        <v/>
      </c>
      <c r="M15" s="58" t="str">
        <f>IF(AND('Mapa final'!$Y$82="Muy Alta",'Mapa final'!$AA$82="Leve"),CONCATENATE("R10C",'Mapa final'!$O$82),"")</f>
        <v/>
      </c>
      <c r="N15" s="58" t="str">
        <f>IF(AND('Mapa final'!$Y$83="Muy Alta",'Mapa final'!$AA$83="Leve"),CONCATENATE("R10C",'Mapa final'!$O$83),"")</f>
        <v/>
      </c>
      <c r="O15" s="59" t="str">
        <f>IF(AND('Mapa final'!$Y$84="Muy Alta",'Mapa final'!$AA$84="Leve"),CONCATENATE("R10C",'Mapa final'!$O$84),"")</f>
        <v/>
      </c>
      <c r="P15" s="51" t="str">
        <f>IF(AND('Mapa final'!$Y$79="Muy Alta",'Mapa final'!$AA$79="Menor"),CONCATENATE("R10C",'Mapa final'!$O$79),"")</f>
        <v/>
      </c>
      <c r="Q15" s="52" t="str">
        <f>IF(AND('Mapa final'!$Y$80="Muy Alta",'Mapa final'!$AA$80="Menor"),CONCATENATE("R10C",'Mapa final'!$O$80),"")</f>
        <v/>
      </c>
      <c r="R15" s="52" t="str">
        <f>IF(AND('Mapa final'!$Y$81="Muy Alta",'Mapa final'!$AA$81="Menor"),CONCATENATE("R10C",'Mapa final'!$O$81),"")</f>
        <v/>
      </c>
      <c r="S15" s="52" t="str">
        <f>IF(AND('Mapa final'!$Y$82="Muy Alta",'Mapa final'!$AA$82="Menor"),CONCATENATE("R10C",'Mapa final'!$O$82),"")</f>
        <v/>
      </c>
      <c r="T15" s="52" t="str">
        <f>IF(AND('Mapa final'!$Y$83="Muy Alta",'Mapa final'!$AA$83="Menor"),CONCATENATE("R10C",'Mapa final'!$O$83),"")</f>
        <v/>
      </c>
      <c r="U15" s="53" t="str">
        <f>IF(AND('Mapa final'!$Y$84="Muy Alta",'Mapa final'!$AA$84="Menor"),CONCATENATE("R10C",'Mapa final'!$O$84),"")</f>
        <v/>
      </c>
      <c r="V15" s="57" t="str">
        <f>IF(AND('Mapa final'!$Y$79="Muy Alta",'Mapa final'!$AA$79="Moderado"),CONCATENATE("R10C",'Mapa final'!$O$79),"")</f>
        <v/>
      </c>
      <c r="W15" s="58" t="str">
        <f>IF(AND('Mapa final'!$Y$80="Muy Alta",'Mapa final'!$AA$80="Moderado"),CONCATENATE("R10C",'Mapa final'!$O$80),"")</f>
        <v/>
      </c>
      <c r="X15" s="58" t="str">
        <f>IF(AND('Mapa final'!$Y$81="Muy Alta",'Mapa final'!$AA$81="Moderado"),CONCATENATE("R10C",'Mapa final'!$O$81),"")</f>
        <v/>
      </c>
      <c r="Y15" s="58" t="str">
        <f>IF(AND('Mapa final'!$Y$82="Muy Alta",'Mapa final'!$AA$82="Moderado"),CONCATENATE("R10C",'Mapa final'!$O$82),"")</f>
        <v/>
      </c>
      <c r="Z15" s="58" t="str">
        <f>IF(AND('Mapa final'!$Y$83="Muy Alta",'Mapa final'!$AA$83="Moderado"),CONCATENATE("R10C",'Mapa final'!$O$83),"")</f>
        <v/>
      </c>
      <c r="AA15" s="59" t="str">
        <f>IF(AND('Mapa final'!$Y$84="Muy Alta",'Mapa final'!$AA$84="Moderado"),CONCATENATE("R10C",'Mapa final'!$O$84),"")</f>
        <v/>
      </c>
      <c r="AB15" s="51" t="str">
        <f>IF(AND('Mapa final'!$Y$79="Muy Alta",'Mapa final'!$AA$79="Mayor"),CONCATENATE("R10C",'Mapa final'!$O$79),"")</f>
        <v/>
      </c>
      <c r="AC15" s="52" t="str">
        <f>IF(AND('Mapa final'!$Y$80="Muy Alta",'Mapa final'!$AA$80="Mayor"),CONCATENATE("R10C",'Mapa final'!$O$80),"")</f>
        <v/>
      </c>
      <c r="AD15" s="52" t="str">
        <f>IF(AND('Mapa final'!$Y$81="Muy Alta",'Mapa final'!$AA$81="Mayor"),CONCATENATE("R10C",'Mapa final'!$O$81),"")</f>
        <v/>
      </c>
      <c r="AE15" s="52" t="str">
        <f>IF(AND('Mapa final'!$Y$82="Muy Alta",'Mapa final'!$AA$82="Mayor"),CONCATENATE("R10C",'Mapa final'!$O$82),"")</f>
        <v/>
      </c>
      <c r="AF15" s="52" t="str">
        <f>IF(AND('Mapa final'!$Y$83="Muy Alta",'Mapa final'!$AA$83="Mayor"),CONCATENATE("R10C",'Mapa final'!$O$83),"")</f>
        <v/>
      </c>
      <c r="AG15" s="53" t="str">
        <f>IF(AND('Mapa final'!$Y$84="Muy Alta",'Mapa final'!$AA$84="Mayor"),CONCATENATE("R10C",'Mapa final'!$O$84),"")</f>
        <v/>
      </c>
      <c r="AH15" s="60" t="str">
        <f>IF(AND('Mapa final'!$Y$79="Muy Alta",'Mapa final'!$AA$79="Catastrófico"),CONCATENATE("R10C",'Mapa final'!$O$79),"")</f>
        <v/>
      </c>
      <c r="AI15" s="61" t="str">
        <f>IF(AND('Mapa final'!$Y$80="Muy Alta",'Mapa final'!$AA$80="Catastrófico"),CONCATENATE("R10C",'Mapa final'!$O$80),"")</f>
        <v/>
      </c>
      <c r="AJ15" s="61" t="str">
        <f>IF(AND('Mapa final'!$Y$81="Muy Alta",'Mapa final'!$AA$81="Catastrófico"),CONCATENATE("R10C",'Mapa final'!$O$81),"")</f>
        <v/>
      </c>
      <c r="AK15" s="61" t="str">
        <f>IF(AND('Mapa final'!$Y$82="Muy Alta",'Mapa final'!$AA$82="Catastrófico"),CONCATENATE("R10C",'Mapa final'!$O$82),"")</f>
        <v/>
      </c>
      <c r="AL15" s="61" t="str">
        <f>IF(AND('Mapa final'!$Y$83="Muy Alta",'Mapa final'!$AA$83="Catastrófico"),CONCATENATE("R10C",'Mapa final'!$O$83),"")</f>
        <v/>
      </c>
      <c r="AM15" s="62" t="str">
        <f>IF(AND('Mapa final'!$Y$84="Muy Alta",'Mapa final'!$AA$84="Catastrófico"),CONCATENATE("R10C",'Mapa final'!$O$84),"")</f>
        <v/>
      </c>
      <c r="AN15" s="82"/>
      <c r="AO15" s="461"/>
      <c r="AP15" s="462"/>
      <c r="AQ15" s="462"/>
      <c r="AR15" s="462"/>
      <c r="AS15" s="462"/>
      <c r="AT15" s="463"/>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397"/>
      <c r="C16" s="397"/>
      <c r="D16" s="398"/>
      <c r="E16" s="435" t="s">
        <v>175</v>
      </c>
      <c r="F16" s="436"/>
      <c r="G16" s="436"/>
      <c r="H16" s="436"/>
      <c r="I16" s="436"/>
      <c r="J16" s="63" t="str">
        <f>IF(AND('Mapa final'!$Y$25="Alta",'Mapa final'!$AA$25="Leve"),CONCATENATE("R1C",'Mapa final'!$O$25),"")</f>
        <v/>
      </c>
      <c r="K16" s="64" t="str">
        <f>IF(AND('Mapa final'!$Y$26="Alta",'Mapa final'!$AA$26="Leve"),CONCATENATE("R1C",'Mapa final'!$O$26),"")</f>
        <v/>
      </c>
      <c r="L16" s="64" t="str">
        <f>IF(AND('Mapa final'!$Y$27="Alta",'Mapa final'!$AA$27="Leve"),CONCATENATE("R1C",'Mapa final'!$O$27),"")</f>
        <v/>
      </c>
      <c r="M16" s="64" t="str">
        <f>IF(AND('Mapa final'!$Y$28="Alta",'Mapa final'!$AA$28="Leve"),CONCATENATE("R1C",'Mapa final'!$O$28),"")</f>
        <v/>
      </c>
      <c r="N16" s="64" t="str">
        <f>IF(AND('Mapa final'!$Y$29="Alta",'Mapa final'!$AA$29="Leve"),CONCATENATE("R1C",'Mapa final'!$O$29),"")</f>
        <v/>
      </c>
      <c r="O16" s="65" t="str">
        <f>IF(AND('Mapa final'!$Y$30="Alta",'Mapa final'!$AA$30="Leve"),CONCATENATE("R1C",'Mapa final'!$O$30),"")</f>
        <v/>
      </c>
      <c r="P16" s="63" t="str">
        <f>IF(AND('Mapa final'!$Y$25="Alta",'Mapa final'!$AA$25="Menor"),CONCATENATE("R1C",'Mapa final'!$O$25),"")</f>
        <v/>
      </c>
      <c r="Q16" s="64" t="str">
        <f>IF(AND('Mapa final'!$Y$26="Alta",'Mapa final'!$AA$26="Menor"),CONCATENATE("R1C",'Mapa final'!$O$26),"")</f>
        <v/>
      </c>
      <c r="R16" s="64" t="str">
        <f>IF(AND('Mapa final'!$Y$27="Alta",'Mapa final'!$AA$27="Menor"),CONCATENATE("R1C",'Mapa final'!$O$27),"")</f>
        <v/>
      </c>
      <c r="S16" s="64" t="str">
        <f>IF(AND('Mapa final'!$Y$28="Alta",'Mapa final'!$AA$28="Menor"),CONCATENATE("R1C",'Mapa final'!$O$28),"")</f>
        <v/>
      </c>
      <c r="T16" s="64" t="str">
        <f>IF(AND('Mapa final'!$Y$29="Alta",'Mapa final'!$AA$29="Menor"),CONCATENATE("R1C",'Mapa final'!$O$29),"")</f>
        <v/>
      </c>
      <c r="U16" s="65" t="str">
        <f>IF(AND('Mapa final'!$Y$30="Alta",'Mapa final'!$AA$30="Menor"),CONCATENATE("R1C",'Mapa final'!$O$30),"")</f>
        <v/>
      </c>
      <c r="V16" s="45" t="str">
        <f>IF(AND('Mapa final'!$Y$25="Alta",'Mapa final'!$AA$25="Moderado"),CONCATENATE("R1C",'Mapa final'!$O$25),"")</f>
        <v/>
      </c>
      <c r="W16" s="46" t="str">
        <f>IF(AND('Mapa final'!$Y$26="Alta",'Mapa final'!$AA$26="Moderado"),CONCATENATE("R1C",'Mapa final'!$O$26),"")</f>
        <v/>
      </c>
      <c r="X16" s="46" t="str">
        <f>IF(AND('Mapa final'!$Y$27="Alta",'Mapa final'!$AA$27="Moderado"),CONCATENATE("R1C",'Mapa final'!$O$27),"")</f>
        <v/>
      </c>
      <c r="Y16" s="46" t="str">
        <f>IF(AND('Mapa final'!$Y$28="Alta",'Mapa final'!$AA$28="Moderado"),CONCATENATE("R1C",'Mapa final'!$O$28),"")</f>
        <v/>
      </c>
      <c r="Z16" s="46" t="str">
        <f>IF(AND('Mapa final'!$Y$29="Alta",'Mapa final'!$AA$29="Moderado"),CONCATENATE("R1C",'Mapa final'!$O$29),"")</f>
        <v/>
      </c>
      <c r="AA16" s="47" t="str">
        <f>IF(AND('Mapa final'!$Y$30="Alta",'Mapa final'!$AA$30="Moderado"),CONCATENATE("R1C",'Mapa final'!$O$30),"")</f>
        <v/>
      </c>
      <c r="AB16" s="45" t="str">
        <f>IF(AND('Mapa final'!$Y$25="Alta",'Mapa final'!$AA$25="Mayor"),CONCATENATE("R1C",'Mapa final'!$O$25),"")</f>
        <v/>
      </c>
      <c r="AC16" s="46" t="str">
        <f>IF(AND('Mapa final'!$Y$26="Alta",'Mapa final'!$AA$26="Mayor"),CONCATENATE("R1C",'Mapa final'!$O$26),"")</f>
        <v/>
      </c>
      <c r="AD16" s="46" t="str">
        <f>IF(AND('Mapa final'!$Y$27="Alta",'Mapa final'!$AA$27="Mayor"),CONCATENATE("R1C",'Mapa final'!$O$27),"")</f>
        <v/>
      </c>
      <c r="AE16" s="46" t="str">
        <f>IF(AND('Mapa final'!$Y$28="Alta",'Mapa final'!$AA$28="Mayor"),CONCATENATE("R1C",'Mapa final'!$O$28),"")</f>
        <v/>
      </c>
      <c r="AF16" s="46" t="str">
        <f>IF(AND('Mapa final'!$Y$29="Alta",'Mapa final'!$AA$29="Mayor"),CONCATENATE("R1C",'Mapa final'!$O$29),"")</f>
        <v/>
      </c>
      <c r="AG16" s="47" t="str">
        <f>IF(AND('Mapa final'!$Y$30="Alta",'Mapa final'!$AA$30="Mayor"),CONCATENATE("R1C",'Mapa final'!$O$30),"")</f>
        <v/>
      </c>
      <c r="AH16" s="48" t="str">
        <f>IF(AND('Mapa final'!$Y$25="Alta",'Mapa final'!$AA$25="Catastrófico"),CONCATENATE("R1C",'Mapa final'!$O$25),"")</f>
        <v/>
      </c>
      <c r="AI16" s="49" t="str">
        <f>IF(AND('Mapa final'!$Y$26="Alta",'Mapa final'!$AA$26="Catastrófico"),CONCATENATE("R1C",'Mapa final'!$O$26),"")</f>
        <v/>
      </c>
      <c r="AJ16" s="49" t="str">
        <f>IF(AND('Mapa final'!$Y$27="Alta",'Mapa final'!$AA$27="Catastrófico"),CONCATENATE("R1C",'Mapa final'!$O$27),"")</f>
        <v/>
      </c>
      <c r="AK16" s="49" t="str">
        <f>IF(AND('Mapa final'!$Y$28="Alta",'Mapa final'!$AA$28="Catastrófico"),CONCATENATE("R1C",'Mapa final'!$O$28),"")</f>
        <v/>
      </c>
      <c r="AL16" s="49" t="str">
        <f>IF(AND('Mapa final'!$Y$29="Alta",'Mapa final'!$AA$29="Catastrófico"),CONCATENATE("R1C",'Mapa final'!$O$29),"")</f>
        <v/>
      </c>
      <c r="AM16" s="50" t="str">
        <f>IF(AND('Mapa final'!$Y$30="Alta",'Mapa final'!$AA$30="Catastrófico"),CONCATENATE("R1C",'Mapa final'!$O$30),"")</f>
        <v/>
      </c>
      <c r="AN16" s="82"/>
      <c r="AO16" s="445" t="s">
        <v>176</v>
      </c>
      <c r="AP16" s="446"/>
      <c r="AQ16" s="446"/>
      <c r="AR16" s="446"/>
      <c r="AS16" s="446"/>
      <c r="AT16" s="447"/>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397"/>
      <c r="C17" s="397"/>
      <c r="D17" s="398"/>
      <c r="E17" s="454"/>
      <c r="F17" s="439"/>
      <c r="G17" s="439"/>
      <c r="H17" s="439"/>
      <c r="I17" s="439"/>
      <c r="J17" s="66" t="str">
        <f>IF(AND('Mapa final'!$Y$31="Alta",'Mapa final'!$AA$31="Leve"),CONCATENATE("R2C",'Mapa final'!$O$31),"")</f>
        <v/>
      </c>
      <c r="K17" s="67" t="str">
        <f>IF(AND('Mapa final'!$Y$32="Alta",'Mapa final'!$AA$32="Leve"),CONCATENATE("R2C",'Mapa final'!$O$32),"")</f>
        <v/>
      </c>
      <c r="L17" s="67" t="str">
        <f>IF(AND('Mapa final'!$Y$33="Alta",'Mapa final'!$AA$33="Leve"),CONCATENATE("R2C",'Mapa final'!$O$33),"")</f>
        <v/>
      </c>
      <c r="M17" s="67" t="str">
        <f>IF(AND('Mapa final'!$Y$34="Alta",'Mapa final'!$AA$34="Leve"),CONCATENATE("R2C",'Mapa final'!$O$34),"")</f>
        <v/>
      </c>
      <c r="N17" s="67" t="str">
        <f>IF(AND('Mapa final'!$Y$35="Alta",'Mapa final'!$AA$35="Leve"),CONCATENATE("R2C",'Mapa final'!$O$35),"")</f>
        <v/>
      </c>
      <c r="O17" s="68" t="str">
        <f>IF(AND('Mapa final'!$Y$36="Alta",'Mapa final'!$AA$36="Leve"),CONCATENATE("R2C",'Mapa final'!$O$36),"")</f>
        <v/>
      </c>
      <c r="P17" s="66" t="str">
        <f>IF(AND('Mapa final'!$Y$31="Alta",'Mapa final'!$AA$31="Menor"),CONCATENATE("R2C",'Mapa final'!$O$31),"")</f>
        <v/>
      </c>
      <c r="Q17" s="67" t="str">
        <f>IF(AND('Mapa final'!$Y$32="Alta",'Mapa final'!$AA$32="Menor"),CONCATENATE("R2C",'Mapa final'!$O$32),"")</f>
        <v/>
      </c>
      <c r="R17" s="67" t="str">
        <f>IF(AND('Mapa final'!$Y$33="Alta",'Mapa final'!$AA$33="Menor"),CONCATENATE("R2C",'Mapa final'!$O$33),"")</f>
        <v/>
      </c>
      <c r="S17" s="67" t="str">
        <f>IF(AND('Mapa final'!$Y$34="Alta",'Mapa final'!$AA$34="Menor"),CONCATENATE("R2C",'Mapa final'!$O$34),"")</f>
        <v/>
      </c>
      <c r="T17" s="67" t="str">
        <f>IF(AND('Mapa final'!$Y$35="Alta",'Mapa final'!$AA$35="Menor"),CONCATENATE("R2C",'Mapa final'!$O$35),"")</f>
        <v/>
      </c>
      <c r="U17" s="68" t="str">
        <f>IF(AND('Mapa final'!$Y$36="Alta",'Mapa final'!$AA$36="Menor"),CONCATENATE("R2C",'Mapa final'!$O$36),"")</f>
        <v/>
      </c>
      <c r="V17" s="51" t="str">
        <f>IF(AND('Mapa final'!$Y$31="Alta",'Mapa final'!$AA$31="Moderado"),CONCATENATE("R2C",'Mapa final'!$O$31),"")</f>
        <v/>
      </c>
      <c r="W17" s="52" t="str">
        <f>IF(AND('Mapa final'!$Y$32="Alta",'Mapa final'!$AA$32="Moderado"),CONCATENATE("R2C",'Mapa final'!$O$32),"")</f>
        <v/>
      </c>
      <c r="X17" s="52" t="str">
        <f>IF(AND('Mapa final'!$Y$33="Alta",'Mapa final'!$AA$33="Moderado"),CONCATENATE("R2C",'Mapa final'!$O$33),"")</f>
        <v/>
      </c>
      <c r="Y17" s="52" t="str">
        <f>IF(AND('Mapa final'!$Y$34="Alta",'Mapa final'!$AA$34="Moderado"),CONCATENATE("R2C",'Mapa final'!$O$34),"")</f>
        <v/>
      </c>
      <c r="Z17" s="52" t="str">
        <f>IF(AND('Mapa final'!$Y$35="Alta",'Mapa final'!$AA$35="Moderado"),CONCATENATE("R2C",'Mapa final'!$O$35),"")</f>
        <v/>
      </c>
      <c r="AA17" s="53" t="str">
        <f>IF(AND('Mapa final'!$Y$36="Alta",'Mapa final'!$AA$36="Moderado"),CONCATENATE("R2C",'Mapa final'!$O$36),"")</f>
        <v/>
      </c>
      <c r="AB17" s="51" t="str">
        <f>IF(AND('Mapa final'!$Y$31="Alta",'Mapa final'!$AA$31="Mayor"),CONCATENATE("R2C",'Mapa final'!$O$31),"")</f>
        <v/>
      </c>
      <c r="AC17" s="52" t="str">
        <f>IF(AND('Mapa final'!$Y$32="Alta",'Mapa final'!$AA$32="Mayor"),CONCATENATE("R2C",'Mapa final'!$O$32),"")</f>
        <v/>
      </c>
      <c r="AD17" s="52" t="str">
        <f>IF(AND('Mapa final'!$Y$33="Alta",'Mapa final'!$AA$33="Mayor"),CONCATENATE("R2C",'Mapa final'!$O$33),"")</f>
        <v/>
      </c>
      <c r="AE17" s="52" t="str">
        <f>IF(AND('Mapa final'!$Y$34="Alta",'Mapa final'!$AA$34="Mayor"),CONCATENATE("R2C",'Mapa final'!$O$34),"")</f>
        <v/>
      </c>
      <c r="AF17" s="52" t="str">
        <f>IF(AND('Mapa final'!$Y$35="Alta",'Mapa final'!$AA$35="Mayor"),CONCATENATE("R2C",'Mapa final'!$O$35),"")</f>
        <v/>
      </c>
      <c r="AG17" s="53" t="str">
        <f>IF(AND('Mapa final'!$Y$36="Alta",'Mapa final'!$AA$36="Mayor"),CONCATENATE("R2C",'Mapa final'!$O$36),"")</f>
        <v/>
      </c>
      <c r="AH17" s="54" t="str">
        <f>IF(AND('Mapa final'!$Y$31="Alta",'Mapa final'!$AA$31="Catastrófico"),CONCATENATE("R2C",'Mapa final'!$O$31),"")</f>
        <v/>
      </c>
      <c r="AI17" s="55" t="str">
        <f>IF(AND('Mapa final'!$Y$32="Alta",'Mapa final'!$AA$32="Catastrófico"),CONCATENATE("R2C",'Mapa final'!$O$32),"")</f>
        <v/>
      </c>
      <c r="AJ17" s="55" t="str">
        <f>IF(AND('Mapa final'!$Y$33="Alta",'Mapa final'!$AA$33="Catastrófico"),CONCATENATE("R2C",'Mapa final'!$O$33),"")</f>
        <v/>
      </c>
      <c r="AK17" s="55" t="str">
        <f>IF(AND('Mapa final'!$Y$34="Alta",'Mapa final'!$AA$34="Catastrófico"),CONCATENATE("R2C",'Mapa final'!$O$34),"")</f>
        <v/>
      </c>
      <c r="AL17" s="55" t="str">
        <f>IF(AND('Mapa final'!$Y$35="Alta",'Mapa final'!$AA$35="Catastrófico"),CONCATENATE("R2C",'Mapa final'!$O$35),"")</f>
        <v/>
      </c>
      <c r="AM17" s="56" t="str">
        <f>IF(AND('Mapa final'!$Y$36="Alta",'Mapa final'!$AA$36="Catastrófico"),CONCATENATE("R2C",'Mapa final'!$O$36),"")</f>
        <v/>
      </c>
      <c r="AN17" s="82"/>
      <c r="AO17" s="448"/>
      <c r="AP17" s="449"/>
      <c r="AQ17" s="449"/>
      <c r="AR17" s="449"/>
      <c r="AS17" s="449"/>
      <c r="AT17" s="450"/>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397"/>
      <c r="C18" s="397"/>
      <c r="D18" s="398"/>
      <c r="E18" s="438"/>
      <c r="F18" s="439"/>
      <c r="G18" s="439"/>
      <c r="H18" s="439"/>
      <c r="I18" s="439"/>
      <c r="J18" s="66" t="str">
        <f>IF(AND('Mapa final'!$Y$37="Alta",'Mapa final'!$AA$37="Leve"),CONCATENATE("R3C",'Mapa final'!$O$37),"")</f>
        <v/>
      </c>
      <c r="K18" s="67" t="str">
        <f>IF(AND('Mapa final'!$Y$38="Alta",'Mapa final'!$AA$38="Leve"),CONCATENATE("R3C",'Mapa final'!$O$38),"")</f>
        <v/>
      </c>
      <c r="L18" s="67" t="str">
        <f>IF(AND('Mapa final'!$Y$39="Alta",'Mapa final'!$AA$39="Leve"),CONCATENATE("R3C",'Mapa final'!$O$39),"")</f>
        <v/>
      </c>
      <c r="M18" s="67" t="str">
        <f>IF(AND('Mapa final'!$Y$40="Alta",'Mapa final'!$AA$40="Leve"),CONCATENATE("R3C",'Mapa final'!$O$40),"")</f>
        <v/>
      </c>
      <c r="N18" s="67" t="str">
        <f>IF(AND('Mapa final'!$Y$41="Alta",'Mapa final'!$AA$41="Leve"),CONCATENATE("R3C",'Mapa final'!$O$41),"")</f>
        <v/>
      </c>
      <c r="O18" s="68" t="str">
        <f>IF(AND('Mapa final'!$Y$42="Alta",'Mapa final'!$AA$42="Leve"),CONCATENATE("R3C",'Mapa final'!$O$42),"")</f>
        <v/>
      </c>
      <c r="P18" s="66" t="str">
        <f>IF(AND('Mapa final'!$Y$37="Alta",'Mapa final'!$AA$37="Menor"),CONCATENATE("R3C",'Mapa final'!$O$37),"")</f>
        <v/>
      </c>
      <c r="Q18" s="67" t="str">
        <f>IF(AND('Mapa final'!$Y$38="Alta",'Mapa final'!$AA$38="Menor"),CONCATENATE("R3C",'Mapa final'!$O$38),"")</f>
        <v/>
      </c>
      <c r="R18" s="67" t="str">
        <f>IF(AND('Mapa final'!$Y$39="Alta",'Mapa final'!$AA$39="Menor"),CONCATENATE("R3C",'Mapa final'!$O$39),"")</f>
        <v/>
      </c>
      <c r="S18" s="67" t="str">
        <f>IF(AND('Mapa final'!$Y$40="Alta",'Mapa final'!$AA$40="Menor"),CONCATENATE("R3C",'Mapa final'!$O$40),"")</f>
        <v/>
      </c>
      <c r="T18" s="67" t="str">
        <f>IF(AND('Mapa final'!$Y$41="Alta",'Mapa final'!$AA$41="Menor"),CONCATENATE("R3C",'Mapa final'!$O$41),"")</f>
        <v/>
      </c>
      <c r="U18" s="68" t="str">
        <f>IF(AND('Mapa final'!$Y$42="Alta",'Mapa final'!$AA$42="Menor"),CONCATENATE("R3C",'Mapa final'!$O$42),"")</f>
        <v/>
      </c>
      <c r="V18" s="51" t="str">
        <f>IF(AND('Mapa final'!$Y$37="Alta",'Mapa final'!$AA$37="Moderado"),CONCATENATE("R3C",'Mapa final'!$O$37),"")</f>
        <v/>
      </c>
      <c r="W18" s="52" t="str">
        <f>IF(AND('Mapa final'!$Y$38="Alta",'Mapa final'!$AA$38="Moderado"),CONCATENATE("R3C",'Mapa final'!$O$38),"")</f>
        <v/>
      </c>
      <c r="X18" s="52" t="str">
        <f>IF(AND('Mapa final'!$Y$39="Alta",'Mapa final'!$AA$39="Moderado"),CONCATENATE("R3C",'Mapa final'!$O$39),"")</f>
        <v/>
      </c>
      <c r="Y18" s="52" t="str">
        <f>IF(AND('Mapa final'!$Y$40="Alta",'Mapa final'!$AA$40="Moderado"),CONCATENATE("R3C",'Mapa final'!$O$40),"")</f>
        <v/>
      </c>
      <c r="Z18" s="52" t="str">
        <f>IF(AND('Mapa final'!$Y$41="Alta",'Mapa final'!$AA$41="Moderado"),CONCATENATE("R3C",'Mapa final'!$O$41),"")</f>
        <v/>
      </c>
      <c r="AA18" s="53" t="str">
        <f>IF(AND('Mapa final'!$Y$42="Alta",'Mapa final'!$AA$42="Moderado"),CONCATENATE("R3C",'Mapa final'!$O$42),"")</f>
        <v/>
      </c>
      <c r="AB18" s="51" t="str">
        <f>IF(AND('Mapa final'!$Y$37="Alta",'Mapa final'!$AA$37="Mayor"),CONCATENATE("R3C",'Mapa final'!$O$37),"")</f>
        <v/>
      </c>
      <c r="AC18" s="52" t="str">
        <f>IF(AND('Mapa final'!$Y$38="Alta",'Mapa final'!$AA$38="Mayor"),CONCATENATE("R3C",'Mapa final'!$O$38),"")</f>
        <v/>
      </c>
      <c r="AD18" s="52" t="str">
        <f>IF(AND('Mapa final'!$Y$39="Alta",'Mapa final'!$AA$39="Mayor"),CONCATENATE("R3C",'Mapa final'!$O$39),"")</f>
        <v/>
      </c>
      <c r="AE18" s="52" t="str">
        <f>IF(AND('Mapa final'!$Y$40="Alta",'Mapa final'!$AA$40="Mayor"),CONCATENATE("R3C",'Mapa final'!$O$40),"")</f>
        <v/>
      </c>
      <c r="AF18" s="52" t="str">
        <f>IF(AND('Mapa final'!$Y$41="Alta",'Mapa final'!$AA$41="Mayor"),CONCATENATE("R3C",'Mapa final'!$O$41),"")</f>
        <v/>
      </c>
      <c r="AG18" s="53" t="str">
        <f>IF(AND('Mapa final'!$Y$42="Alta",'Mapa final'!$AA$42="Mayor"),CONCATENATE("R3C",'Mapa final'!$O$42),"")</f>
        <v/>
      </c>
      <c r="AH18" s="54" t="str">
        <f>IF(AND('Mapa final'!$Y$37="Alta",'Mapa final'!$AA$37="Catastrófico"),CONCATENATE("R3C",'Mapa final'!$O$37),"")</f>
        <v/>
      </c>
      <c r="AI18" s="55" t="str">
        <f>IF(AND('Mapa final'!$Y$38="Alta",'Mapa final'!$AA$38="Catastrófico"),CONCATENATE("R3C",'Mapa final'!$O$38),"")</f>
        <v/>
      </c>
      <c r="AJ18" s="55" t="str">
        <f>IF(AND('Mapa final'!$Y$39="Alta",'Mapa final'!$AA$39="Catastrófico"),CONCATENATE("R3C",'Mapa final'!$O$39),"")</f>
        <v/>
      </c>
      <c r="AK18" s="55" t="str">
        <f>IF(AND('Mapa final'!$Y$40="Alta",'Mapa final'!$AA$40="Catastrófico"),CONCATENATE("R3C",'Mapa final'!$O$40),"")</f>
        <v/>
      </c>
      <c r="AL18" s="55" t="str">
        <f>IF(AND('Mapa final'!$Y$41="Alta",'Mapa final'!$AA$41="Catastrófico"),CONCATENATE("R3C",'Mapa final'!$O$41),"")</f>
        <v/>
      </c>
      <c r="AM18" s="56" t="str">
        <f>IF(AND('Mapa final'!$Y$42="Alta",'Mapa final'!$AA$42="Catastrófico"),CONCATENATE("R3C",'Mapa final'!$O$42),"")</f>
        <v/>
      </c>
      <c r="AN18" s="82"/>
      <c r="AO18" s="448"/>
      <c r="AP18" s="449"/>
      <c r="AQ18" s="449"/>
      <c r="AR18" s="449"/>
      <c r="AS18" s="449"/>
      <c r="AT18" s="450"/>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397"/>
      <c r="C19" s="397"/>
      <c r="D19" s="398"/>
      <c r="E19" s="438"/>
      <c r="F19" s="439"/>
      <c r="G19" s="439"/>
      <c r="H19" s="439"/>
      <c r="I19" s="439"/>
      <c r="J19" s="66" t="str">
        <f>IF(AND('Mapa final'!$Y$43="Alta",'Mapa final'!$AA$43="Leve"),CONCATENATE("R4C",'Mapa final'!$O$43),"")</f>
        <v/>
      </c>
      <c r="K19" s="67" t="str">
        <f>IF(AND('Mapa final'!$Y$44="Alta",'Mapa final'!$AA$44="Leve"),CONCATENATE("R4C",'Mapa final'!$O$44),"")</f>
        <v/>
      </c>
      <c r="L19" s="67" t="str">
        <f>IF(AND('Mapa final'!$Y$45="Alta",'Mapa final'!$AA$45="Leve"),CONCATENATE("R4C",'Mapa final'!$O$45),"")</f>
        <v/>
      </c>
      <c r="M19" s="67" t="str">
        <f>IF(AND('Mapa final'!$Y$46="Alta",'Mapa final'!$AA$46="Leve"),CONCATENATE("R4C",'Mapa final'!$O$46),"")</f>
        <v/>
      </c>
      <c r="N19" s="67" t="str">
        <f>IF(AND('Mapa final'!$Y$47="Alta",'Mapa final'!$AA$47="Leve"),CONCATENATE("R4C",'Mapa final'!$O$47),"")</f>
        <v/>
      </c>
      <c r="O19" s="68" t="str">
        <f>IF(AND('Mapa final'!$Y$48="Alta",'Mapa final'!$AA$48="Leve"),CONCATENATE("R4C",'Mapa final'!$O$48),"")</f>
        <v/>
      </c>
      <c r="P19" s="66" t="str">
        <f>IF(AND('Mapa final'!$Y$43="Alta",'Mapa final'!$AA$43="Menor"),CONCATENATE("R4C",'Mapa final'!$O$43),"")</f>
        <v/>
      </c>
      <c r="Q19" s="67" t="str">
        <f>IF(AND('Mapa final'!$Y$44="Alta",'Mapa final'!$AA$44="Menor"),CONCATENATE("R4C",'Mapa final'!$O$44),"")</f>
        <v/>
      </c>
      <c r="R19" s="67" t="str">
        <f>IF(AND('Mapa final'!$Y$45="Alta",'Mapa final'!$AA$45="Menor"),CONCATENATE("R4C",'Mapa final'!$O$45),"")</f>
        <v/>
      </c>
      <c r="S19" s="67" t="str">
        <f>IF(AND('Mapa final'!$Y$46="Alta",'Mapa final'!$AA$46="Menor"),CONCATENATE("R4C",'Mapa final'!$O$46),"")</f>
        <v/>
      </c>
      <c r="T19" s="67" t="str">
        <f>IF(AND('Mapa final'!$Y$47="Alta",'Mapa final'!$AA$47="Menor"),CONCATENATE("R4C",'Mapa final'!$O$47),"")</f>
        <v/>
      </c>
      <c r="U19" s="68" t="str">
        <f>IF(AND('Mapa final'!$Y$48="Alta",'Mapa final'!$AA$48="Menor"),CONCATENATE("R4C",'Mapa final'!$O$48),"")</f>
        <v/>
      </c>
      <c r="V19" s="51" t="str">
        <f>IF(AND('Mapa final'!$Y$43="Alta",'Mapa final'!$AA$43="Moderado"),CONCATENATE("R4C",'Mapa final'!$O$43),"")</f>
        <v/>
      </c>
      <c r="W19" s="52" t="str">
        <f>IF(AND('Mapa final'!$Y$44="Alta",'Mapa final'!$AA$44="Moderado"),CONCATENATE("R4C",'Mapa final'!$O$44),"")</f>
        <v/>
      </c>
      <c r="X19" s="52" t="str">
        <f>IF(AND('Mapa final'!$Y$45="Alta",'Mapa final'!$AA$45="Moderado"),CONCATENATE("R4C",'Mapa final'!$O$45),"")</f>
        <v/>
      </c>
      <c r="Y19" s="52" t="str">
        <f>IF(AND('Mapa final'!$Y$46="Alta",'Mapa final'!$AA$46="Moderado"),CONCATENATE("R4C",'Mapa final'!$O$46),"")</f>
        <v/>
      </c>
      <c r="Z19" s="52" t="str">
        <f>IF(AND('Mapa final'!$Y$47="Alta",'Mapa final'!$AA$47="Moderado"),CONCATENATE("R4C",'Mapa final'!$O$47),"")</f>
        <v/>
      </c>
      <c r="AA19" s="53" t="str">
        <f>IF(AND('Mapa final'!$Y$48="Alta",'Mapa final'!$AA$48="Moderado"),CONCATENATE("R4C",'Mapa final'!$O$48),"")</f>
        <v/>
      </c>
      <c r="AB19" s="51" t="str">
        <f>IF(AND('Mapa final'!$Y$43="Alta",'Mapa final'!$AA$43="Mayor"),CONCATENATE("R4C",'Mapa final'!$O$43),"")</f>
        <v/>
      </c>
      <c r="AC19" s="52" t="str">
        <f>IF(AND('Mapa final'!$Y$44="Alta",'Mapa final'!$AA$44="Mayor"),CONCATENATE("R4C",'Mapa final'!$O$44),"")</f>
        <v/>
      </c>
      <c r="AD19" s="52" t="str">
        <f>IF(AND('Mapa final'!$Y$45="Alta",'Mapa final'!$AA$45="Mayor"),CONCATENATE("R4C",'Mapa final'!$O$45),"")</f>
        <v/>
      </c>
      <c r="AE19" s="52" t="str">
        <f>IF(AND('Mapa final'!$Y$46="Alta",'Mapa final'!$AA$46="Mayor"),CONCATENATE("R4C",'Mapa final'!$O$46),"")</f>
        <v/>
      </c>
      <c r="AF19" s="52" t="str">
        <f>IF(AND('Mapa final'!$Y$47="Alta",'Mapa final'!$AA$47="Mayor"),CONCATENATE("R4C",'Mapa final'!$O$47),"")</f>
        <v/>
      </c>
      <c r="AG19" s="53" t="str">
        <f>IF(AND('Mapa final'!$Y$48="Alta",'Mapa final'!$AA$48="Mayor"),CONCATENATE("R4C",'Mapa final'!$O$48),"")</f>
        <v/>
      </c>
      <c r="AH19" s="54" t="str">
        <f>IF(AND('Mapa final'!$Y$43="Alta",'Mapa final'!$AA$43="Catastrófico"),CONCATENATE("R4C",'Mapa final'!$O$43),"")</f>
        <v/>
      </c>
      <c r="AI19" s="55" t="str">
        <f>IF(AND('Mapa final'!$Y$44="Alta",'Mapa final'!$AA$44="Catastrófico"),CONCATENATE("R4C",'Mapa final'!$O$44),"")</f>
        <v/>
      </c>
      <c r="AJ19" s="55" t="str">
        <f>IF(AND('Mapa final'!$Y$45="Alta",'Mapa final'!$AA$45="Catastrófico"),CONCATENATE("R4C",'Mapa final'!$O$45),"")</f>
        <v/>
      </c>
      <c r="AK19" s="55" t="str">
        <f>IF(AND('Mapa final'!$Y$46="Alta",'Mapa final'!$AA$46="Catastrófico"),CONCATENATE("R4C",'Mapa final'!$O$46),"")</f>
        <v/>
      </c>
      <c r="AL19" s="55" t="str">
        <f>IF(AND('Mapa final'!$Y$47="Alta",'Mapa final'!$AA$47="Catastrófico"),CONCATENATE("R4C",'Mapa final'!$O$47),"")</f>
        <v/>
      </c>
      <c r="AM19" s="56" t="str">
        <f>IF(AND('Mapa final'!$Y$48="Alta",'Mapa final'!$AA$48="Catastrófico"),CONCATENATE("R4C",'Mapa final'!$O$48),"")</f>
        <v/>
      </c>
      <c r="AN19" s="82"/>
      <c r="AO19" s="448"/>
      <c r="AP19" s="449"/>
      <c r="AQ19" s="449"/>
      <c r="AR19" s="449"/>
      <c r="AS19" s="449"/>
      <c r="AT19" s="450"/>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397"/>
      <c r="C20" s="397"/>
      <c r="D20" s="398"/>
      <c r="E20" s="438"/>
      <c r="F20" s="439"/>
      <c r="G20" s="439"/>
      <c r="H20" s="439"/>
      <c r="I20" s="439"/>
      <c r="J20" s="66" t="str">
        <f>IF(AND('Mapa final'!$Y$49="Alta",'Mapa final'!$AA$49="Leve"),CONCATENATE("R5C",'Mapa final'!$O$49),"")</f>
        <v/>
      </c>
      <c r="K20" s="67" t="str">
        <f>IF(AND('Mapa final'!$Y$50="Alta",'Mapa final'!$AA$50="Leve"),CONCATENATE("R5C",'Mapa final'!$O$50),"")</f>
        <v/>
      </c>
      <c r="L20" s="67" t="str">
        <f>IF(AND('Mapa final'!$Y$51="Alta",'Mapa final'!$AA$51="Leve"),CONCATENATE("R5C",'Mapa final'!$O$51),"")</f>
        <v/>
      </c>
      <c r="M20" s="67" t="str">
        <f>IF(AND('Mapa final'!$Y$52="Alta",'Mapa final'!$AA$52="Leve"),CONCATENATE("R5C",'Mapa final'!$O$52),"")</f>
        <v/>
      </c>
      <c r="N20" s="67" t="str">
        <f>IF(AND('Mapa final'!$Y$53="Alta",'Mapa final'!$AA$53="Leve"),CONCATENATE("R5C",'Mapa final'!$O$53),"")</f>
        <v/>
      </c>
      <c r="O20" s="68" t="str">
        <f>IF(AND('Mapa final'!$Y$54="Alta",'Mapa final'!$AA$54="Leve"),CONCATENATE("R5C",'Mapa final'!$O$54),"")</f>
        <v/>
      </c>
      <c r="P20" s="66" t="str">
        <f>IF(AND('Mapa final'!$Y$49="Alta",'Mapa final'!$AA$49="Menor"),CONCATENATE("R5C",'Mapa final'!$O$49),"")</f>
        <v/>
      </c>
      <c r="Q20" s="67" t="str">
        <f>IF(AND('Mapa final'!$Y$50="Alta",'Mapa final'!$AA$50="Menor"),CONCATENATE("R5C",'Mapa final'!$O$50),"")</f>
        <v/>
      </c>
      <c r="R20" s="67" t="str">
        <f>IF(AND('Mapa final'!$Y$51="Alta",'Mapa final'!$AA$51="Menor"),CONCATENATE("R5C",'Mapa final'!$O$51),"")</f>
        <v/>
      </c>
      <c r="S20" s="67" t="str">
        <f>IF(AND('Mapa final'!$Y$52="Alta",'Mapa final'!$AA$52="Menor"),CONCATENATE("R5C",'Mapa final'!$O$52),"")</f>
        <v/>
      </c>
      <c r="T20" s="67" t="str">
        <f>IF(AND('Mapa final'!$Y$53="Alta",'Mapa final'!$AA$53="Menor"),CONCATENATE("R5C",'Mapa final'!$O$53),"")</f>
        <v/>
      </c>
      <c r="U20" s="68" t="str">
        <f>IF(AND('Mapa final'!$Y$54="Alta",'Mapa final'!$AA$54="Menor"),CONCATENATE("R5C",'Mapa final'!$O$54),"")</f>
        <v/>
      </c>
      <c r="V20" s="51" t="str">
        <f>IF(AND('Mapa final'!$Y$49="Alta",'Mapa final'!$AA$49="Moderado"),CONCATENATE("R5C",'Mapa final'!$O$49),"")</f>
        <v/>
      </c>
      <c r="W20" s="52" t="str">
        <f>IF(AND('Mapa final'!$Y$50="Alta",'Mapa final'!$AA$50="Moderado"),CONCATENATE("R5C",'Mapa final'!$O$50),"")</f>
        <v/>
      </c>
      <c r="X20" s="52" t="str">
        <f>IF(AND('Mapa final'!$Y$51="Alta",'Mapa final'!$AA$51="Moderado"),CONCATENATE("R5C",'Mapa final'!$O$51),"")</f>
        <v/>
      </c>
      <c r="Y20" s="52" t="str">
        <f>IF(AND('Mapa final'!$Y$52="Alta",'Mapa final'!$AA$52="Moderado"),CONCATENATE("R5C",'Mapa final'!$O$52),"")</f>
        <v/>
      </c>
      <c r="Z20" s="52" t="str">
        <f>IF(AND('Mapa final'!$Y$53="Alta",'Mapa final'!$AA$53="Moderado"),CONCATENATE("R5C",'Mapa final'!$O$53),"")</f>
        <v/>
      </c>
      <c r="AA20" s="53" t="str">
        <f>IF(AND('Mapa final'!$Y$54="Alta",'Mapa final'!$AA$54="Moderado"),CONCATENATE("R5C",'Mapa final'!$O$54),"")</f>
        <v/>
      </c>
      <c r="AB20" s="51" t="str">
        <f>IF(AND('Mapa final'!$Y$49="Alta",'Mapa final'!$AA$49="Mayor"),CONCATENATE("R5C",'Mapa final'!$O$49),"")</f>
        <v/>
      </c>
      <c r="AC20" s="52" t="str">
        <f>IF(AND('Mapa final'!$Y$50="Alta",'Mapa final'!$AA$50="Mayor"),CONCATENATE("R5C",'Mapa final'!$O$50),"")</f>
        <v/>
      </c>
      <c r="AD20" s="52" t="str">
        <f>IF(AND('Mapa final'!$Y$51="Alta",'Mapa final'!$AA$51="Mayor"),CONCATENATE("R5C",'Mapa final'!$O$51),"")</f>
        <v/>
      </c>
      <c r="AE20" s="52" t="str">
        <f>IF(AND('Mapa final'!$Y$52="Alta",'Mapa final'!$AA$52="Mayor"),CONCATENATE("R5C",'Mapa final'!$O$52),"")</f>
        <v/>
      </c>
      <c r="AF20" s="52" t="str">
        <f>IF(AND('Mapa final'!$Y$53="Alta",'Mapa final'!$AA$53="Mayor"),CONCATENATE("R5C",'Mapa final'!$O$53),"")</f>
        <v/>
      </c>
      <c r="AG20" s="53" t="str">
        <f>IF(AND('Mapa final'!$Y$54="Alta",'Mapa final'!$AA$54="Mayor"),CONCATENATE("R5C",'Mapa final'!$O$54),"")</f>
        <v/>
      </c>
      <c r="AH20" s="54" t="str">
        <f>IF(AND('Mapa final'!$Y$49="Alta",'Mapa final'!$AA$49="Catastrófico"),CONCATENATE("R5C",'Mapa final'!$O$49),"")</f>
        <v/>
      </c>
      <c r="AI20" s="55" t="str">
        <f>IF(AND('Mapa final'!$Y$50="Alta",'Mapa final'!$AA$50="Catastrófico"),CONCATENATE("R5C",'Mapa final'!$O$50),"")</f>
        <v/>
      </c>
      <c r="AJ20" s="55" t="str">
        <f>IF(AND('Mapa final'!$Y$51="Alta",'Mapa final'!$AA$51="Catastrófico"),CONCATENATE("R5C",'Mapa final'!$O$51),"")</f>
        <v/>
      </c>
      <c r="AK20" s="55" t="str">
        <f>IF(AND('Mapa final'!$Y$52="Alta",'Mapa final'!$AA$52="Catastrófico"),CONCATENATE("R5C",'Mapa final'!$O$52),"")</f>
        <v/>
      </c>
      <c r="AL20" s="55" t="str">
        <f>IF(AND('Mapa final'!$Y$53="Alta",'Mapa final'!$AA$53="Catastrófico"),CONCATENATE("R5C",'Mapa final'!$O$53),"")</f>
        <v/>
      </c>
      <c r="AM20" s="56" t="str">
        <f>IF(AND('Mapa final'!$Y$54="Alta",'Mapa final'!$AA$54="Catastrófico"),CONCATENATE("R5C",'Mapa final'!$O$54),"")</f>
        <v/>
      </c>
      <c r="AN20" s="82"/>
      <c r="AO20" s="448"/>
      <c r="AP20" s="449"/>
      <c r="AQ20" s="449"/>
      <c r="AR20" s="449"/>
      <c r="AS20" s="449"/>
      <c r="AT20" s="450"/>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397"/>
      <c r="C21" s="397"/>
      <c r="D21" s="398"/>
      <c r="E21" s="438"/>
      <c r="F21" s="439"/>
      <c r="G21" s="439"/>
      <c r="H21" s="439"/>
      <c r="I21" s="439"/>
      <c r="J21" s="66" t="str">
        <f>IF(AND('Mapa final'!$Y$55="Alta",'Mapa final'!$AA$55="Leve"),CONCATENATE("R6C",'Mapa final'!$O$55),"")</f>
        <v/>
      </c>
      <c r="K21" s="67" t="str">
        <f>IF(AND('Mapa final'!$Y$56="Alta",'Mapa final'!$AA$56="Leve"),CONCATENATE("R6C",'Mapa final'!$O$56),"")</f>
        <v/>
      </c>
      <c r="L21" s="67" t="str">
        <f>IF(AND('Mapa final'!$Y$57="Alta",'Mapa final'!$AA$57="Leve"),CONCATENATE("R6C",'Mapa final'!$O$57),"")</f>
        <v/>
      </c>
      <c r="M21" s="67" t="str">
        <f>IF(AND('Mapa final'!$Y$58="Alta",'Mapa final'!$AA$58="Leve"),CONCATENATE("R6C",'Mapa final'!$O$58),"")</f>
        <v/>
      </c>
      <c r="N21" s="67" t="str">
        <f>IF(AND('Mapa final'!$Y$59="Alta",'Mapa final'!$AA$59="Leve"),CONCATENATE("R6C",'Mapa final'!$O$59),"")</f>
        <v/>
      </c>
      <c r="O21" s="68" t="str">
        <f>IF(AND('Mapa final'!$Y$60="Alta",'Mapa final'!$AA$60="Leve"),CONCATENATE("R6C",'Mapa final'!$O$60),"")</f>
        <v/>
      </c>
      <c r="P21" s="66" t="str">
        <f>IF(AND('Mapa final'!$Y$55="Alta",'Mapa final'!$AA$55="Menor"),CONCATENATE("R6C",'Mapa final'!$O$55),"")</f>
        <v/>
      </c>
      <c r="Q21" s="67" t="str">
        <f>IF(AND('Mapa final'!$Y$56="Alta",'Mapa final'!$AA$56="Menor"),CONCATENATE("R6C",'Mapa final'!$O$56),"")</f>
        <v/>
      </c>
      <c r="R21" s="67" t="str">
        <f>IF(AND('Mapa final'!$Y$57="Alta",'Mapa final'!$AA$57="Menor"),CONCATENATE("R6C",'Mapa final'!$O$57),"")</f>
        <v/>
      </c>
      <c r="S21" s="67" t="str">
        <f>IF(AND('Mapa final'!$Y$58="Alta",'Mapa final'!$AA$58="Menor"),CONCATENATE("R6C",'Mapa final'!$O$58),"")</f>
        <v/>
      </c>
      <c r="T21" s="67" t="str">
        <f>IF(AND('Mapa final'!$Y$59="Alta",'Mapa final'!$AA$59="Menor"),CONCATENATE("R6C",'Mapa final'!$O$59),"")</f>
        <v/>
      </c>
      <c r="U21" s="68" t="str">
        <f>IF(AND('Mapa final'!$Y$60="Alta",'Mapa final'!$AA$60="Menor"),CONCATENATE("R6C",'Mapa final'!$O$60),"")</f>
        <v/>
      </c>
      <c r="V21" s="51" t="str">
        <f>IF(AND('Mapa final'!$Y$55="Alta",'Mapa final'!$AA$55="Moderado"),CONCATENATE("R6C",'Mapa final'!$O$55),"")</f>
        <v/>
      </c>
      <c r="W21" s="52" t="str">
        <f>IF(AND('Mapa final'!$Y$56="Alta",'Mapa final'!$AA$56="Moderado"),CONCATENATE("R6C",'Mapa final'!$O$56),"")</f>
        <v/>
      </c>
      <c r="X21" s="52" t="str">
        <f>IF(AND('Mapa final'!$Y$57="Alta",'Mapa final'!$AA$57="Moderado"),CONCATENATE("R6C",'Mapa final'!$O$57),"")</f>
        <v/>
      </c>
      <c r="Y21" s="52" t="str">
        <f>IF(AND('Mapa final'!$Y$58="Alta",'Mapa final'!$AA$58="Moderado"),CONCATENATE("R6C",'Mapa final'!$O$58),"")</f>
        <v/>
      </c>
      <c r="Z21" s="52" t="str">
        <f>IF(AND('Mapa final'!$Y$59="Alta",'Mapa final'!$AA$59="Moderado"),CONCATENATE("R6C",'Mapa final'!$O$59),"")</f>
        <v/>
      </c>
      <c r="AA21" s="53" t="str">
        <f>IF(AND('Mapa final'!$Y$60="Alta",'Mapa final'!$AA$60="Moderado"),CONCATENATE("R6C",'Mapa final'!$O$60),"")</f>
        <v/>
      </c>
      <c r="AB21" s="51" t="str">
        <f>IF(AND('Mapa final'!$Y$55="Alta",'Mapa final'!$AA$55="Mayor"),CONCATENATE("R6C",'Mapa final'!$O$55),"")</f>
        <v/>
      </c>
      <c r="AC21" s="52" t="str">
        <f>IF(AND('Mapa final'!$Y$56="Alta",'Mapa final'!$AA$56="Mayor"),CONCATENATE("R6C",'Mapa final'!$O$56),"")</f>
        <v/>
      </c>
      <c r="AD21" s="52" t="str">
        <f>IF(AND('Mapa final'!$Y$57="Alta",'Mapa final'!$AA$57="Mayor"),CONCATENATE("R6C",'Mapa final'!$O$57),"")</f>
        <v/>
      </c>
      <c r="AE21" s="52" t="str">
        <f>IF(AND('Mapa final'!$Y$58="Alta",'Mapa final'!$AA$58="Mayor"),CONCATENATE("R6C",'Mapa final'!$O$58),"")</f>
        <v/>
      </c>
      <c r="AF21" s="52" t="str">
        <f>IF(AND('Mapa final'!$Y$59="Alta",'Mapa final'!$AA$59="Mayor"),CONCATENATE("R6C",'Mapa final'!$O$59),"")</f>
        <v/>
      </c>
      <c r="AG21" s="53" t="str">
        <f>IF(AND('Mapa final'!$Y$60="Alta",'Mapa final'!$AA$60="Mayor"),CONCATENATE("R6C",'Mapa final'!$O$60),"")</f>
        <v/>
      </c>
      <c r="AH21" s="54" t="str">
        <f>IF(AND('Mapa final'!$Y$55="Alta",'Mapa final'!$AA$55="Catastrófico"),CONCATENATE("R6C",'Mapa final'!$O$55),"")</f>
        <v/>
      </c>
      <c r="AI21" s="55" t="str">
        <f>IF(AND('Mapa final'!$Y$56="Alta",'Mapa final'!$AA$56="Catastrófico"),CONCATENATE("R6C",'Mapa final'!$O$56),"")</f>
        <v/>
      </c>
      <c r="AJ21" s="55" t="str">
        <f>IF(AND('Mapa final'!$Y$57="Alta",'Mapa final'!$AA$57="Catastrófico"),CONCATENATE("R6C",'Mapa final'!$O$57),"")</f>
        <v/>
      </c>
      <c r="AK21" s="55" t="str">
        <f>IF(AND('Mapa final'!$Y$58="Alta",'Mapa final'!$AA$58="Catastrófico"),CONCATENATE("R6C",'Mapa final'!$O$58),"")</f>
        <v/>
      </c>
      <c r="AL21" s="55" t="str">
        <f>IF(AND('Mapa final'!$Y$59="Alta",'Mapa final'!$AA$59="Catastrófico"),CONCATENATE("R6C",'Mapa final'!$O$59),"")</f>
        <v/>
      </c>
      <c r="AM21" s="56" t="str">
        <f>IF(AND('Mapa final'!$Y$60="Alta",'Mapa final'!$AA$60="Catastrófico"),CONCATENATE("R6C",'Mapa final'!$O$60),"")</f>
        <v/>
      </c>
      <c r="AN21" s="82"/>
      <c r="AO21" s="448"/>
      <c r="AP21" s="449"/>
      <c r="AQ21" s="449"/>
      <c r="AR21" s="449"/>
      <c r="AS21" s="449"/>
      <c r="AT21" s="450"/>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397"/>
      <c r="C22" s="397"/>
      <c r="D22" s="398"/>
      <c r="E22" s="438"/>
      <c r="F22" s="439"/>
      <c r="G22" s="439"/>
      <c r="H22" s="439"/>
      <c r="I22" s="439"/>
      <c r="J22" s="66" t="str">
        <f>IF(AND('Mapa final'!$Y$61="Alta",'Mapa final'!$AA$61="Leve"),CONCATENATE("R7C",'Mapa final'!$O$61),"")</f>
        <v/>
      </c>
      <c r="K22" s="67" t="str">
        <f>IF(AND('Mapa final'!$Y$62="Alta",'Mapa final'!$AA$62="Leve"),CONCATENATE("R7C",'Mapa final'!$O$62),"")</f>
        <v/>
      </c>
      <c r="L22" s="67" t="str">
        <f>IF(AND('Mapa final'!$Y$63="Alta",'Mapa final'!$AA$63="Leve"),CONCATENATE("R7C",'Mapa final'!$O$63),"")</f>
        <v/>
      </c>
      <c r="M22" s="67" t="str">
        <f>IF(AND('Mapa final'!$Y$64="Alta",'Mapa final'!$AA$64="Leve"),CONCATENATE("R7C",'Mapa final'!$O$64),"")</f>
        <v/>
      </c>
      <c r="N22" s="67" t="str">
        <f>IF(AND('Mapa final'!$Y$65="Alta",'Mapa final'!$AA$65="Leve"),CONCATENATE("R7C",'Mapa final'!$O$65),"")</f>
        <v/>
      </c>
      <c r="O22" s="68" t="str">
        <f>IF(AND('Mapa final'!$Y$66="Alta",'Mapa final'!$AA$66="Leve"),CONCATENATE("R7C",'Mapa final'!$O$66),"")</f>
        <v/>
      </c>
      <c r="P22" s="66" t="str">
        <f>IF(AND('Mapa final'!$Y$61="Alta",'Mapa final'!$AA$61="Menor"),CONCATENATE("R7C",'Mapa final'!$O$61),"")</f>
        <v/>
      </c>
      <c r="Q22" s="67" t="str">
        <f>IF(AND('Mapa final'!$Y$62="Alta",'Mapa final'!$AA$62="Menor"),CONCATENATE("R7C",'Mapa final'!$O$62),"")</f>
        <v/>
      </c>
      <c r="R22" s="67" t="str">
        <f>IF(AND('Mapa final'!$Y$63="Alta",'Mapa final'!$AA$63="Menor"),CONCATENATE("R7C",'Mapa final'!$O$63),"")</f>
        <v/>
      </c>
      <c r="S22" s="67" t="str">
        <f>IF(AND('Mapa final'!$Y$64="Alta",'Mapa final'!$AA$64="Menor"),CONCATENATE("R7C",'Mapa final'!$O$64),"")</f>
        <v/>
      </c>
      <c r="T22" s="67" t="str">
        <f>IF(AND('Mapa final'!$Y$65="Alta",'Mapa final'!$AA$65="Menor"),CONCATENATE("R7C",'Mapa final'!$O$65),"")</f>
        <v/>
      </c>
      <c r="U22" s="68" t="str">
        <f>IF(AND('Mapa final'!$Y$66="Alta",'Mapa final'!$AA$66="Menor"),CONCATENATE("R7C",'Mapa final'!$O$66),"")</f>
        <v/>
      </c>
      <c r="V22" s="51" t="str">
        <f>IF(AND('Mapa final'!$Y$61="Alta",'Mapa final'!$AA$61="Moderado"),CONCATENATE("R7C",'Mapa final'!$O$61),"")</f>
        <v/>
      </c>
      <c r="W22" s="52" t="str">
        <f>IF(AND('Mapa final'!$Y$62="Alta",'Mapa final'!$AA$62="Moderado"),CONCATENATE("R7C",'Mapa final'!$O$62),"")</f>
        <v/>
      </c>
      <c r="X22" s="52" t="str">
        <f>IF(AND('Mapa final'!$Y$63="Alta",'Mapa final'!$AA$63="Moderado"),CONCATENATE("R7C",'Mapa final'!$O$63),"")</f>
        <v/>
      </c>
      <c r="Y22" s="52" t="str">
        <f>IF(AND('Mapa final'!$Y$64="Alta",'Mapa final'!$AA$64="Moderado"),CONCATENATE("R7C",'Mapa final'!$O$64),"")</f>
        <v/>
      </c>
      <c r="Z22" s="52" t="str">
        <f>IF(AND('Mapa final'!$Y$65="Alta",'Mapa final'!$AA$65="Moderado"),CONCATENATE("R7C",'Mapa final'!$O$65),"")</f>
        <v/>
      </c>
      <c r="AA22" s="53" t="str">
        <f>IF(AND('Mapa final'!$Y$66="Alta",'Mapa final'!$AA$66="Moderado"),CONCATENATE("R7C",'Mapa final'!$O$66),"")</f>
        <v/>
      </c>
      <c r="AB22" s="51" t="str">
        <f>IF(AND('Mapa final'!$Y$61="Alta",'Mapa final'!$AA$61="Mayor"),CONCATENATE("R7C",'Mapa final'!$O$61),"")</f>
        <v/>
      </c>
      <c r="AC22" s="52" t="str">
        <f>IF(AND('Mapa final'!$Y$62="Alta",'Mapa final'!$AA$62="Mayor"),CONCATENATE("R7C",'Mapa final'!$O$62),"")</f>
        <v/>
      </c>
      <c r="AD22" s="52" t="str">
        <f>IF(AND('Mapa final'!$Y$63="Alta",'Mapa final'!$AA$63="Mayor"),CONCATENATE("R7C",'Mapa final'!$O$63),"")</f>
        <v/>
      </c>
      <c r="AE22" s="52" t="str">
        <f>IF(AND('Mapa final'!$Y$64="Alta",'Mapa final'!$AA$64="Mayor"),CONCATENATE("R7C",'Mapa final'!$O$64),"")</f>
        <v/>
      </c>
      <c r="AF22" s="52" t="str">
        <f>IF(AND('Mapa final'!$Y$65="Alta",'Mapa final'!$AA$65="Mayor"),CONCATENATE("R7C",'Mapa final'!$O$65),"")</f>
        <v/>
      </c>
      <c r="AG22" s="53" t="str">
        <f>IF(AND('Mapa final'!$Y$66="Alta",'Mapa final'!$AA$66="Mayor"),CONCATENATE("R7C",'Mapa final'!$O$66),"")</f>
        <v/>
      </c>
      <c r="AH22" s="54" t="str">
        <f>IF(AND('Mapa final'!$Y$61="Alta",'Mapa final'!$AA$61="Catastrófico"),CONCATENATE("R7C",'Mapa final'!$O$61),"")</f>
        <v/>
      </c>
      <c r="AI22" s="55" t="str">
        <f>IF(AND('Mapa final'!$Y$62="Alta",'Mapa final'!$AA$62="Catastrófico"),CONCATENATE("R7C",'Mapa final'!$O$62),"")</f>
        <v/>
      </c>
      <c r="AJ22" s="55" t="str">
        <f>IF(AND('Mapa final'!$Y$63="Alta",'Mapa final'!$AA$63="Catastrófico"),CONCATENATE("R7C",'Mapa final'!$O$63),"")</f>
        <v/>
      </c>
      <c r="AK22" s="55" t="str">
        <f>IF(AND('Mapa final'!$Y$64="Alta",'Mapa final'!$AA$64="Catastrófico"),CONCATENATE("R7C",'Mapa final'!$O$64),"")</f>
        <v/>
      </c>
      <c r="AL22" s="55" t="str">
        <f>IF(AND('Mapa final'!$Y$65="Alta",'Mapa final'!$AA$65="Catastrófico"),CONCATENATE("R7C",'Mapa final'!$O$65),"")</f>
        <v/>
      </c>
      <c r="AM22" s="56" t="str">
        <f>IF(AND('Mapa final'!$Y$66="Alta",'Mapa final'!$AA$66="Catastrófico"),CONCATENATE("R7C",'Mapa final'!$O$66),"")</f>
        <v/>
      </c>
      <c r="AN22" s="82"/>
      <c r="AO22" s="448"/>
      <c r="AP22" s="449"/>
      <c r="AQ22" s="449"/>
      <c r="AR22" s="449"/>
      <c r="AS22" s="449"/>
      <c r="AT22" s="450"/>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397"/>
      <c r="C23" s="397"/>
      <c r="D23" s="398"/>
      <c r="E23" s="438"/>
      <c r="F23" s="439"/>
      <c r="G23" s="439"/>
      <c r="H23" s="439"/>
      <c r="I23" s="439"/>
      <c r="J23" s="66" t="str">
        <f>IF(AND('Mapa final'!$Y$67="Alta",'Mapa final'!$AA$67="Leve"),CONCATENATE("R8C",'Mapa final'!$O$67),"")</f>
        <v/>
      </c>
      <c r="K23" s="67" t="str">
        <f>IF(AND('Mapa final'!$Y$68="Alta",'Mapa final'!$AA$68="Leve"),CONCATENATE("R8C",'Mapa final'!$O$68),"")</f>
        <v/>
      </c>
      <c r="L23" s="67" t="str">
        <f>IF(AND('Mapa final'!$Y$69="Alta",'Mapa final'!$AA$69="Leve"),CONCATENATE("R8C",'Mapa final'!$O$69),"")</f>
        <v/>
      </c>
      <c r="M23" s="67" t="str">
        <f>IF(AND('Mapa final'!$Y$70="Alta",'Mapa final'!$AA$70="Leve"),CONCATENATE("R8C",'Mapa final'!$O$70),"")</f>
        <v/>
      </c>
      <c r="N23" s="67" t="str">
        <f>IF(AND('Mapa final'!$Y$71="Alta",'Mapa final'!$AA$71="Leve"),CONCATENATE("R8C",'Mapa final'!$O$71),"")</f>
        <v/>
      </c>
      <c r="O23" s="68" t="str">
        <f>IF(AND('Mapa final'!$Y$72="Alta",'Mapa final'!$AA$72="Leve"),CONCATENATE("R8C",'Mapa final'!$O$72),"")</f>
        <v/>
      </c>
      <c r="P23" s="66" t="str">
        <f>IF(AND('Mapa final'!$Y$67="Alta",'Mapa final'!$AA$67="Menor"),CONCATENATE("R8C",'Mapa final'!$O$67),"")</f>
        <v/>
      </c>
      <c r="Q23" s="67" t="str">
        <f>IF(AND('Mapa final'!$Y$68="Alta",'Mapa final'!$AA$68="Menor"),CONCATENATE("R8C",'Mapa final'!$O$68),"")</f>
        <v/>
      </c>
      <c r="R23" s="67" t="str">
        <f>IF(AND('Mapa final'!$Y$69="Alta",'Mapa final'!$AA$69="Menor"),CONCATENATE("R8C",'Mapa final'!$O$69),"")</f>
        <v/>
      </c>
      <c r="S23" s="67" t="str">
        <f>IF(AND('Mapa final'!$Y$70="Alta",'Mapa final'!$AA$70="Menor"),CONCATENATE("R8C",'Mapa final'!$O$70),"")</f>
        <v/>
      </c>
      <c r="T23" s="67" t="str">
        <f>IF(AND('Mapa final'!$Y$71="Alta",'Mapa final'!$AA$71="Menor"),CONCATENATE("R8C",'Mapa final'!$O$71),"")</f>
        <v/>
      </c>
      <c r="U23" s="68" t="str">
        <f>IF(AND('Mapa final'!$Y$72="Alta",'Mapa final'!$AA$72="Menor"),CONCATENATE("R8C",'Mapa final'!$O$72),"")</f>
        <v/>
      </c>
      <c r="V23" s="51" t="str">
        <f>IF(AND('Mapa final'!$Y$67="Alta",'Mapa final'!$AA$67="Moderado"),CONCATENATE("R8C",'Mapa final'!$O$67),"")</f>
        <v/>
      </c>
      <c r="W23" s="52" t="str">
        <f>IF(AND('Mapa final'!$Y$68="Alta",'Mapa final'!$AA$68="Moderado"),CONCATENATE("R8C",'Mapa final'!$O$68),"")</f>
        <v/>
      </c>
      <c r="X23" s="52" t="str">
        <f>IF(AND('Mapa final'!$Y$69="Alta",'Mapa final'!$AA$69="Moderado"),CONCATENATE("R8C",'Mapa final'!$O$69),"")</f>
        <v/>
      </c>
      <c r="Y23" s="52" t="str">
        <f>IF(AND('Mapa final'!$Y$70="Alta",'Mapa final'!$AA$70="Moderado"),CONCATENATE("R8C",'Mapa final'!$O$70),"")</f>
        <v/>
      </c>
      <c r="Z23" s="52" t="str">
        <f>IF(AND('Mapa final'!$Y$71="Alta",'Mapa final'!$AA$71="Moderado"),CONCATENATE("R8C",'Mapa final'!$O$71),"")</f>
        <v/>
      </c>
      <c r="AA23" s="53" t="str">
        <f>IF(AND('Mapa final'!$Y$72="Alta",'Mapa final'!$AA$72="Moderado"),CONCATENATE("R8C",'Mapa final'!$O$72),"")</f>
        <v/>
      </c>
      <c r="AB23" s="51" t="str">
        <f>IF(AND('Mapa final'!$Y$67="Alta",'Mapa final'!$AA$67="Mayor"),CONCATENATE("R8C",'Mapa final'!$O$67),"")</f>
        <v/>
      </c>
      <c r="AC23" s="52" t="str">
        <f>IF(AND('Mapa final'!$Y$68="Alta",'Mapa final'!$AA$68="Mayor"),CONCATENATE("R8C",'Mapa final'!$O$68),"")</f>
        <v/>
      </c>
      <c r="AD23" s="52" t="str">
        <f>IF(AND('Mapa final'!$Y$69="Alta",'Mapa final'!$AA$69="Mayor"),CONCATENATE("R8C",'Mapa final'!$O$69),"")</f>
        <v/>
      </c>
      <c r="AE23" s="52" t="str">
        <f>IF(AND('Mapa final'!$Y$70="Alta",'Mapa final'!$AA$70="Mayor"),CONCATENATE("R8C",'Mapa final'!$O$70),"")</f>
        <v/>
      </c>
      <c r="AF23" s="52" t="str">
        <f>IF(AND('Mapa final'!$Y$71="Alta",'Mapa final'!$AA$71="Mayor"),CONCATENATE("R8C",'Mapa final'!$O$71),"")</f>
        <v/>
      </c>
      <c r="AG23" s="53" t="str">
        <f>IF(AND('Mapa final'!$Y$72="Alta",'Mapa final'!$AA$72="Mayor"),CONCATENATE("R8C",'Mapa final'!$O$72),"")</f>
        <v/>
      </c>
      <c r="AH23" s="54" t="str">
        <f>IF(AND('Mapa final'!$Y$67="Alta",'Mapa final'!$AA$67="Catastrófico"),CONCATENATE("R8C",'Mapa final'!$O$67),"")</f>
        <v/>
      </c>
      <c r="AI23" s="55" t="str">
        <f>IF(AND('Mapa final'!$Y$68="Alta",'Mapa final'!$AA$68="Catastrófico"),CONCATENATE("R8C",'Mapa final'!$O$68),"")</f>
        <v/>
      </c>
      <c r="AJ23" s="55" t="str">
        <f>IF(AND('Mapa final'!$Y$69="Alta",'Mapa final'!$AA$69="Catastrófico"),CONCATENATE("R8C",'Mapa final'!$O$69),"")</f>
        <v/>
      </c>
      <c r="AK23" s="55" t="str">
        <f>IF(AND('Mapa final'!$Y$70="Alta",'Mapa final'!$AA$70="Catastrófico"),CONCATENATE("R8C",'Mapa final'!$O$70),"")</f>
        <v/>
      </c>
      <c r="AL23" s="55" t="str">
        <f>IF(AND('Mapa final'!$Y$71="Alta",'Mapa final'!$AA$71="Catastrófico"),CONCATENATE("R8C",'Mapa final'!$O$71),"")</f>
        <v/>
      </c>
      <c r="AM23" s="56" t="str">
        <f>IF(AND('Mapa final'!$Y$72="Alta",'Mapa final'!$AA$72="Catastrófico"),CONCATENATE("R8C",'Mapa final'!$O$72),"")</f>
        <v/>
      </c>
      <c r="AN23" s="82"/>
      <c r="AO23" s="448"/>
      <c r="AP23" s="449"/>
      <c r="AQ23" s="449"/>
      <c r="AR23" s="449"/>
      <c r="AS23" s="449"/>
      <c r="AT23" s="450"/>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397"/>
      <c r="C24" s="397"/>
      <c r="D24" s="398"/>
      <c r="E24" s="438"/>
      <c r="F24" s="439"/>
      <c r="G24" s="439"/>
      <c r="H24" s="439"/>
      <c r="I24" s="439"/>
      <c r="J24" s="66" t="str">
        <f>IF(AND('Mapa final'!$Y$73="Alta",'Mapa final'!$AA$73="Leve"),CONCATENATE("R9C",'Mapa final'!$O$73),"")</f>
        <v/>
      </c>
      <c r="K24" s="67" t="str">
        <f>IF(AND('Mapa final'!$Y$74="Alta",'Mapa final'!$AA$74="Leve"),CONCATENATE("R9C",'Mapa final'!$O$74),"")</f>
        <v/>
      </c>
      <c r="L24" s="67" t="str">
        <f>IF(AND('Mapa final'!$Y$75="Alta",'Mapa final'!$AA$75="Leve"),CONCATENATE("R9C",'Mapa final'!$O$75),"")</f>
        <v/>
      </c>
      <c r="M24" s="67" t="str">
        <f>IF(AND('Mapa final'!$Y$76="Alta",'Mapa final'!$AA$76="Leve"),CONCATENATE("R9C",'Mapa final'!$O$76),"")</f>
        <v/>
      </c>
      <c r="N24" s="67" t="str">
        <f>IF(AND('Mapa final'!$Y$77="Alta",'Mapa final'!$AA$77="Leve"),CONCATENATE("R9C",'Mapa final'!$O$77),"")</f>
        <v/>
      </c>
      <c r="O24" s="68" t="str">
        <f>IF(AND('Mapa final'!$Y$78="Alta",'Mapa final'!$AA$78="Leve"),CONCATENATE("R9C",'Mapa final'!$O$78),"")</f>
        <v/>
      </c>
      <c r="P24" s="66" t="str">
        <f>IF(AND('Mapa final'!$Y$73="Alta",'Mapa final'!$AA$73="Menor"),CONCATENATE("R9C",'Mapa final'!$O$73),"")</f>
        <v/>
      </c>
      <c r="Q24" s="67" t="str">
        <f>IF(AND('Mapa final'!$Y$74="Alta",'Mapa final'!$AA$74="Menor"),CONCATENATE("R9C",'Mapa final'!$O$74),"")</f>
        <v/>
      </c>
      <c r="R24" s="67" t="str">
        <f>IF(AND('Mapa final'!$Y$75="Alta",'Mapa final'!$AA$75="Menor"),CONCATENATE("R9C",'Mapa final'!$O$75),"")</f>
        <v/>
      </c>
      <c r="S24" s="67" t="str">
        <f>IF(AND('Mapa final'!$Y$76="Alta",'Mapa final'!$AA$76="Menor"),CONCATENATE("R9C",'Mapa final'!$O$76),"")</f>
        <v/>
      </c>
      <c r="T24" s="67" t="str">
        <f>IF(AND('Mapa final'!$Y$77="Alta",'Mapa final'!$AA$77="Menor"),CONCATENATE("R9C",'Mapa final'!$O$77),"")</f>
        <v/>
      </c>
      <c r="U24" s="68" t="str">
        <f>IF(AND('Mapa final'!$Y$78="Alta",'Mapa final'!$AA$78="Menor"),CONCATENATE("R9C",'Mapa final'!$O$78),"")</f>
        <v/>
      </c>
      <c r="V24" s="51" t="str">
        <f>IF(AND('Mapa final'!$Y$73="Alta",'Mapa final'!$AA$73="Moderado"),CONCATENATE("R9C",'Mapa final'!$O$73),"")</f>
        <v/>
      </c>
      <c r="W24" s="52" t="str">
        <f>IF(AND('Mapa final'!$Y$74="Alta",'Mapa final'!$AA$74="Moderado"),CONCATENATE("R9C",'Mapa final'!$O$74),"")</f>
        <v/>
      </c>
      <c r="X24" s="52" t="str">
        <f>IF(AND('Mapa final'!$Y$75="Alta",'Mapa final'!$AA$75="Moderado"),CONCATENATE("R9C",'Mapa final'!$O$75),"")</f>
        <v/>
      </c>
      <c r="Y24" s="52" t="str">
        <f>IF(AND('Mapa final'!$Y$76="Alta",'Mapa final'!$AA$76="Moderado"),CONCATENATE("R9C",'Mapa final'!$O$76),"")</f>
        <v/>
      </c>
      <c r="Z24" s="52" t="str">
        <f>IF(AND('Mapa final'!$Y$77="Alta",'Mapa final'!$AA$77="Moderado"),CONCATENATE("R9C",'Mapa final'!$O$77),"")</f>
        <v/>
      </c>
      <c r="AA24" s="53" t="str">
        <f>IF(AND('Mapa final'!$Y$78="Alta",'Mapa final'!$AA$78="Moderado"),CONCATENATE("R9C",'Mapa final'!$O$78),"")</f>
        <v/>
      </c>
      <c r="AB24" s="51" t="str">
        <f>IF(AND('Mapa final'!$Y$73="Alta",'Mapa final'!$AA$73="Mayor"),CONCATENATE("R9C",'Mapa final'!$O$73),"")</f>
        <v/>
      </c>
      <c r="AC24" s="52" t="str">
        <f>IF(AND('Mapa final'!$Y$74="Alta",'Mapa final'!$AA$74="Mayor"),CONCATENATE("R9C",'Mapa final'!$O$74),"")</f>
        <v/>
      </c>
      <c r="AD24" s="52" t="str">
        <f>IF(AND('Mapa final'!$Y$75="Alta",'Mapa final'!$AA$75="Mayor"),CONCATENATE("R9C",'Mapa final'!$O$75),"")</f>
        <v/>
      </c>
      <c r="AE24" s="52" t="str">
        <f>IF(AND('Mapa final'!$Y$76="Alta",'Mapa final'!$AA$76="Mayor"),CONCATENATE("R9C",'Mapa final'!$O$76),"")</f>
        <v/>
      </c>
      <c r="AF24" s="52" t="str">
        <f>IF(AND('Mapa final'!$Y$77="Alta",'Mapa final'!$AA$77="Mayor"),CONCATENATE("R9C",'Mapa final'!$O$77),"")</f>
        <v/>
      </c>
      <c r="AG24" s="53" t="str">
        <f>IF(AND('Mapa final'!$Y$78="Alta",'Mapa final'!$AA$78="Mayor"),CONCATENATE("R9C",'Mapa final'!$O$78),"")</f>
        <v/>
      </c>
      <c r="AH24" s="54" t="str">
        <f>IF(AND('Mapa final'!$Y$73="Alta",'Mapa final'!$AA$73="Catastrófico"),CONCATENATE("R9C",'Mapa final'!$O$73),"")</f>
        <v/>
      </c>
      <c r="AI24" s="55" t="str">
        <f>IF(AND('Mapa final'!$Y$74="Alta",'Mapa final'!$AA$74="Catastrófico"),CONCATENATE("R9C",'Mapa final'!$O$74),"")</f>
        <v/>
      </c>
      <c r="AJ24" s="55" t="str">
        <f>IF(AND('Mapa final'!$Y$75="Alta",'Mapa final'!$AA$75="Catastrófico"),CONCATENATE("R9C",'Mapa final'!$O$75),"")</f>
        <v/>
      </c>
      <c r="AK24" s="55" t="str">
        <f>IF(AND('Mapa final'!$Y$76="Alta",'Mapa final'!$AA$76="Catastrófico"),CONCATENATE("R9C",'Mapa final'!$O$76),"")</f>
        <v/>
      </c>
      <c r="AL24" s="55" t="str">
        <f>IF(AND('Mapa final'!$Y$77="Alta",'Mapa final'!$AA$77="Catastrófico"),CONCATENATE("R9C",'Mapa final'!$O$77),"")</f>
        <v/>
      </c>
      <c r="AM24" s="56" t="str">
        <f>IF(AND('Mapa final'!$Y$78="Alta",'Mapa final'!$AA$78="Catastrófico"),CONCATENATE("R9C",'Mapa final'!$O$78),"")</f>
        <v/>
      </c>
      <c r="AN24" s="82"/>
      <c r="AO24" s="448"/>
      <c r="AP24" s="449"/>
      <c r="AQ24" s="449"/>
      <c r="AR24" s="449"/>
      <c r="AS24" s="449"/>
      <c r="AT24" s="450"/>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397"/>
      <c r="C25" s="397"/>
      <c r="D25" s="398"/>
      <c r="E25" s="441"/>
      <c r="F25" s="442"/>
      <c r="G25" s="442"/>
      <c r="H25" s="442"/>
      <c r="I25" s="442"/>
      <c r="J25" s="69" t="str">
        <f>IF(AND('Mapa final'!$Y$79="Alta",'Mapa final'!$AA$79="Leve"),CONCATENATE("R10C",'Mapa final'!$O$79),"")</f>
        <v/>
      </c>
      <c r="K25" s="70" t="str">
        <f>IF(AND('Mapa final'!$Y$80="Alta",'Mapa final'!$AA$80="Leve"),CONCATENATE("R10C",'Mapa final'!$O$80),"")</f>
        <v/>
      </c>
      <c r="L25" s="70" t="str">
        <f>IF(AND('Mapa final'!$Y$81="Alta",'Mapa final'!$AA$81="Leve"),CONCATENATE("R10C",'Mapa final'!$O$81),"")</f>
        <v/>
      </c>
      <c r="M25" s="70" t="str">
        <f>IF(AND('Mapa final'!$Y$82="Alta",'Mapa final'!$AA$82="Leve"),CONCATENATE("R10C",'Mapa final'!$O$82),"")</f>
        <v/>
      </c>
      <c r="N25" s="70" t="str">
        <f>IF(AND('Mapa final'!$Y$83="Alta",'Mapa final'!$AA$83="Leve"),CONCATENATE("R10C",'Mapa final'!$O$83),"")</f>
        <v/>
      </c>
      <c r="O25" s="71" t="str">
        <f>IF(AND('Mapa final'!$Y$84="Alta",'Mapa final'!$AA$84="Leve"),CONCATENATE("R10C",'Mapa final'!$O$84),"")</f>
        <v/>
      </c>
      <c r="P25" s="69" t="str">
        <f>IF(AND('Mapa final'!$Y$79="Alta",'Mapa final'!$AA$79="Menor"),CONCATENATE("R10C",'Mapa final'!$O$79),"")</f>
        <v/>
      </c>
      <c r="Q25" s="70" t="str">
        <f>IF(AND('Mapa final'!$Y$80="Alta",'Mapa final'!$AA$80="Menor"),CONCATENATE("R10C",'Mapa final'!$O$80),"")</f>
        <v/>
      </c>
      <c r="R25" s="70" t="str">
        <f>IF(AND('Mapa final'!$Y$81="Alta",'Mapa final'!$AA$81="Menor"),CONCATENATE("R10C",'Mapa final'!$O$81),"")</f>
        <v/>
      </c>
      <c r="S25" s="70" t="str">
        <f>IF(AND('Mapa final'!$Y$82="Alta",'Mapa final'!$AA$82="Menor"),CONCATENATE("R10C",'Mapa final'!$O$82),"")</f>
        <v/>
      </c>
      <c r="T25" s="70" t="str">
        <f>IF(AND('Mapa final'!$Y$83="Alta",'Mapa final'!$AA$83="Menor"),CONCATENATE("R10C",'Mapa final'!$O$83),"")</f>
        <v/>
      </c>
      <c r="U25" s="71" t="str">
        <f>IF(AND('Mapa final'!$Y$84="Alta",'Mapa final'!$AA$84="Menor"),CONCATENATE("R10C",'Mapa final'!$O$84),"")</f>
        <v/>
      </c>
      <c r="V25" s="57" t="str">
        <f>IF(AND('Mapa final'!$Y$79="Alta",'Mapa final'!$AA$79="Moderado"),CONCATENATE("R10C",'Mapa final'!$O$79),"")</f>
        <v/>
      </c>
      <c r="W25" s="58" t="str">
        <f>IF(AND('Mapa final'!$Y$80="Alta",'Mapa final'!$AA$80="Moderado"),CONCATENATE("R10C",'Mapa final'!$O$80),"")</f>
        <v/>
      </c>
      <c r="X25" s="58" t="str">
        <f>IF(AND('Mapa final'!$Y$81="Alta",'Mapa final'!$AA$81="Moderado"),CONCATENATE("R10C",'Mapa final'!$O$81),"")</f>
        <v/>
      </c>
      <c r="Y25" s="58" t="str">
        <f>IF(AND('Mapa final'!$Y$82="Alta",'Mapa final'!$AA$82="Moderado"),CONCATENATE("R10C",'Mapa final'!$O$82),"")</f>
        <v/>
      </c>
      <c r="Z25" s="58" t="str">
        <f>IF(AND('Mapa final'!$Y$83="Alta",'Mapa final'!$AA$83="Moderado"),CONCATENATE("R10C",'Mapa final'!$O$83),"")</f>
        <v/>
      </c>
      <c r="AA25" s="59" t="str">
        <f>IF(AND('Mapa final'!$Y$84="Alta",'Mapa final'!$AA$84="Moderado"),CONCATENATE("R10C",'Mapa final'!$O$84),"")</f>
        <v/>
      </c>
      <c r="AB25" s="57" t="str">
        <f>IF(AND('Mapa final'!$Y$79="Alta",'Mapa final'!$AA$79="Mayor"),CONCATENATE("R10C",'Mapa final'!$O$79),"")</f>
        <v/>
      </c>
      <c r="AC25" s="58" t="str">
        <f>IF(AND('Mapa final'!$Y$80="Alta",'Mapa final'!$AA$80="Mayor"),CONCATENATE("R10C",'Mapa final'!$O$80),"")</f>
        <v/>
      </c>
      <c r="AD25" s="58" t="str">
        <f>IF(AND('Mapa final'!$Y$81="Alta",'Mapa final'!$AA$81="Mayor"),CONCATENATE("R10C",'Mapa final'!$O$81),"")</f>
        <v/>
      </c>
      <c r="AE25" s="58" t="str">
        <f>IF(AND('Mapa final'!$Y$82="Alta",'Mapa final'!$AA$82="Mayor"),CONCATENATE("R10C",'Mapa final'!$O$82),"")</f>
        <v/>
      </c>
      <c r="AF25" s="58" t="str">
        <f>IF(AND('Mapa final'!$Y$83="Alta",'Mapa final'!$AA$83="Mayor"),CONCATENATE("R10C",'Mapa final'!$O$83),"")</f>
        <v/>
      </c>
      <c r="AG25" s="59" t="str">
        <f>IF(AND('Mapa final'!$Y$84="Alta",'Mapa final'!$AA$84="Mayor"),CONCATENATE("R10C",'Mapa final'!$O$84),"")</f>
        <v/>
      </c>
      <c r="AH25" s="60" t="str">
        <f>IF(AND('Mapa final'!$Y$79="Alta",'Mapa final'!$AA$79="Catastrófico"),CONCATENATE("R10C",'Mapa final'!$O$79),"")</f>
        <v/>
      </c>
      <c r="AI25" s="61" t="str">
        <f>IF(AND('Mapa final'!$Y$80="Alta",'Mapa final'!$AA$80="Catastrófico"),CONCATENATE("R10C",'Mapa final'!$O$80),"")</f>
        <v/>
      </c>
      <c r="AJ25" s="61" t="str">
        <f>IF(AND('Mapa final'!$Y$81="Alta",'Mapa final'!$AA$81="Catastrófico"),CONCATENATE("R10C",'Mapa final'!$O$81),"")</f>
        <v/>
      </c>
      <c r="AK25" s="61" t="str">
        <f>IF(AND('Mapa final'!$Y$82="Alta",'Mapa final'!$AA$82="Catastrófico"),CONCATENATE("R10C",'Mapa final'!$O$82),"")</f>
        <v/>
      </c>
      <c r="AL25" s="61" t="str">
        <f>IF(AND('Mapa final'!$Y$83="Alta",'Mapa final'!$AA$83="Catastrófico"),CONCATENATE("R10C",'Mapa final'!$O$83),"")</f>
        <v/>
      </c>
      <c r="AM25" s="62" t="str">
        <f>IF(AND('Mapa final'!$Y$84="Alta",'Mapa final'!$AA$84="Catastrófico"),CONCATENATE("R10C",'Mapa final'!$O$84),"")</f>
        <v/>
      </c>
      <c r="AN25" s="82"/>
      <c r="AO25" s="451"/>
      <c r="AP25" s="452"/>
      <c r="AQ25" s="452"/>
      <c r="AR25" s="452"/>
      <c r="AS25" s="452"/>
      <c r="AT25" s="453"/>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397"/>
      <c r="C26" s="397"/>
      <c r="D26" s="398"/>
      <c r="E26" s="435" t="s">
        <v>177</v>
      </c>
      <c r="F26" s="436"/>
      <c r="G26" s="436"/>
      <c r="H26" s="436"/>
      <c r="I26" s="437"/>
      <c r="J26" s="63" t="str">
        <f>IF(AND('Mapa final'!$Y$25="Media",'Mapa final'!$AA$25="Leve"),CONCATENATE("R1C",'Mapa final'!$O$25),"")</f>
        <v/>
      </c>
      <c r="K26" s="64" t="str">
        <f>IF(AND('Mapa final'!$Y$26="Media",'Mapa final'!$AA$26="Leve"),CONCATENATE("R1C",'Mapa final'!$O$26),"")</f>
        <v/>
      </c>
      <c r="L26" s="64" t="str">
        <f>IF(AND('Mapa final'!$Y$27="Media",'Mapa final'!$AA$27="Leve"),CONCATENATE("R1C",'Mapa final'!$O$27),"")</f>
        <v/>
      </c>
      <c r="M26" s="64" t="str">
        <f>IF(AND('Mapa final'!$Y$28="Media",'Mapa final'!$AA$28="Leve"),CONCATENATE("R1C",'Mapa final'!$O$28),"")</f>
        <v/>
      </c>
      <c r="N26" s="64" t="str">
        <f>IF(AND('Mapa final'!$Y$29="Media",'Mapa final'!$AA$29="Leve"),CONCATENATE("R1C",'Mapa final'!$O$29),"")</f>
        <v/>
      </c>
      <c r="O26" s="65" t="str">
        <f>IF(AND('Mapa final'!$Y$30="Media",'Mapa final'!$AA$30="Leve"),CONCATENATE("R1C",'Mapa final'!$O$30),"")</f>
        <v/>
      </c>
      <c r="P26" s="63" t="str">
        <f>IF(AND('Mapa final'!$Y$25="Media",'Mapa final'!$AA$25="Menor"),CONCATENATE("R1C",'Mapa final'!$O$25),"")</f>
        <v/>
      </c>
      <c r="Q26" s="64" t="str">
        <f>IF(AND('Mapa final'!$Y$26="Media",'Mapa final'!$AA$26="Menor"),CONCATENATE("R1C",'Mapa final'!$O$26),"")</f>
        <v/>
      </c>
      <c r="R26" s="64" t="str">
        <f>IF(AND('Mapa final'!$Y$27="Media",'Mapa final'!$AA$27="Menor"),CONCATENATE("R1C",'Mapa final'!$O$27),"")</f>
        <v/>
      </c>
      <c r="S26" s="64" t="str">
        <f>IF(AND('Mapa final'!$Y$28="Media",'Mapa final'!$AA$28="Menor"),CONCATENATE("R1C",'Mapa final'!$O$28),"")</f>
        <v/>
      </c>
      <c r="T26" s="64" t="str">
        <f>IF(AND('Mapa final'!$Y$29="Media",'Mapa final'!$AA$29="Menor"),CONCATENATE("R1C",'Mapa final'!$O$29),"")</f>
        <v/>
      </c>
      <c r="U26" s="65" t="str">
        <f>IF(AND('Mapa final'!$Y$30="Media",'Mapa final'!$AA$30="Menor"),CONCATENATE("R1C",'Mapa final'!$O$30),"")</f>
        <v/>
      </c>
      <c r="V26" s="63" t="str">
        <f>IF(AND('Mapa final'!$Y$25="Media",'Mapa final'!$AA$25="Moderado"),CONCATENATE("R1C",'Mapa final'!$O$25),"")</f>
        <v/>
      </c>
      <c r="W26" s="64" t="str">
        <f>IF(AND('Mapa final'!$Y$26="Media",'Mapa final'!$AA$26="Moderado"),CONCATENATE("R1C",'Mapa final'!$O$26),"")</f>
        <v/>
      </c>
      <c r="X26" s="64" t="str">
        <f>IF(AND('Mapa final'!$Y$27="Media",'Mapa final'!$AA$27="Moderado"),CONCATENATE("R1C",'Mapa final'!$O$27),"")</f>
        <v/>
      </c>
      <c r="Y26" s="64" t="str">
        <f>IF(AND('Mapa final'!$Y$28="Media",'Mapa final'!$AA$28="Moderado"),CONCATENATE("R1C",'Mapa final'!$O$28),"")</f>
        <v/>
      </c>
      <c r="Z26" s="64" t="str">
        <f>IF(AND('Mapa final'!$Y$29="Media",'Mapa final'!$AA$29="Moderado"),CONCATENATE("R1C",'Mapa final'!$O$29),"")</f>
        <v/>
      </c>
      <c r="AA26" s="65" t="str">
        <f>IF(AND('Mapa final'!$Y$30="Media",'Mapa final'!$AA$30="Moderado"),CONCATENATE("R1C",'Mapa final'!$O$30),"")</f>
        <v/>
      </c>
      <c r="AB26" s="45" t="str">
        <f>IF(AND('Mapa final'!$Y$25="Media",'Mapa final'!$AA$25="Mayor"),CONCATENATE("R1C",'Mapa final'!$O$25),"")</f>
        <v/>
      </c>
      <c r="AC26" s="46" t="str">
        <f>IF(AND('Mapa final'!$Y$26="Media",'Mapa final'!$AA$26="Mayor"),CONCATENATE("R1C",'Mapa final'!$O$26),"")</f>
        <v/>
      </c>
      <c r="AD26" s="46" t="str">
        <f>IF(AND('Mapa final'!$Y$27="Media",'Mapa final'!$AA$27="Mayor"),CONCATENATE("R1C",'Mapa final'!$O$27),"")</f>
        <v/>
      </c>
      <c r="AE26" s="46" t="str">
        <f>IF(AND('Mapa final'!$Y$28="Media",'Mapa final'!$AA$28="Mayor"),CONCATENATE("R1C",'Mapa final'!$O$28),"")</f>
        <v/>
      </c>
      <c r="AF26" s="46" t="str">
        <f>IF(AND('Mapa final'!$Y$29="Media",'Mapa final'!$AA$29="Mayor"),CONCATENATE("R1C",'Mapa final'!$O$29),"")</f>
        <v/>
      </c>
      <c r="AG26" s="47" t="str">
        <f>IF(AND('Mapa final'!$Y$30="Media",'Mapa final'!$AA$30="Mayor"),CONCATENATE("R1C",'Mapa final'!$O$30),"")</f>
        <v/>
      </c>
      <c r="AH26" s="48" t="str">
        <f>IF(AND('Mapa final'!$Y$25="Media",'Mapa final'!$AA$25="Catastrófico"),CONCATENATE("R1C",'Mapa final'!$O$25),"")</f>
        <v/>
      </c>
      <c r="AI26" s="49" t="str">
        <f>IF(AND('Mapa final'!$Y$26="Media",'Mapa final'!$AA$26="Catastrófico"),CONCATENATE("R1C",'Mapa final'!$O$26),"")</f>
        <v/>
      </c>
      <c r="AJ26" s="49" t="str">
        <f>IF(AND('Mapa final'!$Y$27="Media",'Mapa final'!$AA$27="Catastrófico"),CONCATENATE("R1C",'Mapa final'!$O$27),"")</f>
        <v/>
      </c>
      <c r="AK26" s="49" t="str">
        <f>IF(AND('Mapa final'!$Y$28="Media",'Mapa final'!$AA$28="Catastrófico"),CONCATENATE("R1C",'Mapa final'!$O$28),"")</f>
        <v/>
      </c>
      <c r="AL26" s="49" t="str">
        <f>IF(AND('Mapa final'!$Y$29="Media",'Mapa final'!$AA$29="Catastrófico"),CONCATENATE("R1C",'Mapa final'!$O$29),"")</f>
        <v/>
      </c>
      <c r="AM26" s="50" t="str">
        <f>IF(AND('Mapa final'!$Y$30="Media",'Mapa final'!$AA$30="Catastrófico"),CONCATENATE("R1C",'Mapa final'!$O$30),"")</f>
        <v/>
      </c>
      <c r="AN26" s="82"/>
      <c r="AO26" s="475" t="s">
        <v>178</v>
      </c>
      <c r="AP26" s="476"/>
      <c r="AQ26" s="476"/>
      <c r="AR26" s="476"/>
      <c r="AS26" s="476"/>
      <c r="AT26" s="477"/>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397"/>
      <c r="C27" s="397"/>
      <c r="D27" s="398"/>
      <c r="E27" s="454"/>
      <c r="F27" s="439"/>
      <c r="G27" s="439"/>
      <c r="H27" s="439"/>
      <c r="I27" s="440"/>
      <c r="J27" s="66" t="str">
        <f>IF(AND('Mapa final'!$Y$31="Media",'Mapa final'!$AA$31="Leve"),CONCATENATE("R2C",'Mapa final'!$O$31),"")</f>
        <v/>
      </c>
      <c r="K27" s="67" t="str">
        <f>IF(AND('Mapa final'!$Y$32="Media",'Mapa final'!$AA$32="Leve"),CONCATENATE("R2C",'Mapa final'!$O$32),"")</f>
        <v/>
      </c>
      <c r="L27" s="67" t="str">
        <f>IF(AND('Mapa final'!$Y$33="Media",'Mapa final'!$AA$33="Leve"),CONCATENATE("R2C",'Mapa final'!$O$33),"")</f>
        <v/>
      </c>
      <c r="M27" s="67" t="str">
        <f>IF(AND('Mapa final'!$Y$34="Media",'Mapa final'!$AA$34="Leve"),CONCATENATE("R2C",'Mapa final'!$O$34),"")</f>
        <v/>
      </c>
      <c r="N27" s="67" t="str">
        <f>IF(AND('Mapa final'!$Y$35="Media",'Mapa final'!$AA$35="Leve"),CONCATENATE("R2C",'Mapa final'!$O$35),"")</f>
        <v/>
      </c>
      <c r="O27" s="68" t="str">
        <f>IF(AND('Mapa final'!$Y$36="Media",'Mapa final'!$AA$36="Leve"),CONCATENATE("R2C",'Mapa final'!$O$36),"")</f>
        <v/>
      </c>
      <c r="P27" s="66" t="str">
        <f>IF(AND('Mapa final'!$Y$31="Media",'Mapa final'!$AA$31="Menor"),CONCATENATE("R2C",'Mapa final'!$O$31),"")</f>
        <v/>
      </c>
      <c r="Q27" s="67" t="str">
        <f>IF(AND('Mapa final'!$Y$32="Media",'Mapa final'!$AA$32="Menor"),CONCATENATE("R2C",'Mapa final'!$O$32),"")</f>
        <v/>
      </c>
      <c r="R27" s="67" t="str">
        <f>IF(AND('Mapa final'!$Y$33="Media",'Mapa final'!$AA$33="Menor"),CONCATENATE("R2C",'Mapa final'!$O$33),"")</f>
        <v/>
      </c>
      <c r="S27" s="67" t="str">
        <f>IF(AND('Mapa final'!$Y$34="Media",'Mapa final'!$AA$34="Menor"),CONCATENATE("R2C",'Mapa final'!$O$34),"")</f>
        <v/>
      </c>
      <c r="T27" s="67" t="str">
        <f>IF(AND('Mapa final'!$Y$35="Media",'Mapa final'!$AA$35="Menor"),CONCATENATE("R2C",'Mapa final'!$O$35),"")</f>
        <v/>
      </c>
      <c r="U27" s="68" t="str">
        <f>IF(AND('Mapa final'!$Y$36="Media",'Mapa final'!$AA$36="Menor"),CONCATENATE("R2C",'Mapa final'!$O$36),"")</f>
        <v/>
      </c>
      <c r="V27" s="66" t="str">
        <f>IF(AND('Mapa final'!$Y$31="Media",'Mapa final'!$AA$31="Moderado"),CONCATENATE("R2C",'Mapa final'!$O$31),"")</f>
        <v/>
      </c>
      <c r="W27" s="67" t="str">
        <f>IF(AND('Mapa final'!$Y$32="Media",'Mapa final'!$AA$32="Moderado"),CONCATENATE("R2C",'Mapa final'!$O$32),"")</f>
        <v/>
      </c>
      <c r="X27" s="67" t="str">
        <f>IF(AND('Mapa final'!$Y$33="Media",'Mapa final'!$AA$33="Moderado"),CONCATENATE("R2C",'Mapa final'!$O$33),"")</f>
        <v/>
      </c>
      <c r="Y27" s="67" t="str">
        <f>IF(AND('Mapa final'!$Y$34="Media",'Mapa final'!$AA$34="Moderado"),CONCATENATE("R2C",'Mapa final'!$O$34),"")</f>
        <v/>
      </c>
      <c r="Z27" s="67" t="str">
        <f>IF(AND('Mapa final'!$Y$35="Media",'Mapa final'!$AA$35="Moderado"),CONCATENATE("R2C",'Mapa final'!$O$35),"")</f>
        <v/>
      </c>
      <c r="AA27" s="68" t="str">
        <f>IF(AND('Mapa final'!$Y$36="Media",'Mapa final'!$AA$36="Moderado"),CONCATENATE("R2C",'Mapa final'!$O$36),"")</f>
        <v/>
      </c>
      <c r="AB27" s="51" t="str">
        <f>IF(AND('Mapa final'!$Y$31="Media",'Mapa final'!$AA$31="Mayor"),CONCATENATE("R2C",'Mapa final'!$O$31),"")</f>
        <v/>
      </c>
      <c r="AC27" s="52" t="str">
        <f>IF(AND('Mapa final'!$Y$32="Media",'Mapa final'!$AA$32="Mayor"),CONCATENATE("R2C",'Mapa final'!$O$32),"")</f>
        <v/>
      </c>
      <c r="AD27" s="52" t="str">
        <f>IF(AND('Mapa final'!$Y$33="Media",'Mapa final'!$AA$33="Mayor"),CONCATENATE("R2C",'Mapa final'!$O$33),"")</f>
        <v/>
      </c>
      <c r="AE27" s="52" t="str">
        <f>IF(AND('Mapa final'!$Y$34="Media",'Mapa final'!$AA$34="Mayor"),CONCATENATE("R2C",'Mapa final'!$O$34),"")</f>
        <v/>
      </c>
      <c r="AF27" s="52" t="str">
        <f>IF(AND('Mapa final'!$Y$35="Media",'Mapa final'!$AA$35="Mayor"),CONCATENATE("R2C",'Mapa final'!$O$35),"")</f>
        <v/>
      </c>
      <c r="AG27" s="53" t="str">
        <f>IF(AND('Mapa final'!$Y$36="Media",'Mapa final'!$AA$36="Mayor"),CONCATENATE("R2C",'Mapa final'!$O$36),"")</f>
        <v/>
      </c>
      <c r="AH27" s="54" t="str">
        <f>IF(AND('Mapa final'!$Y$31="Media",'Mapa final'!$AA$31="Catastrófico"),CONCATENATE("R2C",'Mapa final'!$O$31),"")</f>
        <v/>
      </c>
      <c r="AI27" s="55" t="str">
        <f>IF(AND('Mapa final'!$Y$32="Media",'Mapa final'!$AA$32="Catastrófico"),CONCATENATE("R2C",'Mapa final'!$O$32),"")</f>
        <v/>
      </c>
      <c r="AJ27" s="55" t="str">
        <f>IF(AND('Mapa final'!$Y$33="Media",'Mapa final'!$AA$33="Catastrófico"),CONCATENATE("R2C",'Mapa final'!$O$33),"")</f>
        <v/>
      </c>
      <c r="AK27" s="55" t="str">
        <f>IF(AND('Mapa final'!$Y$34="Media",'Mapa final'!$AA$34="Catastrófico"),CONCATENATE("R2C",'Mapa final'!$O$34),"")</f>
        <v/>
      </c>
      <c r="AL27" s="55" t="str">
        <f>IF(AND('Mapa final'!$Y$35="Media",'Mapa final'!$AA$35="Catastrófico"),CONCATENATE("R2C",'Mapa final'!$O$35),"")</f>
        <v/>
      </c>
      <c r="AM27" s="56" t="str">
        <f>IF(AND('Mapa final'!$Y$36="Media",'Mapa final'!$AA$36="Catastrófico"),CONCATENATE("R2C",'Mapa final'!$O$36),"")</f>
        <v/>
      </c>
      <c r="AN27" s="82"/>
      <c r="AO27" s="478"/>
      <c r="AP27" s="479"/>
      <c r="AQ27" s="479"/>
      <c r="AR27" s="479"/>
      <c r="AS27" s="479"/>
      <c r="AT27" s="480"/>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397"/>
      <c r="C28" s="397"/>
      <c r="D28" s="398"/>
      <c r="E28" s="438"/>
      <c r="F28" s="439"/>
      <c r="G28" s="439"/>
      <c r="H28" s="439"/>
      <c r="I28" s="440"/>
      <c r="J28" s="66" t="str">
        <f>IF(AND('Mapa final'!$Y$37="Media",'Mapa final'!$AA$37="Leve"),CONCATENATE("R3C",'Mapa final'!$O$37),"")</f>
        <v/>
      </c>
      <c r="K28" s="67" t="str">
        <f>IF(AND('Mapa final'!$Y$38="Media",'Mapa final'!$AA$38="Leve"),CONCATENATE("R3C",'Mapa final'!$O$38),"")</f>
        <v/>
      </c>
      <c r="L28" s="67" t="str">
        <f>IF(AND('Mapa final'!$Y$39="Media",'Mapa final'!$AA$39="Leve"),CONCATENATE("R3C",'Mapa final'!$O$39),"")</f>
        <v/>
      </c>
      <c r="M28" s="67" t="str">
        <f>IF(AND('Mapa final'!$Y$40="Media",'Mapa final'!$AA$40="Leve"),CONCATENATE("R3C",'Mapa final'!$O$40),"")</f>
        <v/>
      </c>
      <c r="N28" s="67" t="str">
        <f>IF(AND('Mapa final'!$Y$41="Media",'Mapa final'!$AA$41="Leve"),CONCATENATE("R3C",'Mapa final'!$O$41),"")</f>
        <v/>
      </c>
      <c r="O28" s="68" t="str">
        <f>IF(AND('Mapa final'!$Y$42="Media",'Mapa final'!$AA$42="Leve"),CONCATENATE("R3C",'Mapa final'!$O$42),"")</f>
        <v/>
      </c>
      <c r="P28" s="66" t="str">
        <f>IF(AND('Mapa final'!$Y$37="Media",'Mapa final'!$AA$37="Menor"),CONCATENATE("R3C",'Mapa final'!$O$37),"")</f>
        <v/>
      </c>
      <c r="Q28" s="67" t="str">
        <f>IF(AND('Mapa final'!$Y$38="Media",'Mapa final'!$AA$38="Menor"),CONCATENATE("R3C",'Mapa final'!$O$38),"")</f>
        <v/>
      </c>
      <c r="R28" s="67" t="str">
        <f>IF(AND('Mapa final'!$Y$39="Media",'Mapa final'!$AA$39="Menor"),CONCATENATE("R3C",'Mapa final'!$O$39),"")</f>
        <v/>
      </c>
      <c r="S28" s="67" t="str">
        <f>IF(AND('Mapa final'!$Y$40="Media",'Mapa final'!$AA$40="Menor"),CONCATENATE("R3C",'Mapa final'!$O$40),"")</f>
        <v/>
      </c>
      <c r="T28" s="67" t="str">
        <f>IF(AND('Mapa final'!$Y$41="Media",'Mapa final'!$AA$41="Menor"),CONCATENATE("R3C",'Mapa final'!$O$41),"")</f>
        <v/>
      </c>
      <c r="U28" s="68" t="str">
        <f>IF(AND('Mapa final'!$Y$42="Media",'Mapa final'!$AA$42="Menor"),CONCATENATE("R3C",'Mapa final'!$O$42),"")</f>
        <v/>
      </c>
      <c r="V28" s="66" t="str">
        <f>IF(AND('Mapa final'!$Y$37="Media",'Mapa final'!$AA$37="Moderado"),CONCATENATE("R3C",'Mapa final'!$O$37),"")</f>
        <v/>
      </c>
      <c r="W28" s="67" t="str">
        <f>IF(AND('Mapa final'!$Y$38="Media",'Mapa final'!$AA$38="Moderado"),CONCATENATE("R3C",'Mapa final'!$O$38),"")</f>
        <v/>
      </c>
      <c r="X28" s="67" t="str">
        <f>IF(AND('Mapa final'!$Y$39="Media",'Mapa final'!$AA$39="Moderado"),CONCATENATE("R3C",'Mapa final'!$O$39),"")</f>
        <v/>
      </c>
      <c r="Y28" s="67" t="str">
        <f>IF(AND('Mapa final'!$Y$40="Media",'Mapa final'!$AA$40="Moderado"),CONCATENATE("R3C",'Mapa final'!$O$40),"")</f>
        <v/>
      </c>
      <c r="Z28" s="67" t="str">
        <f>IF(AND('Mapa final'!$Y$41="Media",'Mapa final'!$AA$41="Moderado"),CONCATENATE("R3C",'Mapa final'!$O$41),"")</f>
        <v/>
      </c>
      <c r="AA28" s="68" t="str">
        <f>IF(AND('Mapa final'!$Y$42="Media",'Mapa final'!$AA$42="Moderado"),CONCATENATE("R3C",'Mapa final'!$O$42),"")</f>
        <v/>
      </c>
      <c r="AB28" s="51" t="str">
        <f>IF(AND('Mapa final'!$Y$37="Media",'Mapa final'!$AA$37="Mayor"),CONCATENATE("R3C",'Mapa final'!$O$37),"")</f>
        <v/>
      </c>
      <c r="AC28" s="52" t="str">
        <f>IF(AND('Mapa final'!$Y$38="Media",'Mapa final'!$AA$38="Mayor"),CONCATENATE("R3C",'Mapa final'!$O$38),"")</f>
        <v/>
      </c>
      <c r="AD28" s="52" t="str">
        <f>IF(AND('Mapa final'!$Y$39="Media",'Mapa final'!$AA$39="Mayor"),CONCATENATE("R3C",'Mapa final'!$O$39),"")</f>
        <v/>
      </c>
      <c r="AE28" s="52" t="str">
        <f>IF(AND('Mapa final'!$Y$40="Media",'Mapa final'!$AA$40="Mayor"),CONCATENATE("R3C",'Mapa final'!$O$40),"")</f>
        <v/>
      </c>
      <c r="AF28" s="52" t="str">
        <f>IF(AND('Mapa final'!$Y$41="Media",'Mapa final'!$AA$41="Mayor"),CONCATENATE("R3C",'Mapa final'!$O$41),"")</f>
        <v/>
      </c>
      <c r="AG28" s="53" t="str">
        <f>IF(AND('Mapa final'!$Y$42="Media",'Mapa final'!$AA$42="Mayor"),CONCATENATE("R3C",'Mapa final'!$O$42),"")</f>
        <v/>
      </c>
      <c r="AH28" s="54" t="str">
        <f>IF(AND('Mapa final'!$Y$37="Media",'Mapa final'!$AA$37="Catastrófico"),CONCATENATE("R3C",'Mapa final'!$O$37),"")</f>
        <v/>
      </c>
      <c r="AI28" s="55" t="str">
        <f>IF(AND('Mapa final'!$Y$38="Media",'Mapa final'!$AA$38="Catastrófico"),CONCATENATE("R3C",'Mapa final'!$O$38),"")</f>
        <v/>
      </c>
      <c r="AJ28" s="55" t="str">
        <f>IF(AND('Mapa final'!$Y$39="Media",'Mapa final'!$AA$39="Catastrófico"),CONCATENATE("R3C",'Mapa final'!$O$39),"")</f>
        <v/>
      </c>
      <c r="AK28" s="55" t="str">
        <f>IF(AND('Mapa final'!$Y$40="Media",'Mapa final'!$AA$40="Catastrófico"),CONCATENATE("R3C",'Mapa final'!$O$40),"")</f>
        <v/>
      </c>
      <c r="AL28" s="55" t="str">
        <f>IF(AND('Mapa final'!$Y$41="Media",'Mapa final'!$AA$41="Catastrófico"),CONCATENATE("R3C",'Mapa final'!$O$41),"")</f>
        <v/>
      </c>
      <c r="AM28" s="56" t="str">
        <f>IF(AND('Mapa final'!$Y$42="Media",'Mapa final'!$AA$42="Catastrófico"),CONCATENATE("R3C",'Mapa final'!$O$42),"")</f>
        <v/>
      </c>
      <c r="AN28" s="82"/>
      <c r="AO28" s="478"/>
      <c r="AP28" s="479"/>
      <c r="AQ28" s="479"/>
      <c r="AR28" s="479"/>
      <c r="AS28" s="479"/>
      <c r="AT28" s="480"/>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397"/>
      <c r="C29" s="397"/>
      <c r="D29" s="398"/>
      <c r="E29" s="438"/>
      <c r="F29" s="439"/>
      <c r="G29" s="439"/>
      <c r="H29" s="439"/>
      <c r="I29" s="440"/>
      <c r="J29" s="66" t="str">
        <f>IF(AND('Mapa final'!$Y$43="Media",'Mapa final'!$AA$43="Leve"),CONCATENATE("R4C",'Mapa final'!$O$43),"")</f>
        <v/>
      </c>
      <c r="K29" s="67" t="str">
        <f>IF(AND('Mapa final'!$Y$44="Media",'Mapa final'!$AA$44="Leve"),CONCATENATE("R4C",'Mapa final'!$O$44),"")</f>
        <v/>
      </c>
      <c r="L29" s="67" t="str">
        <f>IF(AND('Mapa final'!$Y$45="Media",'Mapa final'!$AA$45="Leve"),CONCATENATE("R4C",'Mapa final'!$O$45),"")</f>
        <v/>
      </c>
      <c r="M29" s="67" t="str">
        <f>IF(AND('Mapa final'!$Y$46="Media",'Mapa final'!$AA$46="Leve"),CONCATENATE("R4C",'Mapa final'!$O$46),"")</f>
        <v/>
      </c>
      <c r="N29" s="67" t="str">
        <f>IF(AND('Mapa final'!$Y$47="Media",'Mapa final'!$AA$47="Leve"),CONCATENATE("R4C",'Mapa final'!$O$47),"")</f>
        <v/>
      </c>
      <c r="O29" s="68" t="str">
        <f>IF(AND('Mapa final'!$Y$48="Media",'Mapa final'!$AA$48="Leve"),CONCATENATE("R4C",'Mapa final'!$O$48),"")</f>
        <v/>
      </c>
      <c r="P29" s="66" t="str">
        <f>IF(AND('Mapa final'!$Y$43="Media",'Mapa final'!$AA$43="Menor"),CONCATENATE("R4C",'Mapa final'!$O$43),"")</f>
        <v/>
      </c>
      <c r="Q29" s="67" t="str">
        <f>IF(AND('Mapa final'!$Y$44="Media",'Mapa final'!$AA$44="Menor"),CONCATENATE("R4C",'Mapa final'!$O$44),"")</f>
        <v/>
      </c>
      <c r="R29" s="67" t="str">
        <f>IF(AND('Mapa final'!$Y$45="Media",'Mapa final'!$AA$45="Menor"),CONCATENATE("R4C",'Mapa final'!$O$45),"")</f>
        <v/>
      </c>
      <c r="S29" s="67" t="str">
        <f>IF(AND('Mapa final'!$Y$46="Media",'Mapa final'!$AA$46="Menor"),CONCATENATE("R4C",'Mapa final'!$O$46),"")</f>
        <v/>
      </c>
      <c r="T29" s="67" t="str">
        <f>IF(AND('Mapa final'!$Y$47="Media",'Mapa final'!$AA$47="Menor"),CONCATENATE("R4C",'Mapa final'!$O$47),"")</f>
        <v/>
      </c>
      <c r="U29" s="68" t="str">
        <f>IF(AND('Mapa final'!$Y$48="Media",'Mapa final'!$AA$48="Menor"),CONCATENATE("R4C",'Mapa final'!$O$48),"")</f>
        <v/>
      </c>
      <c r="V29" s="66" t="str">
        <f>IF(AND('Mapa final'!$Y$43="Media",'Mapa final'!$AA$43="Moderado"),CONCATENATE("R4C",'Mapa final'!$O$43),"")</f>
        <v/>
      </c>
      <c r="W29" s="67" t="str">
        <f>IF(AND('Mapa final'!$Y$44="Media",'Mapa final'!$AA$44="Moderado"),CONCATENATE("R4C",'Mapa final'!$O$44),"")</f>
        <v/>
      </c>
      <c r="X29" s="67" t="str">
        <f>IF(AND('Mapa final'!$Y$45="Media",'Mapa final'!$AA$45="Moderado"),CONCATENATE("R4C",'Mapa final'!$O$45),"")</f>
        <v/>
      </c>
      <c r="Y29" s="67" t="str">
        <f>IF(AND('Mapa final'!$Y$46="Media",'Mapa final'!$AA$46="Moderado"),CONCATENATE("R4C",'Mapa final'!$O$46),"")</f>
        <v/>
      </c>
      <c r="Z29" s="67" t="str">
        <f>IF(AND('Mapa final'!$Y$47="Media",'Mapa final'!$AA$47="Moderado"),CONCATENATE("R4C",'Mapa final'!$O$47),"")</f>
        <v/>
      </c>
      <c r="AA29" s="68" t="str">
        <f>IF(AND('Mapa final'!$Y$48="Media",'Mapa final'!$AA$48="Moderado"),CONCATENATE("R4C",'Mapa final'!$O$48),"")</f>
        <v/>
      </c>
      <c r="AB29" s="51" t="str">
        <f>IF(AND('Mapa final'!$Y$43="Media",'Mapa final'!$AA$43="Mayor"),CONCATENATE("R4C",'Mapa final'!$O$43),"")</f>
        <v/>
      </c>
      <c r="AC29" s="52" t="str">
        <f>IF(AND('Mapa final'!$Y$44="Media",'Mapa final'!$AA$44="Mayor"),CONCATENATE("R4C",'Mapa final'!$O$44),"")</f>
        <v/>
      </c>
      <c r="AD29" s="52" t="str">
        <f>IF(AND('Mapa final'!$Y$45="Media",'Mapa final'!$AA$45="Mayor"),CONCATENATE("R4C",'Mapa final'!$O$45),"")</f>
        <v/>
      </c>
      <c r="AE29" s="52" t="str">
        <f>IF(AND('Mapa final'!$Y$46="Media",'Mapa final'!$AA$46="Mayor"),CONCATENATE("R4C",'Mapa final'!$O$46),"")</f>
        <v/>
      </c>
      <c r="AF29" s="52" t="str">
        <f>IF(AND('Mapa final'!$Y$47="Media",'Mapa final'!$AA$47="Mayor"),CONCATENATE("R4C",'Mapa final'!$O$47),"")</f>
        <v/>
      </c>
      <c r="AG29" s="53" t="str">
        <f>IF(AND('Mapa final'!$Y$48="Media",'Mapa final'!$AA$48="Mayor"),CONCATENATE("R4C",'Mapa final'!$O$48),"")</f>
        <v/>
      </c>
      <c r="AH29" s="54" t="str">
        <f>IF(AND('Mapa final'!$Y$43="Media",'Mapa final'!$AA$43="Catastrófico"),CONCATENATE("R4C",'Mapa final'!$O$43),"")</f>
        <v/>
      </c>
      <c r="AI29" s="55" t="str">
        <f>IF(AND('Mapa final'!$Y$44="Media",'Mapa final'!$AA$44="Catastrófico"),CONCATENATE("R4C",'Mapa final'!$O$44),"")</f>
        <v/>
      </c>
      <c r="AJ29" s="55" t="str">
        <f>IF(AND('Mapa final'!$Y$45="Media",'Mapa final'!$AA$45="Catastrófico"),CONCATENATE("R4C",'Mapa final'!$O$45),"")</f>
        <v/>
      </c>
      <c r="AK29" s="55" t="str">
        <f>IF(AND('Mapa final'!$Y$46="Media",'Mapa final'!$AA$46="Catastrófico"),CONCATENATE("R4C",'Mapa final'!$O$46),"")</f>
        <v/>
      </c>
      <c r="AL29" s="55" t="str">
        <f>IF(AND('Mapa final'!$Y$47="Media",'Mapa final'!$AA$47="Catastrófico"),CONCATENATE("R4C",'Mapa final'!$O$47),"")</f>
        <v/>
      </c>
      <c r="AM29" s="56" t="str">
        <f>IF(AND('Mapa final'!$Y$48="Media",'Mapa final'!$AA$48="Catastrófico"),CONCATENATE("R4C",'Mapa final'!$O$48),"")</f>
        <v/>
      </c>
      <c r="AN29" s="82"/>
      <c r="AO29" s="478"/>
      <c r="AP29" s="479"/>
      <c r="AQ29" s="479"/>
      <c r="AR29" s="479"/>
      <c r="AS29" s="479"/>
      <c r="AT29" s="480"/>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397"/>
      <c r="C30" s="397"/>
      <c r="D30" s="398"/>
      <c r="E30" s="438"/>
      <c r="F30" s="439"/>
      <c r="G30" s="439"/>
      <c r="H30" s="439"/>
      <c r="I30" s="440"/>
      <c r="J30" s="66" t="str">
        <f>IF(AND('Mapa final'!$Y$49="Media",'Mapa final'!$AA$49="Leve"),CONCATENATE("R5C",'Mapa final'!$O$49),"")</f>
        <v/>
      </c>
      <c r="K30" s="67" t="str">
        <f>IF(AND('Mapa final'!$Y$50="Media",'Mapa final'!$AA$50="Leve"),CONCATENATE("R5C",'Mapa final'!$O$50),"")</f>
        <v/>
      </c>
      <c r="L30" s="67" t="str">
        <f>IF(AND('Mapa final'!$Y$51="Media",'Mapa final'!$AA$51="Leve"),CONCATENATE("R5C",'Mapa final'!$O$51),"")</f>
        <v/>
      </c>
      <c r="M30" s="67" t="str">
        <f>IF(AND('Mapa final'!$Y$52="Media",'Mapa final'!$AA$52="Leve"),CONCATENATE("R5C",'Mapa final'!$O$52),"")</f>
        <v/>
      </c>
      <c r="N30" s="67" t="str">
        <f>IF(AND('Mapa final'!$Y$53="Media",'Mapa final'!$AA$53="Leve"),CONCATENATE("R5C",'Mapa final'!$O$53),"")</f>
        <v/>
      </c>
      <c r="O30" s="68" t="str">
        <f>IF(AND('Mapa final'!$Y$54="Media",'Mapa final'!$AA$54="Leve"),CONCATENATE("R5C",'Mapa final'!$O$54),"")</f>
        <v/>
      </c>
      <c r="P30" s="66" t="str">
        <f>IF(AND('Mapa final'!$Y$49="Media",'Mapa final'!$AA$49="Menor"),CONCATENATE("R5C",'Mapa final'!$O$49),"")</f>
        <v/>
      </c>
      <c r="Q30" s="67" t="str">
        <f>IF(AND('Mapa final'!$Y$50="Media",'Mapa final'!$AA$50="Menor"),CONCATENATE("R5C",'Mapa final'!$O$50),"")</f>
        <v/>
      </c>
      <c r="R30" s="67" t="str">
        <f>IF(AND('Mapa final'!$Y$51="Media",'Mapa final'!$AA$51="Menor"),CONCATENATE("R5C",'Mapa final'!$O$51),"")</f>
        <v/>
      </c>
      <c r="S30" s="67" t="str">
        <f>IF(AND('Mapa final'!$Y$52="Media",'Mapa final'!$AA$52="Menor"),CONCATENATE("R5C",'Mapa final'!$O$52),"")</f>
        <v/>
      </c>
      <c r="T30" s="67" t="str">
        <f>IF(AND('Mapa final'!$Y$53="Media",'Mapa final'!$AA$53="Menor"),CONCATENATE("R5C",'Mapa final'!$O$53),"")</f>
        <v/>
      </c>
      <c r="U30" s="68" t="str">
        <f>IF(AND('Mapa final'!$Y$54="Media",'Mapa final'!$AA$54="Menor"),CONCATENATE("R5C",'Mapa final'!$O$54),"")</f>
        <v/>
      </c>
      <c r="V30" s="66" t="str">
        <f>IF(AND('Mapa final'!$Y$49="Media",'Mapa final'!$AA$49="Moderado"),CONCATENATE("R5C",'Mapa final'!$O$49),"")</f>
        <v/>
      </c>
      <c r="W30" s="67" t="str">
        <f>IF(AND('Mapa final'!$Y$50="Media",'Mapa final'!$AA$50="Moderado"),CONCATENATE("R5C",'Mapa final'!$O$50),"")</f>
        <v/>
      </c>
      <c r="X30" s="67" t="str">
        <f>IF(AND('Mapa final'!$Y$51="Media",'Mapa final'!$AA$51="Moderado"),CONCATENATE("R5C",'Mapa final'!$O$51),"")</f>
        <v/>
      </c>
      <c r="Y30" s="67" t="str">
        <f>IF(AND('Mapa final'!$Y$52="Media",'Mapa final'!$AA$52="Moderado"),CONCATENATE("R5C",'Mapa final'!$O$52),"")</f>
        <v/>
      </c>
      <c r="Z30" s="67" t="str">
        <f>IF(AND('Mapa final'!$Y$53="Media",'Mapa final'!$AA$53="Moderado"),CONCATENATE("R5C",'Mapa final'!$O$53),"")</f>
        <v/>
      </c>
      <c r="AA30" s="68" t="str">
        <f>IF(AND('Mapa final'!$Y$54="Media",'Mapa final'!$AA$54="Moderado"),CONCATENATE("R5C",'Mapa final'!$O$54),"")</f>
        <v/>
      </c>
      <c r="AB30" s="51" t="str">
        <f>IF(AND('Mapa final'!$Y$49="Media",'Mapa final'!$AA$49="Mayor"),CONCATENATE("R5C",'Mapa final'!$O$49),"")</f>
        <v/>
      </c>
      <c r="AC30" s="52" t="str">
        <f>IF(AND('Mapa final'!$Y$50="Media",'Mapa final'!$AA$50="Mayor"),CONCATENATE("R5C",'Mapa final'!$O$50),"")</f>
        <v/>
      </c>
      <c r="AD30" s="52" t="str">
        <f>IF(AND('Mapa final'!$Y$51="Media",'Mapa final'!$AA$51="Mayor"),CONCATENATE("R5C",'Mapa final'!$O$51),"")</f>
        <v/>
      </c>
      <c r="AE30" s="52" t="str">
        <f>IF(AND('Mapa final'!$Y$52="Media",'Mapa final'!$AA$52="Mayor"),CONCATENATE("R5C",'Mapa final'!$O$52),"")</f>
        <v/>
      </c>
      <c r="AF30" s="52" t="str">
        <f>IF(AND('Mapa final'!$Y$53="Media",'Mapa final'!$AA$53="Mayor"),CONCATENATE("R5C",'Mapa final'!$O$53),"")</f>
        <v/>
      </c>
      <c r="AG30" s="53" t="str">
        <f>IF(AND('Mapa final'!$Y$54="Media",'Mapa final'!$AA$54="Mayor"),CONCATENATE("R5C",'Mapa final'!$O$54),"")</f>
        <v/>
      </c>
      <c r="AH30" s="54" t="str">
        <f>IF(AND('Mapa final'!$Y$49="Media",'Mapa final'!$AA$49="Catastrófico"),CONCATENATE("R5C",'Mapa final'!$O$49),"")</f>
        <v/>
      </c>
      <c r="AI30" s="55" t="str">
        <f>IF(AND('Mapa final'!$Y$50="Media",'Mapa final'!$AA$50="Catastrófico"),CONCATENATE("R5C",'Mapa final'!$O$50),"")</f>
        <v/>
      </c>
      <c r="AJ30" s="55" t="str">
        <f>IF(AND('Mapa final'!$Y$51="Media",'Mapa final'!$AA$51="Catastrófico"),CONCATENATE("R5C",'Mapa final'!$O$51),"")</f>
        <v/>
      </c>
      <c r="AK30" s="55" t="str">
        <f>IF(AND('Mapa final'!$Y$52="Media",'Mapa final'!$AA$52="Catastrófico"),CONCATENATE("R5C",'Mapa final'!$O$52),"")</f>
        <v/>
      </c>
      <c r="AL30" s="55" t="str">
        <f>IF(AND('Mapa final'!$Y$53="Media",'Mapa final'!$AA$53="Catastrófico"),CONCATENATE("R5C",'Mapa final'!$O$53),"")</f>
        <v/>
      </c>
      <c r="AM30" s="56" t="str">
        <f>IF(AND('Mapa final'!$Y$54="Media",'Mapa final'!$AA$54="Catastrófico"),CONCATENATE("R5C",'Mapa final'!$O$54),"")</f>
        <v/>
      </c>
      <c r="AN30" s="82"/>
      <c r="AO30" s="478"/>
      <c r="AP30" s="479"/>
      <c r="AQ30" s="479"/>
      <c r="AR30" s="479"/>
      <c r="AS30" s="479"/>
      <c r="AT30" s="480"/>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397"/>
      <c r="C31" s="397"/>
      <c r="D31" s="398"/>
      <c r="E31" s="438"/>
      <c r="F31" s="439"/>
      <c r="G31" s="439"/>
      <c r="H31" s="439"/>
      <c r="I31" s="440"/>
      <c r="J31" s="66" t="str">
        <f>IF(AND('Mapa final'!$Y$55="Media",'Mapa final'!$AA$55="Leve"),CONCATENATE("R6C",'Mapa final'!$O$55),"")</f>
        <v/>
      </c>
      <c r="K31" s="67" t="str">
        <f>IF(AND('Mapa final'!$Y$56="Media",'Mapa final'!$AA$56="Leve"),CONCATENATE("R6C",'Mapa final'!$O$56),"")</f>
        <v/>
      </c>
      <c r="L31" s="67" t="str">
        <f>IF(AND('Mapa final'!$Y$57="Media",'Mapa final'!$AA$57="Leve"),CONCATENATE("R6C",'Mapa final'!$O$57),"")</f>
        <v/>
      </c>
      <c r="M31" s="67" t="str">
        <f>IF(AND('Mapa final'!$Y$58="Media",'Mapa final'!$AA$58="Leve"),CONCATENATE("R6C",'Mapa final'!$O$58),"")</f>
        <v/>
      </c>
      <c r="N31" s="67" t="str">
        <f>IF(AND('Mapa final'!$Y$59="Media",'Mapa final'!$AA$59="Leve"),CONCATENATE("R6C",'Mapa final'!$O$59),"")</f>
        <v/>
      </c>
      <c r="O31" s="68" t="str">
        <f>IF(AND('Mapa final'!$Y$60="Media",'Mapa final'!$AA$60="Leve"),CONCATENATE("R6C",'Mapa final'!$O$60),"")</f>
        <v/>
      </c>
      <c r="P31" s="66" t="str">
        <f>IF(AND('Mapa final'!$Y$55="Media",'Mapa final'!$AA$55="Menor"),CONCATENATE("R6C",'Mapa final'!$O$55),"")</f>
        <v/>
      </c>
      <c r="Q31" s="67" t="str">
        <f>IF(AND('Mapa final'!$Y$56="Media",'Mapa final'!$AA$56="Menor"),CONCATENATE("R6C",'Mapa final'!$O$56),"")</f>
        <v/>
      </c>
      <c r="R31" s="67" t="str">
        <f>IF(AND('Mapa final'!$Y$57="Media",'Mapa final'!$AA$57="Menor"),CONCATENATE("R6C",'Mapa final'!$O$57),"")</f>
        <v/>
      </c>
      <c r="S31" s="67" t="str">
        <f>IF(AND('Mapa final'!$Y$58="Media",'Mapa final'!$AA$58="Menor"),CONCATENATE("R6C",'Mapa final'!$O$58),"")</f>
        <v/>
      </c>
      <c r="T31" s="67" t="str">
        <f>IF(AND('Mapa final'!$Y$59="Media",'Mapa final'!$AA$59="Menor"),CONCATENATE("R6C",'Mapa final'!$O$59),"")</f>
        <v/>
      </c>
      <c r="U31" s="68" t="str">
        <f>IF(AND('Mapa final'!$Y$60="Media",'Mapa final'!$AA$60="Menor"),CONCATENATE("R6C",'Mapa final'!$O$60),"")</f>
        <v/>
      </c>
      <c r="V31" s="66" t="str">
        <f>IF(AND('Mapa final'!$Y$55="Media",'Mapa final'!$AA$55="Moderado"),CONCATENATE("R6C",'Mapa final'!$O$55),"")</f>
        <v/>
      </c>
      <c r="W31" s="67" t="str">
        <f>IF(AND('Mapa final'!$Y$56="Media",'Mapa final'!$AA$56="Moderado"),CONCATENATE("R6C",'Mapa final'!$O$56),"")</f>
        <v/>
      </c>
      <c r="X31" s="67" t="str">
        <f>IF(AND('Mapa final'!$Y$57="Media",'Mapa final'!$AA$57="Moderado"),CONCATENATE("R6C",'Mapa final'!$O$57),"")</f>
        <v/>
      </c>
      <c r="Y31" s="67" t="str">
        <f>IF(AND('Mapa final'!$Y$58="Media",'Mapa final'!$AA$58="Moderado"),CONCATENATE("R6C",'Mapa final'!$O$58),"")</f>
        <v/>
      </c>
      <c r="Z31" s="67" t="str">
        <f>IF(AND('Mapa final'!$Y$59="Media",'Mapa final'!$AA$59="Moderado"),CONCATENATE("R6C",'Mapa final'!$O$59),"")</f>
        <v/>
      </c>
      <c r="AA31" s="68" t="str">
        <f>IF(AND('Mapa final'!$Y$60="Media",'Mapa final'!$AA$60="Moderado"),CONCATENATE("R6C",'Mapa final'!$O$60),"")</f>
        <v/>
      </c>
      <c r="AB31" s="51" t="str">
        <f>IF(AND('Mapa final'!$Y$55="Media",'Mapa final'!$AA$55="Mayor"),CONCATENATE("R6C",'Mapa final'!$O$55),"")</f>
        <v/>
      </c>
      <c r="AC31" s="52" t="str">
        <f>IF(AND('Mapa final'!$Y$56="Media",'Mapa final'!$AA$56="Mayor"),CONCATENATE("R6C",'Mapa final'!$O$56),"")</f>
        <v/>
      </c>
      <c r="AD31" s="52" t="str">
        <f>IF(AND('Mapa final'!$Y$57="Media",'Mapa final'!$AA$57="Mayor"),CONCATENATE("R6C",'Mapa final'!$O$57),"")</f>
        <v/>
      </c>
      <c r="AE31" s="52" t="str">
        <f>IF(AND('Mapa final'!$Y$58="Media",'Mapa final'!$AA$58="Mayor"),CONCATENATE("R6C",'Mapa final'!$O$58),"")</f>
        <v/>
      </c>
      <c r="AF31" s="52" t="str">
        <f>IF(AND('Mapa final'!$Y$59="Media",'Mapa final'!$AA$59="Mayor"),CONCATENATE("R6C",'Mapa final'!$O$59),"")</f>
        <v/>
      </c>
      <c r="AG31" s="53" t="str">
        <f>IF(AND('Mapa final'!$Y$60="Media",'Mapa final'!$AA$60="Mayor"),CONCATENATE("R6C",'Mapa final'!$O$60),"")</f>
        <v/>
      </c>
      <c r="AH31" s="54" t="str">
        <f>IF(AND('Mapa final'!$Y$55="Media",'Mapa final'!$AA$55="Catastrófico"),CONCATENATE("R6C",'Mapa final'!$O$55),"")</f>
        <v/>
      </c>
      <c r="AI31" s="55" t="str">
        <f>IF(AND('Mapa final'!$Y$56="Media",'Mapa final'!$AA$56="Catastrófico"),CONCATENATE("R6C",'Mapa final'!$O$56),"")</f>
        <v/>
      </c>
      <c r="AJ31" s="55" t="str">
        <f>IF(AND('Mapa final'!$Y$57="Media",'Mapa final'!$AA$57="Catastrófico"),CONCATENATE("R6C",'Mapa final'!$O$57),"")</f>
        <v/>
      </c>
      <c r="AK31" s="55" t="str">
        <f>IF(AND('Mapa final'!$Y$58="Media",'Mapa final'!$AA$58="Catastrófico"),CONCATENATE("R6C",'Mapa final'!$O$58),"")</f>
        <v/>
      </c>
      <c r="AL31" s="55" t="str">
        <f>IF(AND('Mapa final'!$Y$59="Media",'Mapa final'!$AA$59="Catastrófico"),CONCATENATE("R6C",'Mapa final'!$O$59),"")</f>
        <v/>
      </c>
      <c r="AM31" s="56" t="str">
        <f>IF(AND('Mapa final'!$Y$60="Media",'Mapa final'!$AA$60="Catastrófico"),CONCATENATE("R6C",'Mapa final'!$O$60),"")</f>
        <v/>
      </c>
      <c r="AN31" s="82"/>
      <c r="AO31" s="478"/>
      <c r="AP31" s="479"/>
      <c r="AQ31" s="479"/>
      <c r="AR31" s="479"/>
      <c r="AS31" s="479"/>
      <c r="AT31" s="480"/>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397"/>
      <c r="C32" s="397"/>
      <c r="D32" s="398"/>
      <c r="E32" s="438"/>
      <c r="F32" s="439"/>
      <c r="G32" s="439"/>
      <c r="H32" s="439"/>
      <c r="I32" s="440"/>
      <c r="J32" s="66" t="str">
        <f>IF(AND('Mapa final'!$Y$61="Media",'Mapa final'!$AA$61="Leve"),CONCATENATE("R7C",'Mapa final'!$O$61),"")</f>
        <v/>
      </c>
      <c r="K32" s="67" t="str">
        <f>IF(AND('Mapa final'!$Y$62="Media",'Mapa final'!$AA$62="Leve"),CONCATENATE("R7C",'Mapa final'!$O$62),"")</f>
        <v/>
      </c>
      <c r="L32" s="67" t="str">
        <f>IF(AND('Mapa final'!$Y$63="Media",'Mapa final'!$AA$63="Leve"),CONCATENATE("R7C",'Mapa final'!$O$63),"")</f>
        <v/>
      </c>
      <c r="M32" s="67" t="str">
        <f>IF(AND('Mapa final'!$Y$64="Media",'Mapa final'!$AA$64="Leve"),CONCATENATE("R7C",'Mapa final'!$O$64),"")</f>
        <v/>
      </c>
      <c r="N32" s="67" t="str">
        <f>IF(AND('Mapa final'!$Y$65="Media",'Mapa final'!$AA$65="Leve"),CONCATENATE("R7C",'Mapa final'!$O$65),"")</f>
        <v/>
      </c>
      <c r="O32" s="68" t="str">
        <f>IF(AND('Mapa final'!$Y$66="Media",'Mapa final'!$AA$66="Leve"),CONCATENATE("R7C",'Mapa final'!$O$66),"")</f>
        <v/>
      </c>
      <c r="P32" s="66" t="str">
        <f>IF(AND('Mapa final'!$Y$61="Media",'Mapa final'!$AA$61="Menor"),CONCATENATE("R7C",'Mapa final'!$O$61),"")</f>
        <v/>
      </c>
      <c r="Q32" s="67" t="str">
        <f>IF(AND('Mapa final'!$Y$62="Media",'Mapa final'!$AA$62="Menor"),CONCATENATE("R7C",'Mapa final'!$O$62),"")</f>
        <v/>
      </c>
      <c r="R32" s="67" t="str">
        <f>IF(AND('Mapa final'!$Y$63="Media",'Mapa final'!$AA$63="Menor"),CONCATENATE("R7C",'Mapa final'!$O$63),"")</f>
        <v/>
      </c>
      <c r="S32" s="67" t="str">
        <f>IF(AND('Mapa final'!$Y$64="Media",'Mapa final'!$AA$64="Menor"),CONCATENATE("R7C",'Mapa final'!$O$64),"")</f>
        <v/>
      </c>
      <c r="T32" s="67" t="str">
        <f>IF(AND('Mapa final'!$Y$65="Media",'Mapa final'!$AA$65="Menor"),CONCATENATE("R7C",'Mapa final'!$O$65),"")</f>
        <v/>
      </c>
      <c r="U32" s="68" t="str">
        <f>IF(AND('Mapa final'!$Y$66="Media",'Mapa final'!$AA$66="Menor"),CONCATENATE("R7C",'Mapa final'!$O$66),"")</f>
        <v/>
      </c>
      <c r="V32" s="66" t="str">
        <f>IF(AND('Mapa final'!$Y$61="Media",'Mapa final'!$AA$61="Moderado"),CONCATENATE("R7C",'Mapa final'!$O$61),"")</f>
        <v/>
      </c>
      <c r="W32" s="67" t="str">
        <f>IF(AND('Mapa final'!$Y$62="Media",'Mapa final'!$AA$62="Moderado"),CONCATENATE("R7C",'Mapa final'!$O$62),"")</f>
        <v/>
      </c>
      <c r="X32" s="67" t="str">
        <f>IF(AND('Mapa final'!$Y$63="Media",'Mapa final'!$AA$63="Moderado"),CONCATENATE("R7C",'Mapa final'!$O$63),"")</f>
        <v/>
      </c>
      <c r="Y32" s="67" t="str">
        <f>IF(AND('Mapa final'!$Y$64="Media",'Mapa final'!$AA$64="Moderado"),CONCATENATE("R7C",'Mapa final'!$O$64),"")</f>
        <v/>
      </c>
      <c r="Z32" s="67" t="str">
        <f>IF(AND('Mapa final'!$Y$65="Media",'Mapa final'!$AA$65="Moderado"),CONCATENATE("R7C",'Mapa final'!$O$65),"")</f>
        <v/>
      </c>
      <c r="AA32" s="68" t="str">
        <f>IF(AND('Mapa final'!$Y$66="Media",'Mapa final'!$AA$66="Moderado"),CONCATENATE("R7C",'Mapa final'!$O$66),"")</f>
        <v/>
      </c>
      <c r="AB32" s="51" t="str">
        <f>IF(AND('Mapa final'!$Y$61="Media",'Mapa final'!$AA$61="Mayor"),CONCATENATE("R7C",'Mapa final'!$O$61),"")</f>
        <v/>
      </c>
      <c r="AC32" s="52" t="str">
        <f>IF(AND('Mapa final'!$Y$62="Media",'Mapa final'!$AA$62="Mayor"),CONCATENATE("R7C",'Mapa final'!$O$62),"")</f>
        <v/>
      </c>
      <c r="AD32" s="52" t="str">
        <f>IF(AND('Mapa final'!$Y$63="Media",'Mapa final'!$AA$63="Mayor"),CONCATENATE("R7C",'Mapa final'!$O$63),"")</f>
        <v/>
      </c>
      <c r="AE32" s="52" t="str">
        <f>IF(AND('Mapa final'!$Y$64="Media",'Mapa final'!$AA$64="Mayor"),CONCATENATE("R7C",'Mapa final'!$O$64),"")</f>
        <v/>
      </c>
      <c r="AF32" s="52" t="str">
        <f>IF(AND('Mapa final'!$Y$65="Media",'Mapa final'!$AA$65="Mayor"),CONCATENATE("R7C",'Mapa final'!$O$65),"")</f>
        <v/>
      </c>
      <c r="AG32" s="53" t="str">
        <f>IF(AND('Mapa final'!$Y$66="Media",'Mapa final'!$AA$66="Mayor"),CONCATENATE("R7C",'Mapa final'!$O$66),"")</f>
        <v/>
      </c>
      <c r="AH32" s="54" t="str">
        <f>IF(AND('Mapa final'!$Y$61="Media",'Mapa final'!$AA$61="Catastrófico"),CONCATENATE("R7C",'Mapa final'!$O$61),"")</f>
        <v/>
      </c>
      <c r="AI32" s="55" t="str">
        <f>IF(AND('Mapa final'!$Y$62="Media",'Mapa final'!$AA$62="Catastrófico"),CONCATENATE("R7C",'Mapa final'!$O$62),"")</f>
        <v/>
      </c>
      <c r="AJ32" s="55" t="str">
        <f>IF(AND('Mapa final'!$Y$63="Media",'Mapa final'!$AA$63="Catastrófico"),CONCATENATE("R7C",'Mapa final'!$O$63),"")</f>
        <v/>
      </c>
      <c r="AK32" s="55" t="str">
        <f>IF(AND('Mapa final'!$Y$64="Media",'Mapa final'!$AA$64="Catastrófico"),CONCATENATE("R7C",'Mapa final'!$O$64),"")</f>
        <v/>
      </c>
      <c r="AL32" s="55" t="str">
        <f>IF(AND('Mapa final'!$Y$65="Media",'Mapa final'!$AA$65="Catastrófico"),CONCATENATE("R7C",'Mapa final'!$O$65),"")</f>
        <v/>
      </c>
      <c r="AM32" s="56" t="str">
        <f>IF(AND('Mapa final'!$Y$66="Media",'Mapa final'!$AA$66="Catastrófico"),CONCATENATE("R7C",'Mapa final'!$O$66),"")</f>
        <v/>
      </c>
      <c r="AN32" s="82"/>
      <c r="AO32" s="478"/>
      <c r="AP32" s="479"/>
      <c r="AQ32" s="479"/>
      <c r="AR32" s="479"/>
      <c r="AS32" s="479"/>
      <c r="AT32" s="480"/>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397"/>
      <c r="C33" s="397"/>
      <c r="D33" s="398"/>
      <c r="E33" s="438"/>
      <c r="F33" s="439"/>
      <c r="G33" s="439"/>
      <c r="H33" s="439"/>
      <c r="I33" s="440"/>
      <c r="J33" s="66" t="str">
        <f>IF(AND('Mapa final'!$Y$67="Media",'Mapa final'!$AA$67="Leve"),CONCATENATE("R8C",'Mapa final'!$O$67),"")</f>
        <v/>
      </c>
      <c r="K33" s="67" t="str">
        <f>IF(AND('Mapa final'!$Y$68="Media",'Mapa final'!$AA$68="Leve"),CONCATENATE("R8C",'Mapa final'!$O$68),"")</f>
        <v/>
      </c>
      <c r="L33" s="67" t="str">
        <f>IF(AND('Mapa final'!$Y$69="Media",'Mapa final'!$AA$69="Leve"),CONCATENATE("R8C",'Mapa final'!$O$69),"")</f>
        <v/>
      </c>
      <c r="M33" s="67" t="str">
        <f>IF(AND('Mapa final'!$Y$70="Media",'Mapa final'!$AA$70="Leve"),CONCATENATE("R8C",'Mapa final'!$O$70),"")</f>
        <v/>
      </c>
      <c r="N33" s="67" t="str">
        <f>IF(AND('Mapa final'!$Y$71="Media",'Mapa final'!$AA$71="Leve"),CONCATENATE("R8C",'Mapa final'!$O$71),"")</f>
        <v/>
      </c>
      <c r="O33" s="68" t="str">
        <f>IF(AND('Mapa final'!$Y$72="Media",'Mapa final'!$AA$72="Leve"),CONCATENATE("R8C",'Mapa final'!$O$72),"")</f>
        <v/>
      </c>
      <c r="P33" s="66" t="str">
        <f>IF(AND('Mapa final'!$Y$67="Media",'Mapa final'!$AA$67="Menor"),CONCATENATE("R8C",'Mapa final'!$O$67),"")</f>
        <v/>
      </c>
      <c r="Q33" s="67" t="str">
        <f>IF(AND('Mapa final'!$Y$68="Media",'Mapa final'!$AA$68="Menor"),CONCATENATE("R8C",'Mapa final'!$O$68),"")</f>
        <v/>
      </c>
      <c r="R33" s="67" t="str">
        <f>IF(AND('Mapa final'!$Y$69="Media",'Mapa final'!$AA$69="Menor"),CONCATENATE("R8C",'Mapa final'!$O$69),"")</f>
        <v/>
      </c>
      <c r="S33" s="67" t="str">
        <f>IF(AND('Mapa final'!$Y$70="Media",'Mapa final'!$AA$70="Menor"),CONCATENATE("R8C",'Mapa final'!$O$70),"")</f>
        <v/>
      </c>
      <c r="T33" s="67" t="str">
        <f>IF(AND('Mapa final'!$Y$71="Media",'Mapa final'!$AA$71="Menor"),CONCATENATE("R8C",'Mapa final'!$O$71),"")</f>
        <v/>
      </c>
      <c r="U33" s="68" t="str">
        <f>IF(AND('Mapa final'!$Y$72="Media",'Mapa final'!$AA$72="Menor"),CONCATENATE("R8C",'Mapa final'!$O$72),"")</f>
        <v/>
      </c>
      <c r="V33" s="66" t="str">
        <f>IF(AND('Mapa final'!$Y$67="Media",'Mapa final'!$AA$67="Moderado"),CONCATENATE("R8C",'Mapa final'!$O$67),"")</f>
        <v/>
      </c>
      <c r="W33" s="67" t="str">
        <f>IF(AND('Mapa final'!$Y$68="Media",'Mapa final'!$AA$68="Moderado"),CONCATENATE("R8C",'Mapa final'!$O$68),"")</f>
        <v/>
      </c>
      <c r="X33" s="67" t="str">
        <f>IF(AND('Mapa final'!$Y$69="Media",'Mapa final'!$AA$69="Moderado"),CONCATENATE("R8C",'Mapa final'!$O$69),"")</f>
        <v/>
      </c>
      <c r="Y33" s="67" t="str">
        <f>IF(AND('Mapa final'!$Y$70="Media",'Mapa final'!$AA$70="Moderado"),CONCATENATE("R8C",'Mapa final'!$O$70),"")</f>
        <v/>
      </c>
      <c r="Z33" s="67" t="str">
        <f>IF(AND('Mapa final'!$Y$71="Media",'Mapa final'!$AA$71="Moderado"),CONCATENATE("R8C",'Mapa final'!$O$71),"")</f>
        <v/>
      </c>
      <c r="AA33" s="68" t="str">
        <f>IF(AND('Mapa final'!$Y$72="Media",'Mapa final'!$AA$72="Moderado"),CONCATENATE("R8C",'Mapa final'!$O$72),"")</f>
        <v/>
      </c>
      <c r="AB33" s="51" t="str">
        <f>IF(AND('Mapa final'!$Y$67="Media",'Mapa final'!$AA$67="Mayor"),CONCATENATE("R8C",'Mapa final'!$O$67),"")</f>
        <v/>
      </c>
      <c r="AC33" s="52" t="str">
        <f>IF(AND('Mapa final'!$Y$68="Media",'Mapa final'!$AA$68="Mayor"),CONCATENATE("R8C",'Mapa final'!$O$68),"")</f>
        <v/>
      </c>
      <c r="AD33" s="52" t="str">
        <f>IF(AND('Mapa final'!$Y$69="Media",'Mapa final'!$AA$69="Mayor"),CONCATENATE("R8C",'Mapa final'!$O$69),"")</f>
        <v/>
      </c>
      <c r="AE33" s="52" t="str">
        <f>IF(AND('Mapa final'!$Y$70="Media",'Mapa final'!$AA$70="Mayor"),CONCATENATE("R8C",'Mapa final'!$O$70),"")</f>
        <v/>
      </c>
      <c r="AF33" s="52" t="str">
        <f>IF(AND('Mapa final'!$Y$71="Media",'Mapa final'!$AA$71="Mayor"),CONCATENATE("R8C",'Mapa final'!$O$71),"")</f>
        <v/>
      </c>
      <c r="AG33" s="53" t="str">
        <f>IF(AND('Mapa final'!$Y$72="Media",'Mapa final'!$AA$72="Mayor"),CONCATENATE("R8C",'Mapa final'!$O$72),"")</f>
        <v/>
      </c>
      <c r="AH33" s="54" t="str">
        <f>IF(AND('Mapa final'!$Y$67="Media",'Mapa final'!$AA$67="Catastrófico"),CONCATENATE("R8C",'Mapa final'!$O$67),"")</f>
        <v/>
      </c>
      <c r="AI33" s="55" t="str">
        <f>IF(AND('Mapa final'!$Y$68="Media",'Mapa final'!$AA$68="Catastrófico"),CONCATENATE("R8C",'Mapa final'!$O$68),"")</f>
        <v/>
      </c>
      <c r="AJ33" s="55" t="str">
        <f>IF(AND('Mapa final'!$Y$69="Media",'Mapa final'!$AA$69="Catastrófico"),CONCATENATE("R8C",'Mapa final'!$O$69),"")</f>
        <v/>
      </c>
      <c r="AK33" s="55" t="str">
        <f>IF(AND('Mapa final'!$Y$70="Media",'Mapa final'!$AA$70="Catastrófico"),CONCATENATE("R8C",'Mapa final'!$O$70),"")</f>
        <v/>
      </c>
      <c r="AL33" s="55" t="str">
        <f>IF(AND('Mapa final'!$Y$71="Media",'Mapa final'!$AA$71="Catastrófico"),CONCATENATE("R8C",'Mapa final'!$O$71),"")</f>
        <v/>
      </c>
      <c r="AM33" s="56" t="str">
        <f>IF(AND('Mapa final'!$Y$72="Media",'Mapa final'!$AA$72="Catastrófico"),CONCATENATE("R8C",'Mapa final'!$O$72),"")</f>
        <v/>
      </c>
      <c r="AN33" s="82"/>
      <c r="AO33" s="478"/>
      <c r="AP33" s="479"/>
      <c r="AQ33" s="479"/>
      <c r="AR33" s="479"/>
      <c r="AS33" s="479"/>
      <c r="AT33" s="480"/>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397"/>
      <c r="C34" s="397"/>
      <c r="D34" s="398"/>
      <c r="E34" s="438"/>
      <c r="F34" s="439"/>
      <c r="G34" s="439"/>
      <c r="H34" s="439"/>
      <c r="I34" s="440"/>
      <c r="J34" s="66" t="str">
        <f>IF(AND('Mapa final'!$Y$73="Media",'Mapa final'!$AA$73="Leve"),CONCATENATE("R9C",'Mapa final'!$O$73),"")</f>
        <v/>
      </c>
      <c r="K34" s="67" t="str">
        <f>IF(AND('Mapa final'!$Y$74="Media",'Mapa final'!$AA$74="Leve"),CONCATENATE("R9C",'Mapa final'!$O$74),"")</f>
        <v/>
      </c>
      <c r="L34" s="67" t="str">
        <f>IF(AND('Mapa final'!$Y$75="Media",'Mapa final'!$AA$75="Leve"),CONCATENATE("R9C",'Mapa final'!$O$75),"")</f>
        <v/>
      </c>
      <c r="M34" s="67" t="str">
        <f>IF(AND('Mapa final'!$Y$76="Media",'Mapa final'!$AA$76="Leve"),CONCATENATE("R9C",'Mapa final'!$O$76),"")</f>
        <v/>
      </c>
      <c r="N34" s="67" t="str">
        <f>IF(AND('Mapa final'!$Y$77="Media",'Mapa final'!$AA$77="Leve"),CONCATENATE("R9C",'Mapa final'!$O$77),"")</f>
        <v/>
      </c>
      <c r="O34" s="68" t="str">
        <f>IF(AND('Mapa final'!$Y$78="Media",'Mapa final'!$AA$78="Leve"),CONCATENATE("R9C",'Mapa final'!$O$78),"")</f>
        <v/>
      </c>
      <c r="P34" s="66" t="str">
        <f>IF(AND('Mapa final'!$Y$73="Media",'Mapa final'!$AA$73="Menor"),CONCATENATE("R9C",'Mapa final'!$O$73),"")</f>
        <v/>
      </c>
      <c r="Q34" s="67" t="str">
        <f>IF(AND('Mapa final'!$Y$74="Media",'Mapa final'!$AA$74="Menor"),CONCATENATE("R9C",'Mapa final'!$O$74),"")</f>
        <v/>
      </c>
      <c r="R34" s="67" t="str">
        <f>IF(AND('Mapa final'!$Y$75="Media",'Mapa final'!$AA$75="Menor"),CONCATENATE("R9C",'Mapa final'!$O$75),"")</f>
        <v/>
      </c>
      <c r="S34" s="67" t="str">
        <f>IF(AND('Mapa final'!$Y$76="Media",'Mapa final'!$AA$76="Menor"),CONCATENATE("R9C",'Mapa final'!$O$76),"")</f>
        <v/>
      </c>
      <c r="T34" s="67" t="str">
        <f>IF(AND('Mapa final'!$Y$77="Media",'Mapa final'!$AA$77="Menor"),CONCATENATE("R9C",'Mapa final'!$O$77),"")</f>
        <v/>
      </c>
      <c r="U34" s="68" t="str">
        <f>IF(AND('Mapa final'!$Y$78="Media",'Mapa final'!$AA$78="Menor"),CONCATENATE("R9C",'Mapa final'!$O$78),"")</f>
        <v/>
      </c>
      <c r="V34" s="66" t="str">
        <f>IF(AND('Mapa final'!$Y$73="Media",'Mapa final'!$AA$73="Moderado"),CONCATENATE("R9C",'Mapa final'!$O$73),"")</f>
        <v/>
      </c>
      <c r="W34" s="67" t="str">
        <f>IF(AND('Mapa final'!$Y$74="Media",'Mapa final'!$AA$74="Moderado"),CONCATENATE("R9C",'Mapa final'!$O$74),"")</f>
        <v/>
      </c>
      <c r="X34" s="67" t="str">
        <f>IF(AND('Mapa final'!$Y$75="Media",'Mapa final'!$AA$75="Moderado"),CONCATENATE("R9C",'Mapa final'!$O$75),"")</f>
        <v/>
      </c>
      <c r="Y34" s="67" t="str">
        <f>IF(AND('Mapa final'!$Y$76="Media",'Mapa final'!$AA$76="Moderado"),CONCATENATE("R9C",'Mapa final'!$O$76),"")</f>
        <v/>
      </c>
      <c r="Z34" s="67" t="str">
        <f>IF(AND('Mapa final'!$Y$77="Media",'Mapa final'!$AA$77="Moderado"),CONCATENATE("R9C",'Mapa final'!$O$77),"")</f>
        <v/>
      </c>
      <c r="AA34" s="68" t="str">
        <f>IF(AND('Mapa final'!$Y$78="Media",'Mapa final'!$AA$78="Moderado"),CONCATENATE("R9C",'Mapa final'!$O$78),"")</f>
        <v/>
      </c>
      <c r="AB34" s="51" t="str">
        <f>IF(AND('Mapa final'!$Y$73="Media",'Mapa final'!$AA$73="Mayor"),CONCATENATE("R9C",'Mapa final'!$O$73),"")</f>
        <v/>
      </c>
      <c r="AC34" s="52" t="str">
        <f>IF(AND('Mapa final'!$Y$74="Media",'Mapa final'!$AA$74="Mayor"),CONCATENATE("R9C",'Mapa final'!$O$74),"")</f>
        <v/>
      </c>
      <c r="AD34" s="52" t="str">
        <f>IF(AND('Mapa final'!$Y$75="Media",'Mapa final'!$AA$75="Mayor"),CONCATENATE("R9C",'Mapa final'!$O$75),"")</f>
        <v/>
      </c>
      <c r="AE34" s="52" t="str">
        <f>IF(AND('Mapa final'!$Y$76="Media",'Mapa final'!$AA$76="Mayor"),CONCATENATE("R9C",'Mapa final'!$O$76),"")</f>
        <v/>
      </c>
      <c r="AF34" s="52" t="str">
        <f>IF(AND('Mapa final'!$Y$77="Media",'Mapa final'!$AA$77="Mayor"),CONCATENATE("R9C",'Mapa final'!$O$77),"")</f>
        <v/>
      </c>
      <c r="AG34" s="53" t="str">
        <f>IF(AND('Mapa final'!$Y$78="Media",'Mapa final'!$AA$78="Mayor"),CONCATENATE("R9C",'Mapa final'!$O$78),"")</f>
        <v/>
      </c>
      <c r="AH34" s="54" t="str">
        <f>IF(AND('Mapa final'!$Y$73="Media",'Mapa final'!$AA$73="Catastrófico"),CONCATENATE("R9C",'Mapa final'!$O$73),"")</f>
        <v/>
      </c>
      <c r="AI34" s="55" t="str">
        <f>IF(AND('Mapa final'!$Y$74="Media",'Mapa final'!$AA$74="Catastrófico"),CONCATENATE("R9C",'Mapa final'!$O$74),"")</f>
        <v/>
      </c>
      <c r="AJ34" s="55" t="str">
        <f>IF(AND('Mapa final'!$Y$75="Media",'Mapa final'!$AA$75="Catastrófico"),CONCATENATE("R9C",'Mapa final'!$O$75),"")</f>
        <v/>
      </c>
      <c r="AK34" s="55" t="str">
        <f>IF(AND('Mapa final'!$Y$76="Media",'Mapa final'!$AA$76="Catastrófico"),CONCATENATE("R9C",'Mapa final'!$O$76),"")</f>
        <v/>
      </c>
      <c r="AL34" s="55" t="str">
        <f>IF(AND('Mapa final'!$Y$77="Media",'Mapa final'!$AA$77="Catastrófico"),CONCATENATE("R9C",'Mapa final'!$O$77),"")</f>
        <v/>
      </c>
      <c r="AM34" s="56" t="str">
        <f>IF(AND('Mapa final'!$Y$78="Media",'Mapa final'!$AA$78="Catastrófico"),CONCATENATE("R9C",'Mapa final'!$O$78),"")</f>
        <v/>
      </c>
      <c r="AN34" s="82"/>
      <c r="AO34" s="478"/>
      <c r="AP34" s="479"/>
      <c r="AQ34" s="479"/>
      <c r="AR34" s="479"/>
      <c r="AS34" s="479"/>
      <c r="AT34" s="480"/>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397"/>
      <c r="C35" s="397"/>
      <c r="D35" s="398"/>
      <c r="E35" s="441"/>
      <c r="F35" s="442"/>
      <c r="G35" s="442"/>
      <c r="H35" s="442"/>
      <c r="I35" s="443"/>
      <c r="J35" s="66" t="str">
        <f>IF(AND('Mapa final'!$Y$79="Media",'Mapa final'!$AA$79="Leve"),CONCATENATE("R10C",'Mapa final'!$O$79),"")</f>
        <v/>
      </c>
      <c r="K35" s="67" t="str">
        <f>IF(AND('Mapa final'!$Y$80="Media",'Mapa final'!$AA$80="Leve"),CONCATENATE("R10C",'Mapa final'!$O$80),"")</f>
        <v/>
      </c>
      <c r="L35" s="67" t="str">
        <f>IF(AND('Mapa final'!$Y$81="Media",'Mapa final'!$AA$81="Leve"),CONCATENATE("R10C",'Mapa final'!$O$81),"")</f>
        <v/>
      </c>
      <c r="M35" s="67" t="str">
        <f>IF(AND('Mapa final'!$Y$82="Media",'Mapa final'!$AA$82="Leve"),CONCATENATE("R10C",'Mapa final'!$O$82),"")</f>
        <v/>
      </c>
      <c r="N35" s="67" t="str">
        <f>IF(AND('Mapa final'!$Y$83="Media",'Mapa final'!$AA$83="Leve"),CONCATENATE("R10C",'Mapa final'!$O$83),"")</f>
        <v/>
      </c>
      <c r="O35" s="68" t="str">
        <f>IF(AND('Mapa final'!$Y$84="Media",'Mapa final'!$AA$84="Leve"),CONCATENATE("R10C",'Mapa final'!$O$84),"")</f>
        <v/>
      </c>
      <c r="P35" s="66" t="str">
        <f>IF(AND('Mapa final'!$Y$79="Media",'Mapa final'!$AA$79="Menor"),CONCATENATE("R10C",'Mapa final'!$O$79),"")</f>
        <v/>
      </c>
      <c r="Q35" s="67" t="str">
        <f>IF(AND('Mapa final'!$Y$80="Media",'Mapa final'!$AA$80="Menor"),CONCATENATE("R10C",'Mapa final'!$O$80),"")</f>
        <v/>
      </c>
      <c r="R35" s="67" t="str">
        <f>IF(AND('Mapa final'!$Y$81="Media",'Mapa final'!$AA$81="Menor"),CONCATENATE("R10C",'Mapa final'!$O$81),"")</f>
        <v/>
      </c>
      <c r="S35" s="67" t="str">
        <f>IF(AND('Mapa final'!$Y$82="Media",'Mapa final'!$AA$82="Menor"),CONCATENATE("R10C",'Mapa final'!$O$82),"")</f>
        <v/>
      </c>
      <c r="T35" s="67" t="str">
        <f>IF(AND('Mapa final'!$Y$83="Media",'Mapa final'!$AA$83="Menor"),CONCATENATE("R10C",'Mapa final'!$O$83),"")</f>
        <v/>
      </c>
      <c r="U35" s="68" t="str">
        <f>IF(AND('Mapa final'!$Y$84="Media",'Mapa final'!$AA$84="Menor"),CONCATENATE("R10C",'Mapa final'!$O$84),"")</f>
        <v/>
      </c>
      <c r="V35" s="66" t="str">
        <f>IF(AND('Mapa final'!$Y$79="Media",'Mapa final'!$AA$79="Moderado"),CONCATENATE("R10C",'Mapa final'!$O$79),"")</f>
        <v/>
      </c>
      <c r="W35" s="67" t="str">
        <f>IF(AND('Mapa final'!$Y$80="Media",'Mapa final'!$AA$80="Moderado"),CONCATENATE("R10C",'Mapa final'!$O$80),"")</f>
        <v/>
      </c>
      <c r="X35" s="67" t="str">
        <f>IF(AND('Mapa final'!$Y$81="Media",'Mapa final'!$AA$81="Moderado"),CONCATENATE("R10C",'Mapa final'!$O$81),"")</f>
        <v/>
      </c>
      <c r="Y35" s="67" t="str">
        <f>IF(AND('Mapa final'!$Y$82="Media",'Mapa final'!$AA$82="Moderado"),CONCATENATE("R10C",'Mapa final'!$O$82),"")</f>
        <v/>
      </c>
      <c r="Z35" s="67" t="str">
        <f>IF(AND('Mapa final'!$Y$83="Media",'Mapa final'!$AA$83="Moderado"),CONCATENATE("R10C",'Mapa final'!$O$83),"")</f>
        <v/>
      </c>
      <c r="AA35" s="68" t="str">
        <f>IF(AND('Mapa final'!$Y$84="Media",'Mapa final'!$AA$84="Moderado"),CONCATENATE("R10C",'Mapa final'!$O$84),"")</f>
        <v/>
      </c>
      <c r="AB35" s="57" t="str">
        <f>IF(AND('Mapa final'!$Y$79="Media",'Mapa final'!$AA$79="Mayor"),CONCATENATE("R10C",'Mapa final'!$O$79),"")</f>
        <v/>
      </c>
      <c r="AC35" s="58" t="str">
        <f>IF(AND('Mapa final'!$Y$80="Media",'Mapa final'!$AA$80="Mayor"),CONCATENATE("R10C",'Mapa final'!$O$80),"")</f>
        <v/>
      </c>
      <c r="AD35" s="58" t="str">
        <f>IF(AND('Mapa final'!$Y$81="Media",'Mapa final'!$AA$81="Mayor"),CONCATENATE("R10C",'Mapa final'!$O$81),"")</f>
        <v/>
      </c>
      <c r="AE35" s="58" t="str">
        <f>IF(AND('Mapa final'!$Y$82="Media",'Mapa final'!$AA$82="Mayor"),CONCATENATE("R10C",'Mapa final'!$O$82),"")</f>
        <v/>
      </c>
      <c r="AF35" s="58" t="str">
        <f>IF(AND('Mapa final'!$Y$83="Media",'Mapa final'!$AA$83="Mayor"),CONCATENATE("R10C",'Mapa final'!$O$83),"")</f>
        <v/>
      </c>
      <c r="AG35" s="59" t="str">
        <f>IF(AND('Mapa final'!$Y$84="Media",'Mapa final'!$AA$84="Mayor"),CONCATENATE("R10C",'Mapa final'!$O$84),"")</f>
        <v/>
      </c>
      <c r="AH35" s="60" t="str">
        <f>IF(AND('Mapa final'!$Y$79="Media",'Mapa final'!$AA$79="Catastrófico"),CONCATENATE("R10C",'Mapa final'!$O$79),"")</f>
        <v/>
      </c>
      <c r="AI35" s="61" t="str">
        <f>IF(AND('Mapa final'!$Y$80="Media",'Mapa final'!$AA$80="Catastrófico"),CONCATENATE("R10C",'Mapa final'!$O$80),"")</f>
        <v/>
      </c>
      <c r="AJ35" s="61" t="str">
        <f>IF(AND('Mapa final'!$Y$81="Media",'Mapa final'!$AA$81="Catastrófico"),CONCATENATE("R10C",'Mapa final'!$O$81),"")</f>
        <v/>
      </c>
      <c r="AK35" s="61" t="str">
        <f>IF(AND('Mapa final'!$Y$82="Media",'Mapa final'!$AA$82="Catastrófico"),CONCATENATE("R10C",'Mapa final'!$O$82),"")</f>
        <v/>
      </c>
      <c r="AL35" s="61" t="str">
        <f>IF(AND('Mapa final'!$Y$83="Media",'Mapa final'!$AA$83="Catastrófico"),CONCATENATE("R10C",'Mapa final'!$O$83),"")</f>
        <v/>
      </c>
      <c r="AM35" s="62" t="str">
        <f>IF(AND('Mapa final'!$Y$84="Media",'Mapa final'!$AA$84="Catastrófico"),CONCATENATE("R10C",'Mapa final'!$O$84),"")</f>
        <v/>
      </c>
      <c r="AN35" s="82"/>
      <c r="AO35" s="481"/>
      <c r="AP35" s="482"/>
      <c r="AQ35" s="482"/>
      <c r="AR35" s="482"/>
      <c r="AS35" s="482"/>
      <c r="AT35" s="483"/>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397"/>
      <c r="C36" s="397"/>
      <c r="D36" s="398"/>
      <c r="E36" s="435" t="s">
        <v>179</v>
      </c>
      <c r="F36" s="436"/>
      <c r="G36" s="436"/>
      <c r="H36" s="436"/>
      <c r="I36" s="436"/>
      <c r="J36" s="72" t="str">
        <f>IF(AND('Mapa final'!$Y$25="Baja",'Mapa final'!$AA$25="Leve"),CONCATENATE("R1C",'Mapa final'!$O$25),"")</f>
        <v/>
      </c>
      <c r="K36" s="73" t="str">
        <f>IF(AND('Mapa final'!$Y$26="Baja",'Mapa final'!$AA$26="Leve"),CONCATENATE("R1C",'Mapa final'!$O$26),"")</f>
        <v/>
      </c>
      <c r="L36" s="73" t="str">
        <f>IF(AND('Mapa final'!$Y$27="Baja",'Mapa final'!$AA$27="Leve"),CONCATENATE("R1C",'Mapa final'!$O$27),"")</f>
        <v/>
      </c>
      <c r="M36" s="73" t="str">
        <f>IF(AND('Mapa final'!$Y$28="Baja",'Mapa final'!$AA$28="Leve"),CONCATENATE("R1C",'Mapa final'!$O$28),"")</f>
        <v/>
      </c>
      <c r="N36" s="73" t="str">
        <f>IF(AND('Mapa final'!$Y$29="Baja",'Mapa final'!$AA$29="Leve"),CONCATENATE("R1C",'Mapa final'!$O$29),"")</f>
        <v/>
      </c>
      <c r="O36" s="74" t="str">
        <f>IF(AND('Mapa final'!$Y$30="Baja",'Mapa final'!$AA$30="Leve"),CONCATENATE("R1C",'Mapa final'!$O$30),"")</f>
        <v/>
      </c>
      <c r="P36" s="63" t="str">
        <f>IF(AND('Mapa final'!$Y$25="Baja",'Mapa final'!$AA$25="Menor"),CONCATENATE("R1C",'Mapa final'!$O$25),"")</f>
        <v/>
      </c>
      <c r="Q36" s="64" t="str">
        <f>IF(AND('Mapa final'!$Y$26="Baja",'Mapa final'!$AA$26="Menor"),CONCATENATE("R1C",'Mapa final'!$O$26),"")</f>
        <v/>
      </c>
      <c r="R36" s="64" t="str">
        <f>IF(AND('Mapa final'!$Y$27="Baja",'Mapa final'!$AA$27="Menor"),CONCATENATE("R1C",'Mapa final'!$O$27),"")</f>
        <v/>
      </c>
      <c r="S36" s="64" t="str">
        <f>IF(AND('Mapa final'!$Y$28="Baja",'Mapa final'!$AA$28="Menor"),CONCATENATE("R1C",'Mapa final'!$O$28),"")</f>
        <v/>
      </c>
      <c r="T36" s="64" t="str">
        <f>IF(AND('Mapa final'!$Y$29="Baja",'Mapa final'!$AA$29="Menor"),CONCATENATE("R1C",'Mapa final'!$O$29),"")</f>
        <v/>
      </c>
      <c r="U36" s="65" t="str">
        <f>IF(AND('Mapa final'!$Y$30="Baja",'Mapa final'!$AA$30="Menor"),CONCATENATE("R1C",'Mapa final'!$O$30),"")</f>
        <v/>
      </c>
      <c r="V36" s="63" t="str">
        <f>IF(AND('Mapa final'!$Y$25="Baja",'Mapa final'!$AA$25="Moderado"),CONCATENATE("R1C",'Mapa final'!$O$25),"")</f>
        <v/>
      </c>
      <c r="W36" s="64" t="str">
        <f>IF(AND('Mapa final'!$Y$26="Baja",'Mapa final'!$AA$26="Moderado"),CONCATENATE("R1C",'Mapa final'!$O$26),"")</f>
        <v/>
      </c>
      <c r="X36" s="64" t="str">
        <f>IF(AND('Mapa final'!$Y$27="Baja",'Mapa final'!$AA$27="Moderado"),CONCATENATE("R1C",'Mapa final'!$O$27),"")</f>
        <v/>
      </c>
      <c r="Y36" s="64" t="str">
        <f>IF(AND('Mapa final'!$Y$28="Baja",'Mapa final'!$AA$28="Moderado"),CONCATENATE("R1C",'Mapa final'!$O$28),"")</f>
        <v/>
      </c>
      <c r="Z36" s="64" t="str">
        <f>IF(AND('Mapa final'!$Y$29="Baja",'Mapa final'!$AA$29="Moderado"),CONCATENATE("R1C",'Mapa final'!$O$29),"")</f>
        <v/>
      </c>
      <c r="AA36" s="65" t="str">
        <f>IF(AND('Mapa final'!$Y$30="Baja",'Mapa final'!$AA$30="Moderado"),CONCATENATE("R1C",'Mapa final'!$O$30),"")</f>
        <v/>
      </c>
      <c r="AB36" s="45" t="str">
        <f>IF(AND('Mapa final'!$Y$25="Baja",'Mapa final'!$AA$25="Mayor"),CONCATENATE("R1C",'Mapa final'!$O$25),"")</f>
        <v/>
      </c>
      <c r="AC36" s="46" t="str">
        <f>IF(AND('Mapa final'!$Y$26="Baja",'Mapa final'!$AA$26="Mayor"),CONCATENATE("R1C",'Mapa final'!$O$26),"")</f>
        <v/>
      </c>
      <c r="AD36" s="46" t="str">
        <f>IF(AND('Mapa final'!$Y$27="Baja",'Mapa final'!$AA$27="Mayor"),CONCATENATE("R1C",'Mapa final'!$O$27),"")</f>
        <v/>
      </c>
      <c r="AE36" s="46" t="str">
        <f>IF(AND('Mapa final'!$Y$28="Baja",'Mapa final'!$AA$28="Mayor"),CONCATENATE("R1C",'Mapa final'!$O$28),"")</f>
        <v/>
      </c>
      <c r="AF36" s="46" t="str">
        <f>IF(AND('Mapa final'!$Y$29="Baja",'Mapa final'!$AA$29="Mayor"),CONCATENATE("R1C",'Mapa final'!$O$29),"")</f>
        <v/>
      </c>
      <c r="AG36" s="47" t="str">
        <f>IF(AND('Mapa final'!$Y$30="Baja",'Mapa final'!$AA$30="Mayor"),CONCATENATE("R1C",'Mapa final'!$O$30),"")</f>
        <v/>
      </c>
      <c r="AH36" s="48" t="str">
        <f>IF(AND('Mapa final'!$Y$25="Baja",'Mapa final'!$AA$25="Catastrófico"),CONCATENATE("R1C",'Mapa final'!$O$25),"")</f>
        <v/>
      </c>
      <c r="AI36" s="49" t="str">
        <f>IF(AND('Mapa final'!$Y$26="Baja",'Mapa final'!$AA$26="Catastrófico"),CONCATENATE("R1C",'Mapa final'!$O$26),"")</f>
        <v/>
      </c>
      <c r="AJ36" s="49" t="str">
        <f>IF(AND('Mapa final'!$Y$27="Baja",'Mapa final'!$AA$27="Catastrófico"),CONCATENATE("R1C",'Mapa final'!$O$27),"")</f>
        <v/>
      </c>
      <c r="AK36" s="49" t="str">
        <f>IF(AND('Mapa final'!$Y$28="Baja",'Mapa final'!$AA$28="Catastrófico"),CONCATENATE("R1C",'Mapa final'!$O$28),"")</f>
        <v/>
      </c>
      <c r="AL36" s="49" t="str">
        <f>IF(AND('Mapa final'!$Y$29="Baja",'Mapa final'!$AA$29="Catastrófico"),CONCATENATE("R1C",'Mapa final'!$O$29),"")</f>
        <v/>
      </c>
      <c r="AM36" s="50" t="str">
        <f>IF(AND('Mapa final'!$Y$30="Baja",'Mapa final'!$AA$30="Catastrófico"),CONCATENATE("R1C",'Mapa final'!$O$30),"")</f>
        <v/>
      </c>
      <c r="AN36" s="82"/>
      <c r="AO36" s="466" t="s">
        <v>180</v>
      </c>
      <c r="AP36" s="467"/>
      <c r="AQ36" s="467"/>
      <c r="AR36" s="467"/>
      <c r="AS36" s="467"/>
      <c r="AT36" s="468"/>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397"/>
      <c r="C37" s="397"/>
      <c r="D37" s="398"/>
      <c r="E37" s="454"/>
      <c r="F37" s="439"/>
      <c r="G37" s="439"/>
      <c r="H37" s="439"/>
      <c r="I37" s="439"/>
      <c r="J37" s="75" t="str">
        <f>IF(AND('Mapa final'!$Y$31="Baja",'Mapa final'!$AA$31="Leve"),CONCATENATE("R2C",'Mapa final'!$O$31),"")</f>
        <v/>
      </c>
      <c r="K37" s="76" t="str">
        <f>IF(AND('Mapa final'!$Y$32="Baja",'Mapa final'!$AA$32="Leve"),CONCATENATE("R2C",'Mapa final'!$O$32),"")</f>
        <v/>
      </c>
      <c r="L37" s="76" t="str">
        <f>IF(AND('Mapa final'!$Y$33="Baja",'Mapa final'!$AA$33="Leve"),CONCATENATE("R2C",'Mapa final'!$O$33),"")</f>
        <v/>
      </c>
      <c r="M37" s="76" t="str">
        <f>IF(AND('Mapa final'!$Y$34="Baja",'Mapa final'!$AA$34="Leve"),CONCATENATE("R2C",'Mapa final'!$O$34),"")</f>
        <v/>
      </c>
      <c r="N37" s="76" t="str">
        <f>IF(AND('Mapa final'!$Y$35="Baja",'Mapa final'!$AA$35="Leve"),CONCATENATE("R2C",'Mapa final'!$O$35),"")</f>
        <v/>
      </c>
      <c r="O37" s="77" t="str">
        <f>IF(AND('Mapa final'!$Y$36="Baja",'Mapa final'!$AA$36="Leve"),CONCATENATE("R2C",'Mapa final'!$O$36),"")</f>
        <v/>
      </c>
      <c r="P37" s="66" t="str">
        <f>IF(AND('Mapa final'!$Y$31="Baja",'Mapa final'!$AA$31="Menor"),CONCATENATE("R2C",'Mapa final'!$O$31),"")</f>
        <v/>
      </c>
      <c r="Q37" s="67" t="str">
        <f>IF(AND('Mapa final'!$Y$32="Baja",'Mapa final'!$AA$32="Menor"),CONCATENATE("R2C",'Mapa final'!$O$32),"")</f>
        <v/>
      </c>
      <c r="R37" s="67" t="str">
        <f>IF(AND('Mapa final'!$Y$33="Baja",'Mapa final'!$AA$33="Menor"),CONCATENATE("R2C",'Mapa final'!$O$33),"")</f>
        <v/>
      </c>
      <c r="S37" s="67" t="str">
        <f>IF(AND('Mapa final'!$Y$34="Baja",'Mapa final'!$AA$34="Menor"),CONCATENATE("R2C",'Mapa final'!$O$34),"")</f>
        <v/>
      </c>
      <c r="T37" s="67" t="str">
        <f>IF(AND('Mapa final'!$Y$35="Baja",'Mapa final'!$AA$35="Menor"),CONCATENATE("R2C",'Mapa final'!$O$35),"")</f>
        <v/>
      </c>
      <c r="U37" s="68" t="str">
        <f>IF(AND('Mapa final'!$Y$36="Baja",'Mapa final'!$AA$36="Menor"),CONCATENATE("R2C",'Mapa final'!$O$36),"")</f>
        <v/>
      </c>
      <c r="V37" s="66" t="str">
        <f>IF(AND('Mapa final'!$Y$31="Baja",'Mapa final'!$AA$31="Moderado"),CONCATENATE("R2C",'Mapa final'!$O$31),"")</f>
        <v>R2C1</v>
      </c>
      <c r="W37" s="67" t="str">
        <f>IF(AND('Mapa final'!$Y$32="Baja",'Mapa final'!$AA$32="Moderado"),CONCATENATE("R2C",'Mapa final'!$O$32),"")</f>
        <v/>
      </c>
      <c r="X37" s="67" t="str">
        <f>IF(AND('Mapa final'!$Y$33="Baja",'Mapa final'!$AA$33="Moderado"),CONCATENATE("R2C",'Mapa final'!$O$33),"")</f>
        <v/>
      </c>
      <c r="Y37" s="67" t="str">
        <f>IF(AND('Mapa final'!$Y$34="Baja",'Mapa final'!$AA$34="Moderado"),CONCATENATE("R2C",'Mapa final'!$O$34),"")</f>
        <v/>
      </c>
      <c r="Z37" s="67" t="str">
        <f>IF(AND('Mapa final'!$Y$35="Baja",'Mapa final'!$AA$35="Moderado"),CONCATENATE("R2C",'Mapa final'!$O$35),"")</f>
        <v/>
      </c>
      <c r="AA37" s="68" t="str">
        <f>IF(AND('Mapa final'!$Y$36="Baja",'Mapa final'!$AA$36="Moderado"),CONCATENATE("R2C",'Mapa final'!$O$36),"")</f>
        <v/>
      </c>
      <c r="AB37" s="51" t="str">
        <f>IF(AND('Mapa final'!$Y$31="Baja",'Mapa final'!$AA$31="Mayor"),CONCATENATE("R2C",'Mapa final'!$O$31),"")</f>
        <v/>
      </c>
      <c r="AC37" s="52" t="str">
        <f>IF(AND('Mapa final'!$Y$32="Baja",'Mapa final'!$AA$32="Mayor"),CONCATENATE("R2C",'Mapa final'!$O$32),"")</f>
        <v/>
      </c>
      <c r="AD37" s="52" t="str">
        <f>IF(AND('Mapa final'!$Y$33="Baja",'Mapa final'!$AA$33="Mayor"),CONCATENATE("R2C",'Mapa final'!$O$33),"")</f>
        <v/>
      </c>
      <c r="AE37" s="52" t="str">
        <f>IF(AND('Mapa final'!$Y$34="Baja",'Mapa final'!$AA$34="Mayor"),CONCATENATE("R2C",'Mapa final'!$O$34),"")</f>
        <v/>
      </c>
      <c r="AF37" s="52" t="str">
        <f>IF(AND('Mapa final'!$Y$35="Baja",'Mapa final'!$AA$35="Mayor"),CONCATENATE("R2C",'Mapa final'!$O$35),"")</f>
        <v/>
      </c>
      <c r="AG37" s="53" t="str">
        <f>IF(AND('Mapa final'!$Y$36="Baja",'Mapa final'!$AA$36="Mayor"),CONCATENATE("R2C",'Mapa final'!$O$36),"")</f>
        <v/>
      </c>
      <c r="AH37" s="54" t="str">
        <f>IF(AND('Mapa final'!$Y$31="Baja",'Mapa final'!$AA$31="Catastrófico"),CONCATENATE("R2C",'Mapa final'!$O$31),"")</f>
        <v/>
      </c>
      <c r="AI37" s="55" t="str">
        <f>IF(AND('Mapa final'!$Y$32="Baja",'Mapa final'!$AA$32="Catastrófico"),CONCATENATE("R2C",'Mapa final'!$O$32),"")</f>
        <v/>
      </c>
      <c r="AJ37" s="55" t="str">
        <f>IF(AND('Mapa final'!$Y$33="Baja",'Mapa final'!$AA$33="Catastrófico"),CONCATENATE("R2C",'Mapa final'!$O$33),"")</f>
        <v/>
      </c>
      <c r="AK37" s="55" t="str">
        <f>IF(AND('Mapa final'!$Y$34="Baja",'Mapa final'!$AA$34="Catastrófico"),CONCATENATE("R2C",'Mapa final'!$O$34),"")</f>
        <v/>
      </c>
      <c r="AL37" s="55" t="str">
        <f>IF(AND('Mapa final'!$Y$35="Baja",'Mapa final'!$AA$35="Catastrófico"),CONCATENATE("R2C",'Mapa final'!$O$35),"")</f>
        <v/>
      </c>
      <c r="AM37" s="56" t="str">
        <f>IF(AND('Mapa final'!$Y$36="Baja",'Mapa final'!$AA$36="Catastrófico"),CONCATENATE("R2C",'Mapa final'!$O$36),"")</f>
        <v/>
      </c>
      <c r="AN37" s="82"/>
      <c r="AO37" s="469"/>
      <c r="AP37" s="470"/>
      <c r="AQ37" s="470"/>
      <c r="AR37" s="470"/>
      <c r="AS37" s="470"/>
      <c r="AT37" s="471"/>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397"/>
      <c r="C38" s="397"/>
      <c r="D38" s="398"/>
      <c r="E38" s="438"/>
      <c r="F38" s="439"/>
      <c r="G38" s="439"/>
      <c r="H38" s="439"/>
      <c r="I38" s="439"/>
      <c r="J38" s="75" t="str">
        <f>IF(AND('Mapa final'!$Y$37="Baja",'Mapa final'!$AA$37="Leve"),CONCATENATE("R3C",'Mapa final'!$O$37),"")</f>
        <v/>
      </c>
      <c r="K38" s="76" t="str">
        <f>IF(AND('Mapa final'!$Y$38="Baja",'Mapa final'!$AA$38="Leve"),CONCATENATE("R3C",'Mapa final'!$O$38),"")</f>
        <v/>
      </c>
      <c r="L38" s="76" t="str">
        <f>IF(AND('Mapa final'!$Y$39="Baja",'Mapa final'!$AA$39="Leve"),CONCATENATE("R3C",'Mapa final'!$O$39),"")</f>
        <v/>
      </c>
      <c r="M38" s="76" t="str">
        <f>IF(AND('Mapa final'!$Y$40="Baja",'Mapa final'!$AA$40="Leve"),CONCATENATE("R3C",'Mapa final'!$O$40),"")</f>
        <v/>
      </c>
      <c r="N38" s="76" t="str">
        <f>IF(AND('Mapa final'!$Y$41="Baja",'Mapa final'!$AA$41="Leve"),CONCATENATE("R3C",'Mapa final'!$O$41),"")</f>
        <v/>
      </c>
      <c r="O38" s="77" t="str">
        <f>IF(AND('Mapa final'!$Y$42="Baja",'Mapa final'!$AA$42="Leve"),CONCATENATE("R3C",'Mapa final'!$O$42),"")</f>
        <v/>
      </c>
      <c r="P38" s="66" t="str">
        <f>IF(AND('Mapa final'!$Y$37="Baja",'Mapa final'!$AA$37="Menor"),CONCATENATE("R3C",'Mapa final'!$O$37),"")</f>
        <v/>
      </c>
      <c r="Q38" s="67" t="str">
        <f>IF(AND('Mapa final'!$Y$38="Baja",'Mapa final'!$AA$38="Menor"),CONCATENATE("R3C",'Mapa final'!$O$38),"")</f>
        <v/>
      </c>
      <c r="R38" s="67" t="str">
        <f>IF(AND('Mapa final'!$Y$39="Baja",'Mapa final'!$AA$39="Menor"),CONCATENATE("R3C",'Mapa final'!$O$39),"")</f>
        <v/>
      </c>
      <c r="S38" s="67" t="str">
        <f>IF(AND('Mapa final'!$Y$40="Baja",'Mapa final'!$AA$40="Menor"),CONCATENATE("R3C",'Mapa final'!$O$40),"")</f>
        <v/>
      </c>
      <c r="T38" s="67" t="str">
        <f>IF(AND('Mapa final'!$Y$41="Baja",'Mapa final'!$AA$41="Menor"),CONCATENATE("R3C",'Mapa final'!$O$41),"")</f>
        <v/>
      </c>
      <c r="U38" s="68" t="str">
        <f>IF(AND('Mapa final'!$Y$42="Baja",'Mapa final'!$AA$42="Menor"),CONCATENATE("R3C",'Mapa final'!$O$42),"")</f>
        <v/>
      </c>
      <c r="V38" s="66" t="str">
        <f>IF(AND('Mapa final'!$Y$37="Baja",'Mapa final'!$AA$37="Moderado"),CONCATENATE("R3C",'Mapa final'!$O$37),"")</f>
        <v/>
      </c>
      <c r="W38" s="67" t="str">
        <f>IF(AND('Mapa final'!$Y$38="Baja",'Mapa final'!$AA$38="Moderado"),CONCATENATE("R3C",'Mapa final'!$O$38),"")</f>
        <v/>
      </c>
      <c r="X38" s="67" t="str">
        <f>IF(AND('Mapa final'!$Y$39="Baja",'Mapa final'!$AA$39="Moderado"),CONCATENATE("R3C",'Mapa final'!$O$39),"")</f>
        <v/>
      </c>
      <c r="Y38" s="67" t="str">
        <f>IF(AND('Mapa final'!$Y$40="Baja",'Mapa final'!$AA$40="Moderado"),CONCATENATE("R3C",'Mapa final'!$O$40),"")</f>
        <v/>
      </c>
      <c r="Z38" s="67" t="str">
        <f>IF(AND('Mapa final'!$Y$41="Baja",'Mapa final'!$AA$41="Moderado"),CONCATENATE("R3C",'Mapa final'!$O$41),"")</f>
        <v/>
      </c>
      <c r="AA38" s="68" t="str">
        <f>IF(AND('Mapa final'!$Y$42="Baja",'Mapa final'!$AA$42="Moderado"),CONCATENATE("R3C",'Mapa final'!$O$42),"")</f>
        <v/>
      </c>
      <c r="AB38" s="51" t="str">
        <f>IF(AND('Mapa final'!$Y$37="Baja",'Mapa final'!$AA$37="Mayor"),CONCATENATE("R3C",'Mapa final'!$O$37),"")</f>
        <v/>
      </c>
      <c r="AC38" s="52" t="str">
        <f>IF(AND('Mapa final'!$Y$38="Baja",'Mapa final'!$AA$38="Mayor"),CONCATENATE("R3C",'Mapa final'!$O$38),"")</f>
        <v/>
      </c>
      <c r="AD38" s="52" t="str">
        <f>IF(AND('Mapa final'!$Y$39="Baja",'Mapa final'!$AA$39="Mayor"),CONCATENATE("R3C",'Mapa final'!$O$39),"")</f>
        <v/>
      </c>
      <c r="AE38" s="52" t="str">
        <f>IF(AND('Mapa final'!$Y$40="Baja",'Mapa final'!$AA$40="Mayor"),CONCATENATE("R3C",'Mapa final'!$O$40),"")</f>
        <v/>
      </c>
      <c r="AF38" s="52" t="str">
        <f>IF(AND('Mapa final'!$Y$41="Baja",'Mapa final'!$AA$41="Mayor"),CONCATENATE("R3C",'Mapa final'!$O$41),"")</f>
        <v/>
      </c>
      <c r="AG38" s="53" t="str">
        <f>IF(AND('Mapa final'!$Y$42="Baja",'Mapa final'!$AA$42="Mayor"),CONCATENATE("R3C",'Mapa final'!$O$42),"")</f>
        <v/>
      </c>
      <c r="AH38" s="54" t="str">
        <f>IF(AND('Mapa final'!$Y$37="Baja",'Mapa final'!$AA$37="Catastrófico"),CONCATENATE("R3C",'Mapa final'!$O$37),"")</f>
        <v/>
      </c>
      <c r="AI38" s="55" t="str">
        <f>IF(AND('Mapa final'!$Y$38="Baja",'Mapa final'!$AA$38="Catastrófico"),CONCATENATE("R3C",'Mapa final'!$O$38),"")</f>
        <v/>
      </c>
      <c r="AJ38" s="55" t="str">
        <f>IF(AND('Mapa final'!$Y$39="Baja",'Mapa final'!$AA$39="Catastrófico"),CONCATENATE("R3C",'Mapa final'!$O$39),"")</f>
        <v/>
      </c>
      <c r="AK38" s="55" t="str">
        <f>IF(AND('Mapa final'!$Y$40="Baja",'Mapa final'!$AA$40="Catastrófico"),CONCATENATE("R3C",'Mapa final'!$O$40),"")</f>
        <v/>
      </c>
      <c r="AL38" s="55" t="str">
        <f>IF(AND('Mapa final'!$Y$41="Baja",'Mapa final'!$AA$41="Catastrófico"),CONCATENATE("R3C",'Mapa final'!$O$41),"")</f>
        <v/>
      </c>
      <c r="AM38" s="56" t="str">
        <f>IF(AND('Mapa final'!$Y$42="Baja",'Mapa final'!$AA$42="Catastrófico"),CONCATENATE("R3C",'Mapa final'!$O$42),"")</f>
        <v/>
      </c>
      <c r="AN38" s="82"/>
      <c r="AO38" s="469"/>
      <c r="AP38" s="470"/>
      <c r="AQ38" s="470"/>
      <c r="AR38" s="470"/>
      <c r="AS38" s="470"/>
      <c r="AT38" s="471"/>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397"/>
      <c r="C39" s="397"/>
      <c r="D39" s="398"/>
      <c r="E39" s="438"/>
      <c r="F39" s="439"/>
      <c r="G39" s="439"/>
      <c r="H39" s="439"/>
      <c r="I39" s="439"/>
      <c r="J39" s="75" t="str">
        <f>IF(AND('Mapa final'!$Y$43="Baja",'Mapa final'!$AA$43="Leve"),CONCATENATE("R4C",'Mapa final'!$O$43),"")</f>
        <v/>
      </c>
      <c r="K39" s="76" t="str">
        <f>IF(AND('Mapa final'!$Y$44="Baja",'Mapa final'!$AA$44="Leve"),CONCATENATE("R4C",'Mapa final'!$O$44),"")</f>
        <v/>
      </c>
      <c r="L39" s="76" t="str">
        <f>IF(AND('Mapa final'!$Y$45="Baja",'Mapa final'!$AA$45="Leve"),CONCATENATE("R4C",'Mapa final'!$O$45),"")</f>
        <v/>
      </c>
      <c r="M39" s="76" t="str">
        <f>IF(AND('Mapa final'!$Y$46="Baja",'Mapa final'!$AA$46="Leve"),CONCATENATE("R4C",'Mapa final'!$O$46),"")</f>
        <v/>
      </c>
      <c r="N39" s="76" t="str">
        <f>IF(AND('Mapa final'!$Y$47="Baja",'Mapa final'!$AA$47="Leve"),CONCATENATE("R4C",'Mapa final'!$O$47),"")</f>
        <v/>
      </c>
      <c r="O39" s="77" t="str">
        <f>IF(AND('Mapa final'!$Y$48="Baja",'Mapa final'!$AA$48="Leve"),CONCATENATE("R4C",'Mapa final'!$O$48),"")</f>
        <v/>
      </c>
      <c r="P39" s="66" t="str">
        <f>IF(AND('Mapa final'!$Y$43="Baja",'Mapa final'!$AA$43="Menor"),CONCATENATE("R4C",'Mapa final'!$O$43),"")</f>
        <v/>
      </c>
      <c r="Q39" s="67" t="str">
        <f>IF(AND('Mapa final'!$Y$44="Baja",'Mapa final'!$AA$44="Menor"),CONCATENATE("R4C",'Mapa final'!$O$44),"")</f>
        <v/>
      </c>
      <c r="R39" s="67" t="str">
        <f>IF(AND('Mapa final'!$Y$45="Baja",'Mapa final'!$AA$45="Menor"),CONCATENATE("R4C",'Mapa final'!$O$45),"")</f>
        <v/>
      </c>
      <c r="S39" s="67" t="str">
        <f>IF(AND('Mapa final'!$Y$46="Baja",'Mapa final'!$AA$46="Menor"),CONCATENATE("R4C",'Mapa final'!$O$46),"")</f>
        <v/>
      </c>
      <c r="T39" s="67" t="str">
        <f>IF(AND('Mapa final'!$Y$47="Baja",'Mapa final'!$AA$47="Menor"),CONCATENATE("R4C",'Mapa final'!$O$47),"")</f>
        <v/>
      </c>
      <c r="U39" s="68" t="str">
        <f>IF(AND('Mapa final'!$Y$48="Baja",'Mapa final'!$AA$48="Menor"),CONCATENATE("R4C",'Mapa final'!$O$48),"")</f>
        <v/>
      </c>
      <c r="V39" s="66" t="str">
        <f>IF(AND('Mapa final'!$Y$43="Baja",'Mapa final'!$AA$43="Moderado"),CONCATENATE("R4C",'Mapa final'!$O$43),"")</f>
        <v>R4C1</v>
      </c>
      <c r="W39" s="67" t="str">
        <f>IF(AND('Mapa final'!$Y$44="Baja",'Mapa final'!$AA$44="Moderado"),CONCATENATE("R4C",'Mapa final'!$O$44),"")</f>
        <v/>
      </c>
      <c r="X39" s="67" t="str">
        <f>IF(AND('Mapa final'!$Y$45="Baja",'Mapa final'!$AA$45="Moderado"),CONCATENATE("R4C",'Mapa final'!$O$45),"")</f>
        <v/>
      </c>
      <c r="Y39" s="67" t="str">
        <f>IF(AND('Mapa final'!$Y$46="Baja",'Mapa final'!$AA$46="Moderado"),CONCATENATE("R4C",'Mapa final'!$O$46),"")</f>
        <v/>
      </c>
      <c r="Z39" s="67" t="str">
        <f>IF(AND('Mapa final'!$Y$47="Baja",'Mapa final'!$AA$47="Moderado"),CONCATENATE("R4C",'Mapa final'!$O$47),"")</f>
        <v/>
      </c>
      <c r="AA39" s="68" t="str">
        <f>IF(AND('Mapa final'!$Y$48="Baja",'Mapa final'!$AA$48="Moderado"),CONCATENATE("R4C",'Mapa final'!$O$48),"")</f>
        <v/>
      </c>
      <c r="AB39" s="51" t="str">
        <f>IF(AND('Mapa final'!$Y$43="Baja",'Mapa final'!$AA$43="Mayor"),CONCATENATE("R4C",'Mapa final'!$O$43),"")</f>
        <v/>
      </c>
      <c r="AC39" s="52" t="str">
        <f>IF(AND('Mapa final'!$Y$44="Baja",'Mapa final'!$AA$44="Mayor"),CONCATENATE("R4C",'Mapa final'!$O$44),"")</f>
        <v/>
      </c>
      <c r="AD39" s="52" t="str">
        <f>IF(AND('Mapa final'!$Y$45="Baja",'Mapa final'!$AA$45="Mayor"),CONCATENATE("R4C",'Mapa final'!$O$45),"")</f>
        <v/>
      </c>
      <c r="AE39" s="52" t="str">
        <f>IF(AND('Mapa final'!$Y$46="Baja",'Mapa final'!$AA$46="Mayor"),CONCATENATE("R4C",'Mapa final'!$O$46),"")</f>
        <v/>
      </c>
      <c r="AF39" s="52" t="str">
        <f>IF(AND('Mapa final'!$Y$47="Baja",'Mapa final'!$AA$47="Mayor"),CONCATENATE("R4C",'Mapa final'!$O$47),"")</f>
        <v/>
      </c>
      <c r="AG39" s="53" t="str">
        <f>IF(AND('Mapa final'!$Y$48="Baja",'Mapa final'!$AA$48="Mayor"),CONCATENATE("R4C",'Mapa final'!$O$48),"")</f>
        <v/>
      </c>
      <c r="AH39" s="54" t="str">
        <f>IF(AND('Mapa final'!$Y$43="Baja",'Mapa final'!$AA$43="Catastrófico"),CONCATENATE("R4C",'Mapa final'!$O$43),"")</f>
        <v/>
      </c>
      <c r="AI39" s="55" t="str">
        <f>IF(AND('Mapa final'!$Y$44="Baja",'Mapa final'!$AA$44="Catastrófico"),CONCATENATE("R4C",'Mapa final'!$O$44),"")</f>
        <v/>
      </c>
      <c r="AJ39" s="55" t="str">
        <f>IF(AND('Mapa final'!$Y$45="Baja",'Mapa final'!$AA$45="Catastrófico"),CONCATENATE("R4C",'Mapa final'!$O$45),"")</f>
        <v/>
      </c>
      <c r="AK39" s="55" t="str">
        <f>IF(AND('Mapa final'!$Y$46="Baja",'Mapa final'!$AA$46="Catastrófico"),CONCATENATE("R4C",'Mapa final'!$O$46),"")</f>
        <v/>
      </c>
      <c r="AL39" s="55" t="str">
        <f>IF(AND('Mapa final'!$Y$47="Baja",'Mapa final'!$AA$47="Catastrófico"),CONCATENATE("R4C",'Mapa final'!$O$47),"")</f>
        <v/>
      </c>
      <c r="AM39" s="56" t="str">
        <f>IF(AND('Mapa final'!$Y$48="Baja",'Mapa final'!$AA$48="Catastrófico"),CONCATENATE("R4C",'Mapa final'!$O$48),"")</f>
        <v/>
      </c>
      <c r="AN39" s="82"/>
      <c r="AO39" s="469"/>
      <c r="AP39" s="470"/>
      <c r="AQ39" s="470"/>
      <c r="AR39" s="470"/>
      <c r="AS39" s="470"/>
      <c r="AT39" s="471"/>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397"/>
      <c r="C40" s="397"/>
      <c r="D40" s="398"/>
      <c r="E40" s="438"/>
      <c r="F40" s="439"/>
      <c r="G40" s="439"/>
      <c r="H40" s="439"/>
      <c r="I40" s="439"/>
      <c r="J40" s="75" t="str">
        <f>IF(AND('Mapa final'!$Y$49="Baja",'Mapa final'!$AA$49="Leve"),CONCATENATE("R5C",'Mapa final'!$O$49),"")</f>
        <v/>
      </c>
      <c r="K40" s="76" t="str">
        <f>IF(AND('Mapa final'!$Y$50="Baja",'Mapa final'!$AA$50="Leve"),CONCATENATE("R5C",'Mapa final'!$O$50),"")</f>
        <v/>
      </c>
      <c r="L40" s="76" t="str">
        <f>IF(AND('Mapa final'!$Y$51="Baja",'Mapa final'!$AA$51="Leve"),CONCATENATE("R5C",'Mapa final'!$O$51),"")</f>
        <v/>
      </c>
      <c r="M40" s="76" t="str">
        <f>IF(AND('Mapa final'!$Y$52="Baja",'Mapa final'!$AA$52="Leve"),CONCATENATE("R5C",'Mapa final'!$O$52),"")</f>
        <v/>
      </c>
      <c r="N40" s="76" t="str">
        <f>IF(AND('Mapa final'!$Y$53="Baja",'Mapa final'!$AA$53="Leve"),CONCATENATE("R5C",'Mapa final'!$O$53),"")</f>
        <v/>
      </c>
      <c r="O40" s="77" t="str">
        <f>IF(AND('Mapa final'!$Y$54="Baja",'Mapa final'!$AA$54="Leve"),CONCATENATE("R5C",'Mapa final'!$O$54),"")</f>
        <v/>
      </c>
      <c r="P40" s="66" t="str">
        <f>IF(AND('Mapa final'!$Y$49="Baja",'Mapa final'!$AA$49="Menor"),CONCATENATE("R5C",'Mapa final'!$O$49),"")</f>
        <v/>
      </c>
      <c r="Q40" s="67" t="str">
        <f>IF(AND('Mapa final'!$Y$50="Baja",'Mapa final'!$AA$50="Menor"),CONCATENATE("R5C",'Mapa final'!$O$50),"")</f>
        <v/>
      </c>
      <c r="R40" s="67" t="str">
        <f>IF(AND('Mapa final'!$Y$51="Baja",'Mapa final'!$AA$51="Menor"),CONCATENATE("R5C",'Mapa final'!$O$51),"")</f>
        <v/>
      </c>
      <c r="S40" s="67" t="str">
        <f>IF(AND('Mapa final'!$Y$52="Baja",'Mapa final'!$AA$52="Menor"),CONCATENATE("R5C",'Mapa final'!$O$52),"")</f>
        <v/>
      </c>
      <c r="T40" s="67" t="str">
        <f>IF(AND('Mapa final'!$Y$53="Baja",'Mapa final'!$AA$53="Menor"),CONCATENATE("R5C",'Mapa final'!$O$53),"")</f>
        <v/>
      </c>
      <c r="U40" s="68" t="str">
        <f>IF(AND('Mapa final'!$Y$54="Baja",'Mapa final'!$AA$54="Menor"),CONCATENATE("R5C",'Mapa final'!$O$54),"")</f>
        <v/>
      </c>
      <c r="V40" s="66" t="str">
        <f>IF(AND('Mapa final'!$Y$49="Baja",'Mapa final'!$AA$49="Moderado"),CONCATENATE("R5C",'Mapa final'!$O$49),"")</f>
        <v/>
      </c>
      <c r="W40" s="67" t="str">
        <f>IF(AND('Mapa final'!$Y$50="Baja",'Mapa final'!$AA$50="Moderado"),CONCATENATE("R5C",'Mapa final'!$O$50),"")</f>
        <v/>
      </c>
      <c r="X40" s="67" t="str">
        <f>IF(AND('Mapa final'!$Y$51="Baja",'Mapa final'!$AA$51="Moderado"),CONCATENATE("R5C",'Mapa final'!$O$51),"")</f>
        <v/>
      </c>
      <c r="Y40" s="67" t="str">
        <f>IF(AND('Mapa final'!$Y$52="Baja",'Mapa final'!$AA$52="Moderado"),CONCATENATE("R5C",'Mapa final'!$O$52),"")</f>
        <v/>
      </c>
      <c r="Z40" s="67" t="str">
        <f>IF(AND('Mapa final'!$Y$53="Baja",'Mapa final'!$AA$53="Moderado"),CONCATENATE("R5C",'Mapa final'!$O$53),"")</f>
        <v/>
      </c>
      <c r="AA40" s="68" t="str">
        <f>IF(AND('Mapa final'!$Y$54="Baja",'Mapa final'!$AA$54="Moderado"),CONCATENATE("R5C",'Mapa final'!$O$54),"")</f>
        <v/>
      </c>
      <c r="AB40" s="51" t="str">
        <f>IF(AND('Mapa final'!$Y$49="Baja",'Mapa final'!$AA$49="Mayor"),CONCATENATE("R5C",'Mapa final'!$O$49),"")</f>
        <v/>
      </c>
      <c r="AC40" s="52" t="str">
        <f>IF(AND('Mapa final'!$Y$50="Baja",'Mapa final'!$AA$50="Mayor"),CONCATENATE("R5C",'Mapa final'!$O$50),"")</f>
        <v/>
      </c>
      <c r="AD40" s="52" t="str">
        <f>IF(AND('Mapa final'!$Y$51="Baja",'Mapa final'!$AA$51="Mayor"),CONCATENATE("R5C",'Mapa final'!$O$51),"")</f>
        <v/>
      </c>
      <c r="AE40" s="52" t="str">
        <f>IF(AND('Mapa final'!$Y$52="Baja",'Mapa final'!$AA$52="Mayor"),CONCATENATE("R5C",'Mapa final'!$O$52),"")</f>
        <v/>
      </c>
      <c r="AF40" s="52" t="str">
        <f>IF(AND('Mapa final'!$Y$53="Baja",'Mapa final'!$AA$53="Mayor"),CONCATENATE("R5C",'Mapa final'!$O$53),"")</f>
        <v/>
      </c>
      <c r="AG40" s="53" t="str">
        <f>IF(AND('Mapa final'!$Y$54="Baja",'Mapa final'!$AA$54="Mayor"),CONCATENATE("R5C",'Mapa final'!$O$54),"")</f>
        <v/>
      </c>
      <c r="AH40" s="54" t="str">
        <f>IF(AND('Mapa final'!$Y$49="Baja",'Mapa final'!$AA$49="Catastrófico"),CONCATENATE("R5C",'Mapa final'!$O$49),"")</f>
        <v/>
      </c>
      <c r="AI40" s="55" t="str">
        <f>IF(AND('Mapa final'!$Y$50="Baja",'Mapa final'!$AA$50="Catastrófico"),CONCATENATE("R5C",'Mapa final'!$O$50),"")</f>
        <v/>
      </c>
      <c r="AJ40" s="55" t="str">
        <f>IF(AND('Mapa final'!$Y$51="Baja",'Mapa final'!$AA$51="Catastrófico"),CONCATENATE("R5C",'Mapa final'!$O$51),"")</f>
        <v/>
      </c>
      <c r="AK40" s="55" t="str">
        <f>IF(AND('Mapa final'!$Y$52="Baja",'Mapa final'!$AA$52="Catastrófico"),CONCATENATE("R5C",'Mapa final'!$O$52),"")</f>
        <v/>
      </c>
      <c r="AL40" s="55" t="str">
        <f>IF(AND('Mapa final'!$Y$53="Baja",'Mapa final'!$AA$53="Catastrófico"),CONCATENATE("R5C",'Mapa final'!$O$53),"")</f>
        <v/>
      </c>
      <c r="AM40" s="56" t="str">
        <f>IF(AND('Mapa final'!$Y$54="Baja",'Mapa final'!$AA$54="Catastrófico"),CONCATENATE("R5C",'Mapa final'!$O$54),"")</f>
        <v/>
      </c>
      <c r="AN40" s="82"/>
      <c r="AO40" s="469"/>
      <c r="AP40" s="470"/>
      <c r="AQ40" s="470"/>
      <c r="AR40" s="470"/>
      <c r="AS40" s="470"/>
      <c r="AT40" s="471"/>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397"/>
      <c r="C41" s="397"/>
      <c r="D41" s="398"/>
      <c r="E41" s="438"/>
      <c r="F41" s="439"/>
      <c r="G41" s="439"/>
      <c r="H41" s="439"/>
      <c r="I41" s="439"/>
      <c r="J41" s="75" t="str">
        <f>IF(AND('Mapa final'!$Y$55="Baja",'Mapa final'!$AA$55="Leve"),CONCATENATE("R6C",'Mapa final'!$O$55),"")</f>
        <v/>
      </c>
      <c r="K41" s="76" t="str">
        <f>IF(AND('Mapa final'!$Y$56="Baja",'Mapa final'!$AA$56="Leve"),CONCATENATE("R6C",'Mapa final'!$O$56),"")</f>
        <v/>
      </c>
      <c r="L41" s="76" t="str">
        <f>IF(AND('Mapa final'!$Y$57="Baja",'Mapa final'!$AA$57="Leve"),CONCATENATE("R6C",'Mapa final'!$O$57),"")</f>
        <v/>
      </c>
      <c r="M41" s="76" t="str">
        <f>IF(AND('Mapa final'!$Y$58="Baja",'Mapa final'!$AA$58="Leve"),CONCATENATE("R6C",'Mapa final'!$O$58),"")</f>
        <v/>
      </c>
      <c r="N41" s="76" t="str">
        <f>IF(AND('Mapa final'!$Y$59="Baja",'Mapa final'!$AA$59="Leve"),CONCATENATE("R6C",'Mapa final'!$O$59),"")</f>
        <v/>
      </c>
      <c r="O41" s="77" t="str">
        <f>IF(AND('Mapa final'!$Y$60="Baja",'Mapa final'!$AA$60="Leve"),CONCATENATE("R6C",'Mapa final'!$O$60),"")</f>
        <v/>
      </c>
      <c r="P41" s="66" t="str">
        <f>IF(AND('Mapa final'!$Y$55="Baja",'Mapa final'!$AA$55="Menor"),CONCATENATE("R6C",'Mapa final'!$O$55),"")</f>
        <v/>
      </c>
      <c r="Q41" s="67" t="str">
        <f>IF(AND('Mapa final'!$Y$56="Baja",'Mapa final'!$AA$56="Menor"),CONCATENATE("R6C",'Mapa final'!$O$56),"")</f>
        <v/>
      </c>
      <c r="R41" s="67" t="str">
        <f>IF(AND('Mapa final'!$Y$57="Baja",'Mapa final'!$AA$57="Menor"),CONCATENATE("R6C",'Mapa final'!$O$57),"")</f>
        <v/>
      </c>
      <c r="S41" s="67" t="str">
        <f>IF(AND('Mapa final'!$Y$58="Baja",'Mapa final'!$AA$58="Menor"),CONCATENATE("R6C",'Mapa final'!$O$58),"")</f>
        <v/>
      </c>
      <c r="T41" s="67" t="str">
        <f>IF(AND('Mapa final'!$Y$59="Baja",'Mapa final'!$AA$59="Menor"),CONCATENATE("R6C",'Mapa final'!$O$59),"")</f>
        <v/>
      </c>
      <c r="U41" s="68" t="str">
        <f>IF(AND('Mapa final'!$Y$60="Baja",'Mapa final'!$AA$60="Menor"),CONCATENATE("R6C",'Mapa final'!$O$60),"")</f>
        <v/>
      </c>
      <c r="V41" s="66" t="str">
        <f>IF(AND('Mapa final'!$Y$55="Baja",'Mapa final'!$AA$55="Moderado"),CONCATENATE("R6C",'Mapa final'!$O$55),"")</f>
        <v/>
      </c>
      <c r="W41" s="67" t="str">
        <f>IF(AND('Mapa final'!$Y$56="Baja",'Mapa final'!$AA$56="Moderado"),CONCATENATE("R6C",'Mapa final'!$O$56),"")</f>
        <v/>
      </c>
      <c r="X41" s="67" t="str">
        <f>IF(AND('Mapa final'!$Y$57="Baja",'Mapa final'!$AA$57="Moderado"),CONCATENATE("R6C",'Mapa final'!$O$57),"")</f>
        <v/>
      </c>
      <c r="Y41" s="67" t="str">
        <f>IF(AND('Mapa final'!$Y$58="Baja",'Mapa final'!$AA$58="Moderado"),CONCATENATE("R6C",'Mapa final'!$O$58),"")</f>
        <v/>
      </c>
      <c r="Z41" s="67" t="str">
        <f>IF(AND('Mapa final'!$Y$59="Baja",'Mapa final'!$AA$59="Moderado"),CONCATENATE("R6C",'Mapa final'!$O$59),"")</f>
        <v/>
      </c>
      <c r="AA41" s="68" t="str">
        <f>IF(AND('Mapa final'!$Y$60="Baja",'Mapa final'!$AA$60="Moderado"),CONCATENATE("R6C",'Mapa final'!$O$60),"")</f>
        <v/>
      </c>
      <c r="AB41" s="51" t="str">
        <f>IF(AND('Mapa final'!$Y$55="Baja",'Mapa final'!$AA$55="Mayor"),CONCATENATE("R6C",'Mapa final'!$O$55),"")</f>
        <v/>
      </c>
      <c r="AC41" s="52" t="str">
        <f>IF(AND('Mapa final'!$Y$56="Baja",'Mapa final'!$AA$56="Mayor"),CONCATENATE("R6C",'Mapa final'!$O$56),"")</f>
        <v/>
      </c>
      <c r="AD41" s="52" t="str">
        <f>IF(AND('Mapa final'!$Y$57="Baja",'Mapa final'!$AA$57="Mayor"),CONCATENATE("R6C",'Mapa final'!$O$57),"")</f>
        <v/>
      </c>
      <c r="AE41" s="52" t="str">
        <f>IF(AND('Mapa final'!$Y$58="Baja",'Mapa final'!$AA$58="Mayor"),CONCATENATE("R6C",'Mapa final'!$O$58),"")</f>
        <v/>
      </c>
      <c r="AF41" s="52" t="str">
        <f>IF(AND('Mapa final'!$Y$59="Baja",'Mapa final'!$AA$59="Mayor"),CONCATENATE("R6C",'Mapa final'!$O$59),"")</f>
        <v/>
      </c>
      <c r="AG41" s="53" t="str">
        <f>IF(AND('Mapa final'!$Y$60="Baja",'Mapa final'!$AA$60="Mayor"),CONCATENATE("R6C",'Mapa final'!$O$60),"")</f>
        <v/>
      </c>
      <c r="AH41" s="54" t="str">
        <f>IF(AND('Mapa final'!$Y$55="Baja",'Mapa final'!$AA$55="Catastrófico"),CONCATENATE("R6C",'Mapa final'!$O$55),"")</f>
        <v/>
      </c>
      <c r="AI41" s="55" t="str">
        <f>IF(AND('Mapa final'!$Y$56="Baja",'Mapa final'!$AA$56="Catastrófico"),CONCATENATE("R6C",'Mapa final'!$O$56),"")</f>
        <v/>
      </c>
      <c r="AJ41" s="55" t="str">
        <f>IF(AND('Mapa final'!$Y$57="Baja",'Mapa final'!$AA$57="Catastrófico"),CONCATENATE("R6C",'Mapa final'!$O$57),"")</f>
        <v/>
      </c>
      <c r="AK41" s="55" t="str">
        <f>IF(AND('Mapa final'!$Y$58="Baja",'Mapa final'!$AA$58="Catastrófico"),CONCATENATE("R6C",'Mapa final'!$O$58),"")</f>
        <v/>
      </c>
      <c r="AL41" s="55" t="str">
        <f>IF(AND('Mapa final'!$Y$59="Baja",'Mapa final'!$AA$59="Catastrófico"),CONCATENATE("R6C",'Mapa final'!$O$59),"")</f>
        <v/>
      </c>
      <c r="AM41" s="56" t="str">
        <f>IF(AND('Mapa final'!$Y$60="Baja",'Mapa final'!$AA$60="Catastrófico"),CONCATENATE("R6C",'Mapa final'!$O$60),"")</f>
        <v/>
      </c>
      <c r="AN41" s="82"/>
      <c r="AO41" s="469"/>
      <c r="AP41" s="470"/>
      <c r="AQ41" s="470"/>
      <c r="AR41" s="470"/>
      <c r="AS41" s="470"/>
      <c r="AT41" s="471"/>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397"/>
      <c r="C42" s="397"/>
      <c r="D42" s="398"/>
      <c r="E42" s="438"/>
      <c r="F42" s="439"/>
      <c r="G42" s="439"/>
      <c r="H42" s="439"/>
      <c r="I42" s="439"/>
      <c r="J42" s="75" t="str">
        <f>IF(AND('Mapa final'!$Y$61="Baja",'Mapa final'!$AA$61="Leve"),CONCATENATE("R7C",'Mapa final'!$O$61),"")</f>
        <v/>
      </c>
      <c r="K42" s="76" t="str">
        <f>IF(AND('Mapa final'!$Y$62="Baja",'Mapa final'!$AA$62="Leve"),CONCATENATE("R7C",'Mapa final'!$O$62),"")</f>
        <v/>
      </c>
      <c r="L42" s="76" t="str">
        <f>IF(AND('Mapa final'!$Y$63="Baja",'Mapa final'!$AA$63="Leve"),CONCATENATE("R7C",'Mapa final'!$O$63),"")</f>
        <v/>
      </c>
      <c r="M42" s="76" t="str">
        <f>IF(AND('Mapa final'!$Y$64="Baja",'Mapa final'!$AA$64="Leve"),CONCATENATE("R7C",'Mapa final'!$O$64),"")</f>
        <v/>
      </c>
      <c r="N42" s="76" t="str">
        <f>IF(AND('Mapa final'!$Y$65="Baja",'Mapa final'!$AA$65="Leve"),CONCATENATE("R7C",'Mapa final'!$O$65),"")</f>
        <v/>
      </c>
      <c r="O42" s="77" t="str">
        <f>IF(AND('Mapa final'!$Y$66="Baja",'Mapa final'!$AA$66="Leve"),CONCATENATE("R7C",'Mapa final'!$O$66),"")</f>
        <v/>
      </c>
      <c r="P42" s="66" t="str">
        <f>IF(AND('Mapa final'!$Y$61="Baja",'Mapa final'!$AA$61="Menor"),CONCATENATE("R7C",'Mapa final'!$O$61),"")</f>
        <v/>
      </c>
      <c r="Q42" s="67" t="str">
        <f>IF(AND('Mapa final'!$Y$62="Baja",'Mapa final'!$AA$62="Menor"),CONCATENATE("R7C",'Mapa final'!$O$62),"")</f>
        <v/>
      </c>
      <c r="R42" s="67" t="str">
        <f>IF(AND('Mapa final'!$Y$63="Baja",'Mapa final'!$AA$63="Menor"),CONCATENATE("R7C",'Mapa final'!$O$63),"")</f>
        <v/>
      </c>
      <c r="S42" s="67" t="str">
        <f>IF(AND('Mapa final'!$Y$64="Baja",'Mapa final'!$AA$64="Menor"),CONCATENATE("R7C",'Mapa final'!$O$64),"")</f>
        <v/>
      </c>
      <c r="T42" s="67" t="str">
        <f>IF(AND('Mapa final'!$Y$65="Baja",'Mapa final'!$AA$65="Menor"),CONCATENATE("R7C",'Mapa final'!$O$65),"")</f>
        <v/>
      </c>
      <c r="U42" s="68" t="str">
        <f>IF(AND('Mapa final'!$Y$66="Baja",'Mapa final'!$AA$66="Menor"),CONCATENATE("R7C",'Mapa final'!$O$66),"")</f>
        <v/>
      </c>
      <c r="V42" s="66" t="str">
        <f>IF(AND('Mapa final'!$Y$61="Baja",'Mapa final'!$AA$61="Moderado"),CONCATENATE("R7C",'Mapa final'!$O$61),"")</f>
        <v/>
      </c>
      <c r="W42" s="67" t="str">
        <f>IF(AND('Mapa final'!$Y$62="Baja",'Mapa final'!$AA$62="Moderado"),CONCATENATE("R7C",'Mapa final'!$O$62),"")</f>
        <v/>
      </c>
      <c r="X42" s="67" t="str">
        <f>IF(AND('Mapa final'!$Y$63="Baja",'Mapa final'!$AA$63="Moderado"),CONCATENATE("R7C",'Mapa final'!$O$63),"")</f>
        <v/>
      </c>
      <c r="Y42" s="67" t="str">
        <f>IF(AND('Mapa final'!$Y$64="Baja",'Mapa final'!$AA$64="Moderado"),CONCATENATE("R7C",'Mapa final'!$O$64),"")</f>
        <v/>
      </c>
      <c r="Z42" s="67" t="str">
        <f>IF(AND('Mapa final'!$Y$65="Baja",'Mapa final'!$AA$65="Moderado"),CONCATENATE("R7C",'Mapa final'!$O$65),"")</f>
        <v/>
      </c>
      <c r="AA42" s="68" t="str">
        <f>IF(AND('Mapa final'!$Y$66="Baja",'Mapa final'!$AA$66="Moderado"),CONCATENATE("R7C",'Mapa final'!$O$66),"")</f>
        <v/>
      </c>
      <c r="AB42" s="51" t="str">
        <f>IF(AND('Mapa final'!$Y$61="Baja",'Mapa final'!$AA$61="Mayor"),CONCATENATE("R7C",'Mapa final'!$O$61),"")</f>
        <v/>
      </c>
      <c r="AC42" s="52" t="str">
        <f>IF(AND('Mapa final'!$Y$62="Baja",'Mapa final'!$AA$62="Mayor"),CONCATENATE("R7C",'Mapa final'!$O$62),"")</f>
        <v/>
      </c>
      <c r="AD42" s="52" t="str">
        <f>IF(AND('Mapa final'!$Y$63="Baja",'Mapa final'!$AA$63="Mayor"),CONCATENATE("R7C",'Mapa final'!$O$63),"")</f>
        <v/>
      </c>
      <c r="AE42" s="52" t="str">
        <f>IF(AND('Mapa final'!$Y$64="Baja",'Mapa final'!$AA$64="Mayor"),CONCATENATE("R7C",'Mapa final'!$O$64),"")</f>
        <v/>
      </c>
      <c r="AF42" s="52" t="str">
        <f>IF(AND('Mapa final'!$Y$65="Baja",'Mapa final'!$AA$65="Mayor"),CONCATENATE("R7C",'Mapa final'!$O$65),"")</f>
        <v/>
      </c>
      <c r="AG42" s="53" t="str">
        <f>IF(AND('Mapa final'!$Y$66="Baja",'Mapa final'!$AA$66="Mayor"),CONCATENATE("R7C",'Mapa final'!$O$66),"")</f>
        <v/>
      </c>
      <c r="AH42" s="54" t="str">
        <f>IF(AND('Mapa final'!$Y$61="Baja",'Mapa final'!$AA$61="Catastrófico"),CONCATENATE("R7C",'Mapa final'!$O$61),"")</f>
        <v/>
      </c>
      <c r="AI42" s="55" t="str">
        <f>IF(AND('Mapa final'!$Y$62="Baja",'Mapa final'!$AA$62="Catastrófico"),CONCATENATE("R7C",'Mapa final'!$O$62),"")</f>
        <v/>
      </c>
      <c r="AJ42" s="55" t="str">
        <f>IF(AND('Mapa final'!$Y$63="Baja",'Mapa final'!$AA$63="Catastrófico"),CONCATENATE("R7C",'Mapa final'!$O$63),"")</f>
        <v/>
      </c>
      <c r="AK42" s="55" t="str">
        <f>IF(AND('Mapa final'!$Y$64="Baja",'Mapa final'!$AA$64="Catastrófico"),CONCATENATE("R7C",'Mapa final'!$O$64),"")</f>
        <v/>
      </c>
      <c r="AL42" s="55" t="str">
        <f>IF(AND('Mapa final'!$Y$65="Baja",'Mapa final'!$AA$65="Catastrófico"),CONCATENATE("R7C",'Mapa final'!$O$65),"")</f>
        <v/>
      </c>
      <c r="AM42" s="56" t="str">
        <f>IF(AND('Mapa final'!$Y$66="Baja",'Mapa final'!$AA$66="Catastrófico"),CONCATENATE("R7C",'Mapa final'!$O$66),"")</f>
        <v/>
      </c>
      <c r="AN42" s="82"/>
      <c r="AO42" s="469"/>
      <c r="AP42" s="470"/>
      <c r="AQ42" s="470"/>
      <c r="AR42" s="470"/>
      <c r="AS42" s="470"/>
      <c r="AT42" s="471"/>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397"/>
      <c r="C43" s="397"/>
      <c r="D43" s="398"/>
      <c r="E43" s="438"/>
      <c r="F43" s="439"/>
      <c r="G43" s="439"/>
      <c r="H43" s="439"/>
      <c r="I43" s="439"/>
      <c r="J43" s="75" t="str">
        <f>IF(AND('Mapa final'!$Y$67="Baja",'Mapa final'!$AA$67="Leve"),CONCATENATE("R8C",'Mapa final'!$O$67),"")</f>
        <v/>
      </c>
      <c r="K43" s="76" t="str">
        <f>IF(AND('Mapa final'!$Y$68="Baja",'Mapa final'!$AA$68="Leve"),CONCATENATE("R8C",'Mapa final'!$O$68),"")</f>
        <v/>
      </c>
      <c r="L43" s="76" t="str">
        <f>IF(AND('Mapa final'!$Y$69="Baja",'Mapa final'!$AA$69="Leve"),CONCATENATE("R8C",'Mapa final'!$O$69),"")</f>
        <v/>
      </c>
      <c r="M43" s="76" t="str">
        <f>IF(AND('Mapa final'!$Y$70="Baja",'Mapa final'!$AA$70="Leve"),CONCATENATE("R8C",'Mapa final'!$O$70),"")</f>
        <v/>
      </c>
      <c r="N43" s="76" t="str">
        <f>IF(AND('Mapa final'!$Y$71="Baja",'Mapa final'!$AA$71="Leve"),CONCATENATE("R8C",'Mapa final'!$O$71),"")</f>
        <v/>
      </c>
      <c r="O43" s="77" t="str">
        <f>IF(AND('Mapa final'!$Y$72="Baja",'Mapa final'!$AA$72="Leve"),CONCATENATE("R8C",'Mapa final'!$O$72),"")</f>
        <v/>
      </c>
      <c r="P43" s="66" t="str">
        <f>IF(AND('Mapa final'!$Y$67="Baja",'Mapa final'!$AA$67="Menor"),CONCATENATE("R8C",'Mapa final'!$O$67),"")</f>
        <v/>
      </c>
      <c r="Q43" s="67" t="str">
        <f>IF(AND('Mapa final'!$Y$68="Baja",'Mapa final'!$AA$68="Menor"),CONCATENATE("R8C",'Mapa final'!$O$68),"")</f>
        <v/>
      </c>
      <c r="R43" s="67" t="str">
        <f>IF(AND('Mapa final'!$Y$69="Baja",'Mapa final'!$AA$69="Menor"),CONCATENATE("R8C",'Mapa final'!$O$69),"")</f>
        <v/>
      </c>
      <c r="S43" s="67" t="str">
        <f>IF(AND('Mapa final'!$Y$70="Baja",'Mapa final'!$AA$70="Menor"),CONCATENATE("R8C",'Mapa final'!$O$70),"")</f>
        <v/>
      </c>
      <c r="T43" s="67" t="str">
        <f>IF(AND('Mapa final'!$Y$71="Baja",'Mapa final'!$AA$71="Menor"),CONCATENATE("R8C",'Mapa final'!$O$71),"")</f>
        <v/>
      </c>
      <c r="U43" s="68" t="str">
        <f>IF(AND('Mapa final'!$Y$72="Baja",'Mapa final'!$AA$72="Menor"),CONCATENATE("R8C",'Mapa final'!$O$72),"")</f>
        <v/>
      </c>
      <c r="V43" s="66" t="str">
        <f>IF(AND('Mapa final'!$Y$67="Baja",'Mapa final'!$AA$67="Moderado"),CONCATENATE("R8C",'Mapa final'!$O$67),"")</f>
        <v/>
      </c>
      <c r="W43" s="67" t="str">
        <f>IF(AND('Mapa final'!$Y$68="Baja",'Mapa final'!$AA$68="Moderado"),CONCATENATE("R8C",'Mapa final'!$O$68),"")</f>
        <v/>
      </c>
      <c r="X43" s="67" t="str">
        <f>IF(AND('Mapa final'!$Y$69="Baja",'Mapa final'!$AA$69="Moderado"),CONCATENATE("R8C",'Mapa final'!$O$69),"")</f>
        <v/>
      </c>
      <c r="Y43" s="67" t="str">
        <f>IF(AND('Mapa final'!$Y$70="Baja",'Mapa final'!$AA$70="Moderado"),CONCATENATE("R8C",'Mapa final'!$O$70),"")</f>
        <v/>
      </c>
      <c r="Z43" s="67" t="str">
        <f>IF(AND('Mapa final'!$Y$71="Baja",'Mapa final'!$AA$71="Moderado"),CONCATENATE("R8C",'Mapa final'!$O$71),"")</f>
        <v/>
      </c>
      <c r="AA43" s="68" t="str">
        <f>IF(AND('Mapa final'!$Y$72="Baja",'Mapa final'!$AA$72="Moderado"),CONCATENATE("R8C",'Mapa final'!$O$72),"")</f>
        <v/>
      </c>
      <c r="AB43" s="51" t="str">
        <f>IF(AND('Mapa final'!$Y$67="Baja",'Mapa final'!$AA$67="Mayor"),CONCATENATE("R8C",'Mapa final'!$O$67),"")</f>
        <v/>
      </c>
      <c r="AC43" s="52" t="str">
        <f>IF(AND('Mapa final'!$Y$68="Baja",'Mapa final'!$AA$68="Mayor"),CONCATENATE("R8C",'Mapa final'!$O$68),"")</f>
        <v/>
      </c>
      <c r="AD43" s="52" t="str">
        <f>IF(AND('Mapa final'!$Y$69="Baja",'Mapa final'!$AA$69="Mayor"),CONCATENATE("R8C",'Mapa final'!$O$69),"")</f>
        <v/>
      </c>
      <c r="AE43" s="52" t="str">
        <f>IF(AND('Mapa final'!$Y$70="Baja",'Mapa final'!$AA$70="Mayor"),CONCATENATE("R8C",'Mapa final'!$O$70),"")</f>
        <v/>
      </c>
      <c r="AF43" s="52" t="str">
        <f>IF(AND('Mapa final'!$Y$71="Baja",'Mapa final'!$AA$71="Mayor"),CONCATENATE("R8C",'Mapa final'!$O$71),"")</f>
        <v/>
      </c>
      <c r="AG43" s="53" t="str">
        <f>IF(AND('Mapa final'!$Y$72="Baja",'Mapa final'!$AA$72="Mayor"),CONCATENATE("R8C",'Mapa final'!$O$72),"")</f>
        <v/>
      </c>
      <c r="AH43" s="54" t="str">
        <f>IF(AND('Mapa final'!$Y$67="Baja",'Mapa final'!$AA$67="Catastrófico"),CONCATENATE("R8C",'Mapa final'!$O$67),"")</f>
        <v/>
      </c>
      <c r="AI43" s="55" t="str">
        <f>IF(AND('Mapa final'!$Y$68="Baja",'Mapa final'!$AA$68="Catastrófico"),CONCATENATE("R8C",'Mapa final'!$O$68),"")</f>
        <v/>
      </c>
      <c r="AJ43" s="55" t="str">
        <f>IF(AND('Mapa final'!$Y$69="Baja",'Mapa final'!$AA$69="Catastrófico"),CONCATENATE("R8C",'Mapa final'!$O$69),"")</f>
        <v/>
      </c>
      <c r="AK43" s="55" t="str">
        <f>IF(AND('Mapa final'!$Y$70="Baja",'Mapa final'!$AA$70="Catastrófico"),CONCATENATE("R8C",'Mapa final'!$O$70),"")</f>
        <v/>
      </c>
      <c r="AL43" s="55" t="str">
        <f>IF(AND('Mapa final'!$Y$71="Baja",'Mapa final'!$AA$71="Catastrófico"),CONCATENATE("R8C",'Mapa final'!$O$71),"")</f>
        <v/>
      </c>
      <c r="AM43" s="56" t="str">
        <f>IF(AND('Mapa final'!$Y$72="Baja",'Mapa final'!$AA$72="Catastrófico"),CONCATENATE("R8C",'Mapa final'!$O$72),"")</f>
        <v/>
      </c>
      <c r="AN43" s="82"/>
      <c r="AO43" s="469"/>
      <c r="AP43" s="470"/>
      <c r="AQ43" s="470"/>
      <c r="AR43" s="470"/>
      <c r="AS43" s="470"/>
      <c r="AT43" s="471"/>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397"/>
      <c r="C44" s="397"/>
      <c r="D44" s="398"/>
      <c r="E44" s="438"/>
      <c r="F44" s="439"/>
      <c r="G44" s="439"/>
      <c r="H44" s="439"/>
      <c r="I44" s="439"/>
      <c r="J44" s="75" t="str">
        <f>IF(AND('Mapa final'!$Y$73="Baja",'Mapa final'!$AA$73="Leve"),CONCATENATE("R9C",'Mapa final'!$O$73),"")</f>
        <v/>
      </c>
      <c r="K44" s="76" t="str">
        <f>IF(AND('Mapa final'!$Y$74="Baja",'Mapa final'!$AA$74="Leve"),CONCATENATE("R9C",'Mapa final'!$O$74),"")</f>
        <v/>
      </c>
      <c r="L44" s="76" t="str">
        <f>IF(AND('Mapa final'!$Y$75="Baja",'Mapa final'!$AA$75="Leve"),CONCATENATE("R9C",'Mapa final'!$O$75),"")</f>
        <v/>
      </c>
      <c r="M44" s="76" t="str">
        <f>IF(AND('Mapa final'!$Y$76="Baja",'Mapa final'!$AA$76="Leve"),CONCATENATE("R9C",'Mapa final'!$O$76),"")</f>
        <v/>
      </c>
      <c r="N44" s="76" t="str">
        <f>IF(AND('Mapa final'!$Y$77="Baja",'Mapa final'!$AA$77="Leve"),CONCATENATE("R9C",'Mapa final'!$O$77),"")</f>
        <v/>
      </c>
      <c r="O44" s="77" t="str">
        <f>IF(AND('Mapa final'!$Y$78="Baja",'Mapa final'!$AA$78="Leve"),CONCATENATE("R9C",'Mapa final'!$O$78),"")</f>
        <v/>
      </c>
      <c r="P44" s="66" t="str">
        <f>IF(AND('Mapa final'!$Y$73="Baja",'Mapa final'!$AA$73="Menor"),CONCATENATE("R9C",'Mapa final'!$O$73),"")</f>
        <v/>
      </c>
      <c r="Q44" s="67" t="str">
        <f>IF(AND('Mapa final'!$Y$74="Baja",'Mapa final'!$AA$74="Menor"),CONCATENATE("R9C",'Mapa final'!$O$74),"")</f>
        <v/>
      </c>
      <c r="R44" s="67" t="str">
        <f>IF(AND('Mapa final'!$Y$75="Baja",'Mapa final'!$AA$75="Menor"),CONCATENATE("R9C",'Mapa final'!$O$75),"")</f>
        <v/>
      </c>
      <c r="S44" s="67" t="str">
        <f>IF(AND('Mapa final'!$Y$76="Baja",'Mapa final'!$AA$76="Menor"),CONCATENATE("R9C",'Mapa final'!$O$76),"")</f>
        <v/>
      </c>
      <c r="T44" s="67" t="str">
        <f>IF(AND('Mapa final'!$Y$77="Baja",'Mapa final'!$AA$77="Menor"),CONCATENATE("R9C",'Mapa final'!$O$77),"")</f>
        <v/>
      </c>
      <c r="U44" s="68" t="str">
        <f>IF(AND('Mapa final'!$Y$78="Baja",'Mapa final'!$AA$78="Menor"),CONCATENATE("R9C",'Mapa final'!$O$78),"")</f>
        <v/>
      </c>
      <c r="V44" s="66" t="str">
        <f>IF(AND('Mapa final'!$Y$73="Baja",'Mapa final'!$AA$73="Moderado"),CONCATENATE("R9C",'Mapa final'!$O$73),"")</f>
        <v/>
      </c>
      <c r="W44" s="67" t="str">
        <f>IF(AND('Mapa final'!$Y$74="Baja",'Mapa final'!$AA$74="Moderado"),CONCATENATE("R9C",'Mapa final'!$O$74),"")</f>
        <v/>
      </c>
      <c r="X44" s="67" t="str">
        <f>IF(AND('Mapa final'!$Y$75="Baja",'Mapa final'!$AA$75="Moderado"),CONCATENATE("R9C",'Mapa final'!$O$75),"")</f>
        <v/>
      </c>
      <c r="Y44" s="67" t="str">
        <f>IF(AND('Mapa final'!$Y$76="Baja",'Mapa final'!$AA$76="Moderado"),CONCATENATE("R9C",'Mapa final'!$O$76),"")</f>
        <v/>
      </c>
      <c r="Z44" s="67" t="str">
        <f>IF(AND('Mapa final'!$Y$77="Baja",'Mapa final'!$AA$77="Moderado"),CONCATENATE("R9C",'Mapa final'!$O$77),"")</f>
        <v/>
      </c>
      <c r="AA44" s="68" t="str">
        <f>IF(AND('Mapa final'!$Y$78="Baja",'Mapa final'!$AA$78="Moderado"),CONCATENATE("R9C",'Mapa final'!$O$78),"")</f>
        <v/>
      </c>
      <c r="AB44" s="51" t="str">
        <f>IF(AND('Mapa final'!$Y$73="Baja",'Mapa final'!$AA$73="Mayor"),CONCATENATE("R9C",'Mapa final'!$O$73),"")</f>
        <v/>
      </c>
      <c r="AC44" s="52" t="str">
        <f>IF(AND('Mapa final'!$Y$74="Baja",'Mapa final'!$AA$74="Mayor"),CONCATENATE("R9C",'Mapa final'!$O$74),"")</f>
        <v/>
      </c>
      <c r="AD44" s="52" t="str">
        <f>IF(AND('Mapa final'!$Y$75="Baja",'Mapa final'!$AA$75="Mayor"),CONCATENATE("R9C",'Mapa final'!$O$75),"")</f>
        <v/>
      </c>
      <c r="AE44" s="52" t="str">
        <f>IF(AND('Mapa final'!$Y$76="Baja",'Mapa final'!$AA$76="Mayor"),CONCATENATE("R9C",'Mapa final'!$O$76),"")</f>
        <v/>
      </c>
      <c r="AF44" s="52" t="str">
        <f>IF(AND('Mapa final'!$Y$77="Baja",'Mapa final'!$AA$77="Mayor"),CONCATENATE("R9C",'Mapa final'!$O$77),"")</f>
        <v/>
      </c>
      <c r="AG44" s="53" t="str">
        <f>IF(AND('Mapa final'!$Y$78="Baja",'Mapa final'!$AA$78="Mayor"),CONCATENATE("R9C",'Mapa final'!$O$78),"")</f>
        <v/>
      </c>
      <c r="AH44" s="54" t="str">
        <f>IF(AND('Mapa final'!$Y$73="Baja",'Mapa final'!$AA$73="Catastrófico"),CONCATENATE("R9C",'Mapa final'!$O$73),"")</f>
        <v/>
      </c>
      <c r="AI44" s="55" t="str">
        <f>IF(AND('Mapa final'!$Y$74="Baja",'Mapa final'!$AA$74="Catastrófico"),CONCATENATE("R9C",'Mapa final'!$O$74),"")</f>
        <v/>
      </c>
      <c r="AJ44" s="55" t="str">
        <f>IF(AND('Mapa final'!$Y$75="Baja",'Mapa final'!$AA$75="Catastrófico"),CONCATENATE("R9C",'Mapa final'!$O$75),"")</f>
        <v/>
      </c>
      <c r="AK44" s="55" t="str">
        <f>IF(AND('Mapa final'!$Y$76="Baja",'Mapa final'!$AA$76="Catastrófico"),CONCATENATE("R9C",'Mapa final'!$O$76),"")</f>
        <v/>
      </c>
      <c r="AL44" s="55" t="str">
        <f>IF(AND('Mapa final'!$Y$77="Baja",'Mapa final'!$AA$77="Catastrófico"),CONCATENATE("R9C",'Mapa final'!$O$77),"")</f>
        <v/>
      </c>
      <c r="AM44" s="56" t="str">
        <f>IF(AND('Mapa final'!$Y$78="Baja",'Mapa final'!$AA$78="Catastrófico"),CONCATENATE("R9C",'Mapa final'!$O$78),"")</f>
        <v/>
      </c>
      <c r="AN44" s="82"/>
      <c r="AO44" s="469"/>
      <c r="AP44" s="470"/>
      <c r="AQ44" s="470"/>
      <c r="AR44" s="470"/>
      <c r="AS44" s="470"/>
      <c r="AT44" s="471"/>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397"/>
      <c r="C45" s="397"/>
      <c r="D45" s="398"/>
      <c r="E45" s="441"/>
      <c r="F45" s="442"/>
      <c r="G45" s="442"/>
      <c r="H45" s="442"/>
      <c r="I45" s="442"/>
      <c r="J45" s="78" t="str">
        <f>IF(AND('Mapa final'!$Y$79="Baja",'Mapa final'!$AA$79="Leve"),CONCATENATE("R10C",'Mapa final'!$O$79),"")</f>
        <v/>
      </c>
      <c r="K45" s="79" t="str">
        <f>IF(AND('Mapa final'!$Y$80="Baja",'Mapa final'!$AA$80="Leve"),CONCATENATE("R10C",'Mapa final'!$O$80),"")</f>
        <v/>
      </c>
      <c r="L45" s="79" t="str">
        <f>IF(AND('Mapa final'!$Y$81="Baja",'Mapa final'!$AA$81="Leve"),CONCATENATE("R10C",'Mapa final'!$O$81),"")</f>
        <v/>
      </c>
      <c r="M45" s="79" t="str">
        <f>IF(AND('Mapa final'!$Y$82="Baja",'Mapa final'!$AA$82="Leve"),CONCATENATE("R10C",'Mapa final'!$O$82),"")</f>
        <v/>
      </c>
      <c r="N45" s="79" t="str">
        <f>IF(AND('Mapa final'!$Y$83="Baja",'Mapa final'!$AA$83="Leve"),CONCATENATE("R10C",'Mapa final'!$O$83),"")</f>
        <v/>
      </c>
      <c r="O45" s="80" t="str">
        <f>IF(AND('Mapa final'!$Y$84="Baja",'Mapa final'!$AA$84="Leve"),CONCATENATE("R10C",'Mapa final'!$O$84),"")</f>
        <v/>
      </c>
      <c r="P45" s="66" t="str">
        <f>IF(AND('Mapa final'!$Y$79="Baja",'Mapa final'!$AA$79="Menor"),CONCATENATE("R10C",'Mapa final'!$O$79),"")</f>
        <v/>
      </c>
      <c r="Q45" s="67" t="str">
        <f>IF(AND('Mapa final'!$Y$80="Baja",'Mapa final'!$AA$80="Menor"),CONCATENATE("R10C",'Mapa final'!$O$80),"")</f>
        <v/>
      </c>
      <c r="R45" s="67" t="str">
        <f>IF(AND('Mapa final'!$Y$81="Baja",'Mapa final'!$AA$81="Menor"),CONCATENATE("R10C",'Mapa final'!$O$81),"")</f>
        <v/>
      </c>
      <c r="S45" s="67" t="str">
        <f>IF(AND('Mapa final'!$Y$82="Baja",'Mapa final'!$AA$82="Menor"),CONCATENATE("R10C",'Mapa final'!$O$82),"")</f>
        <v/>
      </c>
      <c r="T45" s="67" t="str">
        <f>IF(AND('Mapa final'!$Y$83="Baja",'Mapa final'!$AA$83="Menor"),CONCATENATE("R10C",'Mapa final'!$O$83),"")</f>
        <v/>
      </c>
      <c r="U45" s="68" t="str">
        <f>IF(AND('Mapa final'!$Y$84="Baja",'Mapa final'!$AA$84="Menor"),CONCATENATE("R10C",'Mapa final'!$O$84),"")</f>
        <v/>
      </c>
      <c r="V45" s="69" t="str">
        <f>IF(AND('Mapa final'!$Y$79="Baja",'Mapa final'!$AA$79="Moderado"),CONCATENATE("R10C",'Mapa final'!$O$79),"")</f>
        <v/>
      </c>
      <c r="W45" s="70" t="str">
        <f>IF(AND('Mapa final'!$Y$80="Baja",'Mapa final'!$AA$80="Moderado"),CONCATENATE("R10C",'Mapa final'!$O$80),"")</f>
        <v/>
      </c>
      <c r="X45" s="70" t="str">
        <f>IF(AND('Mapa final'!$Y$81="Baja",'Mapa final'!$AA$81="Moderado"),CONCATENATE("R10C",'Mapa final'!$O$81),"")</f>
        <v/>
      </c>
      <c r="Y45" s="70" t="str">
        <f>IF(AND('Mapa final'!$Y$82="Baja",'Mapa final'!$AA$82="Moderado"),CONCATENATE("R10C",'Mapa final'!$O$82),"")</f>
        <v/>
      </c>
      <c r="Z45" s="70" t="str">
        <f>IF(AND('Mapa final'!$Y$83="Baja",'Mapa final'!$AA$83="Moderado"),CONCATENATE("R10C",'Mapa final'!$O$83),"")</f>
        <v/>
      </c>
      <c r="AA45" s="71" t="str">
        <f>IF(AND('Mapa final'!$Y$84="Baja",'Mapa final'!$AA$84="Moderado"),CONCATENATE("R10C",'Mapa final'!$O$84),"")</f>
        <v/>
      </c>
      <c r="AB45" s="57" t="str">
        <f>IF(AND('Mapa final'!$Y$79="Baja",'Mapa final'!$AA$79="Mayor"),CONCATENATE("R10C",'Mapa final'!$O$79),"")</f>
        <v/>
      </c>
      <c r="AC45" s="58" t="str">
        <f>IF(AND('Mapa final'!$Y$80="Baja",'Mapa final'!$AA$80="Mayor"),CONCATENATE("R10C",'Mapa final'!$O$80),"")</f>
        <v/>
      </c>
      <c r="AD45" s="58" t="str">
        <f>IF(AND('Mapa final'!$Y$81="Baja",'Mapa final'!$AA$81="Mayor"),CONCATENATE("R10C",'Mapa final'!$O$81),"")</f>
        <v/>
      </c>
      <c r="AE45" s="58" t="str">
        <f>IF(AND('Mapa final'!$Y$82="Baja",'Mapa final'!$AA$82="Mayor"),CONCATENATE("R10C",'Mapa final'!$O$82),"")</f>
        <v/>
      </c>
      <c r="AF45" s="58" t="str">
        <f>IF(AND('Mapa final'!$Y$83="Baja",'Mapa final'!$AA$83="Mayor"),CONCATENATE("R10C",'Mapa final'!$O$83),"")</f>
        <v/>
      </c>
      <c r="AG45" s="59" t="str">
        <f>IF(AND('Mapa final'!$Y$84="Baja",'Mapa final'!$AA$84="Mayor"),CONCATENATE("R10C",'Mapa final'!$O$84),"")</f>
        <v/>
      </c>
      <c r="AH45" s="60" t="str">
        <f>IF(AND('Mapa final'!$Y$79="Baja",'Mapa final'!$AA$79="Catastrófico"),CONCATENATE("R10C",'Mapa final'!$O$79),"")</f>
        <v/>
      </c>
      <c r="AI45" s="61" t="str">
        <f>IF(AND('Mapa final'!$Y$80="Baja",'Mapa final'!$AA$80="Catastrófico"),CONCATENATE("R10C",'Mapa final'!$O$80),"")</f>
        <v/>
      </c>
      <c r="AJ45" s="61" t="str">
        <f>IF(AND('Mapa final'!$Y$81="Baja",'Mapa final'!$AA$81="Catastrófico"),CONCATENATE("R10C",'Mapa final'!$O$81),"")</f>
        <v/>
      </c>
      <c r="AK45" s="61" t="str">
        <f>IF(AND('Mapa final'!$Y$82="Baja",'Mapa final'!$AA$82="Catastrófico"),CONCATENATE("R10C",'Mapa final'!$O$82),"")</f>
        <v/>
      </c>
      <c r="AL45" s="61" t="str">
        <f>IF(AND('Mapa final'!$Y$83="Baja",'Mapa final'!$AA$83="Catastrófico"),CONCATENATE("R10C",'Mapa final'!$O$83),"")</f>
        <v/>
      </c>
      <c r="AM45" s="62" t="str">
        <f>IF(AND('Mapa final'!$Y$84="Baja",'Mapa final'!$AA$84="Catastrófico"),CONCATENATE("R10C",'Mapa final'!$O$84),"")</f>
        <v/>
      </c>
      <c r="AN45" s="82"/>
      <c r="AO45" s="472"/>
      <c r="AP45" s="473"/>
      <c r="AQ45" s="473"/>
      <c r="AR45" s="473"/>
      <c r="AS45" s="473"/>
      <c r="AT45" s="474"/>
    </row>
    <row r="46" spans="1:80" ht="46.5" customHeight="1" x14ac:dyDescent="0.35">
      <c r="A46" s="82"/>
      <c r="B46" s="397"/>
      <c r="C46" s="397"/>
      <c r="D46" s="398"/>
      <c r="E46" s="435" t="s">
        <v>181</v>
      </c>
      <c r="F46" s="436"/>
      <c r="G46" s="436"/>
      <c r="H46" s="436"/>
      <c r="I46" s="437"/>
      <c r="J46" s="72" t="str">
        <f>IF(AND('Mapa final'!$Y$25="Muy Baja",'Mapa final'!$AA$25="Leve"),CONCATENATE("R1C",'Mapa final'!$O$25),"")</f>
        <v/>
      </c>
      <c r="K46" s="73" t="str">
        <f>IF(AND('Mapa final'!$Y$26="Muy Baja",'Mapa final'!$AA$26="Leve"),CONCATENATE("R1C",'Mapa final'!$O$26),"")</f>
        <v/>
      </c>
      <c r="L46" s="73" t="str">
        <f>IF(AND('Mapa final'!$Y$27="Muy Baja",'Mapa final'!$AA$27="Leve"),CONCATENATE("R1C",'Mapa final'!$O$27),"")</f>
        <v/>
      </c>
      <c r="M46" s="73" t="str">
        <f>IF(AND('Mapa final'!$Y$28="Muy Baja",'Mapa final'!$AA$28="Leve"),CONCATENATE("R1C",'Mapa final'!$O$28),"")</f>
        <v/>
      </c>
      <c r="N46" s="73" t="str">
        <f>IF(AND('Mapa final'!$Y$29="Muy Baja",'Mapa final'!$AA$29="Leve"),CONCATENATE("R1C",'Mapa final'!$O$29),"")</f>
        <v/>
      </c>
      <c r="O46" s="74" t="str">
        <f>IF(AND('Mapa final'!$Y$30="Muy Baja",'Mapa final'!$AA$30="Leve"),CONCATENATE("R1C",'Mapa final'!$O$30),"")</f>
        <v/>
      </c>
      <c r="P46" s="72" t="str">
        <f>IF(AND('Mapa final'!$Y$25="Muy Baja",'Mapa final'!$AA$25="Menor"),CONCATENATE("R1C",'Mapa final'!$O$25),"")</f>
        <v>R1C1</v>
      </c>
      <c r="Q46" s="73" t="str">
        <f>IF(AND('Mapa final'!$Y$26="Muy Baja",'Mapa final'!$AA$26="Menor"),CONCATENATE("R1C",'Mapa final'!$O$26),"")</f>
        <v/>
      </c>
      <c r="R46" s="73" t="str">
        <f>IF(AND('Mapa final'!$Y$27="Muy Baja",'Mapa final'!$AA$27="Menor"),CONCATENATE("R1C",'Mapa final'!$O$27),"")</f>
        <v/>
      </c>
      <c r="S46" s="73" t="str">
        <f>IF(AND('Mapa final'!$Y$28="Muy Baja",'Mapa final'!$AA$28="Menor"),CONCATENATE("R1C",'Mapa final'!$O$28),"")</f>
        <v/>
      </c>
      <c r="T46" s="73" t="str">
        <f>IF(AND('Mapa final'!$Y$29="Muy Baja",'Mapa final'!$AA$29="Menor"),CONCATENATE("R1C",'Mapa final'!$O$29),"")</f>
        <v/>
      </c>
      <c r="U46" s="74" t="str">
        <f>IF(AND('Mapa final'!$Y$30="Muy Baja",'Mapa final'!$AA$30="Menor"),CONCATENATE("R1C",'Mapa final'!$O$30),"")</f>
        <v/>
      </c>
      <c r="V46" s="63" t="str">
        <f>IF(AND('Mapa final'!$Y$25="Muy Baja",'Mapa final'!$AA$25="Moderado"),CONCATENATE("R1C",'Mapa final'!$O$25),"")</f>
        <v/>
      </c>
      <c r="W46" s="81" t="str">
        <f>IF(AND('Mapa final'!$Y$26="Muy Baja",'Mapa final'!$AA$26="Moderado"),CONCATENATE("R1C",'Mapa final'!$O$26),"")</f>
        <v/>
      </c>
      <c r="X46" s="64" t="str">
        <f>IF(AND('Mapa final'!$Y$27="Muy Baja",'Mapa final'!$AA$27="Moderado"),CONCATENATE("R1C",'Mapa final'!$O$27),"")</f>
        <v/>
      </c>
      <c r="Y46" s="64" t="str">
        <f>IF(AND('Mapa final'!$Y$28="Muy Baja",'Mapa final'!$AA$28="Moderado"),CONCATENATE("R1C",'Mapa final'!$O$28),"")</f>
        <v/>
      </c>
      <c r="Z46" s="64" t="str">
        <f>IF(AND('Mapa final'!$Y$29="Muy Baja",'Mapa final'!$AA$29="Moderado"),CONCATENATE("R1C",'Mapa final'!$O$29),"")</f>
        <v/>
      </c>
      <c r="AA46" s="65" t="str">
        <f>IF(AND('Mapa final'!$Y$30="Muy Baja",'Mapa final'!$AA$30="Moderado"),CONCATENATE("R1C",'Mapa final'!$O$30),"")</f>
        <v/>
      </c>
      <c r="AB46" s="45" t="str">
        <f>IF(AND('Mapa final'!$Y$25="Muy Baja",'Mapa final'!$AA$25="Mayor"),CONCATENATE("R1C",'Mapa final'!$O$25),"")</f>
        <v/>
      </c>
      <c r="AC46" s="46" t="str">
        <f>IF(AND('Mapa final'!$Y$26="Muy Baja",'Mapa final'!$AA$26="Mayor"),CONCATENATE("R1C",'Mapa final'!$O$26),"")</f>
        <v/>
      </c>
      <c r="AD46" s="46" t="str">
        <f>IF(AND('Mapa final'!$Y$27="Muy Baja",'Mapa final'!$AA$27="Mayor"),CONCATENATE("R1C",'Mapa final'!$O$27),"")</f>
        <v/>
      </c>
      <c r="AE46" s="46" t="str">
        <f>IF(AND('Mapa final'!$Y$28="Muy Baja",'Mapa final'!$AA$28="Mayor"),CONCATENATE("R1C",'Mapa final'!$O$28),"")</f>
        <v/>
      </c>
      <c r="AF46" s="46" t="str">
        <f>IF(AND('Mapa final'!$Y$29="Muy Baja",'Mapa final'!$AA$29="Mayor"),CONCATENATE("R1C",'Mapa final'!$O$29),"")</f>
        <v/>
      </c>
      <c r="AG46" s="47" t="str">
        <f>IF(AND('Mapa final'!$Y$30="Muy Baja",'Mapa final'!$AA$30="Mayor"),CONCATENATE("R1C",'Mapa final'!$O$30),"")</f>
        <v/>
      </c>
      <c r="AH46" s="48" t="str">
        <f>IF(AND('Mapa final'!$Y$25="Muy Baja",'Mapa final'!$AA$25="Catastrófico"),CONCATENATE("R1C",'Mapa final'!$O$25),"")</f>
        <v/>
      </c>
      <c r="AI46" s="49" t="str">
        <f>IF(AND('Mapa final'!$Y$26="Muy Baja",'Mapa final'!$AA$26="Catastrófico"),CONCATENATE("R1C",'Mapa final'!$O$26),"")</f>
        <v/>
      </c>
      <c r="AJ46" s="49" t="str">
        <f>IF(AND('Mapa final'!$Y$27="Muy Baja",'Mapa final'!$AA$27="Catastrófico"),CONCATENATE("R1C",'Mapa final'!$O$27),"")</f>
        <v/>
      </c>
      <c r="AK46" s="49" t="str">
        <f>IF(AND('Mapa final'!$Y$28="Muy Baja",'Mapa final'!$AA$28="Catastrófico"),CONCATENATE("R1C",'Mapa final'!$O$28),"")</f>
        <v/>
      </c>
      <c r="AL46" s="49" t="str">
        <f>IF(AND('Mapa final'!$Y$29="Muy Baja",'Mapa final'!$AA$29="Catastrófico"),CONCATENATE("R1C",'Mapa final'!$O$29),"")</f>
        <v/>
      </c>
      <c r="AM46" s="50" t="str">
        <f>IF(AND('Mapa final'!$Y$30="Muy Baja",'Mapa final'!$AA$30="Catastrófico"),CONCATENATE("R1C",'Mapa final'!$O$30),"")</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397"/>
      <c r="C47" s="397"/>
      <c r="D47" s="398"/>
      <c r="E47" s="454"/>
      <c r="F47" s="439"/>
      <c r="G47" s="439"/>
      <c r="H47" s="439"/>
      <c r="I47" s="440"/>
      <c r="J47" s="75" t="str">
        <f>IF(AND('Mapa final'!$Y$31="Muy Baja",'Mapa final'!$AA$31="Leve"),CONCATENATE("R2C",'Mapa final'!$O$31),"")</f>
        <v/>
      </c>
      <c r="K47" s="76" t="str">
        <f>IF(AND('Mapa final'!$Y$32="Muy Baja",'Mapa final'!$AA$32="Leve"),CONCATENATE("R2C",'Mapa final'!$O$32),"")</f>
        <v/>
      </c>
      <c r="L47" s="76" t="str">
        <f>IF(AND('Mapa final'!$Y$33="Muy Baja",'Mapa final'!$AA$33="Leve"),CONCATENATE("R2C",'Mapa final'!$O$33),"")</f>
        <v/>
      </c>
      <c r="M47" s="76" t="str">
        <f>IF(AND('Mapa final'!$Y$34="Muy Baja",'Mapa final'!$AA$34="Leve"),CONCATENATE("R2C",'Mapa final'!$O$34),"")</f>
        <v/>
      </c>
      <c r="N47" s="76" t="str">
        <f>IF(AND('Mapa final'!$Y$35="Muy Baja",'Mapa final'!$AA$35="Leve"),CONCATENATE("R2C",'Mapa final'!$O$35),"")</f>
        <v/>
      </c>
      <c r="O47" s="77" t="str">
        <f>IF(AND('Mapa final'!$Y$36="Muy Baja",'Mapa final'!$AA$36="Leve"),CONCATENATE("R2C",'Mapa final'!$O$36),"")</f>
        <v/>
      </c>
      <c r="P47" s="75" t="str">
        <f>IF(AND('Mapa final'!$Y$31="Muy Baja",'Mapa final'!$AA$31="Menor"),CONCATENATE("R2C",'Mapa final'!$O$31),"")</f>
        <v/>
      </c>
      <c r="Q47" s="76" t="str">
        <f>IF(AND('Mapa final'!$Y$32="Muy Baja",'Mapa final'!$AA$32="Menor"),CONCATENATE("R2C",'Mapa final'!$O$32),"")</f>
        <v/>
      </c>
      <c r="R47" s="76" t="str">
        <f>IF(AND('Mapa final'!$Y$33="Muy Baja",'Mapa final'!$AA$33="Menor"),CONCATENATE("R2C",'Mapa final'!$O$33),"")</f>
        <v/>
      </c>
      <c r="S47" s="76" t="str">
        <f>IF(AND('Mapa final'!$Y$34="Muy Baja",'Mapa final'!$AA$34="Menor"),CONCATENATE("R2C",'Mapa final'!$O$34),"")</f>
        <v/>
      </c>
      <c r="T47" s="76" t="str">
        <f>IF(AND('Mapa final'!$Y$35="Muy Baja",'Mapa final'!$AA$35="Menor"),CONCATENATE("R2C",'Mapa final'!$O$35),"")</f>
        <v/>
      </c>
      <c r="U47" s="77" t="str">
        <f>IF(AND('Mapa final'!$Y$36="Muy Baja",'Mapa final'!$AA$36="Menor"),CONCATENATE("R2C",'Mapa final'!$O$36),"")</f>
        <v/>
      </c>
      <c r="V47" s="66" t="str">
        <f>IF(AND('Mapa final'!$Y$31="Muy Baja",'Mapa final'!$AA$31="Moderado"),CONCATENATE("R2C",'Mapa final'!$O$31),"")</f>
        <v/>
      </c>
      <c r="W47" s="67" t="str">
        <f>IF(AND('Mapa final'!$Y$32="Muy Baja",'Mapa final'!$AA$32="Moderado"),CONCATENATE("R2C",'Mapa final'!$O$32),"")</f>
        <v/>
      </c>
      <c r="X47" s="67" t="str">
        <f>IF(AND('Mapa final'!$Y$33="Muy Baja",'Mapa final'!$AA$33="Moderado"),CONCATENATE("R2C",'Mapa final'!$O$33),"")</f>
        <v/>
      </c>
      <c r="Y47" s="67" t="str">
        <f>IF(AND('Mapa final'!$Y$34="Muy Baja",'Mapa final'!$AA$34="Moderado"),CONCATENATE("R2C",'Mapa final'!$O$34),"")</f>
        <v/>
      </c>
      <c r="Z47" s="67" t="str">
        <f>IF(AND('Mapa final'!$Y$35="Muy Baja",'Mapa final'!$AA$35="Moderado"),CONCATENATE("R2C",'Mapa final'!$O$35),"")</f>
        <v/>
      </c>
      <c r="AA47" s="68" t="str">
        <f>IF(AND('Mapa final'!$Y$36="Muy Baja",'Mapa final'!$AA$36="Moderado"),CONCATENATE("R2C",'Mapa final'!$O$36),"")</f>
        <v/>
      </c>
      <c r="AB47" s="51" t="str">
        <f>IF(AND('Mapa final'!$Y$31="Muy Baja",'Mapa final'!$AA$31="Mayor"),CONCATENATE("R2C",'Mapa final'!$O$31),"")</f>
        <v/>
      </c>
      <c r="AC47" s="52" t="str">
        <f>IF(AND('Mapa final'!$Y$32="Muy Baja",'Mapa final'!$AA$32="Mayor"),CONCATENATE("R2C",'Mapa final'!$O$32),"")</f>
        <v/>
      </c>
      <c r="AD47" s="52" t="str">
        <f>IF(AND('Mapa final'!$Y$33="Muy Baja",'Mapa final'!$AA$33="Mayor"),CONCATENATE("R2C",'Mapa final'!$O$33),"")</f>
        <v/>
      </c>
      <c r="AE47" s="52" t="str">
        <f>IF(AND('Mapa final'!$Y$34="Muy Baja",'Mapa final'!$AA$34="Mayor"),CONCATENATE("R2C",'Mapa final'!$O$34),"")</f>
        <v/>
      </c>
      <c r="AF47" s="52" t="str">
        <f>IF(AND('Mapa final'!$Y$35="Muy Baja",'Mapa final'!$AA$35="Mayor"),CONCATENATE("R2C",'Mapa final'!$O$35),"")</f>
        <v/>
      </c>
      <c r="AG47" s="53" t="str">
        <f>IF(AND('Mapa final'!$Y$36="Muy Baja",'Mapa final'!$AA$36="Mayor"),CONCATENATE("R2C",'Mapa final'!$O$36),"")</f>
        <v/>
      </c>
      <c r="AH47" s="54" t="str">
        <f>IF(AND('Mapa final'!$Y$31="Muy Baja",'Mapa final'!$AA$31="Catastrófico"),CONCATENATE("R2C",'Mapa final'!$O$31),"")</f>
        <v/>
      </c>
      <c r="AI47" s="55" t="str">
        <f>IF(AND('Mapa final'!$Y$32="Muy Baja",'Mapa final'!$AA$32="Catastrófico"),CONCATENATE("R2C",'Mapa final'!$O$32),"")</f>
        <v/>
      </c>
      <c r="AJ47" s="55" t="str">
        <f>IF(AND('Mapa final'!$Y$33="Muy Baja",'Mapa final'!$AA$33="Catastrófico"),CONCATENATE("R2C",'Mapa final'!$O$33),"")</f>
        <v/>
      </c>
      <c r="AK47" s="55" t="str">
        <f>IF(AND('Mapa final'!$Y$34="Muy Baja",'Mapa final'!$AA$34="Catastrófico"),CONCATENATE("R2C",'Mapa final'!$O$34),"")</f>
        <v/>
      </c>
      <c r="AL47" s="55" t="str">
        <f>IF(AND('Mapa final'!$Y$35="Muy Baja",'Mapa final'!$AA$35="Catastrófico"),CONCATENATE("R2C",'Mapa final'!$O$35),"")</f>
        <v/>
      </c>
      <c r="AM47" s="56" t="str">
        <f>IF(AND('Mapa final'!$Y$36="Muy Baja",'Mapa final'!$AA$36="Catastrófico"),CONCATENATE("R2C",'Mapa final'!$O$36),"")</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397"/>
      <c r="C48" s="397"/>
      <c r="D48" s="398"/>
      <c r="E48" s="454"/>
      <c r="F48" s="439"/>
      <c r="G48" s="439"/>
      <c r="H48" s="439"/>
      <c r="I48" s="440"/>
      <c r="J48" s="75" t="str">
        <f>IF(AND('Mapa final'!$Y$37="Muy Baja",'Mapa final'!$AA$37="Leve"),CONCATENATE("R3C",'Mapa final'!$O$37),"")</f>
        <v/>
      </c>
      <c r="K48" s="76" t="str">
        <f>IF(AND('Mapa final'!$Y$38="Muy Baja",'Mapa final'!$AA$38="Leve"),CONCATENATE("R3C",'Mapa final'!$O$38),"")</f>
        <v/>
      </c>
      <c r="L48" s="76" t="str">
        <f>IF(AND('Mapa final'!$Y$39="Muy Baja",'Mapa final'!$AA$39="Leve"),CONCATENATE("R3C",'Mapa final'!$O$39),"")</f>
        <v/>
      </c>
      <c r="M48" s="76" t="str">
        <f>IF(AND('Mapa final'!$Y$40="Muy Baja",'Mapa final'!$AA$40="Leve"),CONCATENATE("R3C",'Mapa final'!$O$40),"")</f>
        <v/>
      </c>
      <c r="N48" s="76" t="str">
        <f>IF(AND('Mapa final'!$Y$41="Muy Baja",'Mapa final'!$AA$41="Leve"),CONCATENATE("R3C",'Mapa final'!$O$41),"")</f>
        <v/>
      </c>
      <c r="O48" s="77" t="str">
        <f>IF(AND('Mapa final'!$Y$42="Muy Baja",'Mapa final'!$AA$42="Leve"),CONCATENATE("R3C",'Mapa final'!$O$42),"")</f>
        <v/>
      </c>
      <c r="P48" s="75" t="str">
        <f>IF(AND('Mapa final'!$Y$37="Muy Baja",'Mapa final'!$AA$37="Menor"),CONCATENATE("R3C",'Mapa final'!$O$37),"")</f>
        <v>R3C1</v>
      </c>
      <c r="Q48" s="76" t="str">
        <f>IF(AND('Mapa final'!$Y$38="Muy Baja",'Mapa final'!$AA$38="Menor"),CONCATENATE("R3C",'Mapa final'!$O$38),"")</f>
        <v/>
      </c>
      <c r="R48" s="76" t="str">
        <f>IF(AND('Mapa final'!$Y$39="Muy Baja",'Mapa final'!$AA$39="Menor"),CONCATENATE("R3C",'Mapa final'!$O$39),"")</f>
        <v/>
      </c>
      <c r="S48" s="76" t="str">
        <f>IF(AND('Mapa final'!$Y$40="Muy Baja",'Mapa final'!$AA$40="Menor"),CONCATENATE("R3C",'Mapa final'!$O$40),"")</f>
        <v/>
      </c>
      <c r="T48" s="76" t="str">
        <f>IF(AND('Mapa final'!$Y$41="Muy Baja",'Mapa final'!$AA$41="Menor"),CONCATENATE("R3C",'Mapa final'!$O$41),"")</f>
        <v/>
      </c>
      <c r="U48" s="77" t="str">
        <f>IF(AND('Mapa final'!$Y$42="Muy Baja",'Mapa final'!$AA$42="Menor"),CONCATENATE("R3C",'Mapa final'!$O$42),"")</f>
        <v/>
      </c>
      <c r="V48" s="66" t="str">
        <f>IF(AND('Mapa final'!$Y$37="Muy Baja",'Mapa final'!$AA$37="Moderado"),CONCATENATE("R3C",'Mapa final'!$O$37),"")</f>
        <v/>
      </c>
      <c r="W48" s="67" t="str">
        <f>IF(AND('Mapa final'!$Y$38="Muy Baja",'Mapa final'!$AA$38="Moderado"),CONCATENATE("R3C",'Mapa final'!$O$38),"")</f>
        <v/>
      </c>
      <c r="X48" s="67" t="str">
        <f>IF(AND('Mapa final'!$Y$39="Muy Baja",'Mapa final'!$AA$39="Moderado"),CONCATENATE("R3C",'Mapa final'!$O$39),"")</f>
        <v/>
      </c>
      <c r="Y48" s="67" t="str">
        <f>IF(AND('Mapa final'!$Y$40="Muy Baja",'Mapa final'!$AA$40="Moderado"),CONCATENATE("R3C",'Mapa final'!$O$40),"")</f>
        <v/>
      </c>
      <c r="Z48" s="67" t="str">
        <f>IF(AND('Mapa final'!$Y$41="Muy Baja",'Mapa final'!$AA$41="Moderado"),CONCATENATE("R3C",'Mapa final'!$O$41),"")</f>
        <v/>
      </c>
      <c r="AA48" s="68" t="str">
        <f>IF(AND('Mapa final'!$Y$42="Muy Baja",'Mapa final'!$AA$42="Moderado"),CONCATENATE("R3C",'Mapa final'!$O$42),"")</f>
        <v/>
      </c>
      <c r="AB48" s="51" t="str">
        <f>IF(AND('Mapa final'!$Y$37="Muy Baja",'Mapa final'!$AA$37="Mayor"),CONCATENATE("R3C",'Mapa final'!$O$37),"")</f>
        <v/>
      </c>
      <c r="AC48" s="52" t="str">
        <f>IF(AND('Mapa final'!$Y$38="Muy Baja",'Mapa final'!$AA$38="Mayor"),CONCATENATE("R3C",'Mapa final'!$O$38),"")</f>
        <v/>
      </c>
      <c r="AD48" s="52" t="str">
        <f>IF(AND('Mapa final'!$Y$39="Muy Baja",'Mapa final'!$AA$39="Mayor"),CONCATENATE("R3C",'Mapa final'!$O$39),"")</f>
        <v/>
      </c>
      <c r="AE48" s="52" t="str">
        <f>IF(AND('Mapa final'!$Y$40="Muy Baja",'Mapa final'!$AA$40="Mayor"),CONCATENATE("R3C",'Mapa final'!$O$40),"")</f>
        <v/>
      </c>
      <c r="AF48" s="52" t="str">
        <f>IF(AND('Mapa final'!$Y$41="Muy Baja",'Mapa final'!$AA$41="Mayor"),CONCATENATE("R3C",'Mapa final'!$O$41),"")</f>
        <v/>
      </c>
      <c r="AG48" s="53" t="str">
        <f>IF(AND('Mapa final'!$Y$42="Muy Baja",'Mapa final'!$AA$42="Mayor"),CONCATENATE("R3C",'Mapa final'!$O$42),"")</f>
        <v/>
      </c>
      <c r="AH48" s="54" t="str">
        <f>IF(AND('Mapa final'!$Y$37="Muy Baja",'Mapa final'!$AA$37="Catastrófico"),CONCATENATE("R3C",'Mapa final'!$O$37),"")</f>
        <v/>
      </c>
      <c r="AI48" s="55" t="str">
        <f>IF(AND('Mapa final'!$Y$38="Muy Baja",'Mapa final'!$AA$38="Catastrófico"),CONCATENATE("R3C",'Mapa final'!$O$38),"")</f>
        <v/>
      </c>
      <c r="AJ48" s="55" t="str">
        <f>IF(AND('Mapa final'!$Y$39="Muy Baja",'Mapa final'!$AA$39="Catastrófico"),CONCATENATE("R3C",'Mapa final'!$O$39),"")</f>
        <v/>
      </c>
      <c r="AK48" s="55" t="str">
        <f>IF(AND('Mapa final'!$Y$40="Muy Baja",'Mapa final'!$AA$40="Catastrófico"),CONCATENATE("R3C",'Mapa final'!$O$40),"")</f>
        <v/>
      </c>
      <c r="AL48" s="55" t="str">
        <f>IF(AND('Mapa final'!$Y$41="Muy Baja",'Mapa final'!$AA$41="Catastrófico"),CONCATENATE("R3C",'Mapa final'!$O$41),"")</f>
        <v/>
      </c>
      <c r="AM48" s="56" t="str">
        <f>IF(AND('Mapa final'!$Y$42="Muy Baja",'Mapa final'!$AA$42="Catastrófico"),CONCATENATE("R3C",'Mapa final'!$O$42),"")</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397"/>
      <c r="C49" s="397"/>
      <c r="D49" s="398"/>
      <c r="E49" s="438"/>
      <c r="F49" s="439"/>
      <c r="G49" s="439"/>
      <c r="H49" s="439"/>
      <c r="I49" s="440"/>
      <c r="J49" s="75" t="str">
        <f>IF(AND('Mapa final'!$Y$43="Muy Baja",'Mapa final'!$AA$43="Leve"),CONCATENATE("R4C",'Mapa final'!$O$43),"")</f>
        <v/>
      </c>
      <c r="K49" s="76" t="str">
        <f>IF(AND('Mapa final'!$Y$44="Muy Baja",'Mapa final'!$AA$44="Leve"),CONCATENATE("R4C",'Mapa final'!$O$44),"")</f>
        <v/>
      </c>
      <c r="L49" s="76" t="str">
        <f>IF(AND('Mapa final'!$Y$45="Muy Baja",'Mapa final'!$AA$45="Leve"),CONCATENATE("R4C",'Mapa final'!$O$45),"")</f>
        <v/>
      </c>
      <c r="M49" s="76" t="str">
        <f>IF(AND('Mapa final'!$Y$46="Muy Baja",'Mapa final'!$AA$46="Leve"),CONCATENATE("R4C",'Mapa final'!$O$46),"")</f>
        <v/>
      </c>
      <c r="N49" s="76" t="str">
        <f>IF(AND('Mapa final'!$Y$47="Muy Baja",'Mapa final'!$AA$47="Leve"),CONCATENATE("R4C",'Mapa final'!$O$47),"")</f>
        <v/>
      </c>
      <c r="O49" s="77" t="str">
        <f>IF(AND('Mapa final'!$Y$48="Muy Baja",'Mapa final'!$AA$48="Leve"),CONCATENATE("R4C",'Mapa final'!$O$48),"")</f>
        <v/>
      </c>
      <c r="P49" s="75" t="str">
        <f>IF(AND('Mapa final'!$Y$43="Muy Baja",'Mapa final'!$AA$43="Menor"),CONCATENATE("R4C",'Mapa final'!$O$43),"")</f>
        <v/>
      </c>
      <c r="Q49" s="76" t="str">
        <f>IF(AND('Mapa final'!$Y$44="Muy Baja",'Mapa final'!$AA$44="Menor"),CONCATENATE("R4C",'Mapa final'!$O$44),"")</f>
        <v/>
      </c>
      <c r="R49" s="76" t="str">
        <f>IF(AND('Mapa final'!$Y$45="Muy Baja",'Mapa final'!$AA$45="Menor"),CONCATENATE("R4C",'Mapa final'!$O$45),"")</f>
        <v/>
      </c>
      <c r="S49" s="76" t="str">
        <f>IF(AND('Mapa final'!$Y$46="Muy Baja",'Mapa final'!$AA$46="Menor"),CONCATENATE("R4C",'Mapa final'!$O$46),"")</f>
        <v/>
      </c>
      <c r="T49" s="76" t="str">
        <f>IF(AND('Mapa final'!$Y$47="Muy Baja",'Mapa final'!$AA$47="Menor"),CONCATENATE("R4C",'Mapa final'!$O$47),"")</f>
        <v/>
      </c>
      <c r="U49" s="77" t="str">
        <f>IF(AND('Mapa final'!$Y$48="Muy Baja",'Mapa final'!$AA$48="Menor"),CONCATENATE("R4C",'Mapa final'!$O$48),"")</f>
        <v/>
      </c>
      <c r="V49" s="66" t="str">
        <f>IF(AND('Mapa final'!$Y$43="Muy Baja",'Mapa final'!$AA$43="Moderado"),CONCATENATE("R4C",'Mapa final'!$O$43),"")</f>
        <v/>
      </c>
      <c r="W49" s="67" t="str">
        <f>IF(AND('Mapa final'!$Y$44="Muy Baja",'Mapa final'!$AA$44="Moderado"),CONCATENATE("R4C",'Mapa final'!$O$44),"")</f>
        <v/>
      </c>
      <c r="X49" s="67" t="str">
        <f>IF(AND('Mapa final'!$Y$45="Muy Baja",'Mapa final'!$AA$45="Moderado"),CONCATENATE("R4C",'Mapa final'!$O$45),"")</f>
        <v/>
      </c>
      <c r="Y49" s="67" t="str">
        <f>IF(AND('Mapa final'!$Y$46="Muy Baja",'Mapa final'!$AA$46="Moderado"),CONCATENATE("R4C",'Mapa final'!$O$46),"")</f>
        <v/>
      </c>
      <c r="Z49" s="67" t="str">
        <f>IF(AND('Mapa final'!$Y$47="Muy Baja",'Mapa final'!$AA$47="Moderado"),CONCATENATE("R4C",'Mapa final'!$O$47),"")</f>
        <v/>
      </c>
      <c r="AA49" s="68" t="str">
        <f>IF(AND('Mapa final'!$Y$48="Muy Baja",'Mapa final'!$AA$48="Moderado"),CONCATENATE("R4C",'Mapa final'!$O$48),"")</f>
        <v/>
      </c>
      <c r="AB49" s="51" t="str">
        <f>IF(AND('Mapa final'!$Y$43="Muy Baja",'Mapa final'!$AA$43="Mayor"),CONCATENATE("R4C",'Mapa final'!$O$43),"")</f>
        <v/>
      </c>
      <c r="AC49" s="52" t="str">
        <f>IF(AND('Mapa final'!$Y$44="Muy Baja",'Mapa final'!$AA$44="Mayor"),CONCATENATE("R4C",'Mapa final'!$O$44),"")</f>
        <v/>
      </c>
      <c r="AD49" s="52" t="str">
        <f>IF(AND('Mapa final'!$Y$45="Muy Baja",'Mapa final'!$AA$45="Mayor"),CONCATENATE("R4C",'Mapa final'!$O$45),"")</f>
        <v/>
      </c>
      <c r="AE49" s="52" t="str">
        <f>IF(AND('Mapa final'!$Y$46="Muy Baja",'Mapa final'!$AA$46="Mayor"),CONCATENATE("R4C",'Mapa final'!$O$46),"")</f>
        <v/>
      </c>
      <c r="AF49" s="52" t="str">
        <f>IF(AND('Mapa final'!$Y$47="Muy Baja",'Mapa final'!$AA$47="Mayor"),CONCATENATE("R4C",'Mapa final'!$O$47),"")</f>
        <v/>
      </c>
      <c r="AG49" s="53" t="str">
        <f>IF(AND('Mapa final'!$Y$48="Muy Baja",'Mapa final'!$AA$48="Mayor"),CONCATENATE("R4C",'Mapa final'!$O$48),"")</f>
        <v/>
      </c>
      <c r="AH49" s="54" t="str">
        <f>IF(AND('Mapa final'!$Y$43="Muy Baja",'Mapa final'!$AA$43="Catastrófico"),CONCATENATE("R4C",'Mapa final'!$O$43),"")</f>
        <v/>
      </c>
      <c r="AI49" s="55" t="str">
        <f>IF(AND('Mapa final'!$Y$44="Muy Baja",'Mapa final'!$AA$44="Catastrófico"),CONCATENATE("R4C",'Mapa final'!$O$44),"")</f>
        <v/>
      </c>
      <c r="AJ49" s="55" t="str">
        <f>IF(AND('Mapa final'!$Y$45="Muy Baja",'Mapa final'!$AA$45="Catastrófico"),CONCATENATE("R4C",'Mapa final'!$O$45),"")</f>
        <v/>
      </c>
      <c r="AK49" s="55" t="str">
        <f>IF(AND('Mapa final'!$Y$46="Muy Baja",'Mapa final'!$AA$46="Catastrófico"),CONCATENATE("R4C",'Mapa final'!$O$46),"")</f>
        <v/>
      </c>
      <c r="AL49" s="55" t="str">
        <f>IF(AND('Mapa final'!$Y$47="Muy Baja",'Mapa final'!$AA$47="Catastrófico"),CONCATENATE("R4C",'Mapa final'!$O$47),"")</f>
        <v/>
      </c>
      <c r="AM49" s="56" t="str">
        <f>IF(AND('Mapa final'!$Y$48="Muy Baja",'Mapa final'!$AA$48="Catastrófico"),CONCATENATE("R4C",'Mapa final'!$O$48),"")</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397"/>
      <c r="C50" s="397"/>
      <c r="D50" s="398"/>
      <c r="E50" s="438"/>
      <c r="F50" s="439"/>
      <c r="G50" s="439"/>
      <c r="H50" s="439"/>
      <c r="I50" s="440"/>
      <c r="J50" s="75" t="str">
        <f>IF(AND('Mapa final'!$Y$49="Muy Baja",'Mapa final'!$AA$49="Leve"),CONCATENATE("R5C",'Mapa final'!$O$49),"")</f>
        <v/>
      </c>
      <c r="K50" s="76" t="str">
        <f>IF(AND('Mapa final'!$Y$50="Muy Baja",'Mapa final'!$AA$50="Leve"),CONCATENATE("R5C",'Mapa final'!$O$50),"")</f>
        <v/>
      </c>
      <c r="L50" s="76" t="str">
        <f>IF(AND('Mapa final'!$Y$51="Muy Baja",'Mapa final'!$AA$51="Leve"),CONCATENATE("R5C",'Mapa final'!$O$51),"")</f>
        <v/>
      </c>
      <c r="M50" s="76" t="str">
        <f>IF(AND('Mapa final'!$Y$52="Muy Baja",'Mapa final'!$AA$52="Leve"),CONCATENATE("R5C",'Mapa final'!$O$52),"")</f>
        <v/>
      </c>
      <c r="N50" s="76" t="str">
        <f>IF(AND('Mapa final'!$Y$53="Muy Baja",'Mapa final'!$AA$53="Leve"),CONCATENATE("R5C",'Mapa final'!$O$53),"")</f>
        <v/>
      </c>
      <c r="O50" s="77" t="str">
        <f>IF(AND('Mapa final'!$Y$54="Muy Baja",'Mapa final'!$AA$54="Leve"),CONCATENATE("R5C",'Mapa final'!$O$54),"")</f>
        <v/>
      </c>
      <c r="P50" s="75" t="str">
        <f>IF(AND('Mapa final'!$Y$49="Muy Baja",'Mapa final'!$AA$49="Menor"),CONCATENATE("R5C",'Mapa final'!$O$49),"")</f>
        <v/>
      </c>
      <c r="Q50" s="76" t="str">
        <f>IF(AND('Mapa final'!$Y$50="Muy Baja",'Mapa final'!$AA$50="Menor"),CONCATENATE("R5C",'Mapa final'!$O$50),"")</f>
        <v/>
      </c>
      <c r="R50" s="76" t="str">
        <f>IF(AND('Mapa final'!$Y$51="Muy Baja",'Mapa final'!$AA$51="Menor"),CONCATENATE("R5C",'Mapa final'!$O$51),"")</f>
        <v/>
      </c>
      <c r="S50" s="76" t="str">
        <f>IF(AND('Mapa final'!$Y$52="Muy Baja",'Mapa final'!$AA$52="Menor"),CONCATENATE("R5C",'Mapa final'!$O$52),"")</f>
        <v/>
      </c>
      <c r="T50" s="76" t="str">
        <f>IF(AND('Mapa final'!$Y$53="Muy Baja",'Mapa final'!$AA$53="Menor"),CONCATENATE("R5C",'Mapa final'!$O$53),"")</f>
        <v/>
      </c>
      <c r="U50" s="77" t="str">
        <f>IF(AND('Mapa final'!$Y$54="Muy Baja",'Mapa final'!$AA$54="Menor"),CONCATENATE("R5C",'Mapa final'!$O$54),"")</f>
        <v/>
      </c>
      <c r="V50" s="66" t="str">
        <f>IF(AND('Mapa final'!$Y$49="Muy Baja",'Mapa final'!$AA$49="Moderado"),CONCATENATE("R5C",'Mapa final'!$O$49),"")</f>
        <v/>
      </c>
      <c r="W50" s="67" t="str">
        <f>IF(AND('Mapa final'!$Y$50="Muy Baja",'Mapa final'!$AA$50="Moderado"),CONCATENATE("R5C",'Mapa final'!$O$50),"")</f>
        <v/>
      </c>
      <c r="X50" s="67" t="str">
        <f>IF(AND('Mapa final'!$Y$51="Muy Baja",'Mapa final'!$AA$51="Moderado"),CONCATENATE("R5C",'Mapa final'!$O$51),"")</f>
        <v/>
      </c>
      <c r="Y50" s="67" t="str">
        <f>IF(AND('Mapa final'!$Y$52="Muy Baja",'Mapa final'!$AA$52="Moderado"),CONCATENATE("R5C",'Mapa final'!$O$52),"")</f>
        <v/>
      </c>
      <c r="Z50" s="67" t="str">
        <f>IF(AND('Mapa final'!$Y$53="Muy Baja",'Mapa final'!$AA$53="Moderado"),CONCATENATE("R5C",'Mapa final'!$O$53),"")</f>
        <v/>
      </c>
      <c r="AA50" s="68" t="str">
        <f>IF(AND('Mapa final'!$Y$54="Muy Baja",'Mapa final'!$AA$54="Moderado"),CONCATENATE("R5C",'Mapa final'!$O$54),"")</f>
        <v/>
      </c>
      <c r="AB50" s="51" t="str">
        <f>IF(AND('Mapa final'!$Y$49="Muy Baja",'Mapa final'!$AA$49="Mayor"),CONCATENATE("R5C",'Mapa final'!$O$49),"")</f>
        <v/>
      </c>
      <c r="AC50" s="52" t="str">
        <f>IF(AND('Mapa final'!$Y$50="Muy Baja",'Mapa final'!$AA$50="Mayor"),CONCATENATE("R5C",'Mapa final'!$O$50),"")</f>
        <v/>
      </c>
      <c r="AD50" s="52" t="str">
        <f>IF(AND('Mapa final'!$Y$51="Muy Baja",'Mapa final'!$AA$51="Mayor"),CONCATENATE("R5C",'Mapa final'!$O$51),"")</f>
        <v/>
      </c>
      <c r="AE50" s="52" t="str">
        <f>IF(AND('Mapa final'!$Y$52="Muy Baja",'Mapa final'!$AA$52="Mayor"),CONCATENATE("R5C",'Mapa final'!$O$52),"")</f>
        <v/>
      </c>
      <c r="AF50" s="52" t="str">
        <f>IF(AND('Mapa final'!$Y$53="Muy Baja",'Mapa final'!$AA$53="Mayor"),CONCATENATE("R5C",'Mapa final'!$O$53),"")</f>
        <v/>
      </c>
      <c r="AG50" s="53" t="str">
        <f>IF(AND('Mapa final'!$Y$54="Muy Baja",'Mapa final'!$AA$54="Mayor"),CONCATENATE("R5C",'Mapa final'!$O$54),"")</f>
        <v/>
      </c>
      <c r="AH50" s="54" t="str">
        <f>IF(AND('Mapa final'!$Y$49="Muy Baja",'Mapa final'!$AA$49="Catastrófico"),CONCATENATE("R5C",'Mapa final'!$O$49),"")</f>
        <v/>
      </c>
      <c r="AI50" s="55" t="str">
        <f>IF(AND('Mapa final'!$Y$50="Muy Baja",'Mapa final'!$AA$50="Catastrófico"),CONCATENATE("R5C",'Mapa final'!$O$50),"")</f>
        <v/>
      </c>
      <c r="AJ50" s="55" t="str">
        <f>IF(AND('Mapa final'!$Y$51="Muy Baja",'Mapa final'!$AA$51="Catastrófico"),CONCATENATE("R5C",'Mapa final'!$O$51),"")</f>
        <v/>
      </c>
      <c r="AK50" s="55" t="str">
        <f>IF(AND('Mapa final'!$Y$52="Muy Baja",'Mapa final'!$AA$52="Catastrófico"),CONCATENATE("R5C",'Mapa final'!$O$52),"")</f>
        <v/>
      </c>
      <c r="AL50" s="55" t="str">
        <f>IF(AND('Mapa final'!$Y$53="Muy Baja",'Mapa final'!$AA$53="Catastrófico"),CONCATENATE("R5C",'Mapa final'!$O$53),"")</f>
        <v/>
      </c>
      <c r="AM50" s="56" t="str">
        <f>IF(AND('Mapa final'!$Y$54="Muy Baja",'Mapa final'!$AA$54="Catastrófico"),CONCATENATE("R5C",'Mapa final'!$O$54),"")</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397"/>
      <c r="C51" s="397"/>
      <c r="D51" s="398"/>
      <c r="E51" s="438"/>
      <c r="F51" s="439"/>
      <c r="G51" s="439"/>
      <c r="H51" s="439"/>
      <c r="I51" s="440"/>
      <c r="J51" s="75" t="str">
        <f>IF(AND('Mapa final'!$Y$55="Muy Baja",'Mapa final'!$AA$55="Leve"),CONCATENATE("R6C",'Mapa final'!$O$55),"")</f>
        <v/>
      </c>
      <c r="K51" s="76" t="str">
        <f>IF(AND('Mapa final'!$Y$56="Muy Baja",'Mapa final'!$AA$56="Leve"),CONCATENATE("R6C",'Mapa final'!$O$56),"")</f>
        <v/>
      </c>
      <c r="L51" s="76" t="str">
        <f>IF(AND('Mapa final'!$Y$57="Muy Baja",'Mapa final'!$AA$57="Leve"),CONCATENATE("R6C",'Mapa final'!$O$57),"")</f>
        <v/>
      </c>
      <c r="M51" s="76" t="str">
        <f>IF(AND('Mapa final'!$Y$58="Muy Baja",'Mapa final'!$AA$58="Leve"),CONCATENATE("R6C",'Mapa final'!$O$58),"")</f>
        <v/>
      </c>
      <c r="N51" s="76" t="str">
        <f>IF(AND('Mapa final'!$Y$59="Muy Baja",'Mapa final'!$AA$59="Leve"),CONCATENATE("R6C",'Mapa final'!$O$59),"")</f>
        <v/>
      </c>
      <c r="O51" s="77" t="str">
        <f>IF(AND('Mapa final'!$Y$60="Muy Baja",'Mapa final'!$AA$60="Leve"),CONCATENATE("R6C",'Mapa final'!$O$60),"")</f>
        <v/>
      </c>
      <c r="P51" s="75" t="str">
        <f>IF(AND('Mapa final'!$Y$55="Muy Baja",'Mapa final'!$AA$55="Menor"),CONCATENATE("R6C",'Mapa final'!$O$55),"")</f>
        <v/>
      </c>
      <c r="Q51" s="76" t="str">
        <f>IF(AND('Mapa final'!$Y$56="Muy Baja",'Mapa final'!$AA$56="Menor"),CONCATENATE("R6C",'Mapa final'!$O$56),"")</f>
        <v/>
      </c>
      <c r="R51" s="76" t="str">
        <f>IF(AND('Mapa final'!$Y$57="Muy Baja",'Mapa final'!$AA$57="Menor"),CONCATENATE("R6C",'Mapa final'!$O$57),"")</f>
        <v/>
      </c>
      <c r="S51" s="76" t="str">
        <f>IF(AND('Mapa final'!$Y$58="Muy Baja",'Mapa final'!$AA$58="Menor"),CONCATENATE("R6C",'Mapa final'!$O$58),"")</f>
        <v/>
      </c>
      <c r="T51" s="76" t="str">
        <f>IF(AND('Mapa final'!$Y$59="Muy Baja",'Mapa final'!$AA$59="Menor"),CONCATENATE("R6C",'Mapa final'!$O$59),"")</f>
        <v/>
      </c>
      <c r="U51" s="77" t="str">
        <f>IF(AND('Mapa final'!$Y$60="Muy Baja",'Mapa final'!$AA$60="Menor"),CONCATENATE("R6C",'Mapa final'!$O$60),"")</f>
        <v/>
      </c>
      <c r="V51" s="66" t="str">
        <f>IF(AND('Mapa final'!$Y$55="Muy Baja",'Mapa final'!$AA$55="Moderado"),CONCATENATE("R6C",'Mapa final'!$O$55),"")</f>
        <v/>
      </c>
      <c r="W51" s="67" t="str">
        <f>IF(AND('Mapa final'!$Y$56="Muy Baja",'Mapa final'!$AA$56="Moderado"),CONCATENATE("R6C",'Mapa final'!$O$56),"")</f>
        <v/>
      </c>
      <c r="X51" s="67" t="str">
        <f>IF(AND('Mapa final'!$Y$57="Muy Baja",'Mapa final'!$AA$57="Moderado"),CONCATENATE("R6C",'Mapa final'!$O$57),"")</f>
        <v/>
      </c>
      <c r="Y51" s="67" t="str">
        <f>IF(AND('Mapa final'!$Y$58="Muy Baja",'Mapa final'!$AA$58="Moderado"),CONCATENATE("R6C",'Mapa final'!$O$58),"")</f>
        <v/>
      </c>
      <c r="Z51" s="67" t="str">
        <f>IF(AND('Mapa final'!$Y$59="Muy Baja",'Mapa final'!$AA$59="Moderado"),CONCATENATE("R6C",'Mapa final'!$O$59),"")</f>
        <v/>
      </c>
      <c r="AA51" s="68" t="str">
        <f>IF(AND('Mapa final'!$Y$60="Muy Baja",'Mapa final'!$AA$60="Moderado"),CONCATENATE("R6C",'Mapa final'!$O$60),"")</f>
        <v/>
      </c>
      <c r="AB51" s="51" t="str">
        <f>IF(AND('Mapa final'!$Y$55="Muy Baja",'Mapa final'!$AA$55="Mayor"),CONCATENATE("R6C",'Mapa final'!$O$55),"")</f>
        <v/>
      </c>
      <c r="AC51" s="52" t="str">
        <f>IF(AND('Mapa final'!$Y$56="Muy Baja",'Mapa final'!$AA$56="Mayor"),CONCATENATE("R6C",'Mapa final'!$O$56),"")</f>
        <v/>
      </c>
      <c r="AD51" s="52" t="str">
        <f>IF(AND('Mapa final'!$Y$57="Muy Baja",'Mapa final'!$AA$57="Mayor"),CONCATENATE("R6C",'Mapa final'!$O$57),"")</f>
        <v/>
      </c>
      <c r="AE51" s="52" t="str">
        <f>IF(AND('Mapa final'!$Y$58="Muy Baja",'Mapa final'!$AA$58="Mayor"),CONCATENATE("R6C",'Mapa final'!$O$58),"")</f>
        <v/>
      </c>
      <c r="AF51" s="52" t="str">
        <f>IF(AND('Mapa final'!$Y$59="Muy Baja",'Mapa final'!$AA$59="Mayor"),CONCATENATE("R6C",'Mapa final'!$O$59),"")</f>
        <v/>
      </c>
      <c r="AG51" s="53" t="str">
        <f>IF(AND('Mapa final'!$Y$60="Muy Baja",'Mapa final'!$AA$60="Mayor"),CONCATENATE("R6C",'Mapa final'!$O$60),"")</f>
        <v/>
      </c>
      <c r="AH51" s="54" t="str">
        <f>IF(AND('Mapa final'!$Y$55="Muy Baja",'Mapa final'!$AA$55="Catastrófico"),CONCATENATE("R6C",'Mapa final'!$O$55),"")</f>
        <v/>
      </c>
      <c r="AI51" s="55" t="str">
        <f>IF(AND('Mapa final'!$Y$56="Muy Baja",'Mapa final'!$AA$56="Catastrófico"),CONCATENATE("R6C",'Mapa final'!$O$56),"")</f>
        <v/>
      </c>
      <c r="AJ51" s="55" t="str">
        <f>IF(AND('Mapa final'!$Y$57="Muy Baja",'Mapa final'!$AA$57="Catastrófico"),CONCATENATE("R6C",'Mapa final'!$O$57),"")</f>
        <v/>
      </c>
      <c r="AK51" s="55" t="str">
        <f>IF(AND('Mapa final'!$Y$58="Muy Baja",'Mapa final'!$AA$58="Catastrófico"),CONCATENATE("R6C",'Mapa final'!$O$58),"")</f>
        <v/>
      </c>
      <c r="AL51" s="55" t="str">
        <f>IF(AND('Mapa final'!$Y$59="Muy Baja",'Mapa final'!$AA$59="Catastrófico"),CONCATENATE("R6C",'Mapa final'!$O$59),"")</f>
        <v/>
      </c>
      <c r="AM51" s="56" t="str">
        <f>IF(AND('Mapa final'!$Y$60="Muy Baja",'Mapa final'!$AA$60="Catastrófico"),CONCATENATE("R6C",'Mapa final'!$O$60),"")</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397"/>
      <c r="C52" s="397"/>
      <c r="D52" s="398"/>
      <c r="E52" s="438"/>
      <c r="F52" s="439"/>
      <c r="G52" s="439"/>
      <c r="H52" s="439"/>
      <c r="I52" s="440"/>
      <c r="J52" s="75" t="str">
        <f>IF(AND('Mapa final'!$Y$61="Muy Baja",'Mapa final'!$AA$61="Leve"),CONCATENATE("R7C",'Mapa final'!$O$61),"")</f>
        <v/>
      </c>
      <c r="K52" s="76" t="str">
        <f>IF(AND('Mapa final'!$Y$62="Muy Baja",'Mapa final'!$AA$62="Leve"),CONCATENATE("R7C",'Mapa final'!$O$62),"")</f>
        <v/>
      </c>
      <c r="L52" s="76" t="str">
        <f>IF(AND('Mapa final'!$Y$63="Muy Baja",'Mapa final'!$AA$63="Leve"),CONCATENATE("R7C",'Mapa final'!$O$63),"")</f>
        <v/>
      </c>
      <c r="M52" s="76" t="str">
        <f>IF(AND('Mapa final'!$Y$64="Muy Baja",'Mapa final'!$AA$64="Leve"),CONCATENATE("R7C",'Mapa final'!$O$64),"")</f>
        <v/>
      </c>
      <c r="N52" s="76" t="str">
        <f>IF(AND('Mapa final'!$Y$65="Muy Baja",'Mapa final'!$AA$65="Leve"),CONCATENATE("R7C",'Mapa final'!$O$65),"")</f>
        <v/>
      </c>
      <c r="O52" s="77" t="str">
        <f>IF(AND('Mapa final'!$Y$66="Muy Baja",'Mapa final'!$AA$66="Leve"),CONCATENATE("R7C",'Mapa final'!$O$66),"")</f>
        <v/>
      </c>
      <c r="P52" s="75" t="str">
        <f>IF(AND('Mapa final'!$Y$61="Muy Baja",'Mapa final'!$AA$61="Menor"),CONCATENATE("R7C",'Mapa final'!$O$61),"")</f>
        <v/>
      </c>
      <c r="Q52" s="76" t="str">
        <f>IF(AND('Mapa final'!$Y$62="Muy Baja",'Mapa final'!$AA$62="Menor"),CONCATENATE("R7C",'Mapa final'!$O$62),"")</f>
        <v/>
      </c>
      <c r="R52" s="76" t="str">
        <f>IF(AND('Mapa final'!$Y$63="Muy Baja",'Mapa final'!$AA$63="Menor"),CONCATENATE("R7C",'Mapa final'!$O$63),"")</f>
        <v/>
      </c>
      <c r="S52" s="76" t="str">
        <f>IF(AND('Mapa final'!$Y$64="Muy Baja",'Mapa final'!$AA$64="Menor"),CONCATENATE("R7C",'Mapa final'!$O$64),"")</f>
        <v/>
      </c>
      <c r="T52" s="76" t="str">
        <f>IF(AND('Mapa final'!$Y$65="Muy Baja",'Mapa final'!$AA$65="Menor"),CONCATENATE("R7C",'Mapa final'!$O$65),"")</f>
        <v/>
      </c>
      <c r="U52" s="77" t="str">
        <f>IF(AND('Mapa final'!$Y$66="Muy Baja",'Mapa final'!$AA$66="Menor"),CONCATENATE("R7C",'Mapa final'!$O$66),"")</f>
        <v/>
      </c>
      <c r="V52" s="66" t="str">
        <f>IF(AND('Mapa final'!$Y$61="Muy Baja",'Mapa final'!$AA$61="Moderado"),CONCATENATE("R7C",'Mapa final'!$O$61),"")</f>
        <v/>
      </c>
      <c r="W52" s="67" t="str">
        <f>IF(AND('Mapa final'!$Y$62="Muy Baja",'Mapa final'!$AA$62="Moderado"),CONCATENATE("R7C",'Mapa final'!$O$62),"")</f>
        <v/>
      </c>
      <c r="X52" s="67" t="str">
        <f>IF(AND('Mapa final'!$Y$63="Muy Baja",'Mapa final'!$AA$63="Moderado"),CONCATENATE("R7C",'Mapa final'!$O$63),"")</f>
        <v/>
      </c>
      <c r="Y52" s="67" t="str">
        <f>IF(AND('Mapa final'!$Y$64="Muy Baja",'Mapa final'!$AA$64="Moderado"),CONCATENATE("R7C",'Mapa final'!$O$64),"")</f>
        <v/>
      </c>
      <c r="Z52" s="67" t="str">
        <f>IF(AND('Mapa final'!$Y$65="Muy Baja",'Mapa final'!$AA$65="Moderado"),CONCATENATE("R7C",'Mapa final'!$O$65),"")</f>
        <v/>
      </c>
      <c r="AA52" s="68" t="str">
        <f>IF(AND('Mapa final'!$Y$66="Muy Baja",'Mapa final'!$AA$66="Moderado"),CONCATENATE("R7C",'Mapa final'!$O$66),"")</f>
        <v/>
      </c>
      <c r="AB52" s="51" t="str">
        <f>IF(AND('Mapa final'!$Y$61="Muy Baja",'Mapa final'!$AA$61="Mayor"),CONCATENATE("R7C",'Mapa final'!$O$61),"")</f>
        <v/>
      </c>
      <c r="AC52" s="52" t="str">
        <f>IF(AND('Mapa final'!$Y$62="Muy Baja",'Mapa final'!$AA$62="Mayor"),CONCATENATE("R7C",'Mapa final'!$O$62),"")</f>
        <v/>
      </c>
      <c r="AD52" s="52" t="str">
        <f>IF(AND('Mapa final'!$Y$63="Muy Baja",'Mapa final'!$AA$63="Mayor"),CONCATENATE("R7C",'Mapa final'!$O$63),"")</f>
        <v/>
      </c>
      <c r="AE52" s="52" t="str">
        <f>IF(AND('Mapa final'!$Y$64="Muy Baja",'Mapa final'!$AA$64="Mayor"),CONCATENATE("R7C",'Mapa final'!$O$64),"")</f>
        <v/>
      </c>
      <c r="AF52" s="52" t="str">
        <f>IF(AND('Mapa final'!$Y$65="Muy Baja",'Mapa final'!$AA$65="Mayor"),CONCATENATE("R7C",'Mapa final'!$O$65),"")</f>
        <v/>
      </c>
      <c r="AG52" s="53" t="str">
        <f>IF(AND('Mapa final'!$Y$66="Muy Baja",'Mapa final'!$AA$66="Mayor"),CONCATENATE("R7C",'Mapa final'!$O$66),"")</f>
        <v/>
      </c>
      <c r="AH52" s="54" t="str">
        <f>IF(AND('Mapa final'!$Y$61="Muy Baja",'Mapa final'!$AA$61="Catastrófico"),CONCATENATE("R7C",'Mapa final'!$O$61),"")</f>
        <v/>
      </c>
      <c r="AI52" s="55" t="str">
        <f>IF(AND('Mapa final'!$Y$62="Muy Baja",'Mapa final'!$AA$62="Catastrófico"),CONCATENATE("R7C",'Mapa final'!$O$62),"")</f>
        <v/>
      </c>
      <c r="AJ52" s="55" t="str">
        <f>IF(AND('Mapa final'!$Y$63="Muy Baja",'Mapa final'!$AA$63="Catastrófico"),CONCATENATE("R7C",'Mapa final'!$O$63),"")</f>
        <v/>
      </c>
      <c r="AK52" s="55" t="str">
        <f>IF(AND('Mapa final'!$Y$64="Muy Baja",'Mapa final'!$AA$64="Catastrófico"),CONCATENATE("R7C",'Mapa final'!$O$64),"")</f>
        <v/>
      </c>
      <c r="AL52" s="55" t="str">
        <f>IF(AND('Mapa final'!$Y$65="Muy Baja",'Mapa final'!$AA$65="Catastrófico"),CONCATENATE("R7C",'Mapa final'!$O$65),"")</f>
        <v/>
      </c>
      <c r="AM52" s="56" t="str">
        <f>IF(AND('Mapa final'!$Y$66="Muy Baja",'Mapa final'!$AA$66="Catastrófico"),CONCATENATE("R7C",'Mapa final'!$O$66),"")</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397"/>
      <c r="C53" s="397"/>
      <c r="D53" s="398"/>
      <c r="E53" s="438"/>
      <c r="F53" s="439"/>
      <c r="G53" s="439"/>
      <c r="H53" s="439"/>
      <c r="I53" s="440"/>
      <c r="J53" s="75" t="str">
        <f>IF(AND('Mapa final'!$Y$67="Muy Baja",'Mapa final'!$AA$67="Leve"),CONCATENATE("R8C",'Mapa final'!$O$67),"")</f>
        <v/>
      </c>
      <c r="K53" s="76" t="str">
        <f>IF(AND('Mapa final'!$Y$68="Muy Baja",'Mapa final'!$AA$68="Leve"),CONCATENATE("R8C",'Mapa final'!$O$68),"")</f>
        <v/>
      </c>
      <c r="L53" s="76" t="str">
        <f>IF(AND('Mapa final'!$Y$69="Muy Baja",'Mapa final'!$AA$69="Leve"),CONCATENATE("R8C",'Mapa final'!$O$69),"")</f>
        <v/>
      </c>
      <c r="M53" s="76" t="str">
        <f>IF(AND('Mapa final'!$Y$70="Muy Baja",'Mapa final'!$AA$70="Leve"),CONCATENATE("R8C",'Mapa final'!$O$70),"")</f>
        <v/>
      </c>
      <c r="N53" s="76" t="str">
        <f>IF(AND('Mapa final'!$Y$71="Muy Baja",'Mapa final'!$AA$71="Leve"),CONCATENATE("R8C",'Mapa final'!$O$71),"")</f>
        <v/>
      </c>
      <c r="O53" s="77" t="str">
        <f>IF(AND('Mapa final'!$Y$72="Muy Baja",'Mapa final'!$AA$72="Leve"),CONCATENATE("R8C",'Mapa final'!$O$72),"")</f>
        <v/>
      </c>
      <c r="P53" s="75" t="str">
        <f>IF(AND('Mapa final'!$Y$67="Muy Baja",'Mapa final'!$AA$67="Menor"),CONCATENATE("R8C",'Mapa final'!$O$67),"")</f>
        <v/>
      </c>
      <c r="Q53" s="76" t="str">
        <f>IF(AND('Mapa final'!$Y$68="Muy Baja",'Mapa final'!$AA$68="Menor"),CONCATENATE("R8C",'Mapa final'!$O$68),"")</f>
        <v/>
      </c>
      <c r="R53" s="76" t="str">
        <f>IF(AND('Mapa final'!$Y$69="Muy Baja",'Mapa final'!$AA$69="Menor"),CONCATENATE("R8C",'Mapa final'!$O$69),"")</f>
        <v/>
      </c>
      <c r="S53" s="76" t="str">
        <f>IF(AND('Mapa final'!$Y$70="Muy Baja",'Mapa final'!$AA$70="Menor"),CONCATENATE("R8C",'Mapa final'!$O$70),"")</f>
        <v/>
      </c>
      <c r="T53" s="76" t="str">
        <f>IF(AND('Mapa final'!$Y$71="Muy Baja",'Mapa final'!$AA$71="Menor"),CONCATENATE("R8C",'Mapa final'!$O$71),"")</f>
        <v/>
      </c>
      <c r="U53" s="77" t="str">
        <f>IF(AND('Mapa final'!$Y$72="Muy Baja",'Mapa final'!$AA$72="Menor"),CONCATENATE("R8C",'Mapa final'!$O$72),"")</f>
        <v/>
      </c>
      <c r="V53" s="66" t="str">
        <f>IF(AND('Mapa final'!$Y$67="Muy Baja",'Mapa final'!$AA$67="Moderado"),CONCATENATE("R8C",'Mapa final'!$O$67),"")</f>
        <v/>
      </c>
      <c r="W53" s="67" t="str">
        <f>IF(AND('Mapa final'!$Y$68="Muy Baja",'Mapa final'!$AA$68="Moderado"),CONCATENATE("R8C",'Mapa final'!$O$68),"")</f>
        <v/>
      </c>
      <c r="X53" s="67" t="str">
        <f>IF(AND('Mapa final'!$Y$69="Muy Baja",'Mapa final'!$AA$69="Moderado"),CONCATENATE("R8C",'Mapa final'!$O$69),"")</f>
        <v/>
      </c>
      <c r="Y53" s="67" t="str">
        <f>IF(AND('Mapa final'!$Y$70="Muy Baja",'Mapa final'!$AA$70="Moderado"),CONCATENATE("R8C",'Mapa final'!$O$70),"")</f>
        <v/>
      </c>
      <c r="Z53" s="67" t="str">
        <f>IF(AND('Mapa final'!$Y$71="Muy Baja",'Mapa final'!$AA$71="Moderado"),CONCATENATE("R8C",'Mapa final'!$O$71),"")</f>
        <v/>
      </c>
      <c r="AA53" s="68" t="str">
        <f>IF(AND('Mapa final'!$Y$72="Muy Baja",'Mapa final'!$AA$72="Moderado"),CONCATENATE("R8C",'Mapa final'!$O$72),"")</f>
        <v/>
      </c>
      <c r="AB53" s="51" t="str">
        <f>IF(AND('Mapa final'!$Y$67="Muy Baja",'Mapa final'!$AA$67="Mayor"),CONCATENATE("R8C",'Mapa final'!$O$67),"")</f>
        <v/>
      </c>
      <c r="AC53" s="52" t="str">
        <f>IF(AND('Mapa final'!$Y$68="Muy Baja",'Mapa final'!$AA$68="Mayor"),CONCATENATE("R8C",'Mapa final'!$O$68),"")</f>
        <v/>
      </c>
      <c r="AD53" s="52" t="str">
        <f>IF(AND('Mapa final'!$Y$69="Muy Baja",'Mapa final'!$AA$69="Mayor"),CONCATENATE("R8C",'Mapa final'!$O$69),"")</f>
        <v/>
      </c>
      <c r="AE53" s="52" t="str">
        <f>IF(AND('Mapa final'!$Y$70="Muy Baja",'Mapa final'!$AA$70="Mayor"),CONCATENATE("R8C",'Mapa final'!$O$70),"")</f>
        <v/>
      </c>
      <c r="AF53" s="52" t="str">
        <f>IF(AND('Mapa final'!$Y$71="Muy Baja",'Mapa final'!$AA$71="Mayor"),CONCATENATE("R8C",'Mapa final'!$O$71),"")</f>
        <v/>
      </c>
      <c r="AG53" s="53" t="str">
        <f>IF(AND('Mapa final'!$Y$72="Muy Baja",'Mapa final'!$AA$72="Mayor"),CONCATENATE("R8C",'Mapa final'!$O$72),"")</f>
        <v/>
      </c>
      <c r="AH53" s="54" t="str">
        <f>IF(AND('Mapa final'!$Y$67="Muy Baja",'Mapa final'!$AA$67="Catastrófico"),CONCATENATE("R8C",'Mapa final'!$O$67),"")</f>
        <v/>
      </c>
      <c r="AI53" s="55" t="str">
        <f>IF(AND('Mapa final'!$Y$68="Muy Baja",'Mapa final'!$AA$68="Catastrófico"),CONCATENATE("R8C",'Mapa final'!$O$68),"")</f>
        <v/>
      </c>
      <c r="AJ53" s="55" t="str">
        <f>IF(AND('Mapa final'!$Y$69="Muy Baja",'Mapa final'!$AA$69="Catastrófico"),CONCATENATE("R8C",'Mapa final'!$O$69),"")</f>
        <v/>
      </c>
      <c r="AK53" s="55" t="str">
        <f>IF(AND('Mapa final'!$Y$70="Muy Baja",'Mapa final'!$AA$70="Catastrófico"),CONCATENATE("R8C",'Mapa final'!$O$70),"")</f>
        <v/>
      </c>
      <c r="AL53" s="55" t="str">
        <f>IF(AND('Mapa final'!$Y$71="Muy Baja",'Mapa final'!$AA$71="Catastrófico"),CONCATENATE("R8C",'Mapa final'!$O$71),"")</f>
        <v/>
      </c>
      <c r="AM53" s="56" t="str">
        <f>IF(AND('Mapa final'!$Y$72="Muy Baja",'Mapa final'!$AA$72="Catastrófico"),CONCATENATE("R8C",'Mapa final'!$O$72),"")</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397"/>
      <c r="C54" s="397"/>
      <c r="D54" s="398"/>
      <c r="E54" s="438"/>
      <c r="F54" s="439"/>
      <c r="G54" s="439"/>
      <c r="H54" s="439"/>
      <c r="I54" s="440"/>
      <c r="J54" s="75" t="str">
        <f>IF(AND('Mapa final'!$Y$73="Muy Baja",'Mapa final'!$AA$73="Leve"),CONCATENATE("R9C",'Mapa final'!$O$73),"")</f>
        <v/>
      </c>
      <c r="K54" s="76" t="str">
        <f>IF(AND('Mapa final'!$Y$74="Muy Baja",'Mapa final'!$AA$74="Leve"),CONCATENATE("R9C",'Mapa final'!$O$74),"")</f>
        <v/>
      </c>
      <c r="L54" s="76" t="str">
        <f>IF(AND('Mapa final'!$Y$75="Muy Baja",'Mapa final'!$AA$75="Leve"),CONCATENATE("R9C",'Mapa final'!$O$75),"")</f>
        <v/>
      </c>
      <c r="M54" s="76" t="str">
        <f>IF(AND('Mapa final'!$Y$76="Muy Baja",'Mapa final'!$AA$76="Leve"),CONCATENATE("R9C",'Mapa final'!$O$76),"")</f>
        <v/>
      </c>
      <c r="N54" s="76" t="str">
        <f>IF(AND('Mapa final'!$Y$77="Muy Baja",'Mapa final'!$AA$77="Leve"),CONCATENATE("R9C",'Mapa final'!$O$77),"")</f>
        <v/>
      </c>
      <c r="O54" s="77" t="str">
        <f>IF(AND('Mapa final'!$Y$78="Muy Baja",'Mapa final'!$AA$78="Leve"),CONCATENATE("R9C",'Mapa final'!$O$78),"")</f>
        <v/>
      </c>
      <c r="P54" s="75" t="str">
        <f>IF(AND('Mapa final'!$Y$73="Muy Baja",'Mapa final'!$AA$73="Menor"),CONCATENATE("R9C",'Mapa final'!$O$73),"")</f>
        <v/>
      </c>
      <c r="Q54" s="76" t="str">
        <f>IF(AND('Mapa final'!$Y$74="Muy Baja",'Mapa final'!$AA$74="Menor"),CONCATENATE("R9C",'Mapa final'!$O$74),"")</f>
        <v/>
      </c>
      <c r="R54" s="76" t="str">
        <f>IF(AND('Mapa final'!$Y$75="Muy Baja",'Mapa final'!$AA$75="Menor"),CONCATENATE("R9C",'Mapa final'!$O$75),"")</f>
        <v/>
      </c>
      <c r="S54" s="76" t="str">
        <f>IF(AND('Mapa final'!$Y$76="Muy Baja",'Mapa final'!$AA$76="Menor"),CONCATENATE("R9C",'Mapa final'!$O$76),"")</f>
        <v/>
      </c>
      <c r="T54" s="76" t="str">
        <f>IF(AND('Mapa final'!$Y$77="Muy Baja",'Mapa final'!$AA$77="Menor"),CONCATENATE("R9C",'Mapa final'!$O$77),"")</f>
        <v/>
      </c>
      <c r="U54" s="77" t="str">
        <f>IF(AND('Mapa final'!$Y$78="Muy Baja",'Mapa final'!$AA$78="Menor"),CONCATENATE("R9C",'Mapa final'!$O$78),"")</f>
        <v/>
      </c>
      <c r="V54" s="66" t="str">
        <f>IF(AND('Mapa final'!$Y$73="Muy Baja",'Mapa final'!$AA$73="Moderado"),CONCATENATE("R9C",'Mapa final'!$O$73),"")</f>
        <v/>
      </c>
      <c r="W54" s="67" t="str">
        <f>IF(AND('Mapa final'!$Y$74="Muy Baja",'Mapa final'!$AA$74="Moderado"),CONCATENATE("R9C",'Mapa final'!$O$74),"")</f>
        <v/>
      </c>
      <c r="X54" s="67" t="str">
        <f>IF(AND('Mapa final'!$Y$75="Muy Baja",'Mapa final'!$AA$75="Moderado"),CONCATENATE("R9C",'Mapa final'!$O$75),"")</f>
        <v/>
      </c>
      <c r="Y54" s="67" t="str">
        <f>IF(AND('Mapa final'!$Y$76="Muy Baja",'Mapa final'!$AA$76="Moderado"),CONCATENATE("R9C",'Mapa final'!$O$76),"")</f>
        <v/>
      </c>
      <c r="Z54" s="67" t="str">
        <f>IF(AND('Mapa final'!$Y$77="Muy Baja",'Mapa final'!$AA$77="Moderado"),CONCATENATE("R9C",'Mapa final'!$O$77),"")</f>
        <v/>
      </c>
      <c r="AA54" s="68" t="str">
        <f>IF(AND('Mapa final'!$Y$78="Muy Baja",'Mapa final'!$AA$78="Moderado"),CONCATENATE("R9C",'Mapa final'!$O$78),"")</f>
        <v/>
      </c>
      <c r="AB54" s="51" t="str">
        <f>IF(AND('Mapa final'!$Y$73="Muy Baja",'Mapa final'!$AA$73="Mayor"),CONCATENATE("R9C",'Mapa final'!$O$73),"")</f>
        <v/>
      </c>
      <c r="AC54" s="52" t="str">
        <f>IF(AND('Mapa final'!$Y$74="Muy Baja",'Mapa final'!$AA$74="Mayor"),CONCATENATE("R9C",'Mapa final'!$O$74),"")</f>
        <v/>
      </c>
      <c r="AD54" s="52" t="str">
        <f>IF(AND('Mapa final'!$Y$75="Muy Baja",'Mapa final'!$AA$75="Mayor"),CONCATENATE("R9C",'Mapa final'!$O$75),"")</f>
        <v/>
      </c>
      <c r="AE54" s="52" t="str">
        <f>IF(AND('Mapa final'!$Y$76="Muy Baja",'Mapa final'!$AA$76="Mayor"),CONCATENATE("R9C",'Mapa final'!$O$76),"")</f>
        <v/>
      </c>
      <c r="AF54" s="52" t="str">
        <f>IF(AND('Mapa final'!$Y$77="Muy Baja",'Mapa final'!$AA$77="Mayor"),CONCATENATE("R9C",'Mapa final'!$O$77),"")</f>
        <v/>
      </c>
      <c r="AG54" s="53" t="str">
        <f>IF(AND('Mapa final'!$Y$78="Muy Baja",'Mapa final'!$AA$78="Mayor"),CONCATENATE("R9C",'Mapa final'!$O$78),"")</f>
        <v/>
      </c>
      <c r="AH54" s="54" t="str">
        <f>IF(AND('Mapa final'!$Y$73="Muy Baja",'Mapa final'!$AA$73="Catastrófico"),CONCATENATE("R9C",'Mapa final'!$O$73),"")</f>
        <v/>
      </c>
      <c r="AI54" s="55" t="str">
        <f>IF(AND('Mapa final'!$Y$74="Muy Baja",'Mapa final'!$AA$74="Catastrófico"),CONCATENATE("R9C",'Mapa final'!$O$74),"")</f>
        <v/>
      </c>
      <c r="AJ54" s="55" t="str">
        <f>IF(AND('Mapa final'!$Y$75="Muy Baja",'Mapa final'!$AA$75="Catastrófico"),CONCATENATE("R9C",'Mapa final'!$O$75),"")</f>
        <v/>
      </c>
      <c r="AK54" s="55" t="str">
        <f>IF(AND('Mapa final'!$Y$76="Muy Baja",'Mapa final'!$AA$76="Catastrófico"),CONCATENATE("R9C",'Mapa final'!$O$76),"")</f>
        <v/>
      </c>
      <c r="AL54" s="55" t="str">
        <f>IF(AND('Mapa final'!$Y$77="Muy Baja",'Mapa final'!$AA$77="Catastrófico"),CONCATENATE("R9C",'Mapa final'!$O$77),"")</f>
        <v/>
      </c>
      <c r="AM54" s="56" t="str">
        <f>IF(AND('Mapa final'!$Y$78="Muy Baja",'Mapa final'!$AA$78="Catastrófico"),CONCATENATE("R9C",'Mapa final'!$O$78),"")</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397"/>
      <c r="C55" s="397"/>
      <c r="D55" s="398"/>
      <c r="E55" s="441"/>
      <c r="F55" s="442"/>
      <c r="G55" s="442"/>
      <c r="H55" s="442"/>
      <c r="I55" s="443"/>
      <c r="J55" s="78" t="str">
        <f>IF(AND('Mapa final'!$Y$79="Muy Baja",'Mapa final'!$AA$79="Leve"),CONCATENATE("R10C",'Mapa final'!$O$79),"")</f>
        <v/>
      </c>
      <c r="K55" s="79" t="str">
        <f>IF(AND('Mapa final'!$Y$80="Muy Baja",'Mapa final'!$AA$80="Leve"),CONCATENATE("R10C",'Mapa final'!$O$80),"")</f>
        <v/>
      </c>
      <c r="L55" s="79" t="str">
        <f>IF(AND('Mapa final'!$Y$81="Muy Baja",'Mapa final'!$AA$81="Leve"),CONCATENATE("R10C",'Mapa final'!$O$81),"")</f>
        <v/>
      </c>
      <c r="M55" s="79" t="str">
        <f>IF(AND('Mapa final'!$Y$82="Muy Baja",'Mapa final'!$AA$82="Leve"),CONCATENATE("R10C",'Mapa final'!$O$82),"")</f>
        <v/>
      </c>
      <c r="N55" s="79" t="str">
        <f>IF(AND('Mapa final'!$Y$83="Muy Baja",'Mapa final'!$AA$83="Leve"),CONCATENATE("R10C",'Mapa final'!$O$83),"")</f>
        <v/>
      </c>
      <c r="O55" s="80" t="str">
        <f>IF(AND('Mapa final'!$Y$84="Muy Baja",'Mapa final'!$AA$84="Leve"),CONCATENATE("R10C",'Mapa final'!$O$84),"")</f>
        <v/>
      </c>
      <c r="P55" s="78" t="str">
        <f>IF(AND('Mapa final'!$Y$79="Muy Baja",'Mapa final'!$AA$79="Menor"),CONCATENATE("R10C",'Mapa final'!$O$79),"")</f>
        <v/>
      </c>
      <c r="Q55" s="79" t="str">
        <f>IF(AND('Mapa final'!$Y$80="Muy Baja",'Mapa final'!$AA$80="Menor"),CONCATENATE("R10C",'Mapa final'!$O$80),"")</f>
        <v/>
      </c>
      <c r="R55" s="79" t="str">
        <f>IF(AND('Mapa final'!$Y$81="Muy Baja",'Mapa final'!$AA$81="Menor"),CONCATENATE("R10C",'Mapa final'!$O$81),"")</f>
        <v/>
      </c>
      <c r="S55" s="79" t="str">
        <f>IF(AND('Mapa final'!$Y$82="Muy Baja",'Mapa final'!$AA$82="Menor"),CONCATENATE("R10C",'Mapa final'!$O$82),"")</f>
        <v/>
      </c>
      <c r="T55" s="79" t="str">
        <f>IF(AND('Mapa final'!$Y$83="Muy Baja",'Mapa final'!$AA$83="Menor"),CONCATENATE("R10C",'Mapa final'!$O$83),"")</f>
        <v/>
      </c>
      <c r="U55" s="80" t="str">
        <f>IF(AND('Mapa final'!$Y$84="Muy Baja",'Mapa final'!$AA$84="Menor"),CONCATENATE("R10C",'Mapa final'!$O$84),"")</f>
        <v/>
      </c>
      <c r="V55" s="69" t="str">
        <f>IF(AND('Mapa final'!$Y$79="Muy Baja",'Mapa final'!$AA$79="Moderado"),CONCATENATE("R10C",'Mapa final'!$O$79),"")</f>
        <v/>
      </c>
      <c r="W55" s="70" t="str">
        <f>IF(AND('Mapa final'!$Y$80="Muy Baja",'Mapa final'!$AA$80="Moderado"),CONCATENATE("R10C",'Mapa final'!$O$80),"")</f>
        <v/>
      </c>
      <c r="X55" s="70" t="str">
        <f>IF(AND('Mapa final'!$Y$81="Muy Baja",'Mapa final'!$AA$81="Moderado"),CONCATENATE("R10C",'Mapa final'!$O$81),"")</f>
        <v/>
      </c>
      <c r="Y55" s="70" t="str">
        <f>IF(AND('Mapa final'!$Y$82="Muy Baja",'Mapa final'!$AA$82="Moderado"),CONCATENATE("R10C",'Mapa final'!$O$82),"")</f>
        <v/>
      </c>
      <c r="Z55" s="70" t="str">
        <f>IF(AND('Mapa final'!$Y$83="Muy Baja",'Mapa final'!$AA$83="Moderado"),CONCATENATE("R10C",'Mapa final'!$O$83),"")</f>
        <v/>
      </c>
      <c r="AA55" s="71" t="str">
        <f>IF(AND('Mapa final'!$Y$84="Muy Baja",'Mapa final'!$AA$84="Moderado"),CONCATENATE("R10C",'Mapa final'!$O$84),"")</f>
        <v/>
      </c>
      <c r="AB55" s="57" t="str">
        <f>IF(AND('Mapa final'!$Y$79="Muy Baja",'Mapa final'!$AA$79="Mayor"),CONCATENATE("R10C",'Mapa final'!$O$79),"")</f>
        <v/>
      </c>
      <c r="AC55" s="58" t="str">
        <f>IF(AND('Mapa final'!$Y$80="Muy Baja",'Mapa final'!$AA$80="Mayor"),CONCATENATE("R10C",'Mapa final'!$O$80),"")</f>
        <v/>
      </c>
      <c r="AD55" s="58" t="str">
        <f>IF(AND('Mapa final'!$Y$81="Muy Baja",'Mapa final'!$AA$81="Mayor"),CONCATENATE("R10C",'Mapa final'!$O$81),"")</f>
        <v/>
      </c>
      <c r="AE55" s="58" t="str">
        <f>IF(AND('Mapa final'!$Y$82="Muy Baja",'Mapa final'!$AA$82="Mayor"),CONCATENATE("R10C",'Mapa final'!$O$82),"")</f>
        <v/>
      </c>
      <c r="AF55" s="58" t="str">
        <f>IF(AND('Mapa final'!$Y$83="Muy Baja",'Mapa final'!$AA$83="Mayor"),CONCATENATE("R10C",'Mapa final'!$O$83),"")</f>
        <v/>
      </c>
      <c r="AG55" s="59" t="str">
        <f>IF(AND('Mapa final'!$Y$84="Muy Baja",'Mapa final'!$AA$84="Mayor"),CONCATENATE("R10C",'Mapa final'!$O$84),"")</f>
        <v/>
      </c>
      <c r="AH55" s="60" t="str">
        <f>IF(AND('Mapa final'!$Y$79="Muy Baja",'Mapa final'!$AA$79="Catastrófico"),CONCATENATE("R10C",'Mapa final'!$O$79),"")</f>
        <v/>
      </c>
      <c r="AI55" s="61" t="str">
        <f>IF(AND('Mapa final'!$Y$80="Muy Baja",'Mapa final'!$AA$80="Catastrófico"),CONCATENATE("R10C",'Mapa final'!$O$80),"")</f>
        <v/>
      </c>
      <c r="AJ55" s="61" t="str">
        <f>IF(AND('Mapa final'!$Y$81="Muy Baja",'Mapa final'!$AA$81="Catastrófico"),CONCATENATE("R10C",'Mapa final'!$O$81),"")</f>
        <v/>
      </c>
      <c r="AK55" s="61" t="str">
        <f>IF(AND('Mapa final'!$Y$82="Muy Baja",'Mapa final'!$AA$82="Catastrófico"),CONCATENATE("R10C",'Mapa final'!$O$82),"")</f>
        <v/>
      </c>
      <c r="AL55" s="61" t="str">
        <f>IF(AND('Mapa final'!$Y$83="Muy Baja",'Mapa final'!$AA$83="Catastrófico"),CONCATENATE("R10C",'Mapa final'!$O$83),"")</f>
        <v/>
      </c>
      <c r="AM55" s="62" t="str">
        <f>IF(AND('Mapa final'!$Y$84="Muy Baja",'Mapa final'!$AA$84="Catastrófico"),CONCATENATE("R10C",'Mapa final'!$O$84),"")</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435" t="s">
        <v>182</v>
      </c>
      <c r="K56" s="436"/>
      <c r="L56" s="436"/>
      <c r="M56" s="436"/>
      <c r="N56" s="436"/>
      <c r="O56" s="437"/>
      <c r="P56" s="435" t="s">
        <v>183</v>
      </c>
      <c r="Q56" s="436"/>
      <c r="R56" s="436"/>
      <c r="S56" s="436"/>
      <c r="T56" s="436"/>
      <c r="U56" s="437"/>
      <c r="V56" s="435" t="s">
        <v>184</v>
      </c>
      <c r="W56" s="436"/>
      <c r="X56" s="436"/>
      <c r="Y56" s="436"/>
      <c r="Z56" s="436"/>
      <c r="AA56" s="437"/>
      <c r="AB56" s="435" t="s">
        <v>185</v>
      </c>
      <c r="AC56" s="444"/>
      <c r="AD56" s="436"/>
      <c r="AE56" s="436"/>
      <c r="AF56" s="436"/>
      <c r="AG56" s="437"/>
      <c r="AH56" s="435" t="s">
        <v>186</v>
      </c>
      <c r="AI56" s="436"/>
      <c r="AJ56" s="436"/>
      <c r="AK56" s="436"/>
      <c r="AL56" s="436"/>
      <c r="AM56" s="437"/>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438"/>
      <c r="K57" s="439"/>
      <c r="L57" s="439"/>
      <c r="M57" s="439"/>
      <c r="N57" s="439"/>
      <c r="O57" s="440"/>
      <c r="P57" s="438"/>
      <c r="Q57" s="439"/>
      <c r="R57" s="439"/>
      <c r="S57" s="439"/>
      <c r="T57" s="439"/>
      <c r="U57" s="440"/>
      <c r="V57" s="438"/>
      <c r="W57" s="439"/>
      <c r="X57" s="439"/>
      <c r="Y57" s="439"/>
      <c r="Z57" s="439"/>
      <c r="AA57" s="440"/>
      <c r="AB57" s="438"/>
      <c r="AC57" s="439"/>
      <c r="AD57" s="439"/>
      <c r="AE57" s="439"/>
      <c r="AF57" s="439"/>
      <c r="AG57" s="440"/>
      <c r="AH57" s="438"/>
      <c r="AI57" s="439"/>
      <c r="AJ57" s="439"/>
      <c r="AK57" s="439"/>
      <c r="AL57" s="439"/>
      <c r="AM57" s="440"/>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438"/>
      <c r="K58" s="439"/>
      <c r="L58" s="439"/>
      <c r="M58" s="439"/>
      <c r="N58" s="439"/>
      <c r="O58" s="440"/>
      <c r="P58" s="438"/>
      <c r="Q58" s="439"/>
      <c r="R58" s="439"/>
      <c r="S58" s="439"/>
      <c r="T58" s="439"/>
      <c r="U58" s="440"/>
      <c r="V58" s="438"/>
      <c r="W58" s="439"/>
      <c r="X58" s="439"/>
      <c r="Y58" s="439"/>
      <c r="Z58" s="439"/>
      <c r="AA58" s="440"/>
      <c r="AB58" s="438"/>
      <c r="AC58" s="439"/>
      <c r="AD58" s="439"/>
      <c r="AE58" s="439"/>
      <c r="AF58" s="439"/>
      <c r="AG58" s="440"/>
      <c r="AH58" s="438"/>
      <c r="AI58" s="439"/>
      <c r="AJ58" s="439"/>
      <c r="AK58" s="439"/>
      <c r="AL58" s="439"/>
      <c r="AM58" s="440"/>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438"/>
      <c r="K59" s="439"/>
      <c r="L59" s="439"/>
      <c r="M59" s="439"/>
      <c r="N59" s="439"/>
      <c r="O59" s="440"/>
      <c r="P59" s="438"/>
      <c r="Q59" s="439"/>
      <c r="R59" s="439"/>
      <c r="S59" s="439"/>
      <c r="T59" s="439"/>
      <c r="U59" s="440"/>
      <c r="V59" s="438"/>
      <c r="W59" s="439"/>
      <c r="X59" s="439"/>
      <c r="Y59" s="439"/>
      <c r="Z59" s="439"/>
      <c r="AA59" s="440"/>
      <c r="AB59" s="438"/>
      <c r="AC59" s="439"/>
      <c r="AD59" s="439"/>
      <c r="AE59" s="439"/>
      <c r="AF59" s="439"/>
      <c r="AG59" s="440"/>
      <c r="AH59" s="438"/>
      <c r="AI59" s="439"/>
      <c r="AJ59" s="439"/>
      <c r="AK59" s="439"/>
      <c r="AL59" s="439"/>
      <c r="AM59" s="440"/>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438"/>
      <c r="K60" s="439"/>
      <c r="L60" s="439"/>
      <c r="M60" s="439"/>
      <c r="N60" s="439"/>
      <c r="O60" s="440"/>
      <c r="P60" s="438"/>
      <c r="Q60" s="439"/>
      <c r="R60" s="439"/>
      <c r="S60" s="439"/>
      <c r="T60" s="439"/>
      <c r="U60" s="440"/>
      <c r="V60" s="438"/>
      <c r="W60" s="439"/>
      <c r="X60" s="439"/>
      <c r="Y60" s="439"/>
      <c r="Z60" s="439"/>
      <c r="AA60" s="440"/>
      <c r="AB60" s="438"/>
      <c r="AC60" s="439"/>
      <c r="AD60" s="439"/>
      <c r="AE60" s="439"/>
      <c r="AF60" s="439"/>
      <c r="AG60" s="440"/>
      <c r="AH60" s="438"/>
      <c r="AI60" s="439"/>
      <c r="AJ60" s="439"/>
      <c r="AK60" s="439"/>
      <c r="AL60" s="439"/>
      <c r="AM60" s="440"/>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441"/>
      <c r="K61" s="442"/>
      <c r="L61" s="442"/>
      <c r="M61" s="442"/>
      <c r="N61" s="442"/>
      <c r="O61" s="443"/>
      <c r="P61" s="441"/>
      <c r="Q61" s="442"/>
      <c r="R61" s="442"/>
      <c r="S61" s="442"/>
      <c r="T61" s="442"/>
      <c r="U61" s="443"/>
      <c r="V61" s="441"/>
      <c r="W61" s="442"/>
      <c r="X61" s="442"/>
      <c r="Y61" s="442"/>
      <c r="Z61" s="442"/>
      <c r="AA61" s="443"/>
      <c r="AB61" s="441"/>
      <c r="AC61" s="442"/>
      <c r="AD61" s="442"/>
      <c r="AE61" s="442"/>
      <c r="AF61" s="442"/>
      <c r="AG61" s="443"/>
      <c r="AH61" s="441"/>
      <c r="AI61" s="442"/>
      <c r="AJ61" s="442"/>
      <c r="AK61" s="442"/>
      <c r="AL61" s="442"/>
      <c r="AM61" s="443"/>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E4" sqref="E4"/>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2"/>
      <c r="B1" s="484" t="s">
        <v>188</v>
      </c>
      <c r="C1" s="484"/>
      <c r="D1" s="484"/>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1"/>
      <c r="C3" s="12" t="s">
        <v>189</v>
      </c>
      <c r="D3" s="12" t="s">
        <v>167</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3" t="s">
        <v>190</v>
      </c>
      <c r="C4" s="14" t="s">
        <v>191</v>
      </c>
      <c r="D4" s="15">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6" t="s">
        <v>192</v>
      </c>
      <c r="C5" s="17" t="s">
        <v>193</v>
      </c>
      <c r="D5" s="18">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9" t="s">
        <v>194</v>
      </c>
      <c r="C6" s="17" t="s">
        <v>195</v>
      </c>
      <c r="D6" s="18">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20" t="s">
        <v>196</v>
      </c>
      <c r="C7" s="17" t="s">
        <v>197</v>
      </c>
      <c r="D7" s="18">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1" t="s">
        <v>198</v>
      </c>
      <c r="C8" s="17" t="s">
        <v>199</v>
      </c>
      <c r="D8" s="18">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2"/>
      <c r="C9" s="102"/>
      <c r="D9" s="10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3"/>
      <c r="C10" s="102"/>
      <c r="D10" s="10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2"/>
      <c r="C11" s="102"/>
      <c r="D11" s="10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2"/>
      <c r="C12" s="102"/>
      <c r="D12" s="10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2"/>
      <c r="C13" s="102"/>
      <c r="D13" s="10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2"/>
      <c r="C14" s="102"/>
      <c r="D14" s="10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2"/>
      <c r="C15" s="102"/>
      <c r="D15" s="10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2"/>
      <c r="C16" s="102"/>
      <c r="D16" s="10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2"/>
      <c r="C17" s="102"/>
      <c r="D17" s="10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2"/>
      <c r="C18" s="102"/>
      <c r="D18" s="10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2"/>
      <c r="B1" s="485" t="s">
        <v>200</v>
      </c>
      <c r="C1" s="485"/>
      <c r="D1" s="485"/>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99"/>
      <c r="C3" s="35" t="s">
        <v>201</v>
      </c>
      <c r="D3" s="35" t="s">
        <v>202</v>
      </c>
      <c r="E3" s="82"/>
      <c r="F3" s="82"/>
      <c r="G3" s="82"/>
      <c r="H3" s="82"/>
      <c r="I3" s="82"/>
      <c r="J3" s="82"/>
      <c r="K3" s="82"/>
      <c r="L3" s="82"/>
      <c r="M3" s="82"/>
      <c r="N3" s="82"/>
      <c r="O3" s="82"/>
      <c r="P3" s="82"/>
      <c r="Q3" s="82"/>
      <c r="R3" s="82"/>
      <c r="S3" s="82"/>
      <c r="T3" s="82"/>
      <c r="U3" s="82"/>
    </row>
    <row r="4" spans="1:21" ht="33.75" x14ac:dyDescent="0.25">
      <c r="A4" s="98" t="s">
        <v>203</v>
      </c>
      <c r="B4" s="38" t="s">
        <v>204</v>
      </c>
      <c r="C4" s="43" t="s">
        <v>205</v>
      </c>
      <c r="D4" s="36" t="s">
        <v>206</v>
      </c>
      <c r="E4" s="82"/>
      <c r="F4" s="82"/>
      <c r="G4" s="82"/>
      <c r="H4" s="82"/>
      <c r="I4" s="82"/>
      <c r="J4" s="82"/>
      <c r="K4" s="82"/>
      <c r="L4" s="82"/>
      <c r="M4" s="82"/>
      <c r="N4" s="82"/>
      <c r="O4" s="82"/>
      <c r="P4" s="82"/>
      <c r="Q4" s="82"/>
      <c r="R4" s="82"/>
      <c r="S4" s="82"/>
      <c r="T4" s="82"/>
      <c r="U4" s="82"/>
    </row>
    <row r="5" spans="1:21" ht="67.5" x14ac:dyDescent="0.25">
      <c r="A5" s="98" t="s">
        <v>207</v>
      </c>
      <c r="B5" s="39" t="s">
        <v>208</v>
      </c>
      <c r="C5" s="44" t="s">
        <v>209</v>
      </c>
      <c r="D5" s="37" t="s">
        <v>210</v>
      </c>
      <c r="E5" s="82"/>
      <c r="F5" s="82"/>
      <c r="G5" s="82"/>
      <c r="H5" s="82"/>
      <c r="I5" s="82"/>
      <c r="J5" s="82"/>
      <c r="K5" s="82"/>
      <c r="L5" s="82"/>
      <c r="M5" s="82"/>
      <c r="N5" s="82"/>
      <c r="O5" s="82"/>
      <c r="P5" s="82"/>
      <c r="Q5" s="82"/>
      <c r="R5" s="82"/>
      <c r="S5" s="82"/>
      <c r="T5" s="82"/>
      <c r="U5" s="82"/>
    </row>
    <row r="6" spans="1:21" ht="67.5" x14ac:dyDescent="0.25">
      <c r="A6" s="98" t="s">
        <v>178</v>
      </c>
      <c r="B6" s="40" t="s">
        <v>211</v>
      </c>
      <c r="C6" s="44" t="s">
        <v>212</v>
      </c>
      <c r="D6" s="37" t="s">
        <v>213</v>
      </c>
      <c r="E6" s="82"/>
      <c r="F6" s="82"/>
      <c r="G6" s="82"/>
      <c r="H6" s="82"/>
      <c r="I6" s="82"/>
      <c r="J6" s="82"/>
      <c r="K6" s="82"/>
      <c r="L6" s="82"/>
      <c r="M6" s="82"/>
      <c r="N6" s="82"/>
      <c r="O6" s="82"/>
      <c r="P6" s="82"/>
      <c r="Q6" s="82"/>
      <c r="R6" s="82"/>
      <c r="S6" s="82"/>
      <c r="T6" s="82"/>
      <c r="U6" s="82"/>
    </row>
    <row r="7" spans="1:21" ht="101.25" x14ac:dyDescent="0.25">
      <c r="A7" s="98" t="s">
        <v>214</v>
      </c>
      <c r="B7" s="41" t="s">
        <v>215</v>
      </c>
      <c r="C7" s="44" t="s">
        <v>216</v>
      </c>
      <c r="D7" s="37" t="s">
        <v>217</v>
      </c>
      <c r="E7" s="82"/>
      <c r="F7" s="82"/>
      <c r="G7" s="82"/>
      <c r="H7" s="82"/>
      <c r="I7" s="82"/>
      <c r="J7" s="82"/>
      <c r="K7" s="82"/>
      <c r="L7" s="82"/>
      <c r="M7" s="82"/>
      <c r="N7" s="82"/>
      <c r="O7" s="82"/>
      <c r="P7" s="82"/>
      <c r="Q7" s="82"/>
      <c r="R7" s="82"/>
      <c r="S7" s="82"/>
      <c r="T7" s="82"/>
      <c r="U7" s="82"/>
    </row>
    <row r="8" spans="1:21" ht="67.5" x14ac:dyDescent="0.25">
      <c r="A8" s="98" t="s">
        <v>218</v>
      </c>
      <c r="B8" s="42" t="s">
        <v>219</v>
      </c>
      <c r="C8" s="44" t="s">
        <v>220</v>
      </c>
      <c r="D8" s="37" t="s">
        <v>221</v>
      </c>
      <c r="E8" s="82"/>
      <c r="F8" s="82"/>
      <c r="G8" s="82"/>
      <c r="H8" s="82"/>
      <c r="I8" s="82"/>
      <c r="J8" s="82"/>
      <c r="K8" s="82"/>
      <c r="L8" s="82"/>
      <c r="M8" s="82"/>
      <c r="N8" s="82"/>
      <c r="O8" s="82"/>
      <c r="P8" s="82"/>
      <c r="Q8" s="82"/>
      <c r="R8" s="82"/>
      <c r="S8" s="82"/>
      <c r="T8" s="82"/>
      <c r="U8" s="82"/>
    </row>
    <row r="9" spans="1:21" ht="20.25" x14ac:dyDescent="0.25">
      <c r="A9" s="98"/>
      <c r="B9" s="98"/>
      <c r="C9" s="100"/>
      <c r="D9" s="100"/>
      <c r="E9" s="82"/>
      <c r="F9" s="82"/>
      <c r="G9" s="82"/>
      <c r="H9" s="82"/>
      <c r="I9" s="82"/>
      <c r="J9" s="82"/>
      <c r="K9" s="82"/>
      <c r="L9" s="82"/>
      <c r="M9" s="82"/>
      <c r="N9" s="82"/>
      <c r="O9" s="82"/>
      <c r="P9" s="82"/>
      <c r="Q9" s="82"/>
      <c r="R9" s="82"/>
      <c r="S9" s="82"/>
      <c r="T9" s="82"/>
      <c r="U9" s="82"/>
    </row>
    <row r="10" spans="1:21" ht="16.5" x14ac:dyDescent="0.25">
      <c r="A10" s="98"/>
      <c r="B10" s="101"/>
      <c r="C10" s="101"/>
      <c r="D10" s="101"/>
      <c r="E10" s="82"/>
      <c r="F10" s="82"/>
      <c r="G10" s="82"/>
      <c r="H10" s="82"/>
      <c r="I10" s="82"/>
      <c r="J10" s="82"/>
      <c r="K10" s="82"/>
      <c r="L10" s="82"/>
      <c r="M10" s="82"/>
      <c r="N10" s="82"/>
      <c r="O10" s="82"/>
      <c r="P10" s="82"/>
      <c r="Q10" s="82"/>
      <c r="R10" s="82"/>
      <c r="S10" s="82"/>
      <c r="T10" s="82"/>
      <c r="U10" s="82"/>
    </row>
    <row r="11" spans="1:21" x14ac:dyDescent="0.25">
      <c r="A11" s="98"/>
      <c r="B11" s="98" t="s">
        <v>222</v>
      </c>
      <c r="C11" s="98" t="s">
        <v>223</v>
      </c>
      <c r="D11" s="98" t="s">
        <v>224</v>
      </c>
      <c r="E11" s="82"/>
      <c r="F11" s="82"/>
      <c r="G11" s="82"/>
      <c r="H11" s="82"/>
      <c r="I11" s="82"/>
      <c r="J11" s="82"/>
      <c r="K11" s="82"/>
      <c r="L11" s="82"/>
      <c r="M11" s="82"/>
      <c r="N11" s="82"/>
      <c r="O11" s="82"/>
      <c r="P11" s="82"/>
      <c r="Q11" s="82"/>
      <c r="R11" s="82"/>
      <c r="S11" s="82"/>
      <c r="T11" s="82"/>
      <c r="U11" s="82"/>
    </row>
    <row r="12" spans="1:21" x14ac:dyDescent="0.25">
      <c r="A12" s="98"/>
      <c r="B12" s="98" t="s">
        <v>225</v>
      </c>
      <c r="C12" s="98" t="s">
        <v>226</v>
      </c>
      <c r="D12" s="98" t="s">
        <v>145</v>
      </c>
      <c r="E12" s="82"/>
      <c r="F12" s="82"/>
      <c r="G12" s="82"/>
      <c r="H12" s="82"/>
      <c r="I12" s="82"/>
      <c r="J12" s="82"/>
      <c r="K12" s="82"/>
      <c r="L12" s="82"/>
      <c r="M12" s="82"/>
      <c r="N12" s="82"/>
      <c r="O12" s="82"/>
      <c r="P12" s="82"/>
      <c r="Q12" s="82"/>
      <c r="R12" s="82"/>
      <c r="S12" s="82"/>
      <c r="T12" s="82"/>
      <c r="U12" s="82"/>
    </row>
    <row r="13" spans="1:21" x14ac:dyDescent="0.25">
      <c r="A13" s="98"/>
      <c r="B13" s="98"/>
      <c r="C13" s="98" t="s">
        <v>227</v>
      </c>
      <c r="D13" s="98" t="s">
        <v>159</v>
      </c>
      <c r="E13" s="82"/>
      <c r="F13" s="82"/>
      <c r="G13" s="82"/>
      <c r="H13" s="82"/>
      <c r="I13" s="82"/>
      <c r="J13" s="82"/>
      <c r="K13" s="82"/>
      <c r="L13" s="82"/>
      <c r="M13" s="82"/>
      <c r="N13" s="82"/>
      <c r="O13" s="82"/>
      <c r="P13" s="82"/>
      <c r="Q13" s="82"/>
      <c r="R13" s="82"/>
      <c r="S13" s="82"/>
      <c r="T13" s="82"/>
      <c r="U13" s="82"/>
    </row>
    <row r="14" spans="1:21" x14ac:dyDescent="0.25">
      <c r="A14" s="98"/>
      <c r="B14" s="98"/>
      <c r="C14" s="98" t="s">
        <v>228</v>
      </c>
      <c r="D14" s="98" t="s">
        <v>229</v>
      </c>
      <c r="E14" s="82"/>
      <c r="F14" s="82"/>
      <c r="G14" s="82"/>
      <c r="H14" s="82"/>
      <c r="I14" s="82"/>
      <c r="J14" s="82"/>
      <c r="K14" s="82"/>
      <c r="L14" s="82"/>
      <c r="M14" s="82"/>
      <c r="N14" s="82"/>
      <c r="O14" s="82"/>
      <c r="P14" s="82"/>
      <c r="Q14" s="82"/>
      <c r="R14" s="82"/>
      <c r="S14" s="82"/>
      <c r="T14" s="82"/>
      <c r="U14" s="82"/>
    </row>
    <row r="15" spans="1:21" x14ac:dyDescent="0.25">
      <c r="A15" s="98"/>
      <c r="B15" s="98"/>
      <c r="C15" s="98" t="s">
        <v>230</v>
      </c>
      <c r="D15" s="98" t="s">
        <v>231</v>
      </c>
      <c r="E15" s="82"/>
      <c r="F15" s="82"/>
      <c r="G15" s="82"/>
      <c r="H15" s="82"/>
      <c r="I15" s="82"/>
      <c r="J15" s="82"/>
      <c r="K15" s="82"/>
      <c r="L15" s="82"/>
      <c r="M15" s="82"/>
      <c r="N15" s="82"/>
      <c r="O15" s="82"/>
      <c r="P15" s="82"/>
      <c r="Q15" s="82"/>
      <c r="R15" s="82"/>
      <c r="S15" s="82"/>
      <c r="T15" s="82"/>
      <c r="U15" s="82"/>
    </row>
    <row r="16" spans="1:21" x14ac:dyDescent="0.25">
      <c r="A16" s="98"/>
      <c r="B16" s="98"/>
      <c r="C16" s="98"/>
      <c r="D16" s="98"/>
      <c r="E16" s="82"/>
      <c r="F16" s="82"/>
      <c r="G16" s="82"/>
      <c r="H16" s="82"/>
      <c r="I16" s="82"/>
      <c r="J16" s="82"/>
      <c r="K16" s="82"/>
      <c r="L16" s="82"/>
      <c r="M16" s="82"/>
      <c r="N16" s="82"/>
      <c r="O16" s="82"/>
    </row>
    <row r="17" spans="1:15" x14ac:dyDescent="0.25">
      <c r="A17" s="98"/>
      <c r="B17" s="98"/>
      <c r="C17" s="98"/>
      <c r="D17" s="98"/>
      <c r="E17" s="82"/>
      <c r="F17" s="82"/>
      <c r="G17" s="82"/>
      <c r="H17" s="82"/>
      <c r="I17" s="82"/>
      <c r="J17" s="82"/>
      <c r="K17" s="82"/>
      <c r="L17" s="82"/>
      <c r="M17" s="82"/>
      <c r="N17" s="82"/>
      <c r="O17" s="82"/>
    </row>
    <row r="18" spans="1:15" x14ac:dyDescent="0.25">
      <c r="A18" s="98"/>
      <c r="B18" s="102"/>
      <c r="C18" s="102"/>
      <c r="D18" s="102"/>
      <c r="E18" s="82"/>
      <c r="F18" s="82"/>
      <c r="G18" s="82"/>
      <c r="H18" s="82"/>
      <c r="I18" s="82"/>
      <c r="J18" s="82"/>
      <c r="K18" s="82"/>
      <c r="L18" s="82"/>
      <c r="M18" s="82"/>
      <c r="N18" s="82"/>
      <c r="O18" s="82"/>
    </row>
    <row r="19" spans="1:15" x14ac:dyDescent="0.25">
      <c r="A19" s="98"/>
      <c r="B19" s="102"/>
      <c r="C19" s="102"/>
      <c r="D19" s="102"/>
      <c r="E19" s="82"/>
      <c r="F19" s="82"/>
      <c r="G19" s="82"/>
      <c r="H19" s="82"/>
      <c r="I19" s="82"/>
      <c r="J19" s="82"/>
      <c r="K19" s="82"/>
      <c r="L19" s="82"/>
      <c r="M19" s="82"/>
      <c r="N19" s="82"/>
      <c r="O19" s="82"/>
    </row>
    <row r="20" spans="1:15" x14ac:dyDescent="0.25">
      <c r="A20" s="98"/>
      <c r="B20" s="102"/>
      <c r="C20" s="102"/>
      <c r="D20" s="102"/>
      <c r="E20" s="82"/>
      <c r="F20" s="82"/>
      <c r="G20" s="82"/>
      <c r="H20" s="82"/>
      <c r="I20" s="82"/>
      <c r="J20" s="82"/>
      <c r="K20" s="82"/>
      <c r="L20" s="82"/>
      <c r="M20" s="82"/>
      <c r="N20" s="82"/>
      <c r="O20" s="82"/>
    </row>
    <row r="21" spans="1:15" x14ac:dyDescent="0.25">
      <c r="A21" s="98"/>
      <c r="B21" s="102"/>
      <c r="C21" s="102"/>
      <c r="D21" s="102"/>
      <c r="E21" s="82"/>
      <c r="F21" s="82"/>
      <c r="G21" s="82"/>
      <c r="H21" s="82"/>
      <c r="I21" s="82"/>
      <c r="J21" s="82"/>
      <c r="K21" s="82"/>
      <c r="L21" s="82"/>
      <c r="M21" s="82"/>
      <c r="N21" s="82"/>
      <c r="O21" s="82"/>
    </row>
    <row r="22" spans="1:15" ht="20.25" x14ac:dyDescent="0.25">
      <c r="A22" s="98"/>
      <c r="B22" s="98"/>
      <c r="C22" s="100"/>
      <c r="D22" s="100"/>
      <c r="E22" s="82"/>
      <c r="F22" s="82"/>
      <c r="G22" s="82"/>
      <c r="H22" s="82"/>
      <c r="I22" s="82"/>
      <c r="J22" s="82"/>
      <c r="K22" s="82"/>
      <c r="L22" s="82"/>
      <c r="M22" s="82"/>
      <c r="N22" s="82"/>
      <c r="O22" s="82"/>
    </row>
    <row r="23" spans="1:15" ht="20.25" x14ac:dyDescent="0.25">
      <c r="A23" s="98"/>
      <c r="B23" s="98"/>
      <c r="C23" s="100"/>
      <c r="D23" s="100"/>
      <c r="E23" s="82"/>
      <c r="F23" s="82"/>
      <c r="G23" s="82"/>
      <c r="H23" s="82"/>
      <c r="I23" s="82"/>
      <c r="J23" s="82"/>
      <c r="K23" s="82"/>
      <c r="L23" s="82"/>
      <c r="M23" s="82"/>
      <c r="N23" s="82"/>
      <c r="O23" s="82"/>
    </row>
    <row r="24" spans="1:15" ht="20.25" x14ac:dyDescent="0.25">
      <c r="A24" s="98"/>
      <c r="B24" s="98"/>
      <c r="C24" s="100"/>
      <c r="D24" s="100"/>
      <c r="E24" s="82"/>
      <c r="F24" s="82"/>
      <c r="G24" s="82"/>
      <c r="H24" s="82"/>
      <c r="I24" s="82"/>
      <c r="J24" s="82"/>
      <c r="K24" s="82"/>
      <c r="L24" s="82"/>
      <c r="M24" s="82"/>
      <c r="N24" s="82"/>
      <c r="O24" s="82"/>
    </row>
    <row r="25" spans="1:15" ht="20.25" x14ac:dyDescent="0.25">
      <c r="A25" s="98"/>
      <c r="B25" s="98"/>
      <c r="C25" s="100"/>
      <c r="D25" s="100"/>
      <c r="E25" s="82"/>
      <c r="F25" s="82"/>
      <c r="G25" s="82"/>
      <c r="H25" s="82"/>
      <c r="I25" s="82"/>
      <c r="J25" s="82"/>
      <c r="K25" s="82"/>
      <c r="L25" s="82"/>
      <c r="M25" s="82"/>
      <c r="N25" s="82"/>
      <c r="O25" s="82"/>
    </row>
    <row r="26" spans="1:15" ht="20.25" x14ac:dyDescent="0.25">
      <c r="A26" s="98"/>
      <c r="B26" s="98"/>
      <c r="C26" s="100"/>
      <c r="D26" s="100"/>
      <c r="E26" s="82"/>
      <c r="F26" s="82"/>
      <c r="G26" s="82"/>
      <c r="H26" s="82"/>
      <c r="I26" s="82"/>
      <c r="J26" s="82"/>
      <c r="K26" s="82"/>
      <c r="L26" s="82"/>
      <c r="M26" s="82"/>
      <c r="N26" s="82"/>
      <c r="O26" s="82"/>
    </row>
    <row r="27" spans="1:15" ht="20.25" x14ac:dyDescent="0.25">
      <c r="A27" s="98"/>
      <c r="B27" s="98"/>
      <c r="C27" s="100"/>
      <c r="D27" s="100"/>
      <c r="E27" s="82"/>
      <c r="F27" s="82"/>
      <c r="G27" s="82"/>
      <c r="H27" s="82"/>
      <c r="I27" s="82"/>
      <c r="J27" s="82"/>
      <c r="K27" s="82"/>
      <c r="L27" s="82"/>
      <c r="M27" s="82"/>
      <c r="N27" s="82"/>
      <c r="O27" s="82"/>
    </row>
    <row r="28" spans="1:15" ht="20.25" x14ac:dyDescent="0.25">
      <c r="A28" s="98"/>
      <c r="B28" s="98"/>
      <c r="C28" s="100"/>
      <c r="D28" s="100"/>
      <c r="E28" s="82"/>
      <c r="F28" s="82"/>
      <c r="G28" s="82"/>
      <c r="H28" s="82"/>
      <c r="I28" s="82"/>
      <c r="J28" s="82"/>
      <c r="K28" s="82"/>
      <c r="L28" s="82"/>
      <c r="M28" s="82"/>
      <c r="N28" s="82"/>
      <c r="O28" s="82"/>
    </row>
    <row r="29" spans="1:15" ht="20.25" x14ac:dyDescent="0.25">
      <c r="A29" s="98"/>
      <c r="B29" s="98"/>
      <c r="C29" s="100"/>
      <c r="D29" s="100"/>
      <c r="E29" s="82"/>
      <c r="F29" s="82"/>
      <c r="G29" s="82"/>
      <c r="H29" s="82"/>
      <c r="I29" s="82"/>
      <c r="J29" s="82"/>
      <c r="K29" s="82"/>
      <c r="L29" s="82"/>
      <c r="M29" s="82"/>
      <c r="N29" s="82"/>
      <c r="O29" s="82"/>
    </row>
    <row r="30" spans="1:15" ht="20.25" x14ac:dyDescent="0.25">
      <c r="A30" s="98"/>
      <c r="B30" s="98"/>
      <c r="C30" s="100"/>
      <c r="D30" s="100"/>
      <c r="E30" s="82"/>
      <c r="F30" s="82"/>
      <c r="G30" s="82"/>
      <c r="H30" s="82"/>
      <c r="I30" s="82"/>
      <c r="J30" s="82"/>
      <c r="K30" s="82"/>
      <c r="L30" s="82"/>
      <c r="M30" s="82"/>
      <c r="N30" s="82"/>
      <c r="O30" s="82"/>
    </row>
    <row r="31" spans="1:15" ht="20.25" x14ac:dyDescent="0.25">
      <c r="A31" s="98"/>
      <c r="B31" s="98"/>
      <c r="C31" s="100"/>
      <c r="D31" s="100"/>
      <c r="E31" s="82"/>
      <c r="F31" s="82"/>
      <c r="G31" s="82"/>
      <c r="H31" s="82"/>
      <c r="I31" s="82"/>
      <c r="J31" s="82"/>
      <c r="K31" s="82"/>
      <c r="L31" s="82"/>
      <c r="M31" s="82"/>
      <c r="N31" s="82"/>
      <c r="O31" s="82"/>
    </row>
    <row r="32" spans="1:15" ht="20.25" x14ac:dyDescent="0.25">
      <c r="A32" s="98"/>
      <c r="B32" s="98"/>
      <c r="C32" s="100"/>
      <c r="D32" s="100"/>
      <c r="E32" s="82"/>
      <c r="F32" s="82"/>
      <c r="G32" s="82"/>
      <c r="H32" s="82"/>
      <c r="I32" s="82"/>
      <c r="J32" s="82"/>
      <c r="K32" s="82"/>
      <c r="L32" s="82"/>
      <c r="M32" s="82"/>
      <c r="N32" s="82"/>
      <c r="O32" s="82"/>
    </row>
    <row r="33" spans="1:15" ht="20.25" x14ac:dyDescent="0.25">
      <c r="A33" s="98"/>
      <c r="B33" s="98"/>
      <c r="C33" s="100"/>
      <c r="D33" s="100"/>
      <c r="E33" s="82"/>
      <c r="F33" s="82"/>
      <c r="G33" s="82"/>
      <c r="H33" s="82"/>
      <c r="I33" s="82"/>
      <c r="J33" s="82"/>
      <c r="K33" s="82"/>
      <c r="L33" s="82"/>
      <c r="M33" s="82"/>
      <c r="N33" s="82"/>
      <c r="O33" s="82"/>
    </row>
    <row r="34" spans="1:15" ht="20.25" x14ac:dyDescent="0.25">
      <c r="A34" s="98"/>
      <c r="B34" s="98"/>
      <c r="C34" s="100"/>
      <c r="D34" s="100"/>
      <c r="E34" s="82"/>
      <c r="F34" s="82"/>
      <c r="G34" s="82"/>
      <c r="H34" s="82"/>
      <c r="I34" s="82"/>
      <c r="J34" s="82"/>
      <c r="K34" s="82"/>
      <c r="L34" s="82"/>
      <c r="M34" s="82"/>
      <c r="N34" s="82"/>
      <c r="O34" s="82"/>
    </row>
    <row r="35" spans="1:15" ht="20.25" x14ac:dyDescent="0.25">
      <c r="A35" s="98"/>
      <c r="B35" s="98"/>
      <c r="C35" s="100"/>
      <c r="D35" s="100"/>
      <c r="E35" s="82"/>
      <c r="F35" s="82"/>
      <c r="G35" s="82"/>
      <c r="H35" s="82"/>
      <c r="I35" s="82"/>
      <c r="J35" s="82"/>
      <c r="K35" s="82"/>
      <c r="L35" s="82"/>
      <c r="M35" s="82"/>
      <c r="N35" s="82"/>
      <c r="O35" s="82"/>
    </row>
    <row r="36" spans="1:15" ht="20.25" x14ac:dyDescent="0.25">
      <c r="A36" s="98"/>
      <c r="B36" s="98"/>
      <c r="C36" s="100"/>
      <c r="D36" s="100"/>
      <c r="E36" s="82"/>
      <c r="F36" s="82"/>
      <c r="G36" s="82"/>
      <c r="H36" s="82"/>
      <c r="I36" s="82"/>
      <c r="J36" s="82"/>
      <c r="K36" s="82"/>
      <c r="L36" s="82"/>
      <c r="M36" s="82"/>
      <c r="N36" s="82"/>
      <c r="O36" s="82"/>
    </row>
    <row r="37" spans="1:15" ht="20.25" x14ac:dyDescent="0.25">
      <c r="A37" s="98"/>
      <c r="B37" s="98"/>
      <c r="C37" s="100"/>
      <c r="D37" s="100"/>
      <c r="E37" s="82"/>
      <c r="F37" s="82"/>
      <c r="G37" s="82"/>
      <c r="H37" s="82"/>
      <c r="I37" s="82"/>
      <c r="J37" s="82"/>
      <c r="K37" s="82"/>
      <c r="L37" s="82"/>
      <c r="M37" s="82"/>
      <c r="N37" s="82"/>
      <c r="O37" s="82"/>
    </row>
    <row r="38" spans="1:15" ht="20.25" x14ac:dyDescent="0.25">
      <c r="A38" s="98"/>
      <c r="B38" s="98"/>
      <c r="C38" s="100"/>
      <c r="D38" s="100"/>
      <c r="E38" s="82"/>
      <c r="F38" s="82"/>
      <c r="G38" s="82"/>
      <c r="H38" s="82"/>
      <c r="I38" s="82"/>
      <c r="J38" s="82"/>
      <c r="K38" s="82"/>
      <c r="L38" s="82"/>
      <c r="M38" s="82"/>
      <c r="N38" s="82"/>
      <c r="O38" s="82"/>
    </row>
    <row r="39" spans="1:15" ht="20.25" x14ac:dyDescent="0.25">
      <c r="A39" s="98"/>
      <c r="B39" s="98"/>
      <c r="C39" s="100"/>
      <c r="D39" s="100"/>
      <c r="E39" s="82"/>
      <c r="F39" s="82"/>
      <c r="G39" s="82"/>
      <c r="H39" s="82"/>
      <c r="I39" s="82"/>
      <c r="J39" s="82"/>
      <c r="K39" s="82"/>
      <c r="L39" s="82"/>
      <c r="M39" s="82"/>
      <c r="N39" s="82"/>
      <c r="O39" s="82"/>
    </row>
    <row r="40" spans="1:15" ht="20.25" x14ac:dyDescent="0.25">
      <c r="A40" s="98"/>
      <c r="B40" s="98"/>
      <c r="C40" s="100"/>
      <c r="D40" s="100"/>
      <c r="E40" s="82"/>
      <c r="F40" s="82"/>
      <c r="G40" s="82"/>
      <c r="H40" s="82"/>
      <c r="I40" s="82"/>
      <c r="J40" s="82"/>
      <c r="K40" s="82"/>
      <c r="L40" s="82"/>
      <c r="M40" s="82"/>
      <c r="N40" s="82"/>
      <c r="O40" s="82"/>
    </row>
    <row r="41" spans="1:15" ht="20.25" x14ac:dyDescent="0.25">
      <c r="A41" s="98"/>
      <c r="B41" s="98"/>
      <c r="C41" s="100"/>
      <c r="D41" s="100"/>
      <c r="E41" s="82"/>
      <c r="F41" s="82"/>
      <c r="G41" s="82"/>
      <c r="H41" s="82"/>
      <c r="I41" s="82"/>
      <c r="J41" s="82"/>
      <c r="K41" s="82"/>
      <c r="L41" s="82"/>
      <c r="M41" s="82"/>
      <c r="N41" s="82"/>
      <c r="O41" s="82"/>
    </row>
    <row r="42" spans="1:15" ht="20.25" x14ac:dyDescent="0.25">
      <c r="A42" s="98"/>
      <c r="B42" s="98"/>
      <c r="C42" s="100"/>
      <c r="D42" s="100"/>
      <c r="E42" s="82"/>
      <c r="F42" s="82"/>
      <c r="G42" s="82"/>
      <c r="H42" s="82"/>
      <c r="I42" s="82"/>
      <c r="J42" s="82"/>
      <c r="K42" s="82"/>
      <c r="L42" s="82"/>
      <c r="M42" s="82"/>
      <c r="N42" s="82"/>
      <c r="O42" s="82"/>
    </row>
    <row r="43" spans="1:15" ht="20.25" x14ac:dyDescent="0.25">
      <c r="A43" s="98"/>
      <c r="B43" s="98"/>
      <c r="C43" s="100"/>
      <c r="D43" s="100"/>
      <c r="E43" s="82"/>
      <c r="F43" s="82"/>
      <c r="G43" s="82"/>
      <c r="H43" s="82"/>
      <c r="I43" s="82"/>
      <c r="J43" s="82"/>
      <c r="K43" s="82"/>
      <c r="L43" s="82"/>
      <c r="M43" s="82"/>
      <c r="N43" s="82"/>
      <c r="O43" s="82"/>
    </row>
    <row r="44" spans="1:15" ht="20.25" x14ac:dyDescent="0.25">
      <c r="A44" s="98"/>
      <c r="B44" s="98"/>
      <c r="C44" s="100"/>
      <c r="D44" s="100"/>
      <c r="E44" s="82"/>
      <c r="F44" s="82"/>
      <c r="G44" s="82"/>
      <c r="H44" s="82"/>
      <c r="I44" s="82"/>
      <c r="J44" s="82"/>
      <c r="K44" s="82"/>
      <c r="L44" s="82"/>
      <c r="M44" s="82"/>
      <c r="N44" s="82"/>
      <c r="O44" s="82"/>
    </row>
    <row r="45" spans="1:15" ht="20.25" x14ac:dyDescent="0.25">
      <c r="A45" s="98"/>
      <c r="B45" s="98"/>
      <c r="C45" s="100"/>
      <c r="D45" s="100"/>
      <c r="E45" s="82"/>
      <c r="F45" s="82"/>
      <c r="G45" s="82"/>
      <c r="H45" s="82"/>
      <c r="I45" s="82"/>
      <c r="J45" s="82"/>
      <c r="K45" s="82"/>
      <c r="L45" s="82"/>
      <c r="M45" s="82"/>
      <c r="N45" s="82"/>
      <c r="O45" s="82"/>
    </row>
    <row r="46" spans="1:15" ht="20.25" x14ac:dyDescent="0.25">
      <c r="A46" s="98"/>
      <c r="B46" s="98"/>
      <c r="C46" s="100"/>
      <c r="D46" s="100"/>
      <c r="E46" s="82"/>
      <c r="F46" s="82"/>
      <c r="G46" s="82"/>
      <c r="H46" s="82"/>
      <c r="I46" s="82"/>
      <c r="J46" s="82"/>
      <c r="K46" s="82"/>
      <c r="L46" s="82"/>
      <c r="M46" s="82"/>
      <c r="N46" s="82"/>
      <c r="O46" s="82"/>
    </row>
    <row r="47" spans="1:15" ht="20.25" x14ac:dyDescent="0.25">
      <c r="A47" s="98"/>
      <c r="B47" s="98"/>
      <c r="C47" s="100"/>
      <c r="D47" s="100"/>
      <c r="E47" s="82"/>
      <c r="F47" s="82"/>
      <c r="G47" s="82"/>
      <c r="H47" s="82"/>
      <c r="I47" s="82"/>
      <c r="J47" s="82"/>
      <c r="K47" s="82"/>
      <c r="L47" s="82"/>
      <c r="M47" s="82"/>
      <c r="N47" s="82"/>
      <c r="O47" s="82"/>
    </row>
    <row r="48" spans="1:15" ht="20.25" x14ac:dyDescent="0.25">
      <c r="A48" s="98"/>
      <c r="B48" s="98"/>
      <c r="C48" s="100"/>
      <c r="D48" s="100"/>
      <c r="E48" s="82"/>
      <c r="F48" s="82"/>
      <c r="G48" s="82"/>
      <c r="H48" s="82"/>
      <c r="I48" s="82"/>
      <c r="J48" s="82"/>
      <c r="K48" s="82"/>
      <c r="L48" s="82"/>
      <c r="M48" s="82"/>
      <c r="N48" s="82"/>
      <c r="O48" s="82"/>
    </row>
    <row r="49" spans="1:15" ht="20.25" x14ac:dyDescent="0.25">
      <c r="A49" s="98"/>
      <c r="B49" s="98"/>
      <c r="C49" s="100"/>
      <c r="D49" s="100"/>
      <c r="E49" s="82"/>
      <c r="F49" s="82"/>
      <c r="G49" s="82"/>
      <c r="H49" s="82"/>
      <c r="I49" s="82"/>
      <c r="J49" s="82"/>
      <c r="K49" s="82"/>
      <c r="L49" s="82"/>
      <c r="M49" s="82"/>
      <c r="N49" s="82"/>
      <c r="O49" s="82"/>
    </row>
    <row r="50" spans="1:15" ht="20.25" x14ac:dyDescent="0.25">
      <c r="A50" s="98"/>
      <c r="B50" s="98"/>
      <c r="C50" s="100"/>
      <c r="D50" s="100"/>
      <c r="E50" s="82"/>
      <c r="F50" s="82"/>
      <c r="G50" s="82"/>
      <c r="H50" s="82"/>
      <c r="I50" s="82"/>
      <c r="J50" s="82"/>
      <c r="K50" s="82"/>
      <c r="L50" s="82"/>
      <c r="M50" s="82"/>
      <c r="N50" s="82"/>
      <c r="O50" s="82"/>
    </row>
    <row r="51" spans="1:15" ht="20.25" x14ac:dyDescent="0.25">
      <c r="A51" s="98"/>
      <c r="B51" s="98"/>
      <c r="C51" s="100"/>
      <c r="D51" s="100"/>
      <c r="E51" s="82"/>
      <c r="F51" s="82"/>
      <c r="G51" s="82"/>
      <c r="H51" s="82"/>
      <c r="I51" s="82"/>
      <c r="J51" s="82"/>
      <c r="K51" s="82"/>
      <c r="L51" s="82"/>
      <c r="M51" s="82"/>
      <c r="N51" s="82"/>
      <c r="O51" s="82"/>
    </row>
    <row r="52" spans="1:15" ht="20.25" x14ac:dyDescent="0.25">
      <c r="A52" s="98"/>
      <c r="B52" s="23"/>
      <c r="C52" s="33"/>
      <c r="D52" s="33"/>
    </row>
    <row r="53" spans="1:15" ht="20.25" x14ac:dyDescent="0.25">
      <c r="A53" s="98"/>
      <c r="B53" s="23"/>
      <c r="C53" s="33"/>
      <c r="D53" s="33"/>
    </row>
    <row r="54" spans="1:15" ht="20.25" x14ac:dyDescent="0.25">
      <c r="A54" s="98"/>
      <c r="B54" s="23"/>
      <c r="C54" s="33"/>
      <c r="D54" s="33"/>
    </row>
    <row r="55" spans="1:15" ht="20.25" x14ac:dyDescent="0.25">
      <c r="A55" s="98"/>
      <c r="B55" s="23"/>
      <c r="C55" s="33"/>
      <c r="D55" s="33"/>
    </row>
    <row r="56" spans="1:15" ht="20.25" x14ac:dyDescent="0.25">
      <c r="A56" s="98"/>
      <c r="B56" s="23"/>
      <c r="C56" s="33"/>
      <c r="D56" s="33"/>
    </row>
    <row r="57" spans="1:15" ht="20.25" x14ac:dyDescent="0.25">
      <c r="A57" s="98"/>
      <c r="B57" s="23"/>
      <c r="C57" s="33"/>
      <c r="D57" s="33"/>
    </row>
    <row r="58" spans="1:15" ht="20.25" x14ac:dyDescent="0.25">
      <c r="A58" s="98"/>
      <c r="B58" s="23"/>
      <c r="C58" s="33"/>
      <c r="D58" s="33"/>
    </row>
    <row r="59" spans="1:15" ht="20.25" x14ac:dyDescent="0.25">
      <c r="A59" s="98"/>
      <c r="B59" s="23"/>
      <c r="C59" s="33"/>
      <c r="D59" s="33"/>
    </row>
    <row r="60" spans="1:15" ht="20.25" x14ac:dyDescent="0.25">
      <c r="A60" s="98"/>
      <c r="B60" s="23"/>
      <c r="C60" s="33"/>
      <c r="D60" s="33"/>
    </row>
    <row r="61" spans="1:15" ht="20.25" x14ac:dyDescent="0.25">
      <c r="A61" s="98"/>
      <c r="B61" s="23"/>
      <c r="C61" s="33"/>
      <c r="D61" s="33"/>
    </row>
    <row r="62" spans="1:15" ht="20.25" x14ac:dyDescent="0.25">
      <c r="A62" s="98"/>
      <c r="B62" s="23"/>
      <c r="C62" s="33"/>
      <c r="D62" s="33"/>
    </row>
    <row r="63" spans="1:15" ht="20.25" x14ac:dyDescent="0.25">
      <c r="A63" s="98"/>
      <c r="B63" s="23"/>
      <c r="C63" s="33"/>
      <c r="D63" s="33"/>
    </row>
    <row r="64" spans="1:15" ht="20.25" x14ac:dyDescent="0.25">
      <c r="A64" s="98"/>
      <c r="B64" s="23"/>
      <c r="C64" s="33"/>
      <c r="D64" s="33"/>
    </row>
    <row r="65" spans="1:4" ht="20.25" x14ac:dyDescent="0.25">
      <c r="A65" s="98"/>
      <c r="B65" s="23"/>
      <c r="C65" s="33"/>
      <c r="D65" s="33"/>
    </row>
    <row r="66" spans="1:4" ht="20.25" x14ac:dyDescent="0.25">
      <c r="A66" s="98"/>
      <c r="B66" s="23"/>
      <c r="C66" s="33"/>
      <c r="D66" s="33"/>
    </row>
    <row r="67" spans="1:4" ht="20.25" x14ac:dyDescent="0.25">
      <c r="A67" s="98"/>
      <c r="B67" s="23"/>
      <c r="C67" s="33"/>
      <c r="D67" s="33"/>
    </row>
    <row r="68" spans="1:4" ht="20.25" x14ac:dyDescent="0.25">
      <c r="A68" s="98"/>
      <c r="B68" s="23"/>
      <c r="C68" s="33"/>
      <c r="D68" s="33"/>
    </row>
    <row r="69" spans="1:4" ht="20.25" x14ac:dyDescent="0.25">
      <c r="A69" s="98"/>
      <c r="B69" s="23"/>
      <c r="C69" s="33"/>
      <c r="D69" s="33"/>
    </row>
    <row r="70" spans="1:4" ht="20.25" x14ac:dyDescent="0.25">
      <c r="A70" s="98"/>
      <c r="B70" s="23"/>
      <c r="C70" s="33"/>
      <c r="D70" s="33"/>
    </row>
    <row r="71" spans="1:4" ht="20.25" x14ac:dyDescent="0.25">
      <c r="A71" s="98"/>
      <c r="B71" s="23"/>
      <c r="C71" s="33"/>
      <c r="D71" s="33"/>
    </row>
    <row r="72" spans="1:4" ht="20.25" x14ac:dyDescent="0.25">
      <c r="A72" s="98"/>
      <c r="B72" s="23"/>
      <c r="C72" s="33"/>
      <c r="D72" s="33"/>
    </row>
    <row r="73" spans="1:4" ht="20.25" x14ac:dyDescent="0.25">
      <c r="A73" s="98"/>
      <c r="B73" s="23"/>
      <c r="C73" s="33"/>
      <c r="D73" s="33"/>
    </row>
    <row r="74" spans="1:4" ht="20.25" x14ac:dyDescent="0.25">
      <c r="A74" s="98"/>
      <c r="B74" s="23"/>
      <c r="C74" s="33"/>
      <c r="D74" s="33"/>
    </row>
    <row r="75" spans="1:4" ht="20.25" x14ac:dyDescent="0.25">
      <c r="A75" s="98"/>
      <c r="B75" s="23"/>
      <c r="C75" s="33"/>
      <c r="D75" s="33"/>
    </row>
    <row r="76" spans="1:4" ht="20.25" x14ac:dyDescent="0.25">
      <c r="A76" s="98"/>
      <c r="B76" s="23"/>
      <c r="C76" s="33"/>
      <c r="D76" s="33"/>
    </row>
    <row r="77" spans="1:4" ht="20.25" x14ac:dyDescent="0.25">
      <c r="A77" s="98"/>
      <c r="B77" s="23"/>
      <c r="C77" s="33"/>
      <c r="D77" s="33"/>
    </row>
    <row r="78" spans="1:4" ht="20.25" x14ac:dyDescent="0.25">
      <c r="A78" s="98"/>
      <c r="B78" s="23"/>
      <c r="C78" s="33"/>
      <c r="D78" s="33"/>
    </row>
    <row r="79" spans="1:4" ht="20.25" x14ac:dyDescent="0.25">
      <c r="A79" s="98"/>
      <c r="B79" s="23"/>
      <c r="C79" s="33"/>
      <c r="D79" s="33"/>
    </row>
    <row r="80" spans="1:4" ht="20.25" x14ac:dyDescent="0.25">
      <c r="A80" s="98"/>
      <c r="B80" s="23"/>
      <c r="C80" s="33"/>
      <c r="D80" s="33"/>
    </row>
    <row r="81" spans="1:4" ht="20.25" x14ac:dyDescent="0.25">
      <c r="A81" s="98"/>
      <c r="B81" s="23"/>
      <c r="C81" s="33"/>
      <c r="D81" s="33"/>
    </row>
    <row r="82" spans="1:4" ht="20.25" x14ac:dyDescent="0.25">
      <c r="A82" s="98"/>
      <c r="B82" s="23"/>
      <c r="C82" s="33"/>
      <c r="D82" s="33"/>
    </row>
    <row r="83" spans="1:4" ht="20.25" x14ac:dyDescent="0.25">
      <c r="A83" s="98"/>
      <c r="B83" s="23"/>
      <c r="C83" s="33"/>
      <c r="D83" s="33"/>
    </row>
    <row r="84" spans="1:4" ht="20.25" x14ac:dyDescent="0.25">
      <c r="A84" s="98"/>
      <c r="B84" s="23"/>
      <c r="C84" s="33"/>
      <c r="D84" s="33"/>
    </row>
    <row r="85" spans="1:4" ht="20.25" x14ac:dyDescent="0.25">
      <c r="A85" s="98"/>
      <c r="B85" s="23"/>
      <c r="C85" s="33"/>
      <c r="D85" s="33"/>
    </row>
    <row r="86" spans="1:4" ht="20.25" x14ac:dyDescent="0.25">
      <c r="A86" s="98"/>
      <c r="B86" s="23"/>
      <c r="C86" s="33"/>
      <c r="D86" s="33"/>
    </row>
    <row r="87" spans="1:4" ht="20.25" x14ac:dyDescent="0.25">
      <c r="A87" s="98"/>
      <c r="B87" s="23"/>
      <c r="C87" s="33"/>
      <c r="D87" s="33"/>
    </row>
    <row r="88" spans="1:4" ht="20.25" x14ac:dyDescent="0.25">
      <c r="A88" s="98"/>
      <c r="B88" s="23"/>
      <c r="C88" s="33"/>
      <c r="D88" s="33"/>
    </row>
    <row r="89" spans="1:4" ht="20.25" x14ac:dyDescent="0.25">
      <c r="A89" s="98"/>
      <c r="B89" s="23"/>
      <c r="C89" s="33"/>
      <c r="D89" s="33"/>
    </row>
    <row r="90" spans="1:4" ht="20.25" x14ac:dyDescent="0.25">
      <c r="A90" s="98"/>
      <c r="B90" s="23"/>
      <c r="C90" s="33"/>
      <c r="D90" s="33"/>
    </row>
    <row r="91" spans="1:4" ht="20.25" x14ac:dyDescent="0.25">
      <c r="A91" s="98"/>
      <c r="B91" s="23"/>
      <c r="C91" s="33"/>
      <c r="D91" s="33"/>
    </row>
    <row r="92" spans="1:4" ht="20.25" x14ac:dyDescent="0.25">
      <c r="A92" s="98"/>
      <c r="B92" s="23"/>
      <c r="C92" s="33"/>
      <c r="D92" s="33"/>
    </row>
    <row r="93" spans="1:4" ht="20.25" x14ac:dyDescent="0.25">
      <c r="A93" s="98"/>
      <c r="B93" s="23"/>
      <c r="C93" s="33"/>
      <c r="D93" s="33"/>
    </row>
    <row r="94" spans="1:4" ht="20.25" x14ac:dyDescent="0.25">
      <c r="A94" s="98"/>
      <c r="B94" s="23"/>
      <c r="C94" s="33"/>
      <c r="D94" s="33"/>
    </row>
    <row r="95" spans="1:4" ht="20.25" x14ac:dyDescent="0.25">
      <c r="A95" s="98"/>
      <c r="B95" s="23"/>
      <c r="C95" s="33"/>
      <c r="D95" s="33"/>
    </row>
    <row r="96" spans="1:4" ht="20.25" x14ac:dyDescent="0.25">
      <c r="A96" s="98"/>
      <c r="B96" s="23"/>
      <c r="C96" s="33"/>
      <c r="D96" s="33"/>
    </row>
    <row r="97" spans="1:4" ht="20.25" x14ac:dyDescent="0.25">
      <c r="A97" s="98"/>
      <c r="B97" s="23"/>
      <c r="C97" s="33"/>
      <c r="D97" s="33"/>
    </row>
    <row r="98" spans="1:4" ht="20.25" x14ac:dyDescent="0.25">
      <c r="A98" s="98"/>
      <c r="B98" s="23"/>
      <c r="C98" s="33"/>
      <c r="D98" s="33"/>
    </row>
    <row r="99" spans="1:4" ht="20.25" x14ac:dyDescent="0.25">
      <c r="A99" s="98"/>
      <c r="B99" s="23"/>
      <c r="C99" s="33"/>
      <c r="D99" s="33"/>
    </row>
    <row r="100" spans="1:4" ht="20.25" x14ac:dyDescent="0.25">
      <c r="A100" s="98"/>
      <c r="B100" s="23"/>
      <c r="C100" s="33"/>
      <c r="D100" s="33"/>
    </row>
    <row r="101" spans="1:4" ht="20.25" x14ac:dyDescent="0.25">
      <c r="A101" s="98"/>
      <c r="B101" s="23"/>
      <c r="C101" s="33"/>
      <c r="D101" s="33"/>
    </row>
    <row r="102" spans="1:4" ht="20.25" x14ac:dyDescent="0.25">
      <c r="A102" s="98"/>
      <c r="B102" s="23"/>
      <c r="C102" s="33"/>
      <c r="D102" s="33"/>
    </row>
    <row r="103" spans="1:4" ht="20.25" x14ac:dyDescent="0.25">
      <c r="A103" s="98"/>
      <c r="B103" s="23"/>
      <c r="C103" s="33"/>
      <c r="D103" s="33"/>
    </row>
    <row r="104" spans="1:4" ht="20.25" x14ac:dyDescent="0.25">
      <c r="A104" s="98"/>
      <c r="B104" s="23"/>
      <c r="C104" s="33"/>
      <c r="D104" s="33"/>
    </row>
    <row r="105" spans="1:4" ht="20.25" x14ac:dyDescent="0.25">
      <c r="A105" s="98"/>
      <c r="B105" s="23"/>
      <c r="C105" s="33"/>
      <c r="D105" s="33"/>
    </row>
    <row r="106" spans="1:4" ht="20.25" x14ac:dyDescent="0.25">
      <c r="A106" s="98"/>
      <c r="B106" s="23"/>
      <c r="C106" s="33"/>
      <c r="D106" s="33"/>
    </row>
    <row r="107" spans="1:4" ht="20.25" x14ac:dyDescent="0.25">
      <c r="A107" s="98"/>
      <c r="B107" s="23"/>
      <c r="C107" s="33"/>
      <c r="D107" s="33"/>
    </row>
    <row r="108" spans="1:4" ht="20.25" x14ac:dyDescent="0.25">
      <c r="A108" s="98"/>
      <c r="B108" s="23"/>
      <c r="C108" s="33"/>
      <c r="D108" s="33"/>
    </row>
    <row r="109" spans="1:4" ht="20.25" x14ac:dyDescent="0.25">
      <c r="A109" s="98"/>
      <c r="B109" s="23"/>
      <c r="C109" s="33"/>
      <c r="D109" s="33"/>
    </row>
    <row r="110" spans="1:4" ht="20.25" x14ac:dyDescent="0.25">
      <c r="A110" s="98"/>
      <c r="B110" s="23"/>
      <c r="C110" s="33"/>
      <c r="D110" s="33"/>
    </row>
    <row r="111" spans="1:4" ht="20.25" x14ac:dyDescent="0.25">
      <c r="A111" s="98"/>
      <c r="B111" s="23"/>
      <c r="C111" s="33"/>
      <c r="D111" s="33"/>
    </row>
    <row r="112" spans="1:4" ht="20.25" x14ac:dyDescent="0.25">
      <c r="A112" s="98"/>
      <c r="B112" s="23"/>
      <c r="C112" s="33"/>
      <c r="D112" s="33"/>
    </row>
    <row r="113" spans="1:4" ht="20.25" x14ac:dyDescent="0.25">
      <c r="A113" s="98"/>
      <c r="B113" s="23"/>
      <c r="C113" s="33"/>
      <c r="D113" s="33"/>
    </row>
    <row r="114" spans="1:4" ht="20.25" x14ac:dyDescent="0.25">
      <c r="A114" s="98"/>
      <c r="B114" s="23"/>
      <c r="C114" s="33"/>
      <c r="D114" s="33"/>
    </row>
    <row r="115" spans="1:4" ht="20.25" x14ac:dyDescent="0.25">
      <c r="A115" s="98"/>
      <c r="B115" s="23"/>
      <c r="C115" s="33"/>
      <c r="D115" s="33"/>
    </row>
    <row r="116" spans="1:4" ht="20.25" x14ac:dyDescent="0.25">
      <c r="A116" s="98"/>
      <c r="B116" s="23"/>
      <c r="C116" s="33"/>
      <c r="D116" s="33"/>
    </row>
    <row r="117" spans="1:4" ht="20.25" x14ac:dyDescent="0.25">
      <c r="A117" s="98"/>
      <c r="B117" s="23"/>
      <c r="C117" s="33"/>
      <c r="D117" s="33"/>
    </row>
    <row r="118" spans="1:4" ht="20.25" x14ac:dyDescent="0.25">
      <c r="A118" s="98"/>
      <c r="B118" s="23"/>
      <c r="C118" s="33"/>
      <c r="D118" s="33"/>
    </row>
    <row r="119" spans="1:4" ht="20.25" x14ac:dyDescent="0.25">
      <c r="A119" s="98"/>
      <c r="B119" s="23"/>
      <c r="C119" s="33"/>
      <c r="D119" s="33"/>
    </row>
    <row r="120" spans="1:4" ht="20.25" x14ac:dyDescent="0.25">
      <c r="A120" s="98"/>
      <c r="B120" s="23"/>
      <c r="C120" s="33"/>
      <c r="D120" s="33"/>
    </row>
    <row r="121" spans="1:4" ht="20.25" x14ac:dyDescent="0.25">
      <c r="A121" s="98"/>
      <c r="B121" s="23"/>
      <c r="C121" s="33"/>
      <c r="D121" s="33"/>
    </row>
    <row r="122" spans="1:4" ht="20.25" x14ac:dyDescent="0.25">
      <c r="A122" s="98"/>
      <c r="B122" s="23"/>
      <c r="C122" s="33"/>
      <c r="D122" s="33"/>
    </row>
    <row r="123" spans="1:4" ht="20.25" x14ac:dyDescent="0.25">
      <c r="A123" s="98"/>
      <c r="B123" s="23"/>
      <c r="C123" s="33"/>
      <c r="D123" s="33"/>
    </row>
    <row r="124" spans="1:4" ht="20.25" x14ac:dyDescent="0.25">
      <c r="A124" s="98"/>
      <c r="B124" s="23"/>
      <c r="C124" s="33"/>
      <c r="D124" s="33"/>
    </row>
    <row r="125" spans="1:4" ht="20.25" x14ac:dyDescent="0.25">
      <c r="A125" s="98"/>
      <c r="B125" s="23"/>
      <c r="C125" s="33"/>
      <c r="D125" s="33"/>
    </row>
    <row r="126" spans="1:4" ht="20.25" x14ac:dyDescent="0.25">
      <c r="A126" s="98"/>
      <c r="B126" s="23"/>
      <c r="C126" s="33"/>
      <c r="D126" s="33"/>
    </row>
    <row r="127" spans="1:4" ht="20.25" x14ac:dyDescent="0.25">
      <c r="A127" s="98"/>
      <c r="B127" s="23"/>
      <c r="C127" s="33"/>
      <c r="D127" s="33"/>
    </row>
    <row r="128" spans="1:4" ht="20.25" x14ac:dyDescent="0.25">
      <c r="A128" s="98"/>
      <c r="B128" s="23"/>
      <c r="C128" s="33"/>
      <c r="D128" s="33"/>
    </row>
    <row r="129" spans="1:4" ht="20.25" x14ac:dyDescent="0.25">
      <c r="A129" s="98"/>
      <c r="B129" s="23"/>
      <c r="C129" s="33"/>
      <c r="D129" s="33"/>
    </row>
    <row r="130" spans="1:4" ht="20.25" x14ac:dyDescent="0.25">
      <c r="A130" s="98"/>
      <c r="B130" s="23"/>
      <c r="C130" s="33"/>
      <c r="D130" s="33"/>
    </row>
    <row r="131" spans="1:4" ht="20.25" x14ac:dyDescent="0.25">
      <c r="A131" s="98"/>
      <c r="B131" s="23"/>
      <c r="C131" s="33"/>
      <c r="D131" s="33"/>
    </row>
    <row r="132" spans="1:4" ht="20.25" x14ac:dyDescent="0.25">
      <c r="A132" s="98"/>
      <c r="B132" s="23"/>
      <c r="C132" s="33"/>
      <c r="D132" s="33"/>
    </row>
    <row r="133" spans="1:4" ht="20.25" x14ac:dyDescent="0.25">
      <c r="A133" s="98"/>
      <c r="B133" s="23"/>
      <c r="C133" s="33"/>
      <c r="D133" s="33"/>
    </row>
    <row r="134" spans="1:4" ht="20.25" x14ac:dyDescent="0.25">
      <c r="A134" s="98"/>
      <c r="B134" s="23"/>
      <c r="C134" s="33"/>
      <c r="D134" s="33"/>
    </row>
    <row r="135" spans="1:4" ht="20.25" x14ac:dyDescent="0.25">
      <c r="A135" s="98"/>
      <c r="B135" s="23"/>
      <c r="C135" s="33"/>
      <c r="D135" s="33"/>
    </row>
    <row r="136" spans="1:4" ht="20.25" x14ac:dyDescent="0.25">
      <c r="A136" s="98"/>
      <c r="B136" s="23"/>
      <c r="C136" s="33"/>
      <c r="D136" s="33"/>
    </row>
    <row r="137" spans="1:4" ht="20.25" x14ac:dyDescent="0.25">
      <c r="A137" s="98"/>
      <c r="B137" s="23"/>
      <c r="C137" s="33"/>
      <c r="D137" s="33"/>
    </row>
    <row r="138" spans="1:4" ht="20.25" x14ac:dyDescent="0.25">
      <c r="A138" s="98"/>
      <c r="B138" s="23"/>
      <c r="C138" s="33"/>
      <c r="D138" s="33"/>
    </row>
    <row r="139" spans="1:4" ht="20.25" x14ac:dyDescent="0.25">
      <c r="A139" s="98"/>
      <c r="B139" s="23"/>
      <c r="C139" s="33"/>
      <c r="D139" s="33"/>
    </row>
    <row r="140" spans="1:4" ht="20.25" x14ac:dyDescent="0.25">
      <c r="A140" s="98"/>
      <c r="B140" s="23"/>
      <c r="C140" s="33"/>
      <c r="D140" s="33"/>
    </row>
    <row r="141" spans="1:4" ht="20.25" x14ac:dyDescent="0.25">
      <c r="A141" s="98"/>
      <c r="B141" s="23"/>
      <c r="C141" s="33"/>
      <c r="D141" s="33"/>
    </row>
    <row r="142" spans="1:4" ht="20.25" x14ac:dyDescent="0.25">
      <c r="A142" s="98"/>
      <c r="B142" s="23"/>
      <c r="C142" s="33"/>
      <c r="D142" s="33"/>
    </row>
    <row r="143" spans="1:4" ht="20.25" x14ac:dyDescent="0.25">
      <c r="A143" s="98"/>
      <c r="B143" s="23"/>
      <c r="C143" s="33"/>
      <c r="D143" s="33"/>
    </row>
    <row r="144" spans="1:4" ht="20.25" x14ac:dyDescent="0.25">
      <c r="A144" s="98"/>
      <c r="B144" s="23"/>
      <c r="C144" s="33"/>
      <c r="D144" s="33"/>
    </row>
    <row r="145" spans="1:4" ht="20.25" x14ac:dyDescent="0.25">
      <c r="A145" s="98"/>
      <c r="B145" s="23"/>
      <c r="C145" s="33"/>
      <c r="D145" s="33"/>
    </row>
    <row r="146" spans="1:4" ht="20.25" x14ac:dyDescent="0.25">
      <c r="A146" s="98"/>
      <c r="B146" s="23"/>
      <c r="C146" s="33"/>
      <c r="D146" s="33"/>
    </row>
    <row r="147" spans="1:4" ht="20.25" x14ac:dyDescent="0.25">
      <c r="A147" s="98"/>
      <c r="B147" s="23"/>
      <c r="C147" s="33"/>
      <c r="D147" s="33"/>
    </row>
    <row r="148" spans="1:4" ht="20.25" x14ac:dyDescent="0.25">
      <c r="A148" s="98"/>
      <c r="B148" s="23"/>
      <c r="C148" s="33"/>
      <c r="D148" s="33"/>
    </row>
    <row r="149" spans="1:4" ht="20.25" x14ac:dyDescent="0.25">
      <c r="A149" s="98"/>
      <c r="B149" s="23"/>
      <c r="C149" s="33"/>
      <c r="D149" s="33"/>
    </row>
    <row r="150" spans="1:4" ht="20.25" x14ac:dyDescent="0.25">
      <c r="A150" s="98"/>
      <c r="B150" s="23"/>
      <c r="C150" s="33"/>
      <c r="D150" s="33"/>
    </row>
    <row r="151" spans="1:4" ht="20.25" x14ac:dyDescent="0.25">
      <c r="A151" s="98"/>
      <c r="B151" s="23"/>
      <c r="C151" s="33"/>
      <c r="D151" s="33"/>
    </row>
    <row r="152" spans="1:4" ht="20.25" x14ac:dyDescent="0.25">
      <c r="A152" s="98"/>
      <c r="B152" s="23"/>
      <c r="C152" s="33"/>
      <c r="D152" s="33"/>
    </row>
    <row r="153" spans="1:4" ht="20.25" x14ac:dyDescent="0.25">
      <c r="A153" s="98"/>
      <c r="B153" s="23"/>
      <c r="C153" s="33"/>
      <c r="D153" s="33"/>
    </row>
    <row r="154" spans="1:4" ht="20.25" x14ac:dyDescent="0.25">
      <c r="A154" s="98"/>
      <c r="B154" s="23"/>
      <c r="C154" s="33"/>
      <c r="D154" s="33"/>
    </row>
    <row r="155" spans="1:4" ht="20.25" x14ac:dyDescent="0.25">
      <c r="A155" s="98"/>
      <c r="B155" s="23"/>
      <c r="C155" s="33"/>
      <c r="D155" s="33"/>
    </row>
    <row r="156" spans="1:4" ht="20.25" x14ac:dyDescent="0.25">
      <c r="A156" s="98"/>
      <c r="B156" s="23"/>
      <c r="C156" s="33"/>
      <c r="D156" s="33"/>
    </row>
    <row r="157" spans="1:4" ht="20.25" x14ac:dyDescent="0.25">
      <c r="A157" s="98"/>
      <c r="B157" s="23"/>
      <c r="C157" s="33"/>
      <c r="D157" s="33"/>
    </row>
    <row r="158" spans="1:4" ht="20.25" x14ac:dyDescent="0.25">
      <c r="A158" s="98"/>
      <c r="B158" s="23"/>
      <c r="C158" s="33"/>
      <c r="D158" s="33"/>
    </row>
    <row r="159" spans="1:4" ht="20.25" x14ac:dyDescent="0.25">
      <c r="A159" s="98"/>
      <c r="B159" s="23"/>
      <c r="C159" s="33"/>
      <c r="D159" s="33"/>
    </row>
    <row r="160" spans="1:4" ht="20.25" x14ac:dyDescent="0.25">
      <c r="A160" s="98"/>
      <c r="B160" s="23"/>
      <c r="C160" s="33"/>
      <c r="D160" s="33"/>
    </row>
    <row r="161" spans="1:4" ht="20.25" x14ac:dyDescent="0.25">
      <c r="A161" s="98"/>
      <c r="B161" s="23"/>
      <c r="C161" s="33"/>
      <c r="D161" s="33"/>
    </row>
    <row r="162" spans="1:4" ht="20.25" x14ac:dyDescent="0.25">
      <c r="A162" s="98"/>
      <c r="B162" s="23"/>
      <c r="C162" s="33"/>
      <c r="D162" s="33"/>
    </row>
    <row r="163" spans="1:4" ht="20.25" x14ac:dyDescent="0.25">
      <c r="A163" s="98"/>
      <c r="B163" s="23"/>
      <c r="C163" s="33"/>
      <c r="D163" s="33"/>
    </row>
    <row r="164" spans="1:4" ht="20.25" x14ac:dyDescent="0.25">
      <c r="A164" s="98"/>
      <c r="B164" s="23"/>
      <c r="C164" s="33"/>
      <c r="D164" s="33"/>
    </row>
    <row r="165" spans="1:4" ht="20.25" x14ac:dyDescent="0.25">
      <c r="A165" s="98"/>
      <c r="B165" s="23"/>
      <c r="C165" s="33"/>
      <c r="D165" s="33"/>
    </row>
    <row r="166" spans="1:4" ht="20.25" x14ac:dyDescent="0.25">
      <c r="A166" s="98"/>
      <c r="B166" s="23"/>
      <c r="C166" s="33"/>
      <c r="D166" s="33"/>
    </row>
    <row r="167" spans="1:4" ht="20.25" x14ac:dyDescent="0.25">
      <c r="A167" s="98"/>
      <c r="B167" s="23"/>
      <c r="C167" s="33"/>
      <c r="D167" s="33"/>
    </row>
    <row r="168" spans="1:4" ht="20.25" x14ac:dyDescent="0.25">
      <c r="A168" s="98"/>
      <c r="B168" s="23"/>
      <c r="C168" s="33"/>
      <c r="D168" s="33"/>
    </row>
    <row r="169" spans="1:4" ht="20.25" x14ac:dyDescent="0.25">
      <c r="A169" s="98"/>
      <c r="B169" s="23"/>
      <c r="C169" s="33"/>
      <c r="D169" s="33"/>
    </row>
    <row r="170" spans="1:4" ht="20.25" x14ac:dyDescent="0.25">
      <c r="A170" s="98"/>
      <c r="B170" s="23"/>
      <c r="C170" s="33"/>
      <c r="D170" s="33"/>
    </row>
    <row r="171" spans="1:4" ht="20.25" x14ac:dyDescent="0.25">
      <c r="A171" s="98"/>
      <c r="B171" s="23"/>
      <c r="C171" s="33"/>
      <c r="D171" s="33"/>
    </row>
    <row r="172" spans="1:4" ht="20.25" x14ac:dyDescent="0.25">
      <c r="A172" s="98"/>
      <c r="B172" s="23"/>
      <c r="C172" s="33"/>
      <c r="D172" s="33"/>
    </row>
    <row r="173" spans="1:4" ht="20.25" x14ac:dyDescent="0.25">
      <c r="A173" s="98"/>
      <c r="B173" s="23"/>
      <c r="C173" s="33"/>
      <c r="D173" s="33"/>
    </row>
    <row r="174" spans="1:4" ht="20.25" x14ac:dyDescent="0.25">
      <c r="A174" s="98"/>
      <c r="B174" s="23"/>
      <c r="C174" s="33"/>
      <c r="D174" s="33"/>
    </row>
    <row r="175" spans="1:4" ht="20.25" x14ac:dyDescent="0.25">
      <c r="A175" s="98"/>
      <c r="B175" s="23"/>
      <c r="C175" s="33"/>
      <c r="D175" s="33"/>
    </row>
    <row r="176" spans="1:4" ht="20.25" x14ac:dyDescent="0.25">
      <c r="A176" s="98"/>
      <c r="B176" s="23"/>
      <c r="C176" s="33"/>
      <c r="D176" s="33"/>
    </row>
    <row r="177" spans="1:4" ht="20.25" x14ac:dyDescent="0.25">
      <c r="A177" s="98"/>
      <c r="B177" s="23"/>
      <c r="C177" s="33"/>
      <c r="D177" s="33"/>
    </row>
    <row r="178" spans="1:4" ht="20.25" x14ac:dyDescent="0.25">
      <c r="A178" s="98"/>
      <c r="B178" s="23"/>
      <c r="C178" s="33"/>
      <c r="D178" s="33"/>
    </row>
    <row r="179" spans="1:4" ht="20.25" x14ac:dyDescent="0.25">
      <c r="A179" s="98"/>
      <c r="B179" s="23"/>
      <c r="C179" s="33"/>
      <c r="D179" s="33"/>
    </row>
    <row r="180" spans="1:4" ht="20.25" x14ac:dyDescent="0.25">
      <c r="A180" s="98"/>
      <c r="B180" s="23"/>
      <c r="C180" s="33"/>
      <c r="D180" s="33"/>
    </row>
    <row r="181" spans="1:4" ht="20.25" x14ac:dyDescent="0.25">
      <c r="A181" s="98"/>
      <c r="B181" s="23"/>
      <c r="C181" s="33"/>
      <c r="D181" s="33"/>
    </row>
    <row r="182" spans="1:4" ht="20.25" x14ac:dyDescent="0.25">
      <c r="A182" s="98"/>
      <c r="B182" s="23"/>
      <c r="C182" s="33"/>
      <c r="D182" s="33"/>
    </row>
    <row r="183" spans="1:4" ht="20.25" x14ac:dyDescent="0.25">
      <c r="A183" s="98"/>
      <c r="B183" s="23"/>
      <c r="C183" s="33"/>
      <c r="D183" s="33"/>
    </row>
    <row r="184" spans="1:4" ht="20.25" x14ac:dyDescent="0.25">
      <c r="A184" s="98"/>
      <c r="B184" s="23"/>
      <c r="C184" s="33"/>
      <c r="D184" s="33"/>
    </row>
    <row r="185" spans="1:4" ht="20.25" x14ac:dyDescent="0.25">
      <c r="A185" s="98"/>
      <c r="B185" s="23"/>
      <c r="C185" s="33"/>
      <c r="D185" s="33"/>
    </row>
    <row r="186" spans="1:4" ht="20.25" x14ac:dyDescent="0.25">
      <c r="A186" s="98"/>
      <c r="B186" s="23"/>
      <c r="C186" s="33"/>
      <c r="D186" s="33"/>
    </row>
    <row r="187" spans="1:4" ht="20.25" x14ac:dyDescent="0.25">
      <c r="A187" s="98"/>
      <c r="B187" s="23"/>
      <c r="C187" s="33"/>
      <c r="D187" s="33"/>
    </row>
    <row r="188" spans="1:4" ht="20.25" x14ac:dyDescent="0.25">
      <c r="A188" s="98"/>
      <c r="B188" s="23"/>
      <c r="C188" s="33"/>
      <c r="D188" s="33"/>
    </row>
    <row r="189" spans="1:4" ht="20.25" x14ac:dyDescent="0.25">
      <c r="A189" s="98"/>
      <c r="B189" s="23"/>
      <c r="C189" s="33"/>
      <c r="D189" s="33"/>
    </row>
    <row r="190" spans="1:4" ht="20.25" x14ac:dyDescent="0.25">
      <c r="A190" s="98"/>
      <c r="B190" s="23"/>
      <c r="C190" s="33"/>
      <c r="D190" s="33"/>
    </row>
    <row r="191" spans="1:4" ht="20.25" x14ac:dyDescent="0.25">
      <c r="A191" s="98"/>
      <c r="B191" s="23"/>
      <c r="C191" s="33"/>
      <c r="D191" s="33"/>
    </row>
    <row r="192" spans="1:4" ht="20.25" x14ac:dyDescent="0.25">
      <c r="A192" s="98"/>
      <c r="B192" s="23"/>
      <c r="C192" s="33"/>
      <c r="D192" s="33"/>
    </row>
    <row r="193" spans="1:4" ht="20.25" x14ac:dyDescent="0.25">
      <c r="A193" s="98"/>
      <c r="B193" s="23"/>
      <c r="C193" s="33"/>
      <c r="D193" s="33"/>
    </row>
    <row r="194" spans="1:4" ht="20.25" x14ac:dyDescent="0.25">
      <c r="A194" s="98"/>
      <c r="B194" s="23"/>
      <c r="C194" s="33"/>
      <c r="D194" s="33"/>
    </row>
    <row r="195" spans="1:4" ht="20.25" x14ac:dyDescent="0.25">
      <c r="A195" s="98"/>
      <c r="B195" s="23"/>
      <c r="C195" s="33"/>
      <c r="D195" s="33"/>
    </row>
    <row r="196" spans="1:4" ht="20.25" x14ac:dyDescent="0.25">
      <c r="A196" s="98"/>
      <c r="B196" s="23"/>
      <c r="C196" s="33"/>
      <c r="D196" s="33"/>
    </row>
    <row r="197" spans="1:4" ht="20.25" x14ac:dyDescent="0.25">
      <c r="A197" s="98"/>
      <c r="B197" s="23"/>
      <c r="C197" s="33"/>
      <c r="D197" s="33"/>
    </row>
    <row r="198" spans="1:4" ht="20.25" x14ac:dyDescent="0.25">
      <c r="A198" s="98"/>
      <c r="B198" s="23"/>
      <c r="C198" s="33"/>
      <c r="D198" s="33"/>
    </row>
    <row r="199" spans="1:4" ht="20.25" x14ac:dyDescent="0.25">
      <c r="A199" s="98"/>
      <c r="B199" s="23"/>
      <c r="C199" s="33"/>
      <c r="D199" s="33"/>
    </row>
    <row r="200" spans="1:4" ht="20.25" x14ac:dyDescent="0.25">
      <c r="A200" s="98"/>
      <c r="B200" s="23"/>
      <c r="C200" s="33"/>
      <c r="D200" s="33"/>
    </row>
    <row r="201" spans="1:4" ht="20.25" x14ac:dyDescent="0.25">
      <c r="A201" s="98"/>
      <c r="B201" s="23"/>
      <c r="C201" s="33"/>
      <c r="D201" s="33"/>
    </row>
    <row r="202" spans="1:4" ht="20.25" x14ac:dyDescent="0.25">
      <c r="A202" s="98"/>
      <c r="B202" s="23"/>
      <c r="C202" s="33"/>
      <c r="D202" s="33"/>
    </row>
    <row r="203" spans="1:4" ht="20.25" x14ac:dyDescent="0.25">
      <c r="A203" s="98"/>
      <c r="B203" s="23"/>
      <c r="C203" s="33"/>
      <c r="D203" s="33"/>
    </row>
    <row r="204" spans="1:4" ht="20.25" x14ac:dyDescent="0.25">
      <c r="A204" s="98"/>
      <c r="B204" s="23"/>
      <c r="C204" s="33"/>
      <c r="D204" s="33"/>
    </row>
    <row r="205" spans="1:4" ht="20.25" x14ac:dyDescent="0.25">
      <c r="A205" s="98"/>
      <c r="B205" s="23"/>
      <c r="C205" s="33"/>
      <c r="D205" s="33"/>
    </row>
    <row r="206" spans="1:4" ht="20.25" x14ac:dyDescent="0.25">
      <c r="A206" s="98"/>
      <c r="B206" s="23"/>
      <c r="C206" s="33"/>
      <c r="D206" s="33"/>
    </row>
    <row r="207" spans="1:4" ht="20.25" x14ac:dyDescent="0.25">
      <c r="A207" s="98"/>
      <c r="B207" s="23"/>
      <c r="C207" s="33"/>
      <c r="D207" s="33"/>
    </row>
    <row r="208" spans="1:4" x14ac:dyDescent="0.25">
      <c r="A208" s="82"/>
      <c r="B208" s="23"/>
      <c r="C208" s="23"/>
      <c r="D208" s="23"/>
    </row>
    <row r="209" spans="1:8" ht="20.25" x14ac:dyDescent="0.25">
      <c r="A209" s="82"/>
      <c r="B209" s="29" t="s">
        <v>232</v>
      </c>
      <c r="C209" s="29" t="s">
        <v>233</v>
      </c>
      <c r="D209" s="32" t="s">
        <v>232</v>
      </c>
      <c r="E209" s="32" t="s">
        <v>233</v>
      </c>
    </row>
    <row r="210" spans="1:8" ht="21" x14ac:dyDescent="0.35">
      <c r="A210" s="82"/>
      <c r="B210" s="30" t="s">
        <v>234</v>
      </c>
      <c r="C210" s="30" t="s">
        <v>235</v>
      </c>
      <c r="D210" t="s">
        <v>234</v>
      </c>
      <c r="F210" t="str">
        <f>IF(NOT(ISBLANK(D210)),D210,IF(NOT(ISBLANK(E210)),"     "&amp;E210,FALSE))</f>
        <v>Afectación Económica o presupuestal</v>
      </c>
      <c r="G210" t="s">
        <v>234</v>
      </c>
      <c r="H210" t="str">
        <f>IF(NOT(ISERROR(MATCH(G210,_xlfn.ANCHORARRAY(B221),0))),F223&amp;"Por favor no seleccionar los criterios de impacto",G210)</f>
        <v>❌Por favor no seleccionar los criterios de impacto</v>
      </c>
    </row>
    <row r="211" spans="1:8" ht="21" x14ac:dyDescent="0.35">
      <c r="A211" s="82"/>
      <c r="B211" s="30" t="s">
        <v>234</v>
      </c>
      <c r="C211" s="30" t="s">
        <v>209</v>
      </c>
      <c r="E211" t="s">
        <v>235</v>
      </c>
      <c r="F211" t="str">
        <f t="shared" ref="F211:F221" si="0">IF(NOT(ISBLANK(D211)),D211,IF(NOT(ISBLANK(E211)),"     "&amp;E211,FALSE))</f>
        <v xml:space="preserve">     Afectación menor a 10 SMLMV .</v>
      </c>
    </row>
    <row r="212" spans="1:8" ht="21" x14ac:dyDescent="0.35">
      <c r="A212" s="82"/>
      <c r="B212" s="30" t="s">
        <v>234</v>
      </c>
      <c r="C212" s="30" t="s">
        <v>212</v>
      </c>
      <c r="E212" t="s">
        <v>209</v>
      </c>
      <c r="F212" t="str">
        <f t="shared" si="0"/>
        <v xml:space="preserve">     Entre 10 y 50 SMLMV </v>
      </c>
    </row>
    <row r="213" spans="1:8" ht="21" x14ac:dyDescent="0.35">
      <c r="A213" s="82"/>
      <c r="B213" s="30" t="s">
        <v>234</v>
      </c>
      <c r="C213" s="30" t="s">
        <v>216</v>
      </c>
      <c r="E213" t="s">
        <v>212</v>
      </c>
      <c r="F213" t="str">
        <f t="shared" si="0"/>
        <v xml:space="preserve">     Entre 50 y 100 SMLMV </v>
      </c>
    </row>
    <row r="214" spans="1:8" ht="21" x14ac:dyDescent="0.35">
      <c r="A214" s="82"/>
      <c r="B214" s="30" t="s">
        <v>234</v>
      </c>
      <c r="C214" s="30" t="s">
        <v>220</v>
      </c>
      <c r="E214" t="s">
        <v>216</v>
      </c>
      <c r="F214" t="str">
        <f t="shared" si="0"/>
        <v xml:space="preserve">     Entre 100 y 500 SMLMV </v>
      </c>
    </row>
    <row r="215" spans="1:8" ht="21" x14ac:dyDescent="0.35">
      <c r="A215" s="82"/>
      <c r="B215" s="30" t="s">
        <v>202</v>
      </c>
      <c r="C215" s="30" t="s">
        <v>206</v>
      </c>
      <c r="E215" t="s">
        <v>220</v>
      </c>
      <c r="F215" t="str">
        <f t="shared" si="0"/>
        <v xml:space="preserve">     Mayor a 500 SMLMV </v>
      </c>
    </row>
    <row r="216" spans="1:8" ht="21" x14ac:dyDescent="0.35">
      <c r="A216" s="82"/>
      <c r="B216" s="30" t="s">
        <v>202</v>
      </c>
      <c r="C216" s="30" t="s">
        <v>210</v>
      </c>
      <c r="D216" t="s">
        <v>202</v>
      </c>
      <c r="F216" t="str">
        <f t="shared" si="0"/>
        <v>Pérdida Reputacional</v>
      </c>
    </row>
    <row r="217" spans="1:8" ht="21" x14ac:dyDescent="0.35">
      <c r="A217" s="82"/>
      <c r="B217" s="30" t="s">
        <v>202</v>
      </c>
      <c r="C217" s="30" t="s">
        <v>213</v>
      </c>
      <c r="E217" t="s">
        <v>206</v>
      </c>
      <c r="F217" t="str">
        <f t="shared" si="0"/>
        <v xml:space="preserve">     El riesgo afecta la imagen de alguna área de la organización</v>
      </c>
    </row>
    <row r="218" spans="1:8" ht="21" x14ac:dyDescent="0.35">
      <c r="A218" s="82"/>
      <c r="B218" s="30" t="s">
        <v>202</v>
      </c>
      <c r="C218" s="30" t="s">
        <v>217</v>
      </c>
      <c r="E218" t="s">
        <v>210</v>
      </c>
      <c r="F218" t="str">
        <f t="shared" si="0"/>
        <v xml:space="preserve">     El riesgo afecta la imagen de la entidad internamente, de conocimiento general, nivel interno, de junta dircetiva y accionistas y/o de provedores</v>
      </c>
    </row>
    <row r="219" spans="1:8" ht="21" x14ac:dyDescent="0.35">
      <c r="A219" s="82"/>
      <c r="B219" s="30" t="s">
        <v>202</v>
      </c>
      <c r="C219" s="30" t="s">
        <v>221</v>
      </c>
      <c r="E219" t="s">
        <v>213</v>
      </c>
      <c r="F219" t="str">
        <f t="shared" si="0"/>
        <v xml:space="preserve">     El riesgo afecta la imagen de la entidad con algunos usuarios de relevancia frente al logro de los objetivos</v>
      </c>
    </row>
    <row r="220" spans="1:8" x14ac:dyDescent="0.25">
      <c r="A220" s="82"/>
      <c r="B220" s="31"/>
      <c r="C220" s="31"/>
      <c r="E220" t="s">
        <v>217</v>
      </c>
      <c r="F220" t="str">
        <f t="shared" si="0"/>
        <v xml:space="preserve">     El riesgo afecta la imagen de de la entidad con efecto publicitario sostenido a nivel de sector administrativo, nivel departamental o municipal</v>
      </c>
    </row>
    <row r="221" spans="1:8" x14ac:dyDescent="0.25">
      <c r="A221" s="82"/>
      <c r="B221" s="31" t="str" cm="1">
        <f t="array" ref="B221:B223">_xlfn.UNIQUE(Tabla1[[#All],[Criterios]])</f>
        <v>Criterios</v>
      </c>
      <c r="C221" s="31"/>
      <c r="E221" t="s">
        <v>221</v>
      </c>
      <c r="F221" t="str">
        <f t="shared" si="0"/>
        <v xml:space="preserve">     El riesgo afecta la imagen de la entidad a nivel nacional, con efecto publicitarios sostenible a nivel país</v>
      </c>
    </row>
    <row r="222" spans="1:8" x14ac:dyDescent="0.25">
      <c r="A222" s="82"/>
      <c r="B222" s="31" t="str">
        <v>Afectación Económica o presupuestal</v>
      </c>
      <c r="C222" s="31"/>
    </row>
    <row r="223" spans="1:8" x14ac:dyDescent="0.25">
      <c r="B223" s="31" t="str">
        <v>Pérdida Reputacional</v>
      </c>
      <c r="C223" s="31"/>
      <c r="F223" s="34" t="s">
        <v>236</v>
      </c>
    </row>
    <row r="224" spans="1:8" x14ac:dyDescent="0.25">
      <c r="B224" s="22"/>
      <c r="C224" s="22"/>
      <c r="F224" s="34" t="s">
        <v>237</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E22" sqref="E22"/>
    </sheetView>
  </sheetViews>
  <sheetFormatPr baseColWidth="10" defaultColWidth="14.28515625" defaultRowHeight="12.75" x14ac:dyDescent="0.2"/>
  <cols>
    <col min="1" max="2" width="14.28515625" style="87"/>
    <col min="3" max="3" width="17" style="87" customWidth="1"/>
    <col min="4" max="4" width="14.28515625" style="87"/>
    <col min="5" max="5" width="46" style="87" customWidth="1"/>
    <col min="6" max="16384" width="14.28515625" style="87"/>
  </cols>
  <sheetData>
    <row r="1" spans="2:6" ht="24" customHeight="1" thickBot="1" x14ac:dyDescent="0.25">
      <c r="B1" s="486" t="s">
        <v>238</v>
      </c>
      <c r="C1" s="487"/>
      <c r="D1" s="487"/>
      <c r="E1" s="487"/>
      <c r="F1" s="488"/>
    </row>
    <row r="2" spans="2:6" ht="16.5" thickBot="1" x14ac:dyDescent="0.3">
      <c r="B2" s="88"/>
      <c r="C2" s="88"/>
      <c r="D2" s="88"/>
      <c r="E2" s="88"/>
      <c r="F2" s="88"/>
    </row>
    <row r="3" spans="2:6" ht="16.5" thickBot="1" x14ac:dyDescent="0.25">
      <c r="B3" s="490" t="s">
        <v>239</v>
      </c>
      <c r="C3" s="491"/>
      <c r="D3" s="491"/>
      <c r="E3" s="178" t="s">
        <v>240</v>
      </c>
      <c r="F3" s="97" t="s">
        <v>241</v>
      </c>
    </row>
    <row r="4" spans="2:6" ht="31.5" x14ac:dyDescent="0.2">
      <c r="B4" s="492" t="s">
        <v>242</v>
      </c>
      <c r="C4" s="494" t="s">
        <v>134</v>
      </c>
      <c r="D4" s="179" t="s">
        <v>147</v>
      </c>
      <c r="E4" s="89" t="s">
        <v>243</v>
      </c>
      <c r="F4" s="90">
        <v>0.25</v>
      </c>
    </row>
    <row r="5" spans="2:6" ht="47.25" x14ac:dyDescent="0.2">
      <c r="B5" s="493"/>
      <c r="C5" s="495"/>
      <c r="D5" s="180" t="s">
        <v>168</v>
      </c>
      <c r="E5" s="91" t="s">
        <v>244</v>
      </c>
      <c r="F5" s="92">
        <v>0.15</v>
      </c>
    </row>
    <row r="6" spans="2:6" ht="47.25" x14ac:dyDescent="0.2">
      <c r="B6" s="493"/>
      <c r="C6" s="495"/>
      <c r="D6" s="180" t="s">
        <v>245</v>
      </c>
      <c r="E6" s="91" t="s">
        <v>246</v>
      </c>
      <c r="F6" s="92">
        <v>0.1</v>
      </c>
    </row>
    <row r="7" spans="2:6" ht="63" x14ac:dyDescent="0.2">
      <c r="B7" s="493"/>
      <c r="C7" s="495" t="s">
        <v>135</v>
      </c>
      <c r="D7" s="180" t="s">
        <v>247</v>
      </c>
      <c r="E7" s="91" t="s">
        <v>248</v>
      </c>
      <c r="F7" s="92">
        <v>0.25</v>
      </c>
    </row>
    <row r="8" spans="2:6" ht="31.5" x14ac:dyDescent="0.2">
      <c r="B8" s="493"/>
      <c r="C8" s="495"/>
      <c r="D8" s="180" t="s">
        <v>148</v>
      </c>
      <c r="E8" s="91" t="s">
        <v>249</v>
      </c>
      <c r="F8" s="92">
        <v>0.15</v>
      </c>
    </row>
    <row r="9" spans="2:6" ht="47.25" x14ac:dyDescent="0.2">
      <c r="B9" s="493" t="s">
        <v>250</v>
      </c>
      <c r="C9" s="495" t="s">
        <v>137</v>
      </c>
      <c r="D9" s="180" t="s">
        <v>149</v>
      </c>
      <c r="E9" s="91" t="s">
        <v>251</v>
      </c>
      <c r="F9" s="93" t="s">
        <v>252</v>
      </c>
    </row>
    <row r="10" spans="2:6" ht="63" x14ac:dyDescent="0.2">
      <c r="B10" s="493"/>
      <c r="C10" s="495"/>
      <c r="D10" s="180" t="s">
        <v>253</v>
      </c>
      <c r="E10" s="91" t="s">
        <v>254</v>
      </c>
      <c r="F10" s="93" t="s">
        <v>252</v>
      </c>
    </row>
    <row r="11" spans="2:6" ht="47.25" x14ac:dyDescent="0.2">
      <c r="B11" s="493"/>
      <c r="C11" s="495" t="s">
        <v>138</v>
      </c>
      <c r="D11" s="180" t="s">
        <v>150</v>
      </c>
      <c r="E11" s="91" t="s">
        <v>255</v>
      </c>
      <c r="F11" s="93" t="s">
        <v>252</v>
      </c>
    </row>
    <row r="12" spans="2:6" ht="47.25" x14ac:dyDescent="0.2">
      <c r="B12" s="493"/>
      <c r="C12" s="495"/>
      <c r="D12" s="180" t="s">
        <v>256</v>
      </c>
      <c r="E12" s="91" t="s">
        <v>257</v>
      </c>
      <c r="F12" s="93" t="s">
        <v>252</v>
      </c>
    </row>
    <row r="13" spans="2:6" ht="31.5" x14ac:dyDescent="0.2">
      <c r="B13" s="493"/>
      <c r="C13" s="495" t="s">
        <v>139</v>
      </c>
      <c r="D13" s="180" t="s">
        <v>151</v>
      </c>
      <c r="E13" s="91" t="s">
        <v>258</v>
      </c>
      <c r="F13" s="93" t="s">
        <v>252</v>
      </c>
    </row>
    <row r="14" spans="2:6" ht="32.25" thickBot="1" x14ac:dyDescent="0.25">
      <c r="B14" s="496"/>
      <c r="C14" s="497"/>
      <c r="D14" s="181" t="s">
        <v>259</v>
      </c>
      <c r="E14" s="94" t="s">
        <v>260</v>
      </c>
      <c r="F14" s="95" t="s">
        <v>252</v>
      </c>
    </row>
    <row r="15" spans="2:6" ht="49.5" customHeight="1" x14ac:dyDescent="0.2">
      <c r="B15" s="489" t="s">
        <v>261</v>
      </c>
      <c r="C15" s="489"/>
      <c r="D15" s="489"/>
      <c r="E15" s="489"/>
      <c r="F15" s="489"/>
    </row>
    <row r="16" spans="2:6" ht="27" customHeight="1" x14ac:dyDescent="0.25">
      <c r="B16" s="9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152</v>
      </c>
      <c r="E2" t="s">
        <v>262</v>
      </c>
    </row>
    <row r="3" spans="2:5" x14ac:dyDescent="0.25">
      <c r="B3" t="s">
        <v>263</v>
      </c>
      <c r="E3" t="s">
        <v>140</v>
      </c>
    </row>
    <row r="4" spans="2:5" x14ac:dyDescent="0.25">
      <c r="B4" t="s">
        <v>264</v>
      </c>
      <c r="E4" t="s">
        <v>265</v>
      </c>
    </row>
    <row r="5" spans="2:5" x14ac:dyDescent="0.25">
      <c r="B5" t="s">
        <v>266</v>
      </c>
    </row>
    <row r="8" spans="2:5" x14ac:dyDescent="0.25">
      <c r="B8" t="s">
        <v>267</v>
      </c>
    </row>
    <row r="9" spans="2:5" x14ac:dyDescent="0.25">
      <c r="B9" t="s">
        <v>268</v>
      </c>
    </row>
    <row r="10" spans="2:5" x14ac:dyDescent="0.25">
      <c r="B10" t="s">
        <v>269</v>
      </c>
    </row>
    <row r="13" spans="2:5" x14ac:dyDescent="0.25">
      <c r="B13" t="s">
        <v>270</v>
      </c>
    </row>
    <row r="14" spans="2:5" x14ac:dyDescent="0.25">
      <c r="B14" t="s">
        <v>144</v>
      </c>
    </row>
    <row r="15" spans="2:5" x14ac:dyDescent="0.25">
      <c r="B15" t="s">
        <v>271</v>
      </c>
    </row>
    <row r="16" spans="2:5" x14ac:dyDescent="0.25">
      <c r="B16" t="s">
        <v>272</v>
      </c>
    </row>
    <row r="17" spans="2:2" x14ac:dyDescent="0.25">
      <c r="B17" t="s">
        <v>273</v>
      </c>
    </row>
    <row r="18" spans="2:2" x14ac:dyDescent="0.25">
      <c r="B18" t="s">
        <v>274</v>
      </c>
    </row>
    <row r="19" spans="2:2" x14ac:dyDescent="0.25">
      <c r="B19" t="s">
        <v>275</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vt:lpstr>
      <vt:lpstr>Contexto proceso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Luisa Fernanda Ibagon Moreno</cp:lastModifiedBy>
  <cp:revision/>
  <dcterms:created xsi:type="dcterms:W3CDTF">2020-03-24T23:12:47Z</dcterms:created>
  <dcterms:modified xsi:type="dcterms:W3CDTF">2023-09-27T23:04:19Z</dcterms:modified>
  <cp:category/>
  <cp:contentStatus/>
</cp:coreProperties>
</file>