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12. Diciembre/Caso HOLA 284877/"/>
    </mc:Choice>
  </mc:AlternateContent>
  <xr:revisionPtr revIDLastSave="23" documentId="8_{272A7E19-0372-4789-9613-083F1E8C5E72}" xr6:coauthVersionLast="47" xr6:coauthVersionMax="47" xr10:uidLastSave="{E76E2C9A-58BE-45C6-B1E7-F6B3E4C173DC}"/>
  <bookViews>
    <workbookView xWindow="-120" yWindow="-120" windowWidth="20730" windowHeight="11160" tabRatio="882" activeTab="2" xr2:uid="{00000000-000D-0000-FFFF-FFFF00000000}"/>
  </bookViews>
  <sheets>
    <sheet name="Instructivo" sheetId="20" r:id="rId1"/>
    <sheet name="Contexto proceso" sheetId="21" r:id="rId2"/>
    <sheet name="Mapa final" sheetId="1" r:id="rId3"/>
    <sheet name="Impacto-clasificacion" sheetId="22" state="hidden" r:id="rId4"/>
    <sheet name="Matriz Calor Inherente" sheetId="18" r:id="rId5"/>
    <sheet name="Matriz Calor Residual" sheetId="19" r:id="rId6"/>
    <sheet name="Tabla probabilidad" sheetId="12" r:id="rId7"/>
    <sheet name="Tabla Impacto" sheetId="13" r:id="rId8"/>
    <sheet name="Criterios riesgos amb." sheetId="23" r:id="rId9"/>
    <sheet name="Tabla Valoración controles" sheetId="15" r:id="rId10"/>
    <sheet name="Opciones Tratamiento" sheetId="16" state="hidden" r:id="rId11"/>
    <sheet name="Hoja1" sheetId="11" state="hidden" r:id="rId12"/>
  </sheets>
  <externalReferences>
    <externalReference r:id="rId13"/>
    <externalReference r:id="rId14"/>
    <externalReference r:id="rId15"/>
    <externalReference r:id="rId16"/>
    <externalReference r:id="rId17"/>
    <externalReference r:id="rId18"/>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1"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0" i="1" l="1"/>
  <c r="Q40" i="1"/>
  <c r="T37" i="1"/>
  <c r="Q37" i="1"/>
  <c r="Q39" i="1"/>
  <c r="Q38" i="1"/>
  <c r="T28" i="1"/>
  <c r="Q28" i="1"/>
  <c r="T36" i="1"/>
  <c r="Q36" i="1"/>
  <c r="K36" i="1"/>
  <c r="T35" i="1"/>
  <c r="Q35" i="1"/>
  <c r="K35" i="1"/>
  <c r="T34" i="1"/>
  <c r="K34" i="1"/>
  <c r="T33" i="1"/>
  <c r="K33" i="1"/>
  <c r="L33" i="1" s="1"/>
  <c r="H33" i="1"/>
  <c r="I33" i="1" s="1"/>
  <c r="K32" i="1"/>
  <c r="K31" i="1"/>
  <c r="K30" i="1"/>
  <c r="L30" i="1" s="1"/>
  <c r="M30" i="1" s="1"/>
  <c r="H30" i="1"/>
  <c r="T32" i="1"/>
  <c r="Q32" i="1"/>
  <c r="T31" i="1"/>
  <c r="Q31" i="1"/>
  <c r="T30" i="1"/>
  <c r="Q30" i="1"/>
  <c r="T29" i="1"/>
  <c r="Q29" i="1"/>
  <c r="T27" i="1"/>
  <c r="Q27" i="1"/>
  <c r="T26" i="1"/>
  <c r="Q26" i="1"/>
  <c r="J4" i="23"/>
  <c r="H26" i="1"/>
  <c r="K51" i="1"/>
  <c r="K48" i="1"/>
  <c r="K46" i="1"/>
  <c r="K40" i="1"/>
  <c r="K58" i="1"/>
  <c r="K38" i="1"/>
  <c r="K49" i="1"/>
  <c r="K43" i="1"/>
  <c r="K39" i="1"/>
  <c r="K52" i="1"/>
  <c r="K45" i="1"/>
  <c r="K54" i="1"/>
  <c r="K55" i="1"/>
  <c r="K44" i="1"/>
  <c r="K56" i="1"/>
  <c r="K57" i="1"/>
  <c r="K42" i="1"/>
  <c r="K50" i="1"/>
  <c r="F221" i="13"/>
  <c r="F211" i="13"/>
  <c r="F212" i="13"/>
  <c r="F213" i="13"/>
  <c r="F214" i="13"/>
  <c r="F215" i="13"/>
  <c r="F216" i="13"/>
  <c r="F217" i="13"/>
  <c r="F218" i="13"/>
  <c r="F219" i="13"/>
  <c r="F220" i="13"/>
  <c r="F210" i="13"/>
  <c r="K27" i="1"/>
  <c r="K29" i="1"/>
  <c r="B221" i="13" a="1"/>
  <c r="B221" i="13"/>
  <c r="Q41"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8" i="1"/>
  <c r="Q58" i="1"/>
  <c r="T57" i="1"/>
  <c r="Q57" i="1"/>
  <c r="T56" i="1"/>
  <c r="Q56" i="1"/>
  <c r="T55" i="1"/>
  <c r="Q55" i="1"/>
  <c r="T54" i="1"/>
  <c r="Q54" i="1"/>
  <c r="T53" i="1"/>
  <c r="Q53" i="1"/>
  <c r="X53" i="1" s="1"/>
  <c r="Z53" i="1" s="1"/>
  <c r="H53" i="1"/>
  <c r="I53" i="1" s="1"/>
  <c r="T52" i="1"/>
  <c r="Q52" i="1"/>
  <c r="T51" i="1"/>
  <c r="Q51" i="1"/>
  <c r="T50" i="1"/>
  <c r="Q50" i="1"/>
  <c r="T49" i="1"/>
  <c r="Q49" i="1"/>
  <c r="T48" i="1"/>
  <c r="Q48" i="1"/>
  <c r="T47" i="1"/>
  <c r="Q47" i="1"/>
  <c r="AB47" i="1" s="1"/>
  <c r="AA47" i="1" s="1"/>
  <c r="H47" i="1"/>
  <c r="T46" i="1"/>
  <c r="Q46" i="1"/>
  <c r="T45" i="1"/>
  <c r="Q45" i="1"/>
  <c r="T44" i="1"/>
  <c r="Q44" i="1"/>
  <c r="T43" i="1"/>
  <c r="Q43" i="1"/>
  <c r="T42" i="1"/>
  <c r="Q42" i="1"/>
  <c r="T41" i="1"/>
  <c r="H41" i="1"/>
  <c r="V42" i="18"/>
  <c r="T39" i="1"/>
  <c r="T38" i="1"/>
  <c r="H37" i="1"/>
  <c r="I37"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K26" i="1"/>
  <c r="L26" i="1" s="1"/>
  <c r="M26" i="1" s="1"/>
  <c r="K37" i="1"/>
  <c r="L37" i="1" s="1"/>
  <c r="K41" i="1"/>
  <c r="L41" i="1" s="1"/>
  <c r="K53" i="1"/>
  <c r="L53" i="1" s="1"/>
  <c r="K47" i="1"/>
  <c r="L47" i="1" s="1"/>
  <c r="AL32" i="18" l="1"/>
  <c r="X33" i="1"/>
  <c r="Y33" i="1" s="1"/>
  <c r="V12" i="18"/>
  <c r="P12" i="18"/>
  <c r="AF32" i="18"/>
  <c r="N53" i="1"/>
  <c r="AB26" i="1"/>
  <c r="AB27" i="1" s="1"/>
  <c r="AB42" i="1"/>
  <c r="AA42" i="1" s="1"/>
  <c r="J28" i="18"/>
  <c r="M33" i="1"/>
  <c r="AB33" i="1" s="1"/>
  <c r="Z30" i="18"/>
  <c r="N33" i="1"/>
  <c r="V16" i="18"/>
  <c r="AH40" i="18"/>
  <c r="AB24" i="18"/>
  <c r="AB41" i="1"/>
  <c r="AA41" i="1" s="1"/>
  <c r="X41" i="1"/>
  <c r="Y41" i="1" s="1"/>
  <c r="AB53" i="1"/>
  <c r="AA53" i="1" s="1"/>
  <c r="X42" i="1"/>
  <c r="Z42" i="1" s="1"/>
  <c r="T18" i="18"/>
  <c r="AB55" i="1"/>
  <c r="AA55" i="1" s="1"/>
  <c r="X58" i="1"/>
  <c r="Y58" i="1" s="1"/>
  <c r="J32" i="18"/>
  <c r="J18" i="18"/>
  <c r="N30" i="1"/>
  <c r="I30" i="1"/>
  <c r="X30" i="1" s="1"/>
  <c r="AB30" i="1"/>
  <c r="AA30" i="1" s="1"/>
  <c r="AJ18" i="18"/>
  <c r="M41" i="1"/>
  <c r="AF24" i="18"/>
  <c r="N10" i="18"/>
  <c r="N32" i="18"/>
  <c r="AH28" i="18"/>
  <c r="J36" i="18"/>
  <c r="J20" i="18"/>
  <c r="V32" i="18"/>
  <c r="AL30" i="18"/>
  <c r="AB28" i="18"/>
  <c r="AB58" i="1"/>
  <c r="AA58" i="1" s="1"/>
  <c r="T32" i="18"/>
  <c r="AH34" i="18"/>
  <c r="Z16" i="18"/>
  <c r="AB36" i="18"/>
  <c r="P20" i="18"/>
  <c r="M47" i="1"/>
  <c r="V24" i="18"/>
  <c r="N38" i="18"/>
  <c r="V18" i="18"/>
  <c r="AB54" i="1"/>
  <c r="AA54" i="1" s="1"/>
  <c r="AD26" i="18"/>
  <c r="AB52" i="1"/>
  <c r="AA52" i="1" s="1"/>
  <c r="P6" i="18"/>
  <c r="AH14" i="18"/>
  <c r="P14" i="18"/>
  <c r="V14" i="18"/>
  <c r="AF26" i="18"/>
  <c r="AF34" i="18"/>
  <c r="AH24" i="18"/>
  <c r="P32" i="18"/>
  <c r="N24" i="18"/>
  <c r="M53" i="1"/>
  <c r="AB12" i="18"/>
  <c r="AB30" i="18"/>
  <c r="V8" i="18"/>
  <c r="R26" i="18"/>
  <c r="AH18" i="18"/>
  <c r="AB12" i="19"/>
  <c r="Y53" i="1"/>
  <c r="V35" i="19" s="1"/>
  <c r="J24" i="18"/>
  <c r="P40" i="18"/>
  <c r="J40" i="18"/>
  <c r="Z42" i="18"/>
  <c r="AF8" i="18"/>
  <c r="AH44" i="18"/>
  <c r="V44" i="18"/>
  <c r="N34" i="18"/>
  <c r="AL18" i="18"/>
  <c r="AB32" i="18"/>
  <c r="P16" i="18"/>
  <c r="M37" i="1"/>
  <c r="Z24" i="18"/>
  <c r="N16" i="18"/>
  <c r="T40" i="18"/>
  <c r="V36" i="18"/>
  <c r="V28" i="18"/>
  <c r="AB44" i="18"/>
  <c r="AH20" i="18"/>
  <c r="J44" i="18"/>
  <c r="AB14" i="18"/>
  <c r="Z34" i="18"/>
  <c r="N18" i="18"/>
  <c r="P8" i="18"/>
  <c r="J8" i="18"/>
  <c r="AB16" i="18"/>
  <c r="P24" i="18"/>
  <c r="Z22" i="18"/>
  <c r="T38" i="18"/>
  <c r="X47" i="1"/>
  <c r="X49" i="1"/>
  <c r="AB49" i="1"/>
  <c r="AA49" i="1" s="1"/>
  <c r="AB48" i="1"/>
  <c r="AA48" i="1" s="1"/>
  <c r="X48" i="1"/>
  <c r="I41" i="1"/>
  <c r="X42" i="18"/>
  <c r="L10" i="18"/>
  <c r="X34" i="18"/>
  <c r="AD42" i="18"/>
  <c r="L18" i="18"/>
  <c r="L34" i="18"/>
  <c r="X26" i="18"/>
  <c r="AD34" i="18"/>
  <c r="L26" i="18"/>
  <c r="AJ10" i="18"/>
  <c r="AJ26" i="18"/>
  <c r="R10" i="18"/>
  <c r="AD10" i="18"/>
  <c r="X18" i="18"/>
  <c r="AJ34" i="18"/>
  <c r="AD18" i="18"/>
  <c r="R42" i="18"/>
  <c r="V6" i="18"/>
  <c r="V30" i="18"/>
  <c r="V38" i="18"/>
  <c r="AJ42" i="18"/>
  <c r="R18" i="18"/>
  <c r="AL38" i="18"/>
  <c r="T22" i="18"/>
  <c r="AF22" i="18"/>
  <c r="T6" i="18"/>
  <c r="T30" i="18"/>
  <c r="Z38" i="18"/>
  <c r="T14" i="18"/>
  <c r="AL14" i="18"/>
  <c r="N14" i="18"/>
  <c r="N22" i="18"/>
  <c r="AF38" i="18"/>
  <c r="AF14" i="18"/>
  <c r="AL6" i="18"/>
  <c r="AB18" i="18"/>
  <c r="V34" i="18"/>
  <c r="AB26" i="18"/>
  <c r="V10" i="18"/>
  <c r="AB10" i="18"/>
  <c r="J26" i="18"/>
  <c r="J42" i="18"/>
  <c r="P10" i="18"/>
  <c r="AH26" i="18"/>
  <c r="J34" i="18"/>
  <c r="P26" i="18"/>
  <c r="P34" i="18"/>
  <c r="P42" i="18"/>
  <c r="V26" i="18"/>
  <c r="J10" i="18"/>
  <c r="AH10" i="18"/>
  <c r="AB44" i="1"/>
  <c r="AA44" i="1" s="1"/>
  <c r="X43" i="1"/>
  <c r="X44" i="1"/>
  <c r="AB43" i="1"/>
  <c r="AA43" i="1" s="1"/>
  <c r="X54" i="1"/>
  <c r="Y54" i="1" s="1"/>
  <c r="X55" i="1"/>
  <c r="X56" i="1"/>
  <c r="AB56" i="1"/>
  <c r="AA56" i="1" s="1"/>
  <c r="X57" i="1"/>
  <c r="AF16" i="18"/>
  <c r="N8" i="18"/>
  <c r="AL24" i="18"/>
  <c r="AL8" i="18"/>
  <c r="P30" i="18"/>
  <c r="J38" i="18"/>
  <c r="P38" i="18"/>
  <c r="AB22" i="18"/>
  <c r="AL42" i="18"/>
  <c r="AL34" i="18"/>
  <c r="T34" i="18"/>
  <c r="AL10" i="18"/>
  <c r="N30" i="18"/>
  <c r="AF30" i="18"/>
  <c r="AF6" i="18"/>
  <c r="Z6" i="18"/>
  <c r="R34" i="18"/>
  <c r="X10" i="18"/>
  <c r="P18" i="18"/>
  <c r="AB34" i="18"/>
  <c r="AB42" i="18"/>
  <c r="AH32" i="18"/>
  <c r="J16" i="18"/>
  <c r="V40" i="18"/>
  <c r="AH16" i="18"/>
  <c r="AH8" i="18"/>
  <c r="AB8" i="18"/>
  <c r="N37" i="1"/>
  <c r="AB40" i="18"/>
  <c r="AB57" i="1"/>
  <c r="AA57" i="1" s="1"/>
  <c r="X50" i="1"/>
  <c r="X51" i="1"/>
  <c r="AB50" i="1"/>
  <c r="AA50" i="1" s="1"/>
  <c r="AB51" i="1"/>
  <c r="AA51" i="1" s="1"/>
  <c r="P22" i="18"/>
  <c r="J14" i="18"/>
  <c r="AB38" i="18"/>
  <c r="AH6" i="18"/>
  <c r="J6" i="18"/>
  <c r="AH22" i="18"/>
  <c r="AB6" i="18"/>
  <c r="T8" i="18"/>
  <c r="Z32" i="18"/>
  <c r="AL40" i="18"/>
  <c r="T16" i="18"/>
  <c r="N40" i="18"/>
  <c r="AB46" i="1"/>
  <c r="AA46" i="1" s="1"/>
  <c r="AB45" i="1"/>
  <c r="AA45" i="1" s="1"/>
  <c r="X45" i="1"/>
  <c r="X46" i="1"/>
  <c r="I47" i="1"/>
  <c r="N42" i="18"/>
  <c r="Z10" i="18"/>
  <c r="N26" i="18"/>
  <c r="Z26" i="18"/>
  <c r="T10" i="18"/>
  <c r="T42" i="18"/>
  <c r="AL16" i="18"/>
  <c r="AF40" i="18"/>
  <c r="Z8" i="18"/>
  <c r="T24" i="18"/>
  <c r="Z40" i="18"/>
  <c r="J22" i="18"/>
  <c r="AH30" i="18"/>
  <c r="J30" i="18"/>
  <c r="AH38" i="18"/>
  <c r="V22" i="18"/>
  <c r="N47" i="1"/>
  <c r="AF18" i="18"/>
  <c r="AF10" i="18"/>
  <c r="Z18" i="18"/>
  <c r="Z14" i="18"/>
  <c r="AL22" i="18"/>
  <c r="N6" i="18"/>
  <c r="N41" i="1"/>
  <c r="L42" i="18"/>
  <c r="AH42" i="18"/>
  <c r="AH12" i="18"/>
  <c r="P28" i="18"/>
  <c r="P44" i="18"/>
  <c r="P36" i="18"/>
  <c r="AH36" i="18"/>
  <c r="AB20" i="18"/>
  <c r="V20" i="18"/>
  <c r="J12" i="18"/>
  <c r="X52" i="1"/>
  <c r="AF42" i="18"/>
  <c r="AL26" i="18"/>
  <c r="T26" i="18"/>
  <c r="L6" i="18"/>
  <c r="AD38" i="18"/>
  <c r="X14" i="18"/>
  <c r="R14" i="18"/>
  <c r="AJ22" i="18"/>
  <c r="AJ6" i="18"/>
  <c r="X6" i="18"/>
  <c r="R30" i="18"/>
  <c r="L30" i="18"/>
  <c r="AD6" i="18"/>
  <c r="X30" i="18"/>
  <c r="L38" i="18"/>
  <c r="AJ30" i="18"/>
  <c r="X22" i="18"/>
  <c r="AD22" i="18"/>
  <c r="R38" i="18"/>
  <c r="AD30" i="18"/>
  <c r="L14" i="18"/>
  <c r="AD14" i="18"/>
  <c r="R22" i="18"/>
  <c r="X38" i="18"/>
  <c r="AJ14" i="18"/>
  <c r="AJ38" i="18"/>
  <c r="L22" i="18"/>
  <c r="R6" i="18"/>
  <c r="L16" i="18"/>
  <c r="AJ16" i="18"/>
  <c r="AD8" i="18"/>
  <c r="X8" i="18"/>
  <c r="R40" i="18"/>
  <c r="AJ24" i="18"/>
  <c r="AD40" i="18"/>
  <c r="R24" i="18"/>
  <c r="R8" i="18"/>
  <c r="X40" i="18"/>
  <c r="X24" i="18"/>
  <c r="L40" i="18"/>
  <c r="X32" i="18"/>
  <c r="AD32" i="18"/>
  <c r="L8" i="18"/>
  <c r="AD24" i="18"/>
  <c r="AJ8" i="18"/>
  <c r="X16" i="18"/>
  <c r="AJ40" i="18"/>
  <c r="AD16" i="18"/>
  <c r="R32" i="18"/>
  <c r="AJ32" i="18"/>
  <c r="L32" i="18"/>
  <c r="L24" i="18"/>
  <c r="R16" i="18"/>
  <c r="N26" i="1"/>
  <c r="T6" i="19"/>
  <c r="I26" i="1"/>
  <c r="X26" i="1" s="1"/>
  <c r="AF16" i="19"/>
  <c r="AF46" i="19"/>
  <c r="T16" i="19"/>
  <c r="AE26" i="19"/>
  <c r="S16" i="19"/>
  <c r="AK16" i="19"/>
  <c r="M46" i="19"/>
  <c r="S6" i="19"/>
  <c r="Y46" i="19"/>
  <c r="AE36" i="19"/>
  <c r="M36" i="19"/>
  <c r="S26" i="19"/>
  <c r="AL26" i="19"/>
  <c r="AB28" i="1" l="1"/>
  <c r="AA28" i="1" s="1"/>
  <c r="Z33" i="1"/>
  <c r="X34" i="1" s="1"/>
  <c r="Y34" i="1" s="1"/>
  <c r="Z58" i="1"/>
  <c r="Y42" i="1"/>
  <c r="Q13" i="19" s="1"/>
  <c r="P12" i="19"/>
  <c r="P13" i="19"/>
  <c r="J15" i="19"/>
  <c r="W11" i="19"/>
  <c r="V33" i="19"/>
  <c r="P45" i="19"/>
  <c r="AH12" i="19"/>
  <c r="AA26" i="1"/>
  <c r="J45" i="19"/>
  <c r="AB43" i="19"/>
  <c r="V53" i="19"/>
  <c r="J43" i="19"/>
  <c r="P23" i="19"/>
  <c r="J33" i="19"/>
  <c r="AH13" i="19"/>
  <c r="J23" i="19"/>
  <c r="J13" i="19"/>
  <c r="AH23" i="19"/>
  <c r="AC54" i="1"/>
  <c r="Z41" i="1"/>
  <c r="AB34" i="1"/>
  <c r="AA33" i="1"/>
  <c r="V28" i="19" s="1"/>
  <c r="Z34" i="1"/>
  <c r="X35" i="1" s="1"/>
  <c r="AB15" i="19"/>
  <c r="V25" i="19"/>
  <c r="AI45" i="19"/>
  <c r="J35" i="19"/>
  <c r="AB33" i="19"/>
  <c r="P53" i="19"/>
  <c r="AB53" i="19"/>
  <c r="AB22" i="19"/>
  <c r="AB32" i="19"/>
  <c r="AH25" i="19"/>
  <c r="J25" i="19"/>
  <c r="V23" i="19"/>
  <c r="AH43" i="19"/>
  <c r="Q25" i="19"/>
  <c r="AB45" i="19"/>
  <c r="P33" i="19"/>
  <c r="J53" i="19"/>
  <c r="P43" i="19"/>
  <c r="AB23" i="19"/>
  <c r="AC41" i="1"/>
  <c r="V43" i="19"/>
  <c r="U48" i="19"/>
  <c r="AH15" i="19"/>
  <c r="AB13" i="19"/>
  <c r="V13" i="19"/>
  <c r="P25" i="19"/>
  <c r="AH55" i="19"/>
  <c r="AH33" i="19"/>
  <c r="AH53" i="19"/>
  <c r="Y30" i="1"/>
  <c r="Z30" i="1"/>
  <c r="X31" i="1" s="1"/>
  <c r="AB31" i="1"/>
  <c r="AC25" i="19"/>
  <c r="V45" i="19"/>
  <c r="AH45" i="19"/>
  <c r="P35" i="19"/>
  <c r="AA8" i="19"/>
  <c r="U8" i="19"/>
  <c r="AA28" i="19"/>
  <c r="AC53" i="1"/>
  <c r="V22" i="19"/>
  <c r="V55" i="19"/>
  <c r="P55" i="19"/>
  <c r="J55" i="19"/>
  <c r="AB35" i="19"/>
  <c r="Y16" i="19"/>
  <c r="AK26" i="19"/>
  <c r="M26" i="19"/>
  <c r="AK46" i="19"/>
  <c r="Z26" i="1"/>
  <c r="Y26" i="1"/>
  <c r="AB29" i="1"/>
  <c r="AA29" i="1" s="1"/>
  <c r="AA27" i="1"/>
  <c r="Z47" i="1"/>
  <c r="Y47" i="1"/>
  <c r="W15" i="19"/>
  <c r="AC35" i="19"/>
  <c r="AG38" i="19"/>
  <c r="S46" i="19"/>
  <c r="Y26" i="19"/>
  <c r="S36" i="19"/>
  <c r="Y6" i="19"/>
  <c r="Y36" i="19"/>
  <c r="M6" i="19"/>
  <c r="Q55" i="19"/>
  <c r="K25" i="19"/>
  <c r="Q35" i="19"/>
  <c r="O38" i="19"/>
  <c r="U18" i="19"/>
  <c r="O8" i="19"/>
  <c r="AM48" i="19"/>
  <c r="AI15" i="19"/>
  <c r="AM8" i="19"/>
  <c r="AM18" i="19"/>
  <c r="O28" i="19"/>
  <c r="AK6" i="19"/>
  <c r="AE16" i="19"/>
  <c r="AK36" i="19"/>
  <c r="AE46" i="19"/>
  <c r="M16" i="19"/>
  <c r="AE6" i="19"/>
  <c r="Z54" i="1"/>
  <c r="W35" i="19"/>
  <c r="AC15" i="19"/>
  <c r="W25" i="19"/>
  <c r="AG48" i="19"/>
  <c r="O18" i="19"/>
  <c r="AA38" i="19"/>
  <c r="AA18" i="19"/>
  <c r="AB55" i="19"/>
  <c r="V15" i="19"/>
  <c r="P15" i="19"/>
  <c r="AH35" i="19"/>
  <c r="AB25" i="19"/>
  <c r="J12" i="19"/>
  <c r="P52" i="19"/>
  <c r="V52" i="19"/>
  <c r="J22" i="19"/>
  <c r="V32" i="19"/>
  <c r="J42" i="19"/>
  <c r="AH32" i="19"/>
  <c r="AH42" i="19"/>
  <c r="V12" i="19"/>
  <c r="AH52" i="19"/>
  <c r="J52" i="19"/>
  <c r="P42" i="19"/>
  <c r="AB52" i="19"/>
  <c r="AH22" i="19"/>
  <c r="AB42" i="19"/>
  <c r="V42" i="19"/>
  <c r="P32" i="19"/>
  <c r="J32" i="19"/>
  <c r="P22" i="19"/>
  <c r="Y49" i="1"/>
  <c r="Z49" i="1"/>
  <c r="Z46" i="1"/>
  <c r="Y46" i="1"/>
  <c r="Y50" i="1"/>
  <c r="Z50" i="1"/>
  <c r="V30" i="19"/>
  <c r="Y45" i="1"/>
  <c r="Z45" i="1"/>
  <c r="Z56" i="1"/>
  <c r="Y56" i="1"/>
  <c r="Y44" i="1"/>
  <c r="Z44" i="1"/>
  <c r="O30" i="19"/>
  <c r="AM10" i="19"/>
  <c r="AA10" i="19"/>
  <c r="AA30" i="19"/>
  <c r="AA20" i="19"/>
  <c r="AM50" i="19"/>
  <c r="AM20" i="19"/>
  <c r="U40" i="19"/>
  <c r="AG40" i="19"/>
  <c r="AG10" i="19"/>
  <c r="U10" i="19"/>
  <c r="O20" i="19"/>
  <c r="O50" i="19"/>
  <c r="AG50" i="19"/>
  <c r="AG30" i="19"/>
  <c r="AM40" i="19"/>
  <c r="U30" i="19"/>
  <c r="U50" i="19"/>
  <c r="O10" i="19"/>
  <c r="O40" i="19"/>
  <c r="AA50" i="19"/>
  <c r="AM30" i="19"/>
  <c r="U20" i="19"/>
  <c r="AA40" i="19"/>
  <c r="AG20" i="19"/>
  <c r="Z48" i="1"/>
  <c r="Y48" i="1"/>
  <c r="AC14" i="19" s="1"/>
  <c r="AA55" i="19"/>
  <c r="O55" i="19"/>
  <c r="AA25" i="19"/>
  <c r="O25" i="19"/>
  <c r="AA45" i="19"/>
  <c r="O15" i="19"/>
  <c r="AG55" i="19"/>
  <c r="AA15" i="19"/>
  <c r="AM35" i="19"/>
  <c r="U25" i="19"/>
  <c r="U45" i="19"/>
  <c r="U15" i="19"/>
  <c r="AM55" i="19"/>
  <c r="AM45" i="19"/>
  <c r="AG45" i="19"/>
  <c r="O35" i="19"/>
  <c r="U55" i="19"/>
  <c r="AG25" i="19"/>
  <c r="AC58" i="1"/>
  <c r="O45" i="19"/>
  <c r="AA35" i="19"/>
  <c r="AG15" i="19"/>
  <c r="AG35" i="19"/>
  <c r="U35" i="19"/>
  <c r="AM25" i="19"/>
  <c r="AM15" i="19"/>
  <c r="Y55" i="1"/>
  <c r="Z55" i="1"/>
  <c r="Y43" i="1"/>
  <c r="Z43" i="1"/>
  <c r="T26" i="19"/>
  <c r="Z16" i="19"/>
  <c r="AL36" i="19"/>
  <c r="Z52" i="1"/>
  <c r="Y52" i="1"/>
  <c r="AM38" i="19"/>
  <c r="AG28" i="19"/>
  <c r="AM28" i="19"/>
  <c r="AA48" i="19"/>
  <c r="AG18" i="19"/>
  <c r="U28" i="19"/>
  <c r="U38" i="19"/>
  <c r="Z51" i="1"/>
  <c r="Y51" i="1"/>
  <c r="Z57" i="1"/>
  <c r="Y57" i="1"/>
  <c r="K45" i="19"/>
  <c r="AI35" i="19"/>
  <c r="AC45" i="19"/>
  <c r="W45" i="19"/>
  <c r="AC55" i="19"/>
  <c r="AI55" i="19"/>
  <c r="K35" i="19"/>
  <c r="K15" i="19"/>
  <c r="K55" i="19"/>
  <c r="W55" i="19"/>
  <c r="AI25" i="19"/>
  <c r="Q45" i="19"/>
  <c r="Q15" i="19"/>
  <c r="T7" i="19"/>
  <c r="N16" i="19"/>
  <c r="Z6" i="19"/>
  <c r="N36" i="19"/>
  <c r="N46" i="19"/>
  <c r="AF36" i="19"/>
  <c r="K21" i="19"/>
  <c r="Q51" i="19"/>
  <c r="AC21" i="19"/>
  <c r="W51" i="19"/>
  <c r="AI31" i="19"/>
  <c r="Q41" i="19"/>
  <c r="AI41" i="19"/>
  <c r="AL6" i="19"/>
  <c r="T36" i="19"/>
  <c r="AL46" i="19"/>
  <c r="Z26" i="19"/>
  <c r="N26" i="19"/>
  <c r="AL16" i="19"/>
  <c r="Z46" i="19"/>
  <c r="T46" i="19"/>
  <c r="N6" i="19"/>
  <c r="AF26" i="19"/>
  <c r="Z36" i="19"/>
  <c r="AF6" i="19"/>
  <c r="AH50" i="19"/>
  <c r="AB50" i="19"/>
  <c r="AC11" i="19" l="1"/>
  <c r="AC23" i="19"/>
  <c r="AI21" i="19"/>
  <c r="Q31" i="19"/>
  <c r="K41" i="19"/>
  <c r="Q21" i="19"/>
  <c r="AI11" i="19"/>
  <c r="W41" i="19"/>
  <c r="K51" i="19"/>
  <c r="W21" i="19"/>
  <c r="AC41" i="19"/>
  <c r="AC53" i="19"/>
  <c r="AI53" i="19"/>
  <c r="K23" i="19"/>
  <c r="K43" i="19"/>
  <c r="Q33" i="19"/>
  <c r="AC13" i="19"/>
  <c r="AC43" i="19"/>
  <c r="W53" i="19"/>
  <c r="K11" i="19"/>
  <c r="Q11" i="19"/>
  <c r="W31" i="19"/>
  <c r="AC51" i="19"/>
  <c r="K31" i="19"/>
  <c r="AC31" i="19"/>
  <c r="AI51" i="19"/>
  <c r="W33" i="19"/>
  <c r="Q43" i="19"/>
  <c r="W13" i="19"/>
  <c r="AI13" i="19"/>
  <c r="K13" i="19"/>
  <c r="AI33" i="19"/>
  <c r="W43" i="19"/>
  <c r="K33" i="19"/>
  <c r="AC42" i="1"/>
  <c r="AI23" i="19"/>
  <c r="Q53" i="19"/>
  <c r="Q23" i="19"/>
  <c r="W23" i="19"/>
  <c r="AI43" i="19"/>
  <c r="AC33" i="19"/>
  <c r="K53" i="19"/>
  <c r="X27" i="1"/>
  <c r="Y27" i="1" s="1"/>
  <c r="AI46" i="19" s="1"/>
  <c r="X28" i="1"/>
  <c r="AC26" i="1"/>
  <c r="J16" i="19"/>
  <c r="P50" i="19"/>
  <c r="AB30" i="19"/>
  <c r="J38" i="19"/>
  <c r="V46" i="19"/>
  <c r="J40" i="19"/>
  <c r="AB10" i="19"/>
  <c r="P38" i="19"/>
  <c r="V18" i="19"/>
  <c r="AH38" i="19"/>
  <c r="J18" i="19"/>
  <c r="AC33" i="1"/>
  <c r="P8" i="19"/>
  <c r="J48" i="19"/>
  <c r="V38" i="19"/>
  <c r="AH48" i="19"/>
  <c r="J8" i="19"/>
  <c r="AB28" i="19"/>
  <c r="Z35" i="1"/>
  <c r="X36" i="1" s="1"/>
  <c r="Y35" i="1"/>
  <c r="AB48" i="19"/>
  <c r="P48" i="19"/>
  <c r="AB8" i="19"/>
  <c r="V8" i="19"/>
  <c r="J28" i="19"/>
  <c r="AH8" i="19"/>
  <c r="AH18" i="19"/>
  <c r="AB18" i="19"/>
  <c r="P28" i="19"/>
  <c r="V48" i="19"/>
  <c r="AH28" i="19"/>
  <c r="P18" i="19"/>
  <c r="AB38" i="19"/>
  <c r="O48" i="19"/>
  <c r="AG8" i="19"/>
  <c r="AA34" i="1"/>
  <c r="AI28" i="19" s="1"/>
  <c r="AB35" i="1"/>
  <c r="AB40" i="19"/>
  <c r="V16" i="19"/>
  <c r="P40" i="19"/>
  <c r="AH30" i="19"/>
  <c r="J10" i="19"/>
  <c r="V50" i="19"/>
  <c r="AH20" i="19"/>
  <c r="AA31" i="1"/>
  <c r="AB32" i="1"/>
  <c r="AA32" i="1" s="1"/>
  <c r="Y31" i="1"/>
  <c r="Z31" i="1"/>
  <c r="X32" i="1" s="1"/>
  <c r="AC30" i="1"/>
  <c r="P17" i="19"/>
  <c r="V17" i="19"/>
  <c r="V47" i="19"/>
  <c r="AH17" i="19"/>
  <c r="J17" i="19"/>
  <c r="AB47" i="19"/>
  <c r="P47" i="19"/>
  <c r="J47" i="19"/>
  <c r="J7" i="19"/>
  <c r="J27" i="19"/>
  <c r="V27" i="19"/>
  <c r="AB17" i="19"/>
  <c r="P7" i="19"/>
  <c r="AH37" i="19"/>
  <c r="AH7" i="19"/>
  <c r="V37" i="19"/>
  <c r="J37" i="19"/>
  <c r="AB27" i="19"/>
  <c r="AH27" i="19"/>
  <c r="AB7" i="19"/>
  <c r="AH47" i="19"/>
  <c r="AB37" i="19"/>
  <c r="V7" i="19"/>
  <c r="P37" i="19"/>
  <c r="P27" i="19"/>
  <c r="V40" i="19"/>
  <c r="J50" i="19"/>
  <c r="J30" i="19"/>
  <c r="P20" i="19"/>
  <c r="AH10" i="19"/>
  <c r="J54" i="19"/>
  <c r="V24" i="19"/>
  <c r="AH34" i="19"/>
  <c r="V14" i="19"/>
  <c r="AB34" i="19"/>
  <c r="AH14" i="19"/>
  <c r="AH44" i="19"/>
  <c r="P34" i="19"/>
  <c r="J44" i="19"/>
  <c r="V34" i="19"/>
  <c r="J24" i="19"/>
  <c r="P44" i="19"/>
  <c r="AC47" i="1"/>
  <c r="P24" i="19"/>
  <c r="P14" i="19"/>
  <c r="AB24" i="19"/>
  <c r="V44" i="19"/>
  <c r="V54" i="19"/>
  <c r="P54" i="19"/>
  <c r="J34" i="19"/>
  <c r="AB54" i="19"/>
  <c r="AH24" i="19"/>
  <c r="AB44" i="19"/>
  <c r="AH54" i="19"/>
  <c r="AB14" i="19"/>
  <c r="J14" i="19"/>
  <c r="P30" i="19"/>
  <c r="V10" i="19"/>
  <c r="V20" i="19"/>
  <c r="AH40" i="19"/>
  <c r="J20" i="19"/>
  <c r="P10" i="19"/>
  <c r="AB20" i="19"/>
  <c r="AD41" i="19"/>
  <c r="X11" i="19"/>
  <c r="AJ21" i="19"/>
  <c r="L31" i="19"/>
  <c r="AJ51" i="19"/>
  <c r="AJ31" i="19"/>
  <c r="L11" i="19"/>
  <c r="AJ41" i="19"/>
  <c r="AJ11" i="19"/>
  <c r="X41" i="19"/>
  <c r="L21" i="19"/>
  <c r="L51" i="19"/>
  <c r="R31" i="19"/>
  <c r="R41" i="19"/>
  <c r="AD11" i="19"/>
  <c r="AD21" i="19"/>
  <c r="R11" i="19"/>
  <c r="R21" i="19"/>
  <c r="X31" i="19"/>
  <c r="X51" i="19"/>
  <c r="L41" i="19"/>
  <c r="R51" i="19"/>
  <c r="X21" i="19"/>
  <c r="AD51" i="19"/>
  <c r="AD31" i="19"/>
  <c r="AC50" i="19"/>
  <c r="K40" i="19"/>
  <c r="K10" i="19"/>
  <c r="AI20" i="19"/>
  <c r="K20" i="19"/>
  <c r="AI30" i="19"/>
  <c r="AC40" i="19"/>
  <c r="W50" i="19"/>
  <c r="Q40" i="19"/>
  <c r="AI40" i="19"/>
  <c r="AC20" i="19"/>
  <c r="W10" i="19"/>
  <c r="W20" i="19"/>
  <c r="K50" i="19"/>
  <c r="AC30" i="19"/>
  <c r="Q10" i="19"/>
  <c r="W40" i="19"/>
  <c r="W30" i="19"/>
  <c r="AI50" i="19"/>
  <c r="Q30" i="19"/>
  <c r="AC10" i="19"/>
  <c r="AI10" i="19"/>
  <c r="Q50" i="19"/>
  <c r="Q20" i="19"/>
  <c r="K30" i="19"/>
  <c r="AL55" i="19"/>
  <c r="Z55" i="19"/>
  <c r="AL25" i="19"/>
  <c r="Z25" i="19"/>
  <c r="AL45" i="19"/>
  <c r="AC57" i="1"/>
  <c r="Z15" i="19"/>
  <c r="N45" i="19"/>
  <c r="N35" i="19"/>
  <c r="T55" i="19"/>
  <c r="N15" i="19"/>
  <c r="Z45" i="19"/>
  <c r="T35" i="19"/>
  <c r="AL35" i="19"/>
  <c r="T25" i="19"/>
  <c r="AF55" i="19"/>
  <c r="Z35" i="19"/>
  <c r="AF25" i="19"/>
  <c r="N55" i="19"/>
  <c r="N25" i="19"/>
  <c r="T15" i="19"/>
  <c r="AF35" i="19"/>
  <c r="T45" i="19"/>
  <c r="AL15" i="19"/>
  <c r="AF45" i="19"/>
  <c r="AF15" i="19"/>
  <c r="AM54" i="19"/>
  <c r="O24" i="19"/>
  <c r="AA24" i="19"/>
  <c r="AA34" i="19"/>
  <c r="AG24" i="19"/>
  <c r="U54" i="19"/>
  <c r="O44" i="19"/>
  <c r="AG44" i="19"/>
  <c r="AA44" i="19"/>
  <c r="AC52" i="1"/>
  <c r="AM34" i="19"/>
  <c r="AG34" i="19"/>
  <c r="U34" i="19"/>
  <c r="O34" i="19"/>
  <c r="U24" i="19"/>
  <c r="AM44" i="19"/>
  <c r="AM14" i="19"/>
  <c r="AG54" i="19"/>
  <c r="AA54" i="19"/>
  <c r="O54" i="19"/>
  <c r="U14" i="19"/>
  <c r="AA14" i="19"/>
  <c r="U44" i="19"/>
  <c r="AM24" i="19"/>
  <c r="O14" i="19"/>
  <c r="AG14" i="19"/>
  <c r="AG9" i="19"/>
  <c r="AG39" i="19"/>
  <c r="U29" i="19"/>
  <c r="AM29" i="19"/>
  <c r="U19" i="19"/>
  <c r="AM19" i="19"/>
  <c r="O9" i="19"/>
  <c r="U39" i="19"/>
  <c r="U49" i="19"/>
  <c r="O49" i="19"/>
  <c r="O29" i="19"/>
  <c r="U9" i="19"/>
  <c r="AG49" i="19"/>
  <c r="AA29" i="19"/>
  <c r="AA9" i="19"/>
  <c r="O39" i="19"/>
  <c r="AA19" i="19"/>
  <c r="AG19" i="19"/>
  <c r="AA49" i="19"/>
  <c r="AM9" i="19"/>
  <c r="AM49" i="19"/>
  <c r="AA39" i="19"/>
  <c r="O19" i="19"/>
  <c r="AG29" i="19"/>
  <c r="AM39" i="19"/>
  <c r="AK55" i="19"/>
  <c r="M15" i="19"/>
  <c r="AE45" i="19"/>
  <c r="AC56" i="1"/>
  <c r="AE15" i="19"/>
  <c r="S35" i="19"/>
  <c r="S15" i="19"/>
  <c r="AE35" i="19"/>
  <c r="AK15" i="19"/>
  <c r="AE55" i="19"/>
  <c r="M35" i="19"/>
  <c r="S45" i="19"/>
  <c r="Y55" i="19"/>
  <c r="AK45" i="19"/>
  <c r="M25" i="19"/>
  <c r="AE25" i="19"/>
  <c r="Y25" i="19"/>
  <c r="Y15" i="19"/>
  <c r="M55" i="19"/>
  <c r="S25" i="19"/>
  <c r="Y35" i="19"/>
  <c r="AK35" i="19"/>
  <c r="S55" i="19"/>
  <c r="Y45" i="19"/>
  <c r="M45" i="19"/>
  <c r="AK25" i="19"/>
  <c r="N8" i="19"/>
  <c r="Z18" i="19"/>
  <c r="Z48" i="19"/>
  <c r="AL38" i="19"/>
  <c r="Z8" i="19"/>
  <c r="Z38" i="19"/>
  <c r="AF38" i="19"/>
  <c r="AL8" i="19"/>
  <c r="AF28" i="19"/>
  <c r="T8" i="19"/>
  <c r="N18" i="19"/>
  <c r="T18" i="19"/>
  <c r="Z28" i="19"/>
  <c r="AL48" i="19"/>
  <c r="AF18" i="19"/>
  <c r="T38" i="19"/>
  <c r="AF8" i="19"/>
  <c r="AL18" i="19"/>
  <c r="T48" i="19"/>
  <c r="AL28" i="19"/>
  <c r="N48" i="19"/>
  <c r="AF48" i="19"/>
  <c r="N38" i="19"/>
  <c r="T28" i="19"/>
  <c r="N28" i="19"/>
  <c r="Y21" i="19"/>
  <c r="M51" i="19"/>
  <c r="Y11" i="19"/>
  <c r="AE51" i="19"/>
  <c r="Y31" i="19"/>
  <c r="Y41" i="19"/>
  <c r="M31" i="19"/>
  <c r="AE41" i="19"/>
  <c r="M21" i="19"/>
  <c r="S11" i="19"/>
  <c r="M41" i="19"/>
  <c r="Y51" i="19"/>
  <c r="AE21" i="19"/>
  <c r="AE31" i="19"/>
  <c r="S21" i="19"/>
  <c r="AK41" i="19"/>
  <c r="S51" i="19"/>
  <c r="M11" i="19"/>
  <c r="S31" i="19"/>
  <c r="AK51" i="19"/>
  <c r="S41" i="19"/>
  <c r="AK21" i="19"/>
  <c r="AE11" i="19"/>
  <c r="AK11" i="19"/>
  <c r="AK31" i="19"/>
  <c r="AJ14" i="19"/>
  <c r="AD24" i="19"/>
  <c r="AJ34" i="19"/>
  <c r="R24" i="19"/>
  <c r="AD14" i="19"/>
  <c r="X14" i="19"/>
  <c r="L24" i="19"/>
  <c r="AD44" i="19"/>
  <c r="R54" i="19"/>
  <c r="X44" i="19"/>
  <c r="L44" i="19"/>
  <c r="R34" i="19"/>
  <c r="X54" i="19"/>
  <c r="L34" i="19"/>
  <c r="AC49" i="1"/>
  <c r="R44" i="19"/>
  <c r="AJ54" i="19"/>
  <c r="X24" i="19"/>
  <c r="AD54" i="19"/>
  <c r="L54" i="19"/>
  <c r="AJ24" i="19"/>
  <c r="AJ44" i="19"/>
  <c r="X34" i="19"/>
  <c r="R14" i="19"/>
  <c r="L14" i="19"/>
  <c r="AD34" i="19"/>
  <c r="AF39" i="19"/>
  <c r="AF19" i="19"/>
  <c r="AF49" i="19"/>
  <c r="Z9" i="19"/>
  <c r="T9" i="19"/>
  <c r="T49" i="19"/>
  <c r="T29" i="19"/>
  <c r="Z19" i="19"/>
  <c r="AF9" i="19"/>
  <c r="N19" i="19"/>
  <c r="N9" i="19"/>
  <c r="AF29" i="19"/>
  <c r="N29" i="19"/>
  <c r="AL9" i="19"/>
  <c r="Z39" i="19"/>
  <c r="AL19" i="19"/>
  <c r="N49" i="19"/>
  <c r="T19" i="19"/>
  <c r="N39" i="19"/>
  <c r="Z49" i="19"/>
  <c r="AL49" i="19"/>
  <c r="T39" i="19"/>
  <c r="AL39" i="19"/>
  <c r="Z29" i="19"/>
  <c r="AL29" i="19"/>
  <c r="X33" i="19"/>
  <c r="AC43" i="1"/>
  <c r="AD53" i="19"/>
  <c r="AJ53" i="19"/>
  <c r="X53" i="19"/>
  <c r="AD23" i="19"/>
  <c r="X13" i="19"/>
  <c r="R33" i="19"/>
  <c r="R13" i="19"/>
  <c r="AD13" i="19"/>
  <c r="AJ23" i="19"/>
  <c r="AD43" i="19"/>
  <c r="R43" i="19"/>
  <c r="L33" i="19"/>
  <c r="L53" i="19"/>
  <c r="R53" i="19"/>
  <c r="AJ43" i="19"/>
  <c r="AJ13" i="19"/>
  <c r="L13" i="19"/>
  <c r="AD33" i="19"/>
  <c r="R23" i="19"/>
  <c r="AJ33" i="19"/>
  <c r="L43" i="19"/>
  <c r="L23" i="19"/>
  <c r="X23" i="19"/>
  <c r="X43" i="19"/>
  <c r="Y13" i="19"/>
  <c r="S43" i="19"/>
  <c r="AE43" i="19"/>
  <c r="AK23" i="19"/>
  <c r="S13" i="19"/>
  <c r="S53" i="19"/>
  <c r="AE23" i="19"/>
  <c r="Y43" i="19"/>
  <c r="AK43" i="19"/>
  <c r="S33" i="19"/>
  <c r="M33" i="19"/>
  <c r="Y33" i="19"/>
  <c r="AK33" i="19"/>
  <c r="M43" i="19"/>
  <c r="Y23" i="19"/>
  <c r="AK53" i="19"/>
  <c r="AE13" i="19"/>
  <c r="AE53" i="19"/>
  <c r="Y53" i="19"/>
  <c r="S23" i="19"/>
  <c r="M13" i="19"/>
  <c r="AC44" i="1"/>
  <c r="AK13" i="19"/>
  <c r="AE33" i="19"/>
  <c r="M23" i="19"/>
  <c r="M53" i="19"/>
  <c r="S24" i="19"/>
  <c r="Y34" i="19"/>
  <c r="AK34" i="19"/>
  <c r="S44" i="19"/>
  <c r="Y44" i="19"/>
  <c r="AE44" i="19"/>
  <c r="S14" i="19"/>
  <c r="AE54" i="19"/>
  <c r="M44" i="19"/>
  <c r="AK14" i="19"/>
  <c r="M54" i="19"/>
  <c r="S34" i="19"/>
  <c r="AE34" i="19"/>
  <c r="AK54" i="19"/>
  <c r="Y24" i="19"/>
  <c r="S54" i="19"/>
  <c r="AC50" i="1"/>
  <c r="Y54" i="19"/>
  <c r="M34" i="19"/>
  <c r="AE24" i="19"/>
  <c r="AE14" i="19"/>
  <c r="AK44" i="19"/>
  <c r="AK24" i="19"/>
  <c r="M24" i="19"/>
  <c r="M14" i="19"/>
  <c r="Y14" i="19"/>
  <c r="Z17" i="19"/>
  <c r="Z47" i="19"/>
  <c r="N17" i="19"/>
  <c r="T27" i="19"/>
  <c r="AL7" i="19"/>
  <c r="N7" i="19"/>
  <c r="AL37" i="19"/>
  <c r="AF27" i="19"/>
  <c r="T37" i="19"/>
  <c r="AL17" i="19"/>
  <c r="Z7" i="19"/>
  <c r="T17" i="19"/>
  <c r="N37" i="19"/>
  <c r="AF37" i="19"/>
  <c r="N47" i="19"/>
  <c r="AF17" i="19"/>
  <c r="AF47" i="19"/>
  <c r="N27" i="19"/>
  <c r="AL47" i="19"/>
  <c r="T47" i="19"/>
  <c r="AL27" i="19"/>
  <c r="AF7" i="19"/>
  <c r="Z27" i="19"/>
  <c r="Z37" i="19"/>
  <c r="AJ35" i="19"/>
  <c r="X15" i="19"/>
  <c r="L15" i="19"/>
  <c r="X35" i="19"/>
  <c r="AJ45" i="19"/>
  <c r="AJ15" i="19"/>
  <c r="L35" i="19"/>
  <c r="R35" i="19"/>
  <c r="X45" i="19"/>
  <c r="L45" i="19"/>
  <c r="AD35" i="19"/>
  <c r="AJ55" i="19"/>
  <c r="L25" i="19"/>
  <c r="L55" i="19"/>
  <c r="R15" i="19"/>
  <c r="AJ25" i="19"/>
  <c r="R55" i="19"/>
  <c r="AD55" i="19"/>
  <c r="AD25" i="19"/>
  <c r="X55" i="19"/>
  <c r="R45" i="19"/>
  <c r="R25" i="19"/>
  <c r="AC55" i="1"/>
  <c r="X25" i="19"/>
  <c r="AD45" i="19"/>
  <c r="AD15" i="19"/>
  <c r="Z40" i="19"/>
  <c r="T20" i="19"/>
  <c r="T50" i="19"/>
  <c r="AF30" i="19"/>
  <c r="Z10" i="19"/>
  <c r="AL50" i="19"/>
  <c r="AL10" i="19"/>
  <c r="N30" i="19"/>
  <c r="T40" i="19"/>
  <c r="AL20" i="19"/>
  <c r="N40" i="19"/>
  <c r="Z20" i="19"/>
  <c r="AF40" i="19"/>
  <c r="AF20" i="19"/>
  <c r="T30" i="19"/>
  <c r="T10" i="19"/>
  <c r="N50" i="19"/>
  <c r="Z30" i="19"/>
  <c r="AF50" i="19"/>
  <c r="AF10" i="19"/>
  <c r="AL40" i="19"/>
  <c r="N20" i="19"/>
  <c r="N10" i="19"/>
  <c r="Z50" i="19"/>
  <c r="AL30" i="19"/>
  <c r="AF21" i="19"/>
  <c r="Z51" i="19"/>
  <c r="T51" i="19"/>
  <c r="N11" i="19"/>
  <c r="AL11" i="19"/>
  <c r="Z11" i="19"/>
  <c r="Z21" i="19"/>
  <c r="AL31" i="19"/>
  <c r="T21" i="19"/>
  <c r="Z41" i="19"/>
  <c r="N41" i="19"/>
  <c r="N31" i="19"/>
  <c r="N51" i="19"/>
  <c r="AF51" i="19"/>
  <c r="Z31" i="19"/>
  <c r="T41" i="19"/>
  <c r="AL51" i="19"/>
  <c r="AF11" i="19"/>
  <c r="AF41" i="19"/>
  <c r="AL41" i="19"/>
  <c r="AF31" i="19"/>
  <c r="AL21" i="19"/>
  <c r="N21" i="19"/>
  <c r="T31" i="19"/>
  <c r="T11" i="19"/>
  <c r="Z43" i="19"/>
  <c r="AL33" i="19"/>
  <c r="AF13" i="19"/>
  <c r="T43" i="19"/>
  <c r="N23" i="19"/>
  <c r="Z13" i="19"/>
  <c r="T53" i="19"/>
  <c r="AL43" i="19"/>
  <c r="AF53" i="19"/>
  <c r="AL53" i="19"/>
  <c r="AF43" i="19"/>
  <c r="AC45" i="1"/>
  <c r="Z23" i="19"/>
  <c r="T33" i="19"/>
  <c r="T23" i="19"/>
  <c r="N33" i="19"/>
  <c r="AL13" i="19"/>
  <c r="Z33" i="19"/>
  <c r="N13" i="19"/>
  <c r="AF23" i="19"/>
  <c r="N53" i="19"/>
  <c r="AF33" i="19"/>
  <c r="T13" i="19"/>
  <c r="N43" i="19"/>
  <c r="AL23" i="19"/>
  <c r="Z53" i="19"/>
  <c r="M20" i="19"/>
  <c r="M10" i="19"/>
  <c r="Y40" i="19"/>
  <c r="M30" i="19"/>
  <c r="S10" i="19"/>
  <c r="AE10" i="19"/>
  <c r="AK10" i="19"/>
  <c r="Y10" i="19"/>
  <c r="Y50" i="19"/>
  <c r="M50" i="19"/>
  <c r="Y20" i="19"/>
  <c r="AK30" i="19"/>
  <c r="AE50" i="19"/>
  <c r="S30" i="19"/>
  <c r="AK40" i="19"/>
  <c r="M40" i="19"/>
  <c r="AE20" i="19"/>
  <c r="AK20" i="19"/>
  <c r="S50" i="19"/>
  <c r="AE40" i="19"/>
  <c r="AK50" i="19"/>
  <c r="S40" i="19"/>
  <c r="Y30" i="19"/>
  <c r="S20" i="19"/>
  <c r="AE30" i="19"/>
  <c r="AA31" i="19"/>
  <c r="AA21" i="19"/>
  <c r="U41" i="19"/>
  <c r="AA11" i="19"/>
  <c r="AM11" i="19"/>
  <c r="AM51" i="19"/>
  <c r="AM31" i="19"/>
  <c r="AA51" i="19"/>
  <c r="AG41" i="19"/>
  <c r="O31" i="19"/>
  <c r="AG31" i="19"/>
  <c r="U21" i="19"/>
  <c r="AG21" i="19"/>
  <c r="U11" i="19"/>
  <c r="O51" i="19"/>
  <c r="AM41" i="19"/>
  <c r="O41" i="19"/>
  <c r="O21" i="19"/>
  <c r="AG11" i="19"/>
  <c r="AA41" i="19"/>
  <c r="U31" i="19"/>
  <c r="O11" i="19"/>
  <c r="AM21" i="19"/>
  <c r="AG51" i="19"/>
  <c r="U51" i="19"/>
  <c r="AL34" i="19"/>
  <c r="T44" i="19"/>
  <c r="N24" i="19"/>
  <c r="Z24" i="19"/>
  <c r="Z14" i="19"/>
  <c r="AL54" i="19"/>
  <c r="AC51" i="1"/>
  <c r="AF44" i="19"/>
  <c r="AL44" i="19"/>
  <c r="N54" i="19"/>
  <c r="Z54" i="19"/>
  <c r="AF54" i="19"/>
  <c r="N14" i="19"/>
  <c r="N34" i="19"/>
  <c r="T34" i="19"/>
  <c r="T54" i="19"/>
  <c r="N44" i="19"/>
  <c r="AF24" i="19"/>
  <c r="T24" i="19"/>
  <c r="AF14" i="19"/>
  <c r="AF34" i="19"/>
  <c r="AL24" i="19"/>
  <c r="AL14" i="19"/>
  <c r="Z34" i="19"/>
  <c r="Z44" i="19"/>
  <c r="T14" i="19"/>
  <c r="AB41" i="19"/>
  <c r="J51" i="19"/>
  <c r="J21" i="19"/>
  <c r="P11" i="19"/>
  <c r="V41" i="19"/>
  <c r="P51" i="19"/>
  <c r="V11" i="19"/>
  <c r="AH11" i="19"/>
  <c r="P31" i="19"/>
  <c r="V21" i="19"/>
  <c r="AB21" i="19"/>
  <c r="V51" i="19"/>
  <c r="J31" i="19"/>
  <c r="AH31" i="19"/>
  <c r="AB11" i="19"/>
  <c r="J11" i="19"/>
  <c r="V31" i="19"/>
  <c r="AH21" i="19"/>
  <c r="AB31" i="19"/>
  <c r="P21" i="19"/>
  <c r="AB51" i="19"/>
  <c r="AH51" i="19"/>
  <c r="J41" i="19"/>
  <c r="AH41" i="19"/>
  <c r="P41" i="19"/>
  <c r="AG36" i="19"/>
  <c r="AM6" i="19"/>
  <c r="AA46" i="19"/>
  <c r="U36" i="19"/>
  <c r="O46" i="19"/>
  <c r="U6" i="19"/>
  <c r="O16" i="19"/>
  <c r="AM36" i="19"/>
  <c r="O6" i="19"/>
  <c r="AM46" i="19"/>
  <c r="U26" i="19"/>
  <c r="AM16" i="19"/>
  <c r="AG26" i="19"/>
  <c r="AA6" i="19"/>
  <c r="AG46" i="19"/>
  <c r="AG6" i="19"/>
  <c r="AA36" i="19"/>
  <c r="U46" i="19"/>
  <c r="U16" i="19"/>
  <c r="O26" i="19"/>
  <c r="AA16" i="19"/>
  <c r="AM26" i="19"/>
  <c r="O36" i="19"/>
  <c r="AG16" i="19"/>
  <c r="AA26" i="19"/>
  <c r="AI54" i="19"/>
  <c r="AC48" i="1"/>
  <c r="K14" i="19"/>
  <c r="W14" i="19"/>
  <c r="AI24" i="19"/>
  <c r="W24" i="19"/>
  <c r="W44" i="19"/>
  <c r="AI14" i="19"/>
  <c r="W34" i="19"/>
  <c r="K34" i="19"/>
  <c r="Q54" i="19"/>
  <c r="K44" i="19"/>
  <c r="AI34" i="19"/>
  <c r="AC34" i="19"/>
  <c r="Q34" i="19"/>
  <c r="Q44" i="19"/>
  <c r="AC44" i="19"/>
  <c r="W54" i="19"/>
  <c r="AI44" i="19"/>
  <c r="AC24" i="19"/>
  <c r="K54" i="19"/>
  <c r="AC54" i="19"/>
  <c r="Q24" i="19"/>
  <c r="K24" i="19"/>
  <c r="Q14" i="19"/>
  <c r="AJ40" i="19"/>
  <c r="R40" i="19"/>
  <c r="AJ50" i="19"/>
  <c r="X10" i="19"/>
  <c r="X20" i="19"/>
  <c r="AJ20" i="19"/>
  <c r="R50" i="19"/>
  <c r="X50" i="19"/>
  <c r="L50" i="19"/>
  <c r="L20" i="19"/>
  <c r="AD50" i="19"/>
  <c r="L40" i="19"/>
  <c r="AJ30" i="19"/>
  <c r="L10" i="19"/>
  <c r="L30" i="19"/>
  <c r="R20" i="19"/>
  <c r="X40" i="19"/>
  <c r="AD20" i="19"/>
  <c r="R10" i="19"/>
  <c r="AJ10" i="19"/>
  <c r="X30" i="19"/>
  <c r="R30" i="19"/>
  <c r="AD30" i="19"/>
  <c r="AD40" i="19"/>
  <c r="AD10" i="19"/>
  <c r="AG27" i="19"/>
  <c r="U7" i="19"/>
  <c r="O7" i="19"/>
  <c r="AM17" i="19"/>
  <c r="AG37" i="19"/>
  <c r="AG47" i="19"/>
  <c r="AA17" i="19"/>
  <c r="O17" i="19"/>
  <c r="U17" i="19"/>
  <c r="AG7" i="19"/>
  <c r="U27" i="19"/>
  <c r="AA27" i="19"/>
  <c r="O37" i="19"/>
  <c r="AM27" i="19"/>
  <c r="U37" i="19"/>
  <c r="AM47" i="19"/>
  <c r="AA37" i="19"/>
  <c r="AA47" i="19"/>
  <c r="AG17" i="19"/>
  <c r="O47" i="19"/>
  <c r="AM37" i="19"/>
  <c r="AM7" i="19"/>
  <c r="O27" i="19"/>
  <c r="AA7" i="19"/>
  <c r="U47" i="19"/>
  <c r="J36" i="19"/>
  <c r="V6" i="19"/>
  <c r="V26" i="19"/>
  <c r="P6" i="19"/>
  <c r="J6" i="19"/>
  <c r="P36" i="19"/>
  <c r="AB46" i="19"/>
  <c r="P16" i="19"/>
  <c r="V36" i="19"/>
  <c r="AB6" i="19"/>
  <c r="AH26" i="19"/>
  <c r="AB36" i="19"/>
  <c r="J46" i="19"/>
  <c r="AB26" i="19"/>
  <c r="P46" i="19"/>
  <c r="J26" i="19"/>
  <c r="AH6" i="19"/>
  <c r="AH46" i="19"/>
  <c r="P26" i="19"/>
  <c r="AH16" i="19"/>
  <c r="AB16" i="19"/>
  <c r="AH36" i="19"/>
  <c r="O13" i="19"/>
  <c r="O43" i="19"/>
  <c r="AM23" i="19"/>
  <c r="U13" i="19"/>
  <c r="AM33" i="19"/>
  <c r="O23" i="19"/>
  <c r="AG53" i="19"/>
  <c r="AM13" i="19"/>
  <c r="U43" i="19"/>
  <c r="AA33" i="19"/>
  <c r="O53" i="19"/>
  <c r="U53" i="19"/>
  <c r="U23" i="19"/>
  <c r="AG33" i="19"/>
  <c r="AA43" i="19"/>
  <c r="AG23" i="19"/>
  <c r="U33" i="19"/>
  <c r="O33" i="19"/>
  <c r="AA23" i="19"/>
  <c r="AM43" i="19"/>
  <c r="AG43" i="19"/>
  <c r="AA53" i="19"/>
  <c r="AG13" i="19"/>
  <c r="AC46" i="1"/>
  <c r="AM53" i="19"/>
  <c r="AA13" i="19"/>
  <c r="S47" i="19"/>
  <c r="Y7" i="19"/>
  <c r="AE47" i="19"/>
  <c r="Y47" i="19"/>
  <c r="AK7" i="19"/>
  <c r="S37" i="19"/>
  <c r="AK27" i="19"/>
  <c r="M37" i="19"/>
  <c r="S27" i="19"/>
  <c r="M7" i="19"/>
  <c r="AK17" i="19"/>
  <c r="M17" i="19"/>
  <c r="S17" i="19"/>
  <c r="AE27" i="19"/>
  <c r="AE7" i="19"/>
  <c r="Y17" i="19"/>
  <c r="Y37" i="19"/>
  <c r="M27" i="19"/>
  <c r="Y27" i="19"/>
  <c r="AE37" i="19"/>
  <c r="AK37" i="19"/>
  <c r="S7" i="19"/>
  <c r="AE17" i="19"/>
  <c r="M47" i="19"/>
  <c r="AK47" i="19"/>
  <c r="Z27" i="1" l="1"/>
  <c r="X29" i="1" s="1"/>
  <c r="Y28" i="1"/>
  <c r="AC28" i="1" s="1"/>
  <c r="Z28" i="1"/>
  <c r="AC48" i="19"/>
  <c r="W18" i="19"/>
  <c r="AI38" i="19"/>
  <c r="AC17" i="19"/>
  <c r="AI18" i="19"/>
  <c r="W28" i="19"/>
  <c r="AC6" i="19"/>
  <c r="Q18" i="19"/>
  <c r="W38" i="19"/>
  <c r="Q46" i="19"/>
  <c r="W6" i="19"/>
  <c r="AI6" i="19"/>
  <c r="AI7" i="19"/>
  <c r="AC38" i="19"/>
  <c r="AC18" i="19"/>
  <c r="Q48" i="19"/>
  <c r="K48" i="19"/>
  <c r="W48" i="19"/>
  <c r="AC34" i="1"/>
  <c r="AI48" i="19"/>
  <c r="Q28" i="19"/>
  <c r="AC28" i="19"/>
  <c r="W8" i="19"/>
  <c r="AI8" i="19"/>
  <c r="K38" i="19"/>
  <c r="Q38" i="19"/>
  <c r="K28" i="19"/>
  <c r="Q8" i="19"/>
  <c r="AC8" i="19"/>
  <c r="K18" i="19"/>
  <c r="K8" i="19"/>
  <c r="AB36" i="1"/>
  <c r="AA35" i="1"/>
  <c r="Y36" i="1"/>
  <c r="Z36" i="1"/>
  <c r="X37" i="1" s="1"/>
  <c r="Q7" i="19"/>
  <c r="AC47" i="19"/>
  <c r="AI27" i="19"/>
  <c r="K47" i="19"/>
  <c r="AC7" i="19"/>
  <c r="K37" i="19"/>
  <c r="Q37" i="19"/>
  <c r="W7" i="19"/>
  <c r="AC16" i="19"/>
  <c r="AC46" i="19"/>
  <c r="Q27" i="19"/>
  <c r="AC37" i="19"/>
  <c r="AC27" i="19"/>
  <c r="AI47" i="19"/>
  <c r="Q47" i="19"/>
  <c r="AI17" i="19"/>
  <c r="W17" i="19"/>
  <c r="W37" i="19"/>
  <c r="W27" i="19"/>
  <c r="AI37" i="19"/>
  <c r="W47" i="19"/>
  <c r="K17" i="19"/>
  <c r="K27" i="19"/>
  <c r="K7" i="19"/>
  <c r="Q17" i="19"/>
  <c r="AC31" i="1"/>
  <c r="Y32" i="1"/>
  <c r="Z32" i="1"/>
  <c r="W16" i="19"/>
  <c r="AI36" i="19"/>
  <c r="W36" i="19"/>
  <c r="AC26" i="19"/>
  <c r="K36" i="19"/>
  <c r="K26" i="19"/>
  <c r="AI16" i="19"/>
  <c r="K16" i="19"/>
  <c r="K46" i="19"/>
  <c r="Y29" i="1"/>
  <c r="Z29" i="1"/>
  <c r="AC36" i="19"/>
  <c r="Q16" i="19"/>
  <c r="Q36" i="19"/>
  <c r="Q6" i="19"/>
  <c r="Q26" i="19"/>
  <c r="AC27" i="1"/>
  <c r="W26" i="19"/>
  <c r="K6" i="19"/>
  <c r="AI26" i="19"/>
  <c r="W46" i="19"/>
  <c r="Y37" i="1" l="1"/>
  <c r="Z37" i="1"/>
  <c r="X38" i="1" s="1"/>
  <c r="AA36" i="1"/>
  <c r="S18" i="19" s="1"/>
  <c r="AB37" i="1"/>
  <c r="X38" i="19"/>
  <c r="X18" i="19"/>
  <c r="R18" i="19"/>
  <c r="L8" i="19"/>
  <c r="X28" i="19"/>
  <c r="AJ38" i="19"/>
  <c r="AD28" i="19"/>
  <c r="AJ48" i="19"/>
  <c r="R38" i="19"/>
  <c r="R28" i="19"/>
  <c r="R48" i="19"/>
  <c r="AD38" i="19"/>
  <c r="X8" i="19"/>
  <c r="L48" i="19"/>
  <c r="R8" i="19"/>
  <c r="X48" i="19"/>
  <c r="L18" i="19"/>
  <c r="L28" i="19"/>
  <c r="AJ28" i="19"/>
  <c r="AD48" i="19"/>
  <c r="AJ8" i="19"/>
  <c r="AD18" i="19"/>
  <c r="AD8" i="19"/>
  <c r="AJ18" i="19"/>
  <c r="L38" i="19"/>
  <c r="AC35" i="1"/>
  <c r="AC32" i="1"/>
  <c r="L27" i="19"/>
  <c r="X7" i="19"/>
  <c r="L47" i="19"/>
  <c r="R37" i="19"/>
  <c r="R47" i="19"/>
  <c r="X27" i="19"/>
  <c r="AJ17" i="19"/>
  <c r="X17" i="19"/>
  <c r="X37" i="19"/>
  <c r="AD17" i="19"/>
  <c r="AD7" i="19"/>
  <c r="AJ7" i="19"/>
  <c r="L7" i="19"/>
  <c r="AJ27" i="19"/>
  <c r="AJ37" i="19"/>
  <c r="X47" i="19"/>
  <c r="AD47" i="19"/>
  <c r="R17" i="19"/>
  <c r="AD37" i="19"/>
  <c r="AJ47" i="19"/>
  <c r="L37" i="19"/>
  <c r="R7" i="19"/>
  <c r="AD27" i="19"/>
  <c r="R27" i="19"/>
  <c r="L17" i="19"/>
  <c r="AC29" i="1"/>
  <c r="L26" i="19"/>
  <c r="AJ16" i="19"/>
  <c r="R46" i="19"/>
  <c r="X6" i="19"/>
  <c r="L46" i="19"/>
  <c r="L6" i="19"/>
  <c r="AD16" i="19"/>
  <c r="AD36" i="19"/>
  <c r="R6" i="19"/>
  <c r="AJ36" i="19"/>
  <c r="L16" i="19"/>
  <c r="R36" i="19"/>
  <c r="X46" i="19"/>
  <c r="AD26" i="19"/>
  <c r="AD6" i="19"/>
  <c r="R26" i="19"/>
  <c r="R16" i="19"/>
  <c r="AD46" i="19"/>
  <c r="AJ46" i="19"/>
  <c r="X26" i="19"/>
  <c r="X36" i="19"/>
  <c r="AJ26" i="19"/>
  <c r="AJ6" i="19"/>
  <c r="X16" i="19"/>
  <c r="L36" i="19"/>
  <c r="AK28" i="19" l="1"/>
  <c r="Y28" i="19"/>
  <c r="AE28" i="19"/>
  <c r="M48" i="19"/>
  <c r="AK8" i="19"/>
  <c r="M38" i="19"/>
  <c r="M18" i="19"/>
  <c r="S28" i="19"/>
  <c r="AK38" i="19"/>
  <c r="M8" i="19"/>
  <c r="Z38" i="1"/>
  <c r="X39" i="1" s="1"/>
  <c r="Y38" i="1"/>
  <c r="AE18" i="19"/>
  <c r="Y48" i="19"/>
  <c r="S48" i="19"/>
  <c r="M28" i="19"/>
  <c r="AE48" i="19"/>
  <c r="AE38" i="19"/>
  <c r="S38" i="19"/>
  <c r="Y8" i="19"/>
  <c r="Y18" i="19"/>
  <c r="AC36" i="1"/>
  <c r="S8" i="19"/>
  <c r="Y38" i="19"/>
  <c r="AK18" i="19"/>
  <c r="AK48" i="19"/>
  <c r="AE8" i="19"/>
  <c r="AA37" i="1"/>
  <c r="AB38" i="1"/>
  <c r="Y39" i="1" l="1"/>
  <c r="Z39" i="1"/>
  <c r="X40" i="1" s="1"/>
  <c r="AA38" i="1"/>
  <c r="AB39" i="1"/>
  <c r="J29" i="19"/>
  <c r="P39" i="19"/>
  <c r="AH39" i="19"/>
  <c r="V49" i="19"/>
  <c r="V39" i="19"/>
  <c r="AH9" i="19"/>
  <c r="AB49" i="19"/>
  <c r="V9" i="19"/>
  <c r="AB19" i="19"/>
  <c r="P9" i="19"/>
  <c r="AB29" i="19"/>
  <c r="V19" i="19"/>
  <c r="J49" i="19"/>
  <c r="AB39" i="19"/>
  <c r="P19" i="19"/>
  <c r="V29" i="19"/>
  <c r="AH49" i="19"/>
  <c r="P29" i="19"/>
  <c r="AH29" i="19"/>
  <c r="J9" i="19"/>
  <c r="AB9" i="19"/>
  <c r="AH19" i="19"/>
  <c r="P49" i="19"/>
  <c r="J19" i="19"/>
  <c r="J39" i="19"/>
  <c r="AC37" i="1"/>
  <c r="Y40" i="1" l="1"/>
  <c r="Z40" i="1"/>
  <c r="AA39" i="1"/>
  <c r="AB40" i="1"/>
  <c r="AA40" i="1" s="1"/>
  <c r="K39" i="19"/>
  <c r="AC29" i="19"/>
  <c r="K19" i="19"/>
  <c r="AI19" i="19"/>
  <c r="W39" i="19"/>
  <c r="W49" i="19"/>
  <c r="AI9" i="19"/>
  <c r="Q19" i="19"/>
  <c r="W9" i="19"/>
  <c r="Q9" i="19"/>
  <c r="AC39" i="19"/>
  <c r="Q49" i="19"/>
  <c r="AI39" i="19"/>
  <c r="W19" i="19"/>
  <c r="W29" i="19"/>
  <c r="AC49" i="19"/>
  <c r="AC19" i="19"/>
  <c r="Q29" i="19"/>
  <c r="K9" i="19"/>
  <c r="AC9" i="19"/>
  <c r="AI49" i="19"/>
  <c r="K29" i="19"/>
  <c r="K49" i="19"/>
  <c r="AC38" i="1"/>
  <c r="Q39" i="19"/>
  <c r="AI29" i="19"/>
  <c r="AE19" i="19" l="1"/>
  <c r="Y19" i="19"/>
  <c r="AK39" i="19"/>
  <c r="AE49" i="19"/>
  <c r="S29" i="19"/>
  <c r="M9" i="19"/>
  <c r="AE39" i="19"/>
  <c r="M29" i="19"/>
  <c r="M39" i="19"/>
  <c r="AK49" i="19"/>
  <c r="Y49" i="19"/>
  <c r="S19" i="19"/>
  <c r="M19" i="19"/>
  <c r="Y9" i="19"/>
  <c r="Y39" i="19"/>
  <c r="Y29" i="19"/>
  <c r="AC40" i="1"/>
  <c r="AK29" i="19"/>
  <c r="S39" i="19"/>
  <c r="AE29" i="19"/>
  <c r="AK9" i="19"/>
  <c r="S9" i="19"/>
  <c r="AK19" i="19"/>
  <c r="AE9" i="19"/>
  <c r="M49" i="19"/>
  <c r="S49" i="19"/>
  <c r="R9" i="19"/>
  <c r="AJ29" i="19"/>
  <c r="AJ39" i="19"/>
  <c r="AD9" i="19"/>
  <c r="L39" i="19"/>
  <c r="AD29" i="19"/>
  <c r="AD19" i="19"/>
  <c r="R29" i="19"/>
  <c r="L29" i="19"/>
  <c r="AD39" i="19"/>
  <c r="AJ9" i="19"/>
  <c r="X29" i="19"/>
  <c r="L19" i="19"/>
  <c r="AJ19" i="19"/>
  <c r="AJ49" i="19"/>
  <c r="X9" i="19"/>
  <c r="X39" i="19"/>
  <c r="R39" i="19"/>
  <c r="X49" i="19"/>
  <c r="R49" i="19"/>
  <c r="R19" i="19"/>
  <c r="AD49" i="19"/>
  <c r="AC39" i="1"/>
  <c r="L49" i="19"/>
  <c r="X19" i="19"/>
  <c r="L9"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<sst xmlns="http://schemas.openxmlformats.org/spreadsheetml/2006/main" count="572" uniqueCount="369">
  <si>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</si>
  <si>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</si>
  <si>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</si>
  <si>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</si>
  <si>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</si>
  <si>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</si>
  <si>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</si>
  <si>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</si>
  <si>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</si>
  <si>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</si>
  <si>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</si>
  <si>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</si>
  <si>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</si>
  <si>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</si>
  <si>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</si>
  <si>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</si>
  <si>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</si>
  <si>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</si>
  <si>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</si>
  <si>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</si>
  <si>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</si>
  <si>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</si>
  <si>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</si>
  <si>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</si>
  <si>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</si>
  <si>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</si>
  <si>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</si>
  <si>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</si>
  <si>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</si>
  <si>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</si>
  <si>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</si>
  <si>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</si>
  <si>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</si>
  <si>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</si>
  <si>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</si>
  <si>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</si>
  <si>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</si>
  <si>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</si>
  <si>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</si>
  <si>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</si>
  <si>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</si>
  <si>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</si>
  <si>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</si>
  <si>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</si>
  <si>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</si>
  <si>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</si>
  <si>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</si>
  <si>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</si>
  <si>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</si>
  <si>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</si>
  <si>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</si>
  <si>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</si>
  <si>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</si>
  <si>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</si>
  <si>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</si>
  <si>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</si>
  <si>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</si>
  <si>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</si>
  <si>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</si>
  <si>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</si>
  <si>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</si>
  <si>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</si>
  <si>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</si>
  <si>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</si>
  <si>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</si>
  <si>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</si>
  <si>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</si>
  <si>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</si>
  <si>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</si>
  <si>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</si>
  <si>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</si>
  <si>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</si>
  <si>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</si>
  <si>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</si>
  <si>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</si>
  <si>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</si>
  <si>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</si>
  <si>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</si>
  <si>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</si>
  <si>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</si>
  <si>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</si>
  <si>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</si>
  <si>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</si>
  <si>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</si>
  <si>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</si>
  <si>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</si>
  <si>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</si>
  <si>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</si>
  <si>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</si>
  <si>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</si>
  <si>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</si>
  <si>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</si>
  <si>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</si>
  <si>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</si>
  <si>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</si>
  <si>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</si>
  <si>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</si>
  <si>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</si>
  <si>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</si>
  <si>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</si>
  <si>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</si>
  <si>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</si>
  <si>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</si>
  <si>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</si>
  <si>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</si>
  <si>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</si>
  <si>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</si>
  <si>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</si>
  <si>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</si>
  <si>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</si>
  <si>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</si>
  <si>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</si>
  <si>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</si>
  <si>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</si>
  <si>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</si>
  <si>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</si>
  <si>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</si>
  <si>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</si>
  <si>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</si>
  <si>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</si>
  <si>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</si>
  <si>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</si>
  <si>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</si>
  <si>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</si>
  <si>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</si>
  <si>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</si>
  <si>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</si>
  <si>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</si>
  <si>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</si>
  <si>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</si>
  <si>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</si>
  <si>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</si>
  <si>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</si>
  <si>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</si>
  <si>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</si>
  <si>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</si>
  <si>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</si>
  <si>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</si>
  <si>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</si>
  <si>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</si>
  <si>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</si>
  <si>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</si>
  <si>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</si>
  <si>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</si>
  <si>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</si>
  <si>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</si>
  <si>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</si>
  <si>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</si>
  <si>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</si>
  <si>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</si>
  <si>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</si>
  <si>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</si>
  <si>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</si>
  <si>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</si>
  <si>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</si>
  <si>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</si>
  <si>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</si>
  <si>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</si>
  <si>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</si>
  <si>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</si>
  <si>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</si>
  <si>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</si>
  <si>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</si>
  <si>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</si>
  <si>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</si>
  <si>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</si>
  <si>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</si>
  <si>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</si>
  <si>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</si>
  <si>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</si>
  <si>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</si>
  <si>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</si>
  <si>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</si>
  <si>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</si>
  <si>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</si>
  <si>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</si>
  <si>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</si>
  <si>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</si>
  <si>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</si>
  <si>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</si>
  <si>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</si>
  <si>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</si>
  <si>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</si>
  <si>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</si>
  <si>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</si>
  <si>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</si>
  <si>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</si>
  <si>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</si>
  <si>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</si>
  <si>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</si>
  <si>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</si>
  <si>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</si>
  <si>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</si>
  <si>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</si>
  <si>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</si>
  <si>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</si>
  <si>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</si>
  <si>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</si>
  <si>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</si>
  <si>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</si>
  <si>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</si>
  <si>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</si>
  <si>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</si>
  <si>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</si>
  <si>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</si>
  <si>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</si>
  <si>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</si>
  <si>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</si>
  <si>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</si>
  <si>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</si>
  <si>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</si>
  <si>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</si>
  <si>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</si>
  <si>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</si>
  <si>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</si>
  <si>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F8</t>
  </si>
  <si>
    <t>F9</t>
  </si>
  <si>
    <t>D9</t>
  </si>
  <si>
    <t>F10</t>
  </si>
  <si>
    <t>D10</t>
  </si>
  <si>
    <t>F11</t>
  </si>
  <si>
    <t>D11</t>
  </si>
  <si>
    <t>F12</t>
  </si>
  <si>
    <t>D12</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</si>
  <si>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</si>
  <si>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</si>
  <si>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</si>
  <si>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</si>
  <si>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</si>
  <si>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</si>
  <si>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</si>
  <si>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</si>
  <si>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</si>
  <si>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</si>
  <si>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</si>
  <si>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</si>
  <si>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</si>
  <si>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</si>
  <si>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</si>
  <si>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Ambiental</t>
  </si>
  <si>
    <t>Daños Activos Físicos</t>
  </si>
  <si>
    <t>Ejecución y Administración de Procesos</t>
  </si>
  <si>
    <t>Fallas Tecnológicas</t>
  </si>
  <si>
    <t>Usuarios, productos y prácticas organizacionales</t>
  </si>
  <si>
    <t>Ambientales</t>
  </si>
  <si>
    <t>Afectación Ambiental</t>
  </si>
  <si>
    <t>Entre 1-12.500</t>
  </si>
  <si>
    <t>&gt; 12.500 - 25.000</t>
  </si>
  <si>
    <t>&gt; 25.000 – 125.000</t>
  </si>
  <si>
    <t>&gt; 125.000 – 500.000</t>
  </si>
  <si>
    <t>El riesgo afecta la imagen de la entidad internamente, de conocimiento general, nivel interno, de junta directiva y accionistas y/o de provedores</t>
  </si>
  <si>
    <t>&gt; 500.000 – 1.000.000</t>
  </si>
  <si>
    <t>No.</t>
  </si>
  <si>
    <t>CRITERIOS DE VALORACIÓN</t>
  </si>
  <si>
    <t>ESCALA DE VALOR</t>
  </si>
  <si>
    <t>Se refiere al área de influencia del impacto en relación con el entorno donde se genera.</t>
  </si>
  <si>
    <t>Puntual 1</t>
  </si>
  <si>
    <t>El impacto queda confinado dentro del área donde se genera.</t>
  </si>
  <si>
    <t>Local 5</t>
  </si>
  <si>
    <t>Trasciende los límites del área de influencia.</t>
  </si>
  <si>
    <t>Regional o nacional 10</t>
  </si>
  <si>
    <t>Tiene consecuencias a nivel regional o trasciende los límites del Distrito.</t>
  </si>
  <si>
    <t>Se refiere a la posibilidad que se dé el impacto y está relacionada con la "REGULARIDAD" (Normal, anormal o</t>
  </si>
  <si>
    <t>de emergencia).</t>
  </si>
  <si>
    <t>Baja 1</t>
  </si>
  <si>
    <t>Existe una posibilidad muy remota de que suceda</t>
  </si>
  <si>
    <t>Media 5</t>
  </si>
  <si>
    <t>Existe una posibilidad media de que suceda.</t>
  </si>
  <si>
    <t>Alta 10</t>
  </si>
  <si>
    <t>Es muy posible que suceda en cualquier momento.</t>
  </si>
  <si>
    <t>Duración</t>
  </si>
  <si>
    <t>Se refiere al tiempo que permanecerá el efecto positivo o negativo del impacto en el ambiente.</t>
  </si>
  <si>
    <t>Breve 1</t>
  </si>
  <si>
    <t>Alteración del recurso durante un lapso muy pequeño.</t>
  </si>
  <si>
    <t>Temporal 5</t>
  </si>
  <si>
    <t>Alteración del recurso durante un lapso moderado.</t>
  </si>
  <si>
    <t>Permanente 10</t>
  </si>
  <si>
    <t>Alteración del recurso permanente en el tiempo</t>
  </si>
  <si>
    <t>Recuperabilidad</t>
  </si>
  <si>
    <t>Se refiere a la posibilidad de reconstrucción, total o parcial del recurso afectado por el impacto.</t>
  </si>
  <si>
    <t>Reversible 1</t>
  </si>
  <si>
    <t>Recuperable 5</t>
  </si>
  <si>
    <t>Irrecuperable /irreversible 10</t>
  </si>
  <si>
    <t>El/los recursos afectados no retornan a las condiciones originales a través de ningún medio.</t>
  </si>
  <si>
    <t>Cantidad</t>
  </si>
  <si>
    <t>Se refiere a la magnitud del impacto, es decir, la severidad con la que ocurrirá la afectación y/o riesgo sobre el recurso.</t>
  </si>
  <si>
    <t>Alteración mínima del recurso. Existe bajo potencial de riesgo sobre el recurso o el ambiente.</t>
  </si>
  <si>
    <t>Moderada 5</t>
  </si>
  <si>
    <t>Alteración moderada del recurso. Tiene un potencial de riesgo medio sobre el recurso o el ambiente.</t>
  </si>
  <si>
    <t>Alteración Significativa del recurso. Tiene efectos importantes sobre el recurso o el ambiente.</t>
  </si>
  <si>
    <t>Normatividad</t>
  </si>
  <si>
    <t>Hace referencia a la normatividad ambiental aplicable    al    aspecto    y/o    el    impacto ambiental.</t>
  </si>
  <si>
    <t>No tiene normatividad relacionada.</t>
  </si>
  <si>
    <t>N/A</t>
  </si>
  <si>
    <t>Tiene normatividad relacionada.</t>
  </si>
  <si>
    <t>Se puede disminuir el efecto a través de medidas de control hasta un estándar determinado.</t>
  </si>
  <si>
    <t>Puede eliminarse el efecto por medio de actividades humanas tendientes a restablecer las condiciones originales del recurso.</t>
  </si>
  <si>
    <t>27 de abril de 2022</t>
  </si>
  <si>
    <t>Primera versión del documento</t>
  </si>
  <si>
    <t>Se modifican los riesgos acorde a la actualización de la caracterización del proceso</t>
  </si>
  <si>
    <t>Ajuste y actualización a la matriz de acuerdo con la guía del DAFP V4 -2018 a través del manual de gestión del riesgo versión 11- 2019, se ingresa las columnas para las características y la evaluación de los controles. Se unifican los riesgo del proceso en uno, para de esta manera realizar controles efectivos y que tengan incidencia sobre el mismo.</t>
  </si>
  <si>
    <t>Se traslada la información de la matriz de riesgos del proceso V3  al formato de matriz de riesgo por proceso versión 4 , se realiza mesa técnica con los líderes del proceso y promotores de mejora para su aprobación, modificación y valoración de la nueva formulación y ajuste realizado al resultado del riesgo residual. Se modifica el riesgo y se incluyen los nuevos riesgos R! y R2 , y en general a todos los riesgos asociados al  proceso se revisan  causas,  consecuencias y controles.</t>
  </si>
  <si>
    <t xml:space="preserve">Se realiza revisión general de los riesgos establecidos para el proceso de Convivencia y Diálogo Social,  se identifican ajustes en la definición de causas y consecuencias, se realizan ajustes a los controles de los riesgos asociados en esta matriz.   Se incluye el R3 y se modifica el R1. </t>
  </si>
  <si>
    <t>Se realiza actualización de matriz de riesgos de gestión de acuerdo con los lineamientos establecidos en el manual de gestión del riesgo PLE-PIN-M001 versión 6. Se realizó a través de mesa de trabajo a la que asistió el promotor de mejora con el acompañamiento técnico del grupo de riesgos de la Oficina Asesora de Planeación. Se aprobó bajo caso HOLA N. 240560</t>
  </si>
  <si>
    <t>Desconocimiento de los documentos técnicos de soporte del programa por parte del equipo, directivos y/o de otras entidades Distritales.</t>
  </si>
  <si>
    <t>Desarrollo de acciones de acompañamiento que no están contempladas en  el marco de la competencia de la Dirección de Convivencia y Diálogo Social.</t>
  </si>
  <si>
    <t>Situaciones coyunturales que desbordan la capacidad de atención por competencia de otras entidades.</t>
  </si>
  <si>
    <t xml:space="preserve">Falta de organización interna de los actores sociales y/o privados y desconocimiento de la capacidad y oferta institucional vigente. </t>
  </si>
  <si>
    <t xml:space="preserve">
Falta de definición y establecimiento de criterios, verficación, compromiso y pertinencia para el desarrollo del pacto de accion colectiva como herramienta de solución de una situación de conflictividad</t>
  </si>
  <si>
    <t xml:space="preserve"> Limitada participación o participantes elegidos sin un proceso claro y público de convocatoria que afecte la definición de compromisos y garantías  de realización del pacto.</t>
  </si>
  <si>
    <t>Desconocimiento de las reivindicaciones y contexto, para determinar como estrategia una mesa de diálogo o Pacto de acción colectiva para la gestión y transformación de las conflictividades.</t>
  </si>
  <si>
    <t xml:space="preserve">Incumplimiento de las partes en los tiempos de ejecución y las acciones de los acuerdos pactados. </t>
  </si>
  <si>
    <t xml:space="preserve">Ausencia de actores e instituciones con capacidad de decisión que representen las partes. </t>
  </si>
  <si>
    <t>Falta de seguimiento a los compromisos generados en el marco de las mesas de diálogo o Pactos de Acción Colectiva.</t>
  </si>
  <si>
    <t xml:space="preserve">No hay claridad en los roles se cruzan las actividades </t>
  </si>
  <si>
    <t>El profesional designado por el director de la DCDS para el acompañamiento de una mesa de diálogo cada vez que se instale  debe exponer y dejar de manera explícita los criterios por los cuales se dio el establecimiento de la mesa de diálogo, en el que se evidencie las reivindicaciones de las y los actores involucrados, según lo estipulado en el instructivo DHH-CDS-IN005 protocolo mesas de diálogo. Como evidencia de ejecución del control queda el formato. DHH-CDS-F025 Formato implementación y desarrollo de mesas de diálogo.</t>
  </si>
  <si>
    <t>Falta de conocimiento de responsabilidades y actividades concernientes al Programa de Goles en Paz 2.0 que les permita territorializar las acciones.</t>
  </si>
  <si>
    <t>Falta de seguimiento y/o adecuada implementación de las acciones propias del programa y personal no idoneo.</t>
  </si>
  <si>
    <t xml:space="preserve">Deficiencia  en la articulación de gestores territoriales con las entidades que no hacen presencia en las mesas y consejos de barras del distrito.  </t>
  </si>
  <si>
    <t>Falta de implementación y seguimiento de  las acciones propias del programa.</t>
  </si>
  <si>
    <t>Desconocimiento de los documentos técnicos de soporte del programa y recursos por parte del equipo, directivos y/o de otras entidades Distritales.</t>
  </si>
  <si>
    <t>F1 Equipo de la dirección es multidisciplinar lo que permite el aporte desde diferentes áreas de conocimiento para el cumplimiento del objetivo.</t>
  </si>
  <si>
    <t>D2 Dificultad en el establecimiento de los alcances de las acciones de la Dirección.</t>
  </si>
  <si>
    <t>F5 Se cuenta con diferentes metas asociadas al plan de Desarrollo que permite la formulación, adopción y ejecución, lo que garantiza la asignación de recursos para su cumplimiento.</t>
  </si>
  <si>
    <t>O2 Expresiones diversas de participación en la ciudad.</t>
  </si>
  <si>
    <t>O3 Conflictividades sociales en todas sus dimensiones que permiten el accionar de la dirección y acompañamiento.</t>
  </si>
  <si>
    <t>A1 Que las entidades no cumplan acuerdos y/o pactos establecidos haciendo perder credibilidad por parte de la ciudadanía.</t>
  </si>
  <si>
    <t>A4 Desconocimiento de otras entidades o áreas acerca del objetivo y alcance de acciones que desarrolla la Dirección de Convivencia y Diálogo Social.</t>
  </si>
  <si>
    <t xml:space="preserve">A5 Falta de claridad por parte de otras entidades frente a sus acciones misionales que permiten el aporte para la resolución de conflictos en mesas de diálogo y espacios de concertación con la ciudadanía. </t>
  </si>
  <si>
    <t>F2 Reconocimiento del acompañamiento en espacios de movilización para fomentar el diálogo social.</t>
  </si>
  <si>
    <t>F3 En el equipo se ha incrementado el número de personas para desarrollar acciones a cargo de la Dirección.</t>
  </si>
  <si>
    <t>D1 Falta de conocimiento de la totalidad de integrantes de los documentos normalizados</t>
  </si>
  <si>
    <t>F4 Uso de nuevas herramientas TICs en los procesos que desarrolla la dirección para cumplir con los programas, proyectos y acciones de la Dirección.</t>
  </si>
  <si>
    <t>D4 Falta de lineamientos actualizados y acompañamiento sobre gestión documental.</t>
  </si>
  <si>
    <t>D5 se cuenta con poco equipo de carrera administrativa, la mayoría del equipo son personas contratistas.</t>
  </si>
  <si>
    <t>D3 Falta de habilidades y conocimiento específico por parte de algunos profesionales delegados a  temas del proceso.</t>
  </si>
  <si>
    <t>A2 Las protestas se resuelvan con alteración de orden público y afectación de los derechos.</t>
  </si>
  <si>
    <t>A3 Solicitudes por parte de otras entidades para el desarrollo de tareas adicionales a los procesos ya establecidos para el proceso.</t>
  </si>
  <si>
    <t>A6 Intereres de grupos externos en la entidad en afectar la sana convivencia y el desarrollo de las actividades para su fortalecimiento.</t>
  </si>
  <si>
    <t>F6 Documentos normalizados con los lineamientos de desarrollo de las acciones del proceso.</t>
  </si>
  <si>
    <t>O1 Posicionamiento y reconocimiento de las acciones de los programas y estrategias del proceso.</t>
  </si>
  <si>
    <t xml:space="preserve">F7 </t>
  </si>
  <si>
    <t>D7 Falta de seguimiento de ingreso de equipo a los eventos donde participa la dirección.</t>
  </si>
  <si>
    <t>A7 Limitada participación de la ciudadania.</t>
  </si>
  <si>
    <t>D6 Falta de seguimiento y calidad de la información que se produce.</t>
  </si>
  <si>
    <t xml:space="preserve">D8 Dificultad de desarrollo de alianzas y convenios, debido a demoras y reprocesos en los temas precontractuales y de seguimiento. </t>
  </si>
  <si>
    <t xml:space="preserve">O4 Encontrar posibles aliados estratégicos que tengan disposición y puedan aportar o ayudar en el proceso de iniciativas y otras acciones del proceso. </t>
  </si>
  <si>
    <t>Posibilidad de afectación reputacional y/o económica por el incumplimiento de acciones propias del programa de diálogo.</t>
  </si>
  <si>
    <r>
      <t>La/el Profesional de la dirección designado por el Director, cada vez que se identifique una situación de conflictividad que se proponga ser solucionada parcial o totalmente mediante un pacto de acción colectiva verifica la oferta institucional vigente y proyectada, mediante el diagnostico institucional, que podrá ser asociada al proceso de diálogo de construcción del pacto e invita a la entidad que brinda la oferta para vincularse. En caso de que no acepte la participación  o no se cuente desde la institucionalidad con este tipo de oferta, se busca alternativas desde proceso de</t>
    </r>
    <r>
      <rPr>
        <sz val="10"/>
        <rFont val="Arial Narrow"/>
        <family val="2"/>
      </rPr>
      <t xml:space="preserve"> diálogo y concertación con los actores sociales para continuar con revisión de otras acciones o dar por terminado el proceso de pacto. Como evidencia de la ejecución del control queda el registro en el formato revisión de propuesta de pactos de acción colectiva (DHH-CDS-F022).</t>
    </r>
  </si>
  <si>
    <t>Posibilidad de afectación reputacional por desconocimiento de las reivindicaciones y contexto para determinar como estrategia una mesa de diálogo o Pacto de acción colectiva.</t>
  </si>
  <si>
    <t>Posibilidad de afectación reputacional por la deslegitimidad de los procesos de Pactos de Acción Colectiva adelantados por la Dirección de Convivencia y Diálogo Social.</t>
  </si>
  <si>
    <t xml:space="preserve">
Los servidores públicos designados por parte del director de la DCDS para actividades locales del programa de diálogo social en la linea de cultura del diálogo, mensualmente presentan un plan de trabajo para realizar acciones de identificación y gestión territorial de conflictivos y promoción de la sana convivencia. El profesional designado por el Director/a de la DCDS realiza seguimiento mensual y valida las actividades a realizar y en caso de no cumplir con los objetivos del programa retroalimenta para que se realice el ajuste o reprogramación, como evidencias de la ejecución del control se aporta GDI-GPD-F029 Formato Evidencia de Reunión con el plan de trabajo ajustado.
Así mismo, el profesional designado por el Director/a de DCDS de forma semestral realiza retroalimentación de las acciones en territorio y la estrategía al equipo de trabajo de la DCDS para que las acciones que se desarrollen en las localidades se hagan en el marco de las competencias  y las registra como evidencia de uso del control el formato GDI-GPD-F029 Formato Evidencia de Reunión. </t>
  </si>
  <si>
    <t xml:space="preserve">El director cada vez que se solicite el acompañamiento del equipo del programa de diálogo verifica que estas actividades esten en el marco de las competencias y objetivos del programa de diálogo, para lo cual cada dos semanas revisa y aprueba el acompañamiento solicitudes de otros eventos que tensionan la convivencia y registra la revisión como soporte de la ejecución del control en el formato  GDI-GPD-F029 evidencia de reunión, de igual forma en caso de identificar que alguna solicitud de acompañamiento esta por fuera de las competencias, informa que no se acompaña el evento dejando como evidencia de ejecución del control correo electrónico, memorando u oficio.
</t>
  </si>
  <si>
    <t>El profesional designado(a) por el Director/a de la DCDS cada vez que se convoque una mesa de diálogo o en el desarrollo de un Pacto de Acción colectiva, solicita mediante oficio/memorando o correo electrónico a la entidad o área que corresponda, un profesional  delegado con poder de decisión y que en lo posible su asignación sea permanente en el desarrollo de las diferentes acciones de las mesas de diálogo o pacto de Acción colectiva, para que pueda asumir compromisos de acuerdo a las competencias institucionales. Al momento de comenzar la reunión citada se verifica con los asistentes la delegación efectuada institucionalmente para poder establecer compromisos como representante de la entidad y como evidencia del uso del control se aporta el oficio, memorando o correo electrónico enviado, en el caso de las mesas de diálogo en el formato DHH-CDS-F025 Formato implementación y desarrollo de mesas de diálogo y en pactos en el formato GDI-GPD-F029 evidencia de reunión.</t>
  </si>
  <si>
    <t>El/la profesional designado por el Director, convoca mediante oficio/memorando o correo electrónico, de acuerdo con las fechas establecidas por la mesa  técnica o de concertación en el evento de firma del pacto, a los actores que suscriben el pacto, para realizar mediante reunión el diligenciamiento del formato DHH-CDS-F009 seguimiento a pactos de acción colectiva que permite evidenciar el nivel de cumplimiento de los acuerdos En caso que uno o varios de los actores institucionales que suscribieron el pacto no asista(n) a la reunión de seguimiento, se realiza memorando/oficio, como soporte de ejecución del control, dirigido a lider de la entidad o área correspondiente, solicitando los  avances frente al cumplimiento del pacto y los soportes  respectivos. En caso de que alguno(s) actores sociales no asista(n), mediante correo electrónico u oficio se solicita su asistencia a una nueva reunión de seguimiento. Finalmente, si el actor institucional y/o social no atiende los requerimientos anteriores se  cita una reunión mesa de pacto para tomar la decisión y se deja como soporte de ejecución del control el formato GDI-GPD-F029 evidencia de reunión.</t>
  </si>
  <si>
    <t xml:space="preserve">El profesional encargado del apoyo a la coordinación de la línea de protesta de la dirección de convivencia y diálogo social o la persona designada por el líder del proceso, cada vez que ingrese un integrante nuevo al programa de diálogo social, debe realizar una capacitación de los temas del programa, normativa, funciones a desarrollar, documentos y formatos vigentes con su debido uso, para garantizar el conocimiento y funcionamiento del programa y posibilidad de cumplimiento de sus objetivos, y registrarlo en el formato DHH-CDS-F050 registro de encuentro, formación, capacitación, sensibilización y/o cualificación 
Así mismo, el equipo de fortalecimiento técnico y/o profesional delegado del equipo del obsevatorio, trimestralmente realiza una capacitación registrada en el formato DHH-CDS-F050 registro de encuentro, formación, capacitación, sensibilización y/o cualificación a los integrantes del programa para afianzar el conocimiento, uso de los documentos y formatos vigentes. 
En caso de evidenciar que no se ha realizado esta capacitación cada vez que ingrese un nuevo integrante al programa o de manera trimestral, se realiza la respectiva reprogramación.
</t>
  </si>
  <si>
    <t xml:space="preserve">El servidor público  delegado por el director/a durante el desarrollo del evento realiza seguimiento de la información registrada en el aplicativo Poliscopio, garantizando que dicha información este debidamente registrada en cada apartado y en caso de identificar error del ingreso de información, se solicita a la persona que ingresa la información que realice el ajuste en su reporte 
Los servidores públicos designados por el director(a) de Convivencia y Diálogo Social de los equipos de la línea de Protesta, Observatorio de Conflictividad Social y profesional de la dirección, para hacer seguimiento en el aplicativo Poliscopio, dos veces al mes verifica la información registrada por parte de las personas en terreno. Como evidencia de la ejecución del control se registra el formato GDI-GPD-F029 evidencia de reunión, donde deben dejar registrado el resultado del contraste entre la sábana de datos exportada del aplicativo Poliscopio y los tableros públicados, en caso de encontrar incosistencias en la información se solicita al observatorio de conflictividad social y/o equipo delegado realizar el ajuste en el aplicativo. 
Una vez  al mes el profesional delegado del programa de diálogo y/u observatorio realiza una capacitación  a servidores públicos que hicieron el registro con errores durante el periodo para que no se vuelva a repetir lo identificado. Como evidencia de la ejecución del control quedan los registros en el aplicativo de manera mensual, el formato DHH-CDS-F029 registro de acompañamiento y se registra en el formato DHH-CDS-F050 registro de encuentro, formación, capacitación, sensibilización y/o cualificación. 
</t>
  </si>
  <si>
    <t>La/el profesional de pactos designado por el director que cada vez que se pretenda resolver o atender una conflictividad social por medio de un Pacto de Acción Colectiva, verifica que los actores sociales vinculados se encuentren organizados, como evidencia de ejecución del control se registra la infomación en el formato revisión de propuesta de pactos de acción colectiva (DHH-CDS-F022). De no estar organizados no podrá incluirse dentro del proceso de Pactos de Acción Colectiva. Para este caso cuando la solicitud haya sido realizada por ciudadanía u otra entidad se da respuesta escrita informando que no puede usarse como alternativa de resolución los pactos de acción colectiva dejando como soporte el oficio enviado.</t>
  </si>
  <si>
    <t>El/la profesional de pactos de la Dirección cada vez que exista una propuesta de implementar un pacto de Acción colectivo por parte de la Dirección valida la situación de conflictividad y causas, , para determinar la pertinencia y alcance de la realización de Pactos de Acción Colectiva como herramienta para su resolución, prevención o mitigación. Como evidencia de ejecución del control lo deja registrado en el formato  revisión de propuesta de pactos de acción colectiva (DHH-CDS-F022)</t>
  </si>
  <si>
    <t>El servidor público designado(a) por el Director/a de la DCDS cada vez que se desarrolle una mesa de diálogo con la metodología que se encuentra en el instructivo  DHH-CDS-IN005 protocolo mesas de diálogo, sistematiza los compromisos, el seguimiento efectuado y los resultados y deja como como evidencia de ejecución del control el registro en el  formato: Reporte Mesas de Diálogo (DHH-CDS-F024).
Realiza solicitud del avance en el cumplimiento de los compromisos pactados dejando como evidencia de la ejecución del control el correo electrónico, memorando u oficio, a los 15 dias hábiles posteriores a la fecha de cumplimiento pactado del compromiso y una vez se cumplan las  fechas acordadas va realizando las solicitudes  posteriores.
De no recibir respuesta por parte de las entidades dentro del plazo establecido, el/la servidor(a) pública designado(a) por el director de la Dirección de Convivencia y Diálogo Social oficia por segunda vez.  Si después de esto no se recibe comunicación por parte de la entidad, se envía un tercer oficio solicitando la información correspondiente al cumplimiento de acuerdos en los mismos términos de los oficios anteriores, como evidencia del uso del control queda el oficio enviado.</t>
  </si>
  <si>
    <t>Posibilidad de afectación reputacional y/o económica debido a la falta de implementacion o seguimiento de las acciones propias del programa goles en paz 2.0.</t>
  </si>
  <si>
    <t>El profesional designado por el director/a de la dirección de convivencia y diálogo social, revisa la programación de fútbol profesional colombiano y cada vez que se programe un partido profesional en los estadios de Nemesio Camacho el Campín o el estadio Metropolitano de Techo designa integrantes del equipo para brindar acompañamiento a los partidos de fútbol profesional en los Estadios, teniendo en cuenta los análisis semanales o previos a cada encuentro de fútbol realizados en las reuniones de la comisión distrital de seguridad comodidad y convivencia en el fútbol (CDSCCFB) y como soporte de la participación y acciones adelantadas se presenta la programación de la Dimayor y el  registro del acompañamiento  mediante el formato reporte acompañamiento a estadios (DHH-CDS-F028).
Adicionalmente, una vez al mes el profesional designado por el director hace revisión que la información registrada de cuenta de las acciones desarrolladas y valida la integridad de la misma. En caso de encontrar incosistencias realiza reunión con la(s) persona(s) que diligenció o diligenciaron la información, realiza retroalimentación para que no se repitan los errores y conjuntamente ajustan la información reportada, como soporte se registra lo adelantado en el formato GDI-GPD-F029 evidencia de reunión y lo ajustado en el formato reporte acompañamiento a estadios (DHH-CDS-F028).</t>
  </si>
  <si>
    <t>El servidor(a) designada(o) por el director de la DCDS, de manera semestral, para promover el conocimiento de los documentos del programa y recursos realiza una reunión con todos y todas las integrantes del programa Goles en paz 2,0, donde presenta los temas del programa, normativa, funciones/obligaciones a desarrollar, prespuesto, documentos normalizados y formatos vigentes, que permita el desarrollo, implementación y cumplimiento de las acciones del programa y como evidencia de la ejecución del control  registra la reunión en el formato GDI-GPD-F029 evidencia de reunión.</t>
  </si>
  <si>
    <t xml:space="preserve">El profesional designado(a) por el director de la DCDS integrante del equipo de apoyo técnico del programa Goles en paz 2.0, cada vez que se va a realizar un espacio de diálogo o intervención a institución educativa analiza según las problemáticas identificadas la posibilidad de ejecutar las acciones conforme al plan de acción, que cumpla con los objetivos del programa como soporte de la ejecución del control se aporta el formato GDI-GPD-F029   evidencia de reunión. A partir de la revisión realizada en caso de presentar observaciones o no corresponder con los objetivos de las actividades, realiza una reunión con el servidor(a) delegado para la actividad y  registra la retroalimentación en el formato GDI-GPD-F029   evidencia de reunión para que se realice el ajuste y en caso que este todo acorde firma el formato espacios de diálogo DHH-CDS-F040 para los espacios de diálogo  y envia un correo confirmando que cumple los criterios para el caso intervenciones en instituciones educativas DHH-CDS-F045.
</t>
  </si>
  <si>
    <t>El profesional designado por el director(a) de la Dirección de convivencia y diálogo social para temas de articulación interinstitucional realiza  reunión trimestral con el equipo territorial del programa Goles en paz 2.0 para dar a conocer la(s) articulación(es) y avances con la(s) entidad(es) que permitan fortalecer el desarrollo e implementación del plan de acción del programa y de las instancias de barrismo social y hacer seguimiento de las estrategias acordadas con la población objetivo del programa. Estas acciones se registran como evidencia de ejecución del control en el formato GDI-GPD-F029  Evidencia de Reunión.</t>
  </si>
  <si>
    <t>Desarrollar, articular y orientar acciones de formulación, adopción y ejecución de planes, programas y proyectos orientados a la ciudadanía organizada y no organizada en la participación de las decisiones que los afecten, a través de la consulta, deliberación, promoción del diálogo social, planeación participativa, la convivencia ciudadana y la gestión de conflictividades de Bogotá D.C.</t>
  </si>
  <si>
    <t>Este proceso abarca las acciones de articulación, orientación, formulación, adopción y ejecución de los planes, programas y proyectos encaminados a la ciudadanía organizada y no organizada, a través de la consulta, deliberación, promoción del diálogo social, planeación participativa, la convivencia ciudadana y la gestión de conflictividades de Bogotá D.C.</t>
  </si>
  <si>
    <t>Convivencia y diálogo social</t>
  </si>
  <si>
    <t>Se realiza actualización de objetivo, alcance y controles de acuerdo con actualización documental realizada al proceso Convivencia y Diálogo Social. Se realizó a través de mesas de trabajo de la promotora de mejora con el acompañamiento metodológico del grupo de riesgos de la Oficina Asesora de Planeación. Se aprobó bajo caso HOLA No. 284877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</si>
</sst>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2"/>
      <color theme="1"/>
      <name val="Garamond"/>
      <family val="1"/>
    </font>
    <font>
      <sz val="12"/>
      <color rgb="FF000000"/>
      <name val="Garamond"/>
      <family val="1"/>
    </font>
  </fonts>
  <fills count="2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rgb="FFB8CCE4"/>
        <bgColor indexed="64"/>
      </patternFill>
    </fill>
    <fill>
      <patternFill patternType="solid">
        <fgColor rgb="FFDBE5F1"/>
        <bgColor indexed="64"/>
      </patternFill>
    </fill>
    <fill>
      <patternFill patternType="solid">
        <fgColor rgb="FFFF9900"/>
        <bgColor indexed="64"/>
      </patternFill>
    </fill>
  </fills>
  <borders count="9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bottom style="medium">
        <color rgb="FF4F81BD"/>
      </bottom>
      <diagonal/>
    </border>
    <border>
      <left/>
      <right style="medium">
        <color rgb="FF4F81BD"/>
      </right>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diagonal/>
    </border>
    <border>
      <left/>
      <right style="medium">
        <color rgb="FF4F81BD"/>
      </right>
      <top style="medium">
        <color rgb="FF4F81BD"/>
      </top>
      <bottom/>
      <diagonal/>
    </border>
    <border>
      <left/>
      <right/>
      <top style="medium">
        <color rgb="FF4F81BD"/>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85">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0" fontId="61" fillId="0" borderId="33" xfId="0" applyFont="1" applyBorder="1" applyAlignment="1">
      <alignment horizontal="left" vertical="top" wrapText="1"/>
    </xf>
    <xf numFmtId="0" fontId="61" fillId="0" borderId="38" xfId="0" applyFont="1" applyBorder="1" applyAlignment="1">
      <alignment horizontal="left" vertical="top" wrapText="1"/>
    </xf>
    <xf numFmtId="49" fontId="65" fillId="19" borderId="0" xfId="0" applyNumberFormat="1" applyFont="1" applyFill="1" applyAlignment="1" applyProtection="1">
      <alignment vertical="center" wrapText="1"/>
      <protection locked="0"/>
    </xf>
    <xf numFmtId="0" fontId="66" fillId="19" borderId="0" xfId="0" applyFont="1" applyFill="1" applyAlignment="1" applyProtection="1">
      <alignment horizontal="left" vertical="center" wrapText="1"/>
      <protection locked="0"/>
    </xf>
    <xf numFmtId="0" fontId="67" fillId="19" borderId="0" xfId="0" applyFont="1" applyFill="1" applyAlignment="1" applyProtection="1">
      <alignment vertical="center" wrapText="1"/>
      <protection locked="0"/>
    </xf>
    <xf numFmtId="0" fontId="70" fillId="19" borderId="0" xfId="0" applyFont="1" applyFill="1" applyAlignment="1" applyProtection="1">
      <alignment horizontal="center" vertical="center" wrapText="1"/>
      <protection locked="0"/>
    </xf>
    <xf numFmtId="0" fontId="70" fillId="19" borderId="0" xfId="0" applyFont="1" applyFill="1" applyAlignment="1" applyProtection="1">
      <alignment vertical="center" wrapText="1"/>
      <protection locked="0"/>
    </xf>
    <xf numFmtId="0" fontId="71" fillId="19" borderId="0" xfId="0" applyFont="1" applyFill="1" applyAlignment="1" applyProtection="1">
      <alignment vertical="center" wrapText="1"/>
      <protection locked="0"/>
    </xf>
    <xf numFmtId="0" fontId="66" fillId="19" borderId="0" xfId="0" applyFont="1" applyFill="1" applyAlignment="1" applyProtection="1">
      <alignment horizontal="center" vertical="center" wrapText="1"/>
      <protection locked="0"/>
    </xf>
    <xf numFmtId="0" fontId="63" fillId="19" borderId="0" xfId="0" applyFont="1" applyFill="1" applyAlignment="1" applyProtection="1">
      <alignment horizontal="center" vertical="center"/>
      <protection locked="0"/>
    </xf>
    <xf numFmtId="0" fontId="67" fillId="19" borderId="0" xfId="0" applyFont="1" applyFill="1" applyAlignment="1" applyProtection="1">
      <alignment horizontal="center" vertical="center" wrapText="1"/>
      <protection locked="0"/>
    </xf>
    <xf numFmtId="0" fontId="67" fillId="19" borderId="0" xfId="0" applyFont="1" applyFill="1" applyAlignment="1" applyProtection="1">
      <alignment horizontal="center" vertical="center"/>
      <protection locked="0"/>
    </xf>
    <xf numFmtId="0" fontId="72" fillId="19" borderId="0" xfId="0" applyFont="1" applyFill="1" applyAlignment="1" applyProtection="1">
      <alignment horizontal="center" vertical="center"/>
      <protection locked="0"/>
    </xf>
    <xf numFmtId="2" fontId="68" fillId="19" borderId="0" xfId="0" applyNumberFormat="1" applyFont="1" applyFill="1" applyAlignment="1" applyProtection="1">
      <alignment horizontal="center" vertical="center" wrapText="1"/>
      <protection locked="0"/>
    </xf>
    <xf numFmtId="0" fontId="73" fillId="19" borderId="0" xfId="0" applyFont="1" applyFill="1" applyAlignment="1" applyProtection="1">
      <alignment horizontal="left" vertical="center"/>
      <protection locked="0"/>
    </xf>
    <xf numFmtId="165" fontId="66" fillId="19" borderId="0" xfId="0" applyNumberFormat="1" applyFont="1" applyFill="1" applyAlignment="1" applyProtection="1">
      <alignment horizontal="center" vertical="center"/>
      <protection locked="0"/>
    </xf>
    <xf numFmtId="0" fontId="68" fillId="19" borderId="0" xfId="0" applyFont="1" applyFill="1" applyAlignment="1" applyProtection="1">
      <alignment horizontal="left" vertical="center" wrapText="1"/>
      <protection locked="0"/>
    </xf>
    <xf numFmtId="0" fontId="48" fillId="19" borderId="0" xfId="0" applyFont="1" applyFill="1" applyAlignment="1" applyProtection="1">
      <alignment vertical="center" wrapText="1"/>
      <protection locked="0"/>
    </xf>
    <xf numFmtId="0" fontId="74" fillId="20" borderId="0" xfId="0" applyFont="1" applyFill="1" applyAlignment="1" applyProtection="1">
      <alignment horizontal="center" vertical="center" wrapText="1"/>
      <protection locked="0"/>
    </xf>
    <xf numFmtId="2" fontId="68" fillId="20" borderId="0" xfId="0" applyNumberFormat="1" applyFont="1" applyFill="1" applyAlignment="1" applyProtection="1">
      <alignment horizontal="center" vertical="center" wrapText="1"/>
      <protection hidden="1"/>
    </xf>
    <xf numFmtId="0" fontId="75" fillId="20" borderId="0" xfId="0" applyFont="1" applyFill="1" applyAlignment="1" applyProtection="1">
      <alignment horizontal="center" vertical="center" wrapText="1"/>
      <protection hidden="1"/>
    </xf>
    <xf numFmtId="0" fontId="70" fillId="19" borderId="69" xfId="0" applyFont="1" applyFill="1" applyBorder="1" applyAlignment="1" applyProtection="1">
      <alignment vertical="center" wrapText="1"/>
      <protection locked="0"/>
    </xf>
    <xf numFmtId="0" fontId="69" fillId="0" borderId="33" xfId="0" applyFont="1" applyBorder="1" applyAlignment="1" applyProtection="1">
      <alignment horizontal="center" vertical="center" wrapText="1"/>
      <protection locked="0"/>
    </xf>
    <xf numFmtId="49" fontId="64" fillId="19" borderId="0" xfId="0" applyNumberFormat="1" applyFont="1" applyFill="1" applyAlignment="1" applyProtection="1">
      <alignment vertical="center" wrapText="1"/>
      <protection locked="0"/>
    </xf>
    <xf numFmtId="0" fontId="37" fillId="0" borderId="0" xfId="0" applyFont="1" applyAlignment="1">
      <alignment vertical="center"/>
    </xf>
    <xf numFmtId="0" fontId="78" fillId="21" borderId="81" xfId="0" applyFont="1" applyFill="1" applyBorder="1" applyAlignment="1">
      <alignment horizontal="center" vertical="center" wrapText="1"/>
    </xf>
    <xf numFmtId="0" fontId="79" fillId="21" borderId="82" xfId="0" applyFont="1" applyFill="1" applyBorder="1" applyAlignment="1">
      <alignment horizontal="center" vertical="center" wrapText="1"/>
    </xf>
    <xf numFmtId="0" fontId="79" fillId="22" borderId="87" xfId="0" applyFont="1" applyFill="1" applyBorder="1" applyAlignment="1">
      <alignment horizontal="center" vertical="center" wrapText="1"/>
    </xf>
    <xf numFmtId="0" fontId="78" fillId="0" borderId="87" xfId="0" applyFont="1" applyBorder="1" applyAlignment="1">
      <alignment horizontal="center" vertical="center" wrapText="1"/>
    </xf>
    <xf numFmtId="0" fontId="79" fillId="22" borderId="86" xfId="0" applyFont="1" applyFill="1" applyBorder="1" applyAlignment="1">
      <alignment horizontal="center" vertical="center" wrapText="1"/>
    </xf>
    <xf numFmtId="0" fontId="78" fillId="0" borderId="86" xfId="0" applyFont="1" applyBorder="1" applyAlignment="1">
      <alignment horizontal="center" vertical="center" wrapText="1"/>
    </xf>
    <xf numFmtId="0" fontId="37" fillId="0" borderId="86" xfId="0" applyFont="1" applyBorder="1" applyAlignment="1">
      <alignment vertical="center" wrapText="1"/>
    </xf>
    <xf numFmtId="0" fontId="37" fillId="0" borderId="86" xfId="0" applyFont="1" applyBorder="1" applyAlignment="1">
      <alignment horizontal="center" vertical="center" wrapText="1"/>
    </xf>
    <xf numFmtId="0" fontId="79" fillId="22" borderId="90" xfId="0" applyFont="1" applyFill="1" applyBorder="1" applyAlignment="1">
      <alignment horizontal="center" vertical="center" wrapText="1"/>
    </xf>
    <xf numFmtId="0" fontId="78" fillId="0" borderId="90" xfId="0" applyFont="1" applyBorder="1" applyAlignment="1">
      <alignment horizontal="center" vertical="center" wrapText="1"/>
    </xf>
    <xf numFmtId="164" fontId="1" fillId="0" borderId="2" xfId="1" applyNumberFormat="1" applyFont="1" applyBorder="1" applyAlignment="1">
      <alignment horizontal="center" vertical="center"/>
    </xf>
    <xf numFmtId="0" fontId="37" fillId="0" borderId="33" xfId="0" applyFont="1" applyBorder="1" applyAlignment="1">
      <alignment horizontal="center" vertical="center"/>
    </xf>
    <xf numFmtId="0" fontId="37" fillId="5" borderId="33" xfId="0" applyFont="1" applyFill="1" applyBorder="1" applyAlignment="1">
      <alignment horizontal="center" vertical="center"/>
    </xf>
    <xf numFmtId="0" fontId="78" fillId="0" borderId="0" xfId="0" applyFont="1" applyAlignment="1">
      <alignment horizontal="center" vertical="center" wrapText="1"/>
    </xf>
    <xf numFmtId="0" fontId="37" fillId="23" borderId="33" xfId="0" applyFont="1" applyFill="1" applyBorder="1" applyAlignment="1">
      <alignment vertical="center"/>
    </xf>
    <xf numFmtId="0" fontId="78" fillId="0" borderId="91" xfId="0" applyFont="1" applyBorder="1" applyAlignment="1">
      <alignment horizontal="center" vertical="center" wrapText="1"/>
    </xf>
    <xf numFmtId="9" fontId="1" fillId="0" borderId="4" xfId="0" applyNumberFormat="1"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70" fillId="0" borderId="0" xfId="0" applyFont="1" applyAlignment="1" applyProtection="1">
      <alignment vertical="center" wrapText="1"/>
      <protection locked="0"/>
    </xf>
    <xf numFmtId="0" fontId="68" fillId="19" borderId="33" xfId="0" applyFont="1" applyFill="1" applyBorder="1" applyAlignment="1" applyProtection="1">
      <alignment horizontal="center" vertical="center" wrapText="1"/>
      <protection locked="0"/>
    </xf>
    <xf numFmtId="14" fontId="68" fillId="19" borderId="33" xfId="0" applyNumberFormat="1" applyFont="1" applyFill="1" applyBorder="1" applyAlignment="1" applyProtection="1">
      <alignment horizontal="center" vertical="center" wrapText="1"/>
      <protection locked="0"/>
    </xf>
    <xf numFmtId="14" fontId="68" fillId="0" borderId="33"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164" fontId="1" fillId="9" borderId="2" xfId="1" applyNumberFormat="1" applyFont="1" applyFill="1" applyBorder="1" applyAlignment="1">
      <alignment horizontal="center" vertical="center"/>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8" xfId="0" applyFont="1" applyBorder="1" applyAlignment="1">
      <alignment vertical="center" wrapText="1"/>
    </xf>
    <xf numFmtId="0" fontId="61" fillId="0" borderId="34" xfId="0" applyFont="1" applyBorder="1" applyAlignment="1">
      <alignment horizontal="left" vertical="center" wrapText="1"/>
    </xf>
    <xf numFmtId="0" fontId="61" fillId="0" borderId="33" xfId="0" applyFont="1" applyBorder="1" applyAlignment="1">
      <alignment horizontal="left" vertical="center" wrapText="1"/>
    </xf>
    <xf numFmtId="0" fontId="61" fillId="0" borderId="34" xfId="0" applyFont="1" applyBorder="1" applyAlignment="1">
      <alignment vertical="center" wrapText="1"/>
    </xf>
    <xf numFmtId="0" fontId="50" fillId="0" borderId="5" xfId="0" applyFont="1" applyBorder="1" applyAlignment="1" applyProtection="1">
      <alignment vertical="center" wrapText="1"/>
      <protection locked="0"/>
    </xf>
    <xf numFmtId="0" fontId="6" fillId="0" borderId="2" xfId="0" applyFont="1" applyBorder="1" applyAlignment="1" applyProtection="1">
      <alignment horizontal="justify" vertical="center" wrapText="1"/>
      <protection locked="0"/>
    </xf>
    <xf numFmtId="0" fontId="50" fillId="0" borderId="2" xfId="0" applyFont="1" applyBorder="1" applyAlignment="1" applyProtection="1">
      <alignment horizontal="justify" vertical="center" wrapText="1"/>
      <protection locked="0"/>
    </xf>
    <xf numFmtId="0" fontId="68" fillId="0" borderId="69" xfId="0" applyFont="1" applyBorder="1" applyAlignment="1" applyProtection="1">
      <alignment horizontal="right" vertical="center"/>
      <protection locked="0"/>
    </xf>
    <xf numFmtId="0" fontId="63" fillId="19" borderId="0" xfId="0" applyFont="1" applyFill="1" applyAlignment="1" applyProtection="1">
      <alignment vertical="center"/>
      <protection locked="0"/>
    </xf>
    <xf numFmtId="0" fontId="67" fillId="19" borderId="0" xfId="0" applyFont="1" applyFill="1" applyAlignment="1" applyProtection="1">
      <alignment vertical="center"/>
      <protection locked="0"/>
    </xf>
    <xf numFmtId="14" fontId="68" fillId="0" borderId="69" xfId="0" applyNumberFormat="1" applyFont="1" applyBorder="1" applyAlignment="1" applyProtection="1">
      <alignment horizontal="right" vertical="center"/>
      <protection locked="0"/>
    </xf>
    <xf numFmtId="0" fontId="69" fillId="19" borderId="0" xfId="0" applyFont="1" applyFill="1" applyAlignment="1" applyProtection="1">
      <alignment horizontal="right" vertical="center" wrapText="1"/>
      <protection locked="0"/>
    </xf>
    <xf numFmtId="0" fontId="72" fillId="19" borderId="0" xfId="0" applyFont="1" applyFill="1" applyAlignment="1" applyProtection="1">
      <alignment vertical="center"/>
      <protection locked="0"/>
    </xf>
    <xf numFmtId="0" fontId="68" fillId="20" borderId="0" xfId="0" applyFont="1" applyFill="1" applyAlignment="1" applyProtection="1">
      <alignment horizontal="center" vertical="center" wrapText="1"/>
      <protection locked="0"/>
    </xf>
    <xf numFmtId="0" fontId="68" fillId="20" borderId="0" xfId="0" applyFont="1" applyFill="1" applyAlignment="1" applyProtection="1">
      <alignment vertical="center" wrapText="1"/>
      <protection locked="0"/>
    </xf>
    <xf numFmtId="0" fontId="68" fillId="19" borderId="0" xfId="0" applyFont="1" applyFill="1" applyAlignment="1" applyProtection="1">
      <alignment vertical="center" wrapText="1"/>
      <protection locked="0"/>
    </xf>
    <xf numFmtId="0" fontId="63" fillId="0" borderId="0" xfId="0" applyFont="1" applyAlignment="1" applyProtection="1">
      <alignment vertical="center"/>
      <protection locked="0"/>
    </xf>
    <xf numFmtId="0" fontId="1" fillId="0" borderId="2" xfId="0" applyFont="1" applyBorder="1" applyAlignment="1" applyProtection="1">
      <alignment horizontal="justify" vertical="center"/>
      <protection locked="0"/>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0" fontId="62" fillId="3" borderId="48" xfId="2" applyFont="1" applyFill="1" applyBorder="1" applyAlignment="1">
      <alignment horizontal="center" vertical="center" wrapText="1"/>
    </xf>
    <xf numFmtId="0" fontId="62" fillId="3" borderId="49" xfId="2" applyFont="1" applyFill="1" applyBorder="1" applyAlignment="1">
      <alignment horizontal="center" vertical="center" wrapText="1"/>
    </xf>
    <xf numFmtId="0" fontId="62"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34" xfId="0" applyFont="1" applyFill="1" applyBorder="1" applyAlignment="1">
      <alignment horizontal="center" vertical="center" wrapText="1"/>
    </xf>
    <xf numFmtId="0" fontId="1" fillId="0" borderId="4" xfId="0" applyFont="1" applyBorder="1" applyAlignment="1" applyProtection="1">
      <alignment horizontal="center" vertical="center" textRotation="90"/>
      <protection locked="0"/>
    </xf>
    <xf numFmtId="0" fontId="1" fillId="0" borderId="8"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5"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9" fontId="1" fillId="0" borderId="4" xfId="0" applyNumberFormat="1" applyFont="1" applyBorder="1" applyAlignment="1" applyProtection="1">
      <alignment horizontal="left" vertical="center" wrapText="1"/>
      <protection locked="0"/>
    </xf>
    <xf numFmtId="9" fontId="1" fillId="0" borderId="8" xfId="0" applyNumberFormat="1"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49" fontId="77" fillId="19" borderId="0" xfId="0" applyNumberFormat="1" applyFont="1" applyFill="1" applyAlignment="1" applyProtection="1">
      <alignment horizontal="center" vertical="center" wrapText="1"/>
      <protection locked="0"/>
    </xf>
    <xf numFmtId="2" fontId="68" fillId="20" borderId="0" xfId="0" applyNumberFormat="1" applyFont="1" applyFill="1" applyAlignment="1" applyProtection="1">
      <alignment horizontal="center" vertical="center" wrapText="1"/>
      <protection hidden="1"/>
    </xf>
    <xf numFmtId="0" fontId="68" fillId="20" borderId="0" xfId="0" applyFont="1" applyFill="1" applyAlignment="1" applyProtection="1">
      <alignment horizontal="center" vertical="center" wrapText="1"/>
      <protection locked="0"/>
    </xf>
    <xf numFmtId="0" fontId="76" fillId="19" borderId="0" xfId="0" applyFont="1" applyFill="1" applyAlignment="1" applyProtection="1">
      <alignment horizontal="left" vertical="center"/>
      <protection locked="0"/>
    </xf>
    <xf numFmtId="0" fontId="69" fillId="0" borderId="77" xfId="0" applyFont="1" applyBorder="1" applyAlignment="1" applyProtection="1">
      <alignment horizontal="center" vertical="center" wrapText="1"/>
      <protection locked="0"/>
    </xf>
    <xf numFmtId="0" fontId="74" fillId="20" borderId="0" xfId="0" applyFont="1" applyFill="1" applyAlignment="1" applyProtection="1">
      <alignment horizontal="center" vertical="center" wrapText="1"/>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69" fillId="0" borderId="80" xfId="0" applyFont="1" applyBorder="1" applyAlignment="1" applyProtection="1">
      <alignment horizontal="center" vertical="center" wrapText="1"/>
      <protection locked="0"/>
    </xf>
    <xf numFmtId="0" fontId="68" fillId="19" borderId="78" xfId="0" applyFont="1" applyFill="1" applyBorder="1" applyAlignment="1" applyProtection="1">
      <alignment horizontal="left" vertical="center" wrapText="1"/>
      <protection locked="0"/>
    </xf>
    <xf numFmtId="0" fontId="68" fillId="19" borderId="79" xfId="0" applyFont="1" applyFill="1" applyBorder="1" applyAlignment="1" applyProtection="1">
      <alignment horizontal="left" vertical="center" wrapText="1"/>
      <protection locked="0"/>
    </xf>
    <xf numFmtId="0" fontId="68" fillId="19" borderId="80" xfId="0" applyFont="1" applyFill="1" applyBorder="1" applyAlignment="1" applyProtection="1">
      <alignment horizontal="left" vertical="center" wrapText="1"/>
      <protection locked="0"/>
    </xf>
    <xf numFmtId="0" fontId="68" fillId="0" borderId="78" xfId="0" applyFont="1" applyBorder="1" applyAlignment="1" applyProtection="1">
      <alignment horizontal="left" vertical="center" wrapText="1"/>
      <protection locked="0"/>
    </xf>
    <xf numFmtId="0" fontId="68" fillId="0" borderId="79" xfId="0" applyFont="1" applyBorder="1" applyAlignment="1" applyProtection="1">
      <alignment horizontal="left" vertical="center" wrapText="1"/>
      <protection locked="0"/>
    </xf>
    <xf numFmtId="0" fontId="68" fillId="0" borderId="80" xfId="0" applyFont="1" applyBorder="1" applyAlignment="1" applyProtection="1">
      <alignment horizontal="left"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79" fillId="22" borderId="89" xfId="0" applyFont="1" applyFill="1" applyBorder="1" applyAlignment="1">
      <alignment horizontal="center" vertical="center" wrapText="1"/>
    </xf>
    <xf numFmtId="0" fontId="79" fillId="22" borderId="84" xfId="0" applyFont="1" applyFill="1" applyBorder="1" applyAlignment="1">
      <alignment horizontal="center" vertical="center" wrapText="1"/>
    </xf>
    <xf numFmtId="0" fontId="78" fillId="0" borderId="89" xfId="0" applyFont="1" applyBorder="1" applyAlignment="1">
      <alignment horizontal="center" vertical="center" wrapText="1"/>
    </xf>
    <xf numFmtId="0" fontId="78" fillId="0" borderId="84" xfId="0" applyFont="1" applyBorder="1" applyAlignment="1">
      <alignment horizontal="center" vertical="center" wrapText="1"/>
    </xf>
    <xf numFmtId="0" fontId="79" fillId="21" borderId="88" xfId="0" applyFont="1" applyFill="1" applyBorder="1" applyAlignment="1">
      <alignment horizontal="center" vertical="center" wrapText="1"/>
    </xf>
    <xf numFmtId="0" fontId="79" fillId="21" borderId="83" xfId="0" applyFont="1" applyFill="1" applyBorder="1" applyAlignment="1">
      <alignment horizontal="center" vertical="center" wrapText="1"/>
    </xf>
    <xf numFmtId="0" fontId="79" fillId="21" borderId="82" xfId="0" applyFont="1" applyFill="1" applyBorder="1" applyAlignment="1">
      <alignment horizontal="center" vertical="center" wrapText="1"/>
    </xf>
    <xf numFmtId="0" fontId="79" fillId="22" borderId="85" xfId="0"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02">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13</xdr:row>
      <xdr:rowOff>0</xdr:rowOff>
    </xdr:from>
    <xdr:to>
      <xdr:col>16</xdr:col>
      <xdr:colOff>320675</xdr:colOff>
      <xdr:row>13</xdr:row>
      <xdr:rowOff>307181</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307181</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307181</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307181</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195407</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31</xdr:col>
      <xdr:colOff>590261</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1866900</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xdr:colOff>
      <xdr:row>8</xdr:row>
      <xdr:rowOff>127000</xdr:rowOff>
    </xdr:from>
    <xdr:to>
      <xdr:col>16</xdr:col>
      <xdr:colOff>28575</xdr:colOff>
      <xdr:row>9</xdr:row>
      <xdr:rowOff>200964</xdr:rowOff>
    </xdr:to>
    <xdr:sp macro="" textlink="">
      <xdr:nvSpPr>
        <xdr:cNvPr id="9" name="Rectangle 53">
          <a:extLst>
            <a:ext uri="{FF2B5EF4-FFF2-40B4-BE49-F238E27FC236}">
              <a16:creationId xmlns:a16="http://schemas.microsoft.com/office/drawing/2014/main" id="{17BB82E8-5DA0-4AB1-BF17-038E897FA901}"/>
            </a:ext>
          </a:extLst>
        </xdr:cNvPr>
        <xdr:cNvSpPr>
          <a:spLocks noChangeArrowheads="1"/>
        </xdr:cNvSpPr>
      </xdr:nvSpPr>
      <xdr:spPr bwMode="auto">
        <a:xfrm>
          <a:off x="21237575" y="2289175"/>
          <a:ext cx="3175" cy="283514"/>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13</xdr:row>
      <xdr:rowOff>0</xdr:rowOff>
    </xdr:from>
    <xdr:to>
      <xdr:col>16</xdr:col>
      <xdr:colOff>320675</xdr:colOff>
      <xdr:row>13</xdr:row>
      <xdr:rowOff>311943</xdr:rowOff>
    </xdr:to>
    <xdr:sp macro="" textlink="">
      <xdr:nvSpPr>
        <xdr:cNvPr id="10" name="AutoShape 38" descr="Resultado de imagen para boton agregar icono">
          <a:extLst>
            <a:ext uri="{FF2B5EF4-FFF2-40B4-BE49-F238E27FC236}">
              <a16:creationId xmlns:a16="http://schemas.microsoft.com/office/drawing/2014/main" id="{5A45F98C-B752-4A07-8F61-F1D08567343D}"/>
            </a:ext>
          </a:extLst>
        </xdr:cNvPr>
        <xdr:cNvSpPr>
          <a:spLocks noChangeAspect="1" noChangeArrowheads="1"/>
        </xdr:cNvSpPr>
      </xdr:nvSpPr>
      <xdr:spPr bwMode="auto">
        <a:xfrm>
          <a:off x="21237575" y="7715250"/>
          <a:ext cx="295275" cy="309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311943</xdr:rowOff>
    </xdr:to>
    <xdr:sp macro="" textlink="">
      <xdr:nvSpPr>
        <xdr:cNvPr id="11" name="AutoShape 39" descr="Resultado de imagen para boton agregar icono">
          <a:extLst>
            <a:ext uri="{FF2B5EF4-FFF2-40B4-BE49-F238E27FC236}">
              <a16:creationId xmlns:a16="http://schemas.microsoft.com/office/drawing/2014/main" id="{F205F417-227D-47AC-A365-7545253C1C50}"/>
            </a:ext>
          </a:extLst>
        </xdr:cNvPr>
        <xdr:cNvSpPr>
          <a:spLocks noChangeAspect="1" noChangeArrowheads="1"/>
        </xdr:cNvSpPr>
      </xdr:nvSpPr>
      <xdr:spPr bwMode="auto">
        <a:xfrm>
          <a:off x="21237575" y="7715250"/>
          <a:ext cx="295275" cy="309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311943</xdr:rowOff>
    </xdr:to>
    <xdr:sp macro="" textlink="">
      <xdr:nvSpPr>
        <xdr:cNvPr id="12" name="AutoShape 40" descr="Resultado de imagen para boton agregar icono">
          <a:extLst>
            <a:ext uri="{FF2B5EF4-FFF2-40B4-BE49-F238E27FC236}">
              <a16:creationId xmlns:a16="http://schemas.microsoft.com/office/drawing/2014/main" id="{3C662953-EE23-4C3F-9EC7-32244CF38B66}"/>
            </a:ext>
          </a:extLst>
        </xdr:cNvPr>
        <xdr:cNvSpPr>
          <a:spLocks noChangeAspect="1" noChangeArrowheads="1"/>
        </xdr:cNvSpPr>
      </xdr:nvSpPr>
      <xdr:spPr bwMode="auto">
        <a:xfrm>
          <a:off x="21237575" y="7715250"/>
          <a:ext cx="295275" cy="309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311943</xdr:rowOff>
    </xdr:to>
    <xdr:sp macro="" textlink="">
      <xdr:nvSpPr>
        <xdr:cNvPr id="13" name="AutoShape 42" descr="Z">
          <a:extLst>
            <a:ext uri="{FF2B5EF4-FFF2-40B4-BE49-F238E27FC236}">
              <a16:creationId xmlns:a16="http://schemas.microsoft.com/office/drawing/2014/main" id="{DBEAE42F-91CB-4973-AC7C-A445BD78BCE5}"/>
            </a:ext>
          </a:extLst>
        </xdr:cNvPr>
        <xdr:cNvSpPr>
          <a:spLocks noChangeAspect="1" noChangeArrowheads="1"/>
        </xdr:cNvSpPr>
      </xdr:nvSpPr>
      <xdr:spPr bwMode="auto">
        <a:xfrm>
          <a:off x="21237575" y="7715250"/>
          <a:ext cx="295275" cy="309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28575</xdr:colOff>
      <xdr:row>9</xdr:row>
      <xdr:rowOff>200964</xdr:rowOff>
    </xdr:to>
    <xdr:sp macro="" textlink="">
      <xdr:nvSpPr>
        <xdr:cNvPr id="14" name="Rectangle 53">
          <a:extLst>
            <a:ext uri="{FF2B5EF4-FFF2-40B4-BE49-F238E27FC236}">
              <a16:creationId xmlns:a16="http://schemas.microsoft.com/office/drawing/2014/main" id="{2835C9D3-A8CB-493F-92E5-9C8E2D408A04}"/>
            </a:ext>
          </a:extLst>
        </xdr:cNvPr>
        <xdr:cNvSpPr>
          <a:spLocks noChangeArrowheads="1"/>
        </xdr:cNvSpPr>
      </xdr:nvSpPr>
      <xdr:spPr bwMode="auto">
        <a:xfrm>
          <a:off x="21237575" y="2289175"/>
          <a:ext cx="3175" cy="283514"/>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18</xdr:col>
      <xdr:colOff>0</xdr:colOff>
      <xdr:row>26</xdr:row>
      <xdr:rowOff>0</xdr:rowOff>
    </xdr:from>
    <xdr:to>
      <xdr:col>18</xdr:col>
      <xdr:colOff>304800</xdr:colOff>
      <xdr:row>26</xdr:row>
      <xdr:rowOff>304800</xdr:rowOff>
    </xdr:to>
    <xdr:sp macro="" textlink="">
      <xdr:nvSpPr>
        <xdr:cNvPr id="3073" name="avatar">
          <a:extLst>
            <a:ext uri="{FF2B5EF4-FFF2-40B4-BE49-F238E27FC236}">
              <a16:creationId xmlns:a16="http://schemas.microsoft.com/office/drawing/2014/main" id="{958A7F68-3478-8D04-AFD2-23624BCE7D62}"/>
            </a:ext>
          </a:extLst>
        </xdr:cNvPr>
        <xdr:cNvSpPr>
          <a:spLocks noChangeAspect="1" noChangeArrowheads="1"/>
        </xdr:cNvSpPr>
      </xdr:nvSpPr>
      <xdr:spPr bwMode="auto">
        <a:xfrm>
          <a:off x="22907625"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nesly_cogollos_gobiernobogota_gov_co/Documents/gobierno/2022/Planeaci&#243;n/Riesgos/Trabajo%20equipos/ejercicio%20enviado%20por%20Ca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_Formatos_Matriz_de_riesgos_x_2"/>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proces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3" Type="http://schemas.microsoft.com/office/2019/04/relationships/externalLinkLongPath" Target="Matriz%20riesgos%20convivencia%20y%20di&#225;logo.xlsx?9217ED62" TargetMode="External"/><Relationship Id="rId2" Type="http://schemas.openxmlformats.org/officeDocument/2006/relationships/externalLinkPath" Target="file:///\\9217ED62\Matriz%20riesgos%20convivencia%20y%20di&#225;logo.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35" zoomScale="110" zoomScaleNormal="110" workbookViewId="0">
      <selection activeCell="B12" sqref="B12:H12"/>
    </sheetView>
  </sheetViews>
  <sheetFormatPr baseColWidth="10" defaultColWidth="11.42578125" defaultRowHeight="15" x14ac:dyDescent="0.25"/>
  <cols>
    <col min="1" max="1" width="2.85546875" style="79" customWidth="1"/>
    <col min="2" max="3" width="24.7109375" style="79" customWidth="1"/>
    <col min="4" max="4" width="16" style="79" customWidth="1"/>
    <col min="5" max="5" width="24.7109375" style="79" customWidth="1"/>
    <col min="6" max="6" width="27.7109375" style="79" customWidth="1"/>
    <col min="7" max="8" width="24.7109375" style="79" customWidth="1"/>
    <col min="9" max="16384" width="11.42578125" style="79"/>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17" t="s">
        <v>0</v>
      </c>
      <c r="C12" s="218"/>
      <c r="D12" s="218"/>
      <c r="E12" s="218"/>
      <c r="F12" s="218"/>
      <c r="G12" s="218"/>
      <c r="H12" s="219"/>
    </row>
    <row r="13" spans="2:8" ht="11.1" customHeight="1" x14ac:dyDescent="0.25">
      <c r="B13" s="80"/>
      <c r="C13" s="81"/>
      <c r="D13" s="81"/>
      <c r="E13" s="81"/>
      <c r="F13" s="81"/>
      <c r="G13" s="81"/>
      <c r="H13" s="82"/>
    </row>
    <row r="14" spans="2:8" ht="29.1" hidden="1" customHeight="1" x14ac:dyDescent="0.25">
      <c r="B14" s="220" t="s">
        <v>210</v>
      </c>
      <c r="C14" s="221"/>
      <c r="D14" s="221"/>
      <c r="E14" s="221"/>
      <c r="F14" s="221"/>
      <c r="G14" s="221"/>
      <c r="H14" s="222"/>
    </row>
    <row r="15" spans="2:8" ht="63" hidden="1" customHeight="1" x14ac:dyDescent="0.25">
      <c r="B15" s="223"/>
      <c r="C15" s="224"/>
      <c r="D15" s="224"/>
      <c r="E15" s="224"/>
      <c r="F15" s="224"/>
      <c r="G15" s="224"/>
      <c r="H15" s="225"/>
    </row>
    <row r="16" spans="2:8" ht="16.5" x14ac:dyDescent="0.25">
      <c r="B16" s="226" t="s">
        <v>1</v>
      </c>
      <c r="C16" s="227"/>
      <c r="D16" s="227"/>
      <c r="E16" s="227"/>
      <c r="F16" s="227"/>
      <c r="G16" s="227"/>
      <c r="H16" s="228"/>
    </row>
    <row r="17" spans="2:8" ht="95.25" customHeight="1" x14ac:dyDescent="0.25">
      <c r="B17" s="236" t="s">
        <v>2</v>
      </c>
      <c r="C17" s="237"/>
      <c r="D17" s="237"/>
      <c r="E17" s="237"/>
      <c r="F17" s="237"/>
      <c r="G17" s="237"/>
      <c r="H17" s="238"/>
    </row>
    <row r="18" spans="2:8" ht="16.5" x14ac:dyDescent="0.25">
      <c r="B18" s="116"/>
      <c r="C18" s="117"/>
      <c r="D18" s="117"/>
      <c r="E18" s="117"/>
      <c r="F18" s="117"/>
      <c r="G18" s="117"/>
      <c r="H18" s="118"/>
    </row>
    <row r="19" spans="2:8" ht="16.5" customHeight="1" x14ac:dyDescent="0.25">
      <c r="B19" s="229" t="s">
        <v>227</v>
      </c>
      <c r="C19" s="230"/>
      <c r="D19" s="230"/>
      <c r="E19" s="230"/>
      <c r="F19" s="230"/>
      <c r="G19" s="230"/>
      <c r="H19" s="231"/>
    </row>
    <row r="20" spans="2:8" ht="44.25" customHeight="1" x14ac:dyDescent="0.25">
      <c r="B20" s="229"/>
      <c r="C20" s="230"/>
      <c r="D20" s="230"/>
      <c r="E20" s="230"/>
      <c r="F20" s="230"/>
      <c r="G20" s="230"/>
      <c r="H20" s="231"/>
    </row>
    <row r="21" spans="2:8" ht="15.75" thickBot="1" x14ac:dyDescent="0.3">
      <c r="B21" s="105"/>
      <c r="C21" s="108"/>
      <c r="D21" s="113"/>
      <c r="E21" s="114"/>
      <c r="F21" s="114"/>
      <c r="G21" s="115"/>
      <c r="H21" s="109"/>
    </row>
    <row r="22" spans="2:8" ht="15.75" thickTop="1" x14ac:dyDescent="0.25">
      <c r="B22" s="105"/>
      <c r="C22" s="232" t="s">
        <v>3</v>
      </c>
      <c r="D22" s="233"/>
      <c r="E22" s="234" t="s">
        <v>4</v>
      </c>
      <c r="F22" s="235"/>
      <c r="G22" s="108"/>
      <c r="H22" s="109"/>
    </row>
    <row r="23" spans="2:8" ht="35.25" customHeight="1" x14ac:dyDescent="0.25">
      <c r="B23" s="105"/>
      <c r="C23" s="204" t="s">
        <v>5</v>
      </c>
      <c r="D23" s="205"/>
      <c r="E23" s="206" t="s">
        <v>6</v>
      </c>
      <c r="F23" s="207"/>
      <c r="G23" s="108"/>
      <c r="H23" s="109"/>
    </row>
    <row r="24" spans="2:8" ht="17.25" customHeight="1" x14ac:dyDescent="0.25">
      <c r="B24" s="105"/>
      <c r="C24" s="204" t="s">
        <v>7</v>
      </c>
      <c r="D24" s="205"/>
      <c r="E24" s="206" t="s">
        <v>8</v>
      </c>
      <c r="F24" s="207"/>
      <c r="G24" s="108"/>
      <c r="H24" s="109"/>
    </row>
    <row r="25" spans="2:8" ht="19.5" customHeight="1" x14ac:dyDescent="0.25">
      <c r="B25" s="105"/>
      <c r="C25" s="204" t="s">
        <v>9</v>
      </c>
      <c r="D25" s="205"/>
      <c r="E25" s="206" t="s">
        <v>10</v>
      </c>
      <c r="F25" s="207"/>
      <c r="G25" s="108"/>
      <c r="H25" s="109"/>
    </row>
    <row r="26" spans="2:8" ht="69.75" customHeight="1" x14ac:dyDescent="0.25">
      <c r="B26" s="105"/>
      <c r="C26" s="204" t="s">
        <v>11</v>
      </c>
      <c r="D26" s="205"/>
      <c r="E26" s="206" t="s">
        <v>12</v>
      </c>
      <c r="F26" s="207"/>
      <c r="G26" s="108"/>
      <c r="H26" s="109"/>
    </row>
    <row r="27" spans="2:8" ht="34.5" customHeight="1" x14ac:dyDescent="0.25">
      <c r="B27" s="105"/>
      <c r="C27" s="208" t="s">
        <v>13</v>
      </c>
      <c r="D27" s="209"/>
      <c r="E27" s="200" t="s">
        <v>14</v>
      </c>
      <c r="F27" s="201"/>
      <c r="G27" s="108"/>
      <c r="H27" s="109"/>
    </row>
    <row r="28" spans="2:8" ht="27.75" customHeight="1" x14ac:dyDescent="0.25">
      <c r="B28" s="105"/>
      <c r="C28" s="208" t="s">
        <v>15</v>
      </c>
      <c r="D28" s="209"/>
      <c r="E28" s="200" t="s">
        <v>16</v>
      </c>
      <c r="F28" s="201"/>
      <c r="G28" s="108"/>
      <c r="H28" s="109"/>
    </row>
    <row r="29" spans="2:8" ht="28.5" customHeight="1" x14ac:dyDescent="0.25">
      <c r="B29" s="105"/>
      <c r="C29" s="208" t="s">
        <v>17</v>
      </c>
      <c r="D29" s="209"/>
      <c r="E29" s="200" t="s">
        <v>18</v>
      </c>
      <c r="F29" s="201"/>
      <c r="G29" s="108"/>
      <c r="H29" s="109"/>
    </row>
    <row r="30" spans="2:8" ht="72.75" customHeight="1" x14ac:dyDescent="0.25">
      <c r="B30" s="105"/>
      <c r="C30" s="208" t="s">
        <v>19</v>
      </c>
      <c r="D30" s="209"/>
      <c r="E30" s="200" t="s">
        <v>20</v>
      </c>
      <c r="F30" s="201"/>
      <c r="G30" s="108"/>
      <c r="H30" s="109"/>
    </row>
    <row r="31" spans="2:8" ht="64.5" customHeight="1" x14ac:dyDescent="0.25">
      <c r="B31" s="105"/>
      <c r="C31" s="208" t="s">
        <v>21</v>
      </c>
      <c r="D31" s="209"/>
      <c r="E31" s="200" t="s">
        <v>22</v>
      </c>
      <c r="F31" s="201"/>
      <c r="G31" s="108"/>
      <c r="H31" s="109"/>
    </row>
    <row r="32" spans="2:8" ht="71.25" customHeight="1" x14ac:dyDescent="0.25">
      <c r="B32" s="105"/>
      <c r="C32" s="208" t="s">
        <v>23</v>
      </c>
      <c r="D32" s="209"/>
      <c r="E32" s="200" t="s">
        <v>24</v>
      </c>
      <c r="F32" s="201"/>
      <c r="G32" s="108"/>
      <c r="H32" s="109"/>
    </row>
    <row r="33" spans="2:8" ht="55.5" customHeight="1" x14ac:dyDescent="0.25">
      <c r="B33" s="105"/>
      <c r="C33" s="202" t="s">
        <v>25</v>
      </c>
      <c r="D33" s="203"/>
      <c r="E33" s="200" t="s">
        <v>26</v>
      </c>
      <c r="F33" s="201"/>
      <c r="G33" s="108"/>
      <c r="H33" s="109"/>
    </row>
    <row r="34" spans="2:8" ht="42" customHeight="1" x14ac:dyDescent="0.25">
      <c r="B34" s="105"/>
      <c r="C34" s="202" t="s">
        <v>27</v>
      </c>
      <c r="D34" s="203"/>
      <c r="E34" s="200" t="s">
        <v>28</v>
      </c>
      <c r="F34" s="201"/>
      <c r="G34" s="108"/>
      <c r="H34" s="109"/>
    </row>
    <row r="35" spans="2:8" ht="59.25" customHeight="1" x14ac:dyDescent="0.25">
      <c r="B35" s="105"/>
      <c r="C35" s="202" t="s">
        <v>29</v>
      </c>
      <c r="D35" s="203"/>
      <c r="E35" s="200" t="s">
        <v>30</v>
      </c>
      <c r="F35" s="201"/>
      <c r="G35" s="108"/>
      <c r="H35" s="109"/>
    </row>
    <row r="36" spans="2:8" ht="23.25" customHeight="1" x14ac:dyDescent="0.25">
      <c r="B36" s="105"/>
      <c r="C36" s="202" t="s">
        <v>31</v>
      </c>
      <c r="D36" s="203"/>
      <c r="E36" s="200" t="s">
        <v>32</v>
      </c>
      <c r="F36" s="201"/>
      <c r="G36" s="108"/>
      <c r="H36" s="109"/>
    </row>
    <row r="37" spans="2:8" ht="30.75" customHeight="1" x14ac:dyDescent="0.25">
      <c r="B37" s="105"/>
      <c r="C37" s="202" t="s">
        <v>33</v>
      </c>
      <c r="D37" s="203"/>
      <c r="E37" s="200" t="s">
        <v>34</v>
      </c>
      <c r="F37" s="201"/>
      <c r="G37" s="108"/>
      <c r="H37" s="109"/>
    </row>
    <row r="38" spans="2:8" ht="35.25" customHeight="1" x14ac:dyDescent="0.25">
      <c r="B38" s="105"/>
      <c r="C38" s="202" t="s">
        <v>35</v>
      </c>
      <c r="D38" s="203"/>
      <c r="E38" s="200" t="s">
        <v>36</v>
      </c>
      <c r="F38" s="201"/>
      <c r="G38" s="108"/>
      <c r="H38" s="109"/>
    </row>
    <row r="39" spans="2:8" ht="33" customHeight="1" x14ac:dyDescent="0.25">
      <c r="B39" s="105"/>
      <c r="C39" s="202" t="s">
        <v>35</v>
      </c>
      <c r="D39" s="203"/>
      <c r="E39" s="200" t="s">
        <v>36</v>
      </c>
      <c r="F39" s="201"/>
      <c r="G39" s="108"/>
      <c r="H39" s="109"/>
    </row>
    <row r="40" spans="2:8" ht="30" customHeight="1" x14ac:dyDescent="0.25">
      <c r="B40" s="105"/>
      <c r="C40" s="202" t="s">
        <v>37</v>
      </c>
      <c r="D40" s="203"/>
      <c r="E40" s="200" t="s">
        <v>38</v>
      </c>
      <c r="F40" s="201"/>
      <c r="G40" s="108"/>
      <c r="H40" s="109"/>
    </row>
    <row r="41" spans="2:8" ht="35.25" customHeight="1" x14ac:dyDescent="0.25">
      <c r="B41" s="105"/>
      <c r="C41" s="202" t="s">
        <v>39</v>
      </c>
      <c r="D41" s="203"/>
      <c r="E41" s="200" t="s">
        <v>40</v>
      </c>
      <c r="F41" s="201"/>
      <c r="G41" s="108"/>
      <c r="H41" s="109"/>
    </row>
    <row r="42" spans="2:8" ht="31.5" customHeight="1" x14ac:dyDescent="0.25">
      <c r="B42" s="105"/>
      <c r="C42" s="202" t="s">
        <v>41</v>
      </c>
      <c r="D42" s="203"/>
      <c r="E42" s="200" t="s">
        <v>42</v>
      </c>
      <c r="F42" s="201"/>
      <c r="G42" s="108"/>
      <c r="H42" s="109"/>
    </row>
    <row r="43" spans="2:8" ht="35.25" customHeight="1" x14ac:dyDescent="0.25">
      <c r="B43" s="105"/>
      <c r="C43" s="202" t="s">
        <v>43</v>
      </c>
      <c r="D43" s="203"/>
      <c r="E43" s="200" t="s">
        <v>44</v>
      </c>
      <c r="F43" s="201"/>
      <c r="G43" s="108"/>
      <c r="H43" s="109"/>
    </row>
    <row r="44" spans="2:8" ht="59.25" customHeight="1" x14ac:dyDescent="0.25">
      <c r="B44" s="105"/>
      <c r="C44" s="202" t="s">
        <v>45</v>
      </c>
      <c r="D44" s="203"/>
      <c r="E44" s="200" t="s">
        <v>46</v>
      </c>
      <c r="F44" s="201"/>
      <c r="G44" s="108"/>
      <c r="H44" s="109"/>
    </row>
    <row r="45" spans="2:8" ht="29.25" customHeight="1" x14ac:dyDescent="0.25">
      <c r="B45" s="105"/>
      <c r="C45" s="202" t="s">
        <v>47</v>
      </c>
      <c r="D45" s="203"/>
      <c r="E45" s="200" t="s">
        <v>48</v>
      </c>
      <c r="F45" s="201"/>
      <c r="G45" s="108"/>
      <c r="H45" s="109"/>
    </row>
    <row r="46" spans="2:8" ht="82.5" customHeight="1" x14ac:dyDescent="0.25">
      <c r="B46" s="105"/>
      <c r="C46" s="202" t="s">
        <v>49</v>
      </c>
      <c r="D46" s="203"/>
      <c r="E46" s="200" t="s">
        <v>50</v>
      </c>
      <c r="F46" s="201"/>
      <c r="G46" s="108"/>
      <c r="H46" s="109"/>
    </row>
    <row r="47" spans="2:8" ht="46.5" customHeight="1" x14ac:dyDescent="0.25">
      <c r="B47" s="105"/>
      <c r="C47" s="202" t="s">
        <v>51</v>
      </c>
      <c r="D47" s="203"/>
      <c r="E47" s="200" t="s">
        <v>52</v>
      </c>
      <c r="F47" s="201"/>
      <c r="G47" s="108"/>
      <c r="H47" s="109"/>
    </row>
    <row r="48" spans="2:8" ht="6.75" customHeight="1" thickBot="1" x14ac:dyDescent="0.3">
      <c r="B48" s="105"/>
      <c r="C48" s="213"/>
      <c r="D48" s="214"/>
      <c r="E48" s="215"/>
      <c r="F48" s="216"/>
      <c r="G48" s="108"/>
      <c r="H48" s="109"/>
    </row>
    <row r="49" spans="2:8" ht="15.75" thickTop="1" x14ac:dyDescent="0.25">
      <c r="B49" s="105"/>
      <c r="C49" s="106"/>
      <c r="D49" s="106"/>
      <c r="E49" s="107"/>
      <c r="F49" s="107"/>
      <c r="G49" s="108"/>
      <c r="H49" s="109"/>
    </row>
    <row r="50" spans="2:8" ht="21" customHeight="1" x14ac:dyDescent="0.25">
      <c r="B50" s="210" t="s">
        <v>53</v>
      </c>
      <c r="C50" s="211"/>
      <c r="D50" s="211"/>
      <c r="E50" s="211"/>
      <c r="F50" s="211"/>
      <c r="G50" s="211"/>
      <c r="H50" s="212"/>
    </row>
    <row r="51" spans="2:8" ht="20.25" customHeight="1" x14ac:dyDescent="0.25">
      <c r="B51" s="210" t="s">
        <v>54</v>
      </c>
      <c r="C51" s="211"/>
      <c r="D51" s="211"/>
      <c r="E51" s="211"/>
      <c r="F51" s="211"/>
      <c r="G51" s="211"/>
      <c r="H51" s="212"/>
    </row>
    <row r="52" spans="2:8" ht="20.25" customHeight="1" x14ac:dyDescent="0.25">
      <c r="B52" s="210" t="s">
        <v>55</v>
      </c>
      <c r="C52" s="211"/>
      <c r="D52" s="211"/>
      <c r="E52" s="211"/>
      <c r="F52" s="211"/>
      <c r="G52" s="211"/>
      <c r="H52" s="212"/>
    </row>
    <row r="53" spans="2:8" ht="20.25" customHeight="1" x14ac:dyDescent="0.25">
      <c r="B53" s="210" t="s">
        <v>56</v>
      </c>
      <c r="C53" s="211"/>
      <c r="D53" s="211"/>
      <c r="E53" s="211"/>
      <c r="F53" s="211"/>
      <c r="G53" s="211"/>
      <c r="H53" s="212"/>
    </row>
    <row r="54" spans="2:8" x14ac:dyDescent="0.25">
      <c r="B54" s="210" t="s">
        <v>57</v>
      </c>
      <c r="C54" s="211"/>
      <c r="D54" s="211"/>
      <c r="E54" s="211"/>
      <c r="F54" s="211"/>
      <c r="G54" s="211"/>
      <c r="H54" s="212"/>
    </row>
    <row r="55" spans="2:8" ht="15.75" thickBot="1" x14ac:dyDescent="0.3">
      <c r="B55" s="110"/>
      <c r="C55" s="111"/>
      <c r="D55" s="111"/>
      <c r="E55" s="111"/>
      <c r="F55" s="111"/>
      <c r="G55" s="111"/>
      <c r="H55" s="112"/>
    </row>
  </sheetData>
  <mergeCells count="64">
    <mergeCell ref="B12:H12"/>
    <mergeCell ref="B14:H15"/>
    <mergeCell ref="B16:H16"/>
    <mergeCell ref="B19:H20"/>
    <mergeCell ref="C22:D22"/>
    <mergeCell ref="E22:F22"/>
    <mergeCell ref="B17:H17"/>
    <mergeCell ref="C23:D23"/>
    <mergeCell ref="E23:F23"/>
    <mergeCell ref="C27:D27"/>
    <mergeCell ref="E27:F27"/>
    <mergeCell ref="C31:D31"/>
    <mergeCell ref="C28:D28"/>
    <mergeCell ref="C29:D29"/>
    <mergeCell ref="C30:D30"/>
    <mergeCell ref="E28:F28"/>
    <mergeCell ref="E29:F29"/>
    <mergeCell ref="E30:F30"/>
    <mergeCell ref="E31:F31"/>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43:D43"/>
    <mergeCell ref="B50:H50"/>
    <mergeCell ref="C39:D39"/>
    <mergeCell ref="E39:F39"/>
    <mergeCell ref="C40:D40"/>
    <mergeCell ref="E40:F40"/>
    <mergeCell ref="E43:F43"/>
    <mergeCell ref="C44:D44"/>
    <mergeCell ref="C45:D45"/>
    <mergeCell ref="E45:F45"/>
    <mergeCell ref="C46:D46"/>
    <mergeCell ref="E46:F46"/>
    <mergeCell ref="B51:H51"/>
    <mergeCell ref="C48:D48"/>
    <mergeCell ref="E48:F48"/>
    <mergeCell ref="C47:D47"/>
    <mergeCell ref="E47:F47"/>
    <mergeCell ref="E38:F38"/>
    <mergeCell ref="C38:D38"/>
    <mergeCell ref="C26:D26"/>
    <mergeCell ref="E26:F26"/>
    <mergeCell ref="C24:D24"/>
    <mergeCell ref="E24:F24"/>
    <mergeCell ref="C25:D25"/>
    <mergeCell ref="E25:F25"/>
    <mergeCell ref="E32:F32"/>
    <mergeCell ref="C32:D32"/>
    <mergeCell ref="C35:D35"/>
    <mergeCell ref="E35:F3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4"/>
    <col min="3" max="3" width="17" style="84" customWidth="1"/>
    <col min="4" max="4" width="14.28515625" style="84"/>
    <col min="5" max="5" width="46" style="84" customWidth="1"/>
    <col min="6" max="16384" width="14.28515625" style="84"/>
  </cols>
  <sheetData>
    <row r="1" spans="2:6" ht="24" customHeight="1" thickBot="1" x14ac:dyDescent="0.25">
      <c r="B1" s="473" t="s">
        <v>159</v>
      </c>
      <c r="C1" s="474"/>
      <c r="D1" s="474"/>
      <c r="E1" s="474"/>
      <c r="F1" s="475"/>
    </row>
    <row r="2" spans="2:6" ht="16.5" thickBot="1" x14ac:dyDescent="0.3">
      <c r="B2" s="85"/>
      <c r="C2" s="85"/>
      <c r="D2" s="85"/>
      <c r="E2" s="85"/>
      <c r="F2" s="85"/>
    </row>
    <row r="3" spans="2:6" ht="16.5" thickBot="1" x14ac:dyDescent="0.25">
      <c r="B3" s="477" t="s">
        <v>160</v>
      </c>
      <c r="C3" s="478"/>
      <c r="D3" s="478"/>
      <c r="E3" s="97" t="s">
        <v>161</v>
      </c>
      <c r="F3" s="98" t="s">
        <v>162</v>
      </c>
    </row>
    <row r="4" spans="2:6" ht="31.5" x14ac:dyDescent="0.2">
      <c r="B4" s="479" t="s">
        <v>163</v>
      </c>
      <c r="C4" s="481" t="s">
        <v>83</v>
      </c>
      <c r="D4" s="86" t="s">
        <v>164</v>
      </c>
      <c r="E4" s="87" t="s">
        <v>165</v>
      </c>
      <c r="F4" s="88">
        <v>0.25</v>
      </c>
    </row>
    <row r="5" spans="2:6" ht="47.25" x14ac:dyDescent="0.2">
      <c r="B5" s="480"/>
      <c r="C5" s="482"/>
      <c r="D5" s="89" t="s">
        <v>166</v>
      </c>
      <c r="E5" s="90" t="s">
        <v>167</v>
      </c>
      <c r="F5" s="91">
        <v>0.15</v>
      </c>
    </row>
    <row r="6" spans="2:6" ht="47.25" x14ac:dyDescent="0.2">
      <c r="B6" s="480"/>
      <c r="C6" s="482"/>
      <c r="D6" s="89" t="s">
        <v>168</v>
      </c>
      <c r="E6" s="90" t="s">
        <v>169</v>
      </c>
      <c r="F6" s="91">
        <v>0.1</v>
      </c>
    </row>
    <row r="7" spans="2:6" ht="63" x14ac:dyDescent="0.2">
      <c r="B7" s="480"/>
      <c r="C7" s="482" t="s">
        <v>84</v>
      </c>
      <c r="D7" s="89" t="s">
        <v>170</v>
      </c>
      <c r="E7" s="90" t="s">
        <v>171</v>
      </c>
      <c r="F7" s="91">
        <v>0.25</v>
      </c>
    </row>
    <row r="8" spans="2:6" ht="31.5" x14ac:dyDescent="0.2">
      <c r="B8" s="480"/>
      <c r="C8" s="482"/>
      <c r="D8" s="89" t="s">
        <v>172</v>
      </c>
      <c r="E8" s="90" t="s">
        <v>173</v>
      </c>
      <c r="F8" s="91">
        <v>0.15</v>
      </c>
    </row>
    <row r="9" spans="2:6" ht="47.25" x14ac:dyDescent="0.2">
      <c r="B9" s="480" t="s">
        <v>174</v>
      </c>
      <c r="C9" s="482" t="s">
        <v>86</v>
      </c>
      <c r="D9" s="89" t="s">
        <v>175</v>
      </c>
      <c r="E9" s="90" t="s">
        <v>176</v>
      </c>
      <c r="F9" s="92" t="s">
        <v>177</v>
      </c>
    </row>
    <row r="10" spans="2:6" ht="63" x14ac:dyDescent="0.2">
      <c r="B10" s="480"/>
      <c r="C10" s="482"/>
      <c r="D10" s="89" t="s">
        <v>178</v>
      </c>
      <c r="E10" s="90" t="s">
        <v>179</v>
      </c>
      <c r="F10" s="92" t="s">
        <v>177</v>
      </c>
    </row>
    <row r="11" spans="2:6" ht="47.25" x14ac:dyDescent="0.2">
      <c r="B11" s="480"/>
      <c r="C11" s="482" t="s">
        <v>87</v>
      </c>
      <c r="D11" s="89" t="s">
        <v>180</v>
      </c>
      <c r="E11" s="90" t="s">
        <v>181</v>
      </c>
      <c r="F11" s="92" t="s">
        <v>177</v>
      </c>
    </row>
    <row r="12" spans="2:6" ht="47.25" x14ac:dyDescent="0.2">
      <c r="B12" s="480"/>
      <c r="C12" s="482"/>
      <c r="D12" s="89" t="s">
        <v>182</v>
      </c>
      <c r="E12" s="90" t="s">
        <v>183</v>
      </c>
      <c r="F12" s="92" t="s">
        <v>177</v>
      </c>
    </row>
    <row r="13" spans="2:6" ht="31.5" x14ac:dyDescent="0.2">
      <c r="B13" s="480"/>
      <c r="C13" s="482" t="s">
        <v>88</v>
      </c>
      <c r="D13" s="89" t="s">
        <v>184</v>
      </c>
      <c r="E13" s="90" t="s">
        <v>185</v>
      </c>
      <c r="F13" s="92" t="s">
        <v>177</v>
      </c>
    </row>
    <row r="14" spans="2:6" ht="32.25" thickBot="1" x14ac:dyDescent="0.25">
      <c r="B14" s="483"/>
      <c r="C14" s="484"/>
      <c r="D14" s="93" t="s">
        <v>186</v>
      </c>
      <c r="E14" s="94" t="s">
        <v>187</v>
      </c>
      <c r="F14" s="95" t="s">
        <v>177</v>
      </c>
    </row>
    <row r="15" spans="2:6" ht="49.5" customHeight="1" x14ac:dyDescent="0.2">
      <c r="B15" s="476" t="s">
        <v>188</v>
      </c>
      <c r="C15" s="476"/>
      <c r="D15" s="476"/>
      <c r="E15" s="476"/>
      <c r="F15" s="476"/>
    </row>
    <row r="16" spans="2:6" ht="27" customHeight="1" x14ac:dyDescent="0.25">
      <c r="B16" s="9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6" customWidth="1"/>
    <col min="2" max="16384" width="11.42578125" style="6"/>
  </cols>
  <sheetData>
    <row r="3" spans="1:1" x14ac:dyDescent="0.2">
      <c r="A3" s="7" t="s">
        <v>164</v>
      </c>
    </row>
    <row r="4" spans="1:1" x14ac:dyDescent="0.2">
      <c r="A4" s="7" t="s">
        <v>166</v>
      </c>
    </row>
    <row r="5" spans="1:1" x14ac:dyDescent="0.2">
      <c r="A5" s="7" t="s">
        <v>168</v>
      </c>
    </row>
    <row r="6" spans="1:1" x14ac:dyDescent="0.2">
      <c r="A6" s="7" t="s">
        <v>170</v>
      </c>
    </row>
    <row r="7" spans="1:1" x14ac:dyDescent="0.2">
      <c r="A7" s="7" t="s">
        <v>172</v>
      </c>
    </row>
    <row r="8" spans="1:1" x14ac:dyDescent="0.2">
      <c r="A8" s="7" t="s">
        <v>175</v>
      </c>
    </row>
    <row r="9" spans="1:1" x14ac:dyDescent="0.2">
      <c r="A9" s="7" t="s">
        <v>178</v>
      </c>
    </row>
    <row r="10" spans="1:1" x14ac:dyDescent="0.2">
      <c r="A10" s="7" t="s">
        <v>180</v>
      </c>
    </row>
    <row r="11" spans="1:1" x14ac:dyDescent="0.2">
      <c r="A11" s="7" t="s">
        <v>182</v>
      </c>
    </row>
    <row r="12" spans="1:1" x14ac:dyDescent="0.2">
      <c r="A12" s="7" t="s">
        <v>206</v>
      </c>
    </row>
    <row r="13" spans="1:1" x14ac:dyDescent="0.2">
      <c r="A13" s="7" t="s">
        <v>207</v>
      </c>
    </row>
    <row r="14" spans="1:1" x14ac:dyDescent="0.2">
      <c r="A14" s="7" t="s">
        <v>208</v>
      </c>
    </row>
    <row r="16" spans="1:1" x14ac:dyDescent="0.2">
      <c r="A16" s="7" t="s">
        <v>209</v>
      </c>
    </row>
    <row r="17" spans="1:1" x14ac:dyDescent="0.2">
      <c r="A17" s="7" t="s">
        <v>189</v>
      </c>
    </row>
    <row r="18" spans="1:1" x14ac:dyDescent="0.2">
      <c r="A18" s="7" t="s">
        <v>191</v>
      </c>
    </row>
    <row r="20" spans="1:1" x14ac:dyDescent="0.2">
      <c r="A20" s="7" t="s">
        <v>197</v>
      </c>
    </row>
    <row r="21" spans="1:1" x14ac:dyDescent="0.2">
      <c r="A21" s="7"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D26"/>
  <sheetViews>
    <sheetView showGridLines="0" topLeftCell="A17" workbookViewId="0">
      <selection activeCell="C24" sqref="C24"/>
    </sheetView>
  </sheetViews>
  <sheetFormatPr baseColWidth="10" defaultRowHeight="15" x14ac:dyDescent="0.25"/>
  <cols>
    <col min="3" max="3" width="58.28515625" customWidth="1"/>
    <col min="4" max="4" width="62.28515625" customWidth="1"/>
  </cols>
  <sheetData>
    <row r="4" spans="2:4" ht="52.5" customHeight="1" x14ac:dyDescent="0.25">
      <c r="B4" s="239" t="s">
        <v>211</v>
      </c>
      <c r="C4" s="239"/>
      <c r="D4" s="239"/>
    </row>
    <row r="5" spans="2:4" ht="6.75" customHeight="1" x14ac:dyDescent="0.25">
      <c r="D5" s="119"/>
    </row>
    <row r="6" spans="2:4" ht="15" customHeight="1" x14ac:dyDescent="0.25">
      <c r="B6" s="240" t="s">
        <v>212</v>
      </c>
      <c r="C6" s="120" t="s">
        <v>213</v>
      </c>
      <c r="D6" s="120" t="s">
        <v>214</v>
      </c>
    </row>
    <row r="7" spans="2:4" ht="83.25" customHeight="1" x14ac:dyDescent="0.25">
      <c r="B7" s="241"/>
      <c r="C7" s="184" t="s">
        <v>321</v>
      </c>
      <c r="D7" s="184" t="s">
        <v>331</v>
      </c>
    </row>
    <row r="8" spans="2:4" ht="40.5" x14ac:dyDescent="0.25">
      <c r="B8" s="241"/>
      <c r="C8" s="184" t="s">
        <v>329</v>
      </c>
      <c r="D8" s="184" t="s">
        <v>322</v>
      </c>
    </row>
    <row r="9" spans="2:4" ht="60.75" x14ac:dyDescent="0.25">
      <c r="B9" s="241"/>
      <c r="C9" s="184" t="s">
        <v>330</v>
      </c>
      <c r="D9" s="184" t="s">
        <v>335</v>
      </c>
    </row>
    <row r="10" spans="2:4" ht="60.75" x14ac:dyDescent="0.25">
      <c r="B10" s="241"/>
      <c r="C10" s="184" t="s">
        <v>332</v>
      </c>
      <c r="D10" s="184" t="s">
        <v>333</v>
      </c>
    </row>
    <row r="11" spans="2:4" ht="81" x14ac:dyDescent="0.25">
      <c r="B11" s="241"/>
      <c r="C11" s="184" t="s">
        <v>323</v>
      </c>
      <c r="D11" s="184" t="s">
        <v>334</v>
      </c>
    </row>
    <row r="12" spans="2:4" ht="40.5" x14ac:dyDescent="0.25">
      <c r="B12" s="241"/>
      <c r="C12" s="121" t="s">
        <v>339</v>
      </c>
      <c r="D12" s="122" t="s">
        <v>344</v>
      </c>
    </row>
    <row r="13" spans="2:4" ht="40.5" x14ac:dyDescent="0.25">
      <c r="B13" s="241"/>
      <c r="C13" s="121" t="s">
        <v>341</v>
      </c>
      <c r="D13" s="122" t="s">
        <v>342</v>
      </c>
    </row>
    <row r="14" spans="2:4" ht="60.75" x14ac:dyDescent="0.25">
      <c r="B14" s="241"/>
      <c r="C14" s="121" t="s">
        <v>215</v>
      </c>
      <c r="D14" s="122" t="s">
        <v>345</v>
      </c>
    </row>
    <row r="15" spans="2:4" ht="20.25" x14ac:dyDescent="0.25">
      <c r="B15" s="241"/>
      <c r="C15" s="121" t="s">
        <v>216</v>
      </c>
      <c r="D15" s="122" t="s">
        <v>217</v>
      </c>
    </row>
    <row r="16" spans="2:4" ht="20.25" x14ac:dyDescent="0.25">
      <c r="B16" s="241"/>
      <c r="C16" s="121" t="s">
        <v>218</v>
      </c>
      <c r="D16" s="122" t="s">
        <v>219</v>
      </c>
    </row>
    <row r="17" spans="2:4" ht="20.25" x14ac:dyDescent="0.25">
      <c r="B17" s="241"/>
      <c r="C17" s="121" t="s">
        <v>220</v>
      </c>
      <c r="D17" s="122" t="s">
        <v>221</v>
      </c>
    </row>
    <row r="18" spans="2:4" ht="20.25" x14ac:dyDescent="0.25">
      <c r="B18" s="242"/>
      <c r="C18" s="121" t="s">
        <v>222</v>
      </c>
      <c r="D18" s="122" t="s">
        <v>223</v>
      </c>
    </row>
    <row r="19" spans="2:4" ht="15.75" customHeight="1" x14ac:dyDescent="0.25">
      <c r="B19" s="240" t="s">
        <v>224</v>
      </c>
      <c r="C19" s="120" t="s">
        <v>225</v>
      </c>
      <c r="D19" s="120" t="s">
        <v>226</v>
      </c>
    </row>
    <row r="20" spans="2:4" ht="60.75" x14ac:dyDescent="0.25">
      <c r="B20" s="241"/>
      <c r="C20" s="184" t="s">
        <v>340</v>
      </c>
      <c r="D20" s="184" t="s">
        <v>326</v>
      </c>
    </row>
    <row r="21" spans="2:4" ht="77.25" customHeight="1" x14ac:dyDescent="0.25">
      <c r="B21" s="241"/>
      <c r="C21" s="184" t="s">
        <v>324</v>
      </c>
      <c r="D21" s="184" t="s">
        <v>336</v>
      </c>
    </row>
    <row r="22" spans="2:4" ht="82.5" customHeight="1" x14ac:dyDescent="0.25">
      <c r="B22" s="241"/>
      <c r="C22" s="184" t="s">
        <v>325</v>
      </c>
      <c r="D22" s="184" t="s">
        <v>337</v>
      </c>
    </row>
    <row r="23" spans="2:4" ht="60.75" x14ac:dyDescent="0.25">
      <c r="B23" s="241"/>
      <c r="C23" s="184" t="s">
        <v>346</v>
      </c>
      <c r="D23" s="184" t="s">
        <v>327</v>
      </c>
    </row>
    <row r="24" spans="2:4" ht="78.75" customHeight="1" x14ac:dyDescent="0.25">
      <c r="B24" s="241"/>
      <c r="C24" s="184"/>
      <c r="D24" s="184" t="s">
        <v>328</v>
      </c>
    </row>
    <row r="25" spans="2:4" ht="78.75" customHeight="1" x14ac:dyDescent="0.25">
      <c r="B25" s="241"/>
      <c r="C25" s="183"/>
      <c r="D25" s="184" t="s">
        <v>338</v>
      </c>
    </row>
    <row r="26" spans="2:4" ht="31.5" customHeight="1" x14ac:dyDescent="0.25">
      <c r="B26" s="241"/>
      <c r="C26" s="185"/>
      <c r="D26" s="184" t="s">
        <v>343</v>
      </c>
    </row>
  </sheetData>
  <mergeCells count="3">
    <mergeCell ref="B4:D4"/>
    <mergeCell ref="B6:B18"/>
    <mergeCell ref="B19:B2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61"/>
  <sheetViews>
    <sheetView showGridLines="0" tabSelected="1" topLeftCell="I12" zoomScale="90" zoomScaleNormal="90" workbookViewId="0">
      <selection activeCell="P15" sqref="P15:S15"/>
    </sheetView>
  </sheetViews>
  <sheetFormatPr baseColWidth="10" defaultColWidth="11.42578125" defaultRowHeight="16.5" x14ac:dyDescent="0.25"/>
  <cols>
    <col min="1" max="1" width="4" style="1" bestFit="1" customWidth="1"/>
    <col min="2" max="2" width="14.140625" style="1" customWidth="1"/>
    <col min="3" max="3" width="27.85546875" style="1" customWidth="1"/>
    <col min="4" max="4" width="21.7109375" style="1" customWidth="1"/>
    <col min="5" max="5" width="42.7109375" style="2" customWidth="1"/>
    <col min="6" max="6" width="19" style="1" customWidth="1"/>
    <col min="7" max="7" width="17.85546875" style="2" customWidth="1"/>
    <col min="8" max="8" width="16.42578125" style="2" customWidth="1"/>
    <col min="9" max="9" width="6.28515625" style="2" bestFit="1" customWidth="1"/>
    <col min="10" max="10" width="27.28515625" style="2" bestFit="1" customWidth="1"/>
    <col min="11" max="11" width="30.42578125" style="2" hidden="1" customWidth="1"/>
    <col min="12" max="12" width="17.42578125" style="2" customWidth="1"/>
    <col min="13" max="13" width="6.28515625" style="2" bestFit="1" customWidth="1"/>
    <col min="14" max="14" width="12.7109375" style="2" customWidth="1"/>
    <col min="15" max="15" width="21.7109375" style="2" customWidth="1"/>
    <col min="16" max="16" width="72.42578125" style="2" customWidth="1"/>
    <col min="17" max="17" width="15.140625" style="2" bestFit="1" customWidth="1"/>
    <col min="18" max="18" width="6.85546875" style="2" customWidth="1"/>
    <col min="19" max="19" width="12" style="2" customWidth="1"/>
    <col min="20" max="20" width="5.42578125" style="2" customWidth="1"/>
    <col min="21" max="21" width="7.140625" style="2" customWidth="1"/>
    <col min="22" max="22" width="6.7109375" style="2" customWidth="1"/>
    <col min="23" max="23" width="7.42578125" style="2" customWidth="1"/>
    <col min="24" max="24" width="38.28515625" style="2" hidden="1" customWidth="1"/>
    <col min="25" max="25" width="8.7109375" style="2" customWidth="1"/>
    <col min="26" max="26" width="10.42578125" style="2" customWidth="1"/>
    <col min="27" max="27" width="9.28515625" style="2" customWidth="1"/>
    <col min="28" max="28" width="9.140625" style="2" customWidth="1"/>
    <col min="29" max="29" width="8.42578125" style="2" customWidth="1"/>
    <col min="30" max="30" width="7.28515625" style="2" customWidth="1"/>
    <col min="31" max="31" width="23" style="2" customWidth="1"/>
    <col min="32" max="32" width="18.85546875" style="2" customWidth="1"/>
    <col min="33" max="33" width="27.7109375" style="2" customWidth="1"/>
    <col min="34" max="34" width="14.85546875" style="2" customWidth="1"/>
    <col min="35" max="35" width="18.42578125" style="2" customWidth="1"/>
    <col min="36" max="36" width="21" style="2" customWidth="1"/>
    <col min="37" max="16384" width="11.42578125" style="2"/>
  </cols>
  <sheetData>
    <row r="1" spans="1:52" ht="36.950000000000003" customHeight="1" x14ac:dyDescent="0.25">
      <c r="A1" s="313" t="s">
        <v>238</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124" t="s">
        <v>228</v>
      </c>
      <c r="AG1" s="189" t="s">
        <v>229</v>
      </c>
      <c r="AH1" s="144"/>
      <c r="AI1" s="144"/>
      <c r="AJ1" s="144"/>
      <c r="AK1" s="144"/>
      <c r="AL1" s="123"/>
      <c r="AM1" s="123"/>
      <c r="AN1" s="123"/>
      <c r="AO1" s="123"/>
      <c r="AP1" s="190"/>
      <c r="AQ1" s="190"/>
      <c r="AR1" s="190"/>
      <c r="AS1" s="190"/>
      <c r="AT1" s="190"/>
      <c r="AU1" s="190"/>
      <c r="AV1" s="190"/>
      <c r="AW1" s="190"/>
      <c r="AX1" s="190"/>
      <c r="AY1" s="190"/>
      <c r="AZ1" s="190"/>
    </row>
    <row r="2" spans="1:52" x14ac:dyDescent="0.25">
      <c r="A2" s="313"/>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124" t="s">
        <v>230</v>
      </c>
      <c r="AG2" s="189">
        <v>6</v>
      </c>
      <c r="AH2" s="125"/>
      <c r="AI2" s="191"/>
      <c r="AJ2" s="191"/>
      <c r="AK2" s="132"/>
      <c r="AL2" s="191"/>
      <c r="AM2" s="191"/>
      <c r="AN2" s="190"/>
      <c r="AO2" s="130"/>
      <c r="AP2" s="190"/>
      <c r="AQ2" s="190"/>
      <c r="AR2" s="190"/>
      <c r="AS2" s="190"/>
      <c r="AT2" s="190"/>
      <c r="AU2" s="190"/>
      <c r="AV2" s="190"/>
      <c r="AW2" s="190"/>
      <c r="AX2" s="190"/>
      <c r="AY2" s="190"/>
      <c r="AZ2" s="190"/>
    </row>
    <row r="3" spans="1:52" x14ac:dyDescent="0.25">
      <c r="A3" s="313"/>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124" t="s">
        <v>231</v>
      </c>
      <c r="AG3" s="192" t="s">
        <v>297</v>
      </c>
      <c r="AH3" s="125"/>
      <c r="AI3" s="191"/>
      <c r="AJ3" s="191"/>
      <c r="AK3" s="132"/>
      <c r="AL3" s="191"/>
      <c r="AM3" s="191"/>
      <c r="AN3" s="190"/>
      <c r="AO3" s="130"/>
      <c r="AP3" s="190"/>
      <c r="AQ3" s="190"/>
      <c r="AR3" s="190"/>
      <c r="AS3" s="190"/>
      <c r="AT3" s="190"/>
      <c r="AU3" s="190"/>
      <c r="AV3" s="190"/>
      <c r="AW3" s="190"/>
      <c r="AX3" s="190"/>
      <c r="AY3" s="190"/>
      <c r="AZ3" s="190"/>
    </row>
    <row r="4" spans="1:52" ht="15.95" customHeight="1" x14ac:dyDescent="0.25">
      <c r="A4" s="313"/>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128" t="s">
        <v>232</v>
      </c>
      <c r="AG4" s="164">
        <v>241903</v>
      </c>
      <c r="AH4" s="125"/>
      <c r="AI4" s="191"/>
      <c r="AJ4" s="191"/>
      <c r="AK4" s="132"/>
      <c r="AL4" s="191"/>
      <c r="AM4" s="191"/>
      <c r="AN4" s="190"/>
      <c r="AO4" s="130"/>
      <c r="AP4" s="190"/>
      <c r="AQ4" s="190"/>
      <c r="AR4" s="190"/>
      <c r="AS4" s="190"/>
      <c r="AT4" s="190"/>
      <c r="AU4" s="190"/>
      <c r="AV4" s="190"/>
      <c r="AW4" s="190"/>
      <c r="AX4" s="190"/>
      <c r="AY4" s="190"/>
      <c r="AZ4" s="190"/>
    </row>
    <row r="5" spans="1:52" ht="24" customHeight="1" x14ac:dyDescent="0.25">
      <c r="A5" s="313"/>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H5" s="125"/>
      <c r="AI5" s="191"/>
      <c r="AJ5" s="191"/>
      <c r="AK5" s="132"/>
      <c r="AL5" s="191"/>
      <c r="AM5" s="191"/>
      <c r="AN5" s="190"/>
      <c r="AO5" s="130"/>
      <c r="AP5" s="190"/>
      <c r="AQ5" s="190"/>
      <c r="AR5" s="190"/>
      <c r="AS5" s="190"/>
      <c r="AT5" s="190"/>
      <c r="AU5" s="190"/>
      <c r="AV5" s="190"/>
      <c r="AW5" s="190"/>
      <c r="AX5" s="190"/>
      <c r="AY5" s="190"/>
      <c r="AZ5" s="190"/>
    </row>
    <row r="6" spans="1:52" x14ac:dyDescent="0.25">
      <c r="A6" s="126"/>
      <c r="B6" s="126"/>
      <c r="C6" s="193"/>
      <c r="D6" s="127"/>
      <c r="E6" s="127"/>
      <c r="F6" s="127"/>
      <c r="G6" s="127"/>
      <c r="H6" s="127"/>
      <c r="I6" s="127"/>
      <c r="J6" s="127"/>
      <c r="K6" s="142"/>
      <c r="L6" s="127"/>
      <c r="M6" s="190"/>
      <c r="N6" s="190"/>
      <c r="O6" s="190"/>
      <c r="P6" s="127"/>
      <c r="Q6" s="126"/>
      <c r="R6" s="126"/>
      <c r="S6" s="126"/>
      <c r="T6" s="129"/>
      <c r="U6" s="129"/>
      <c r="V6" s="129"/>
      <c r="W6" s="129"/>
      <c r="X6" s="129"/>
      <c r="Y6" s="129"/>
      <c r="Z6" s="129"/>
      <c r="AA6" s="130"/>
      <c r="AB6" s="130"/>
      <c r="AC6" s="130"/>
      <c r="AD6" s="130"/>
      <c r="AE6" s="130"/>
      <c r="AH6" s="131"/>
      <c r="AI6" s="132"/>
      <c r="AJ6" s="132"/>
      <c r="AK6" s="132"/>
      <c r="AL6" s="132"/>
      <c r="AM6" s="132"/>
      <c r="AN6" s="133"/>
      <c r="AO6" s="133"/>
      <c r="AP6" s="133"/>
      <c r="AQ6" s="133"/>
      <c r="AR6" s="130"/>
      <c r="AS6" s="130"/>
      <c r="AT6" s="130"/>
      <c r="AU6" s="130"/>
      <c r="AV6" s="130"/>
      <c r="AW6" s="130"/>
      <c r="AX6" s="130"/>
      <c r="AY6" s="130"/>
      <c r="AZ6" s="130"/>
    </row>
    <row r="7" spans="1:52" ht="27.95" customHeight="1" x14ac:dyDescent="0.25">
      <c r="A7" s="135"/>
      <c r="B7" s="135"/>
      <c r="C7" s="190"/>
      <c r="D7" s="190"/>
      <c r="E7" s="190"/>
      <c r="F7" s="190"/>
      <c r="G7" s="190"/>
      <c r="H7" s="190"/>
      <c r="I7" s="190"/>
      <c r="J7" s="190"/>
      <c r="L7" s="190"/>
      <c r="M7" s="190"/>
      <c r="N7" s="317" t="s">
        <v>233</v>
      </c>
      <c r="O7" s="317"/>
      <c r="P7" s="317"/>
      <c r="Q7" s="317"/>
      <c r="R7" s="317"/>
      <c r="S7" s="317"/>
      <c r="T7" s="124"/>
      <c r="U7" s="124"/>
      <c r="V7" s="124"/>
      <c r="W7" s="124"/>
      <c r="X7" s="124"/>
      <c r="Y7" s="124"/>
      <c r="Z7" s="124"/>
      <c r="AA7" s="134"/>
      <c r="AB7" s="134"/>
      <c r="AC7" s="134"/>
      <c r="AD7" s="134"/>
      <c r="AE7" s="134"/>
      <c r="AF7" s="134"/>
      <c r="AG7" s="134"/>
      <c r="AH7" s="125"/>
      <c r="AI7" s="191"/>
      <c r="AJ7" s="191"/>
      <c r="AK7" s="191"/>
      <c r="AL7" s="191"/>
      <c r="AM7" s="191"/>
      <c r="AN7" s="194">
        <v>0</v>
      </c>
      <c r="AO7" s="133"/>
      <c r="AP7" s="194"/>
      <c r="AQ7" s="194"/>
      <c r="AR7" s="190"/>
      <c r="AS7" s="190"/>
      <c r="AT7" s="190"/>
      <c r="AU7" s="190"/>
      <c r="AV7" s="190"/>
      <c r="AW7" s="190"/>
      <c r="AX7" s="190"/>
      <c r="AY7" s="190"/>
      <c r="AZ7" s="190"/>
    </row>
    <row r="8" spans="1:52" x14ac:dyDescent="0.25">
      <c r="A8" s="135"/>
      <c r="B8" s="135"/>
      <c r="C8" s="190"/>
      <c r="D8" s="190"/>
      <c r="E8" s="190"/>
      <c r="F8" s="190"/>
      <c r="G8" s="190"/>
      <c r="H8" s="190"/>
      <c r="I8" s="190"/>
      <c r="J8" s="190"/>
      <c r="L8" s="190"/>
      <c r="M8" s="190"/>
      <c r="N8" s="143" t="s">
        <v>234</v>
      </c>
      <c r="O8" s="143" t="s">
        <v>235</v>
      </c>
      <c r="P8" s="319" t="s">
        <v>236</v>
      </c>
      <c r="Q8" s="320"/>
      <c r="R8" s="320"/>
      <c r="S8" s="321"/>
      <c r="T8" s="124"/>
      <c r="U8" s="124"/>
      <c r="V8" s="124"/>
      <c r="W8" s="124"/>
      <c r="X8" s="124"/>
      <c r="Y8" s="124"/>
      <c r="Z8" s="124"/>
      <c r="AA8" s="134"/>
      <c r="AB8" s="134"/>
      <c r="AC8" s="134"/>
      <c r="AD8" s="134"/>
      <c r="AE8" s="134"/>
      <c r="AF8" s="134"/>
      <c r="AG8" s="134"/>
      <c r="AH8" s="125"/>
      <c r="AI8" s="191"/>
      <c r="AJ8" s="191"/>
      <c r="AK8" s="191"/>
      <c r="AL8" s="191"/>
      <c r="AM8" s="191"/>
      <c r="AN8" s="194">
        <v>0</v>
      </c>
      <c r="AO8" s="133"/>
      <c r="AP8" s="194"/>
      <c r="AQ8" s="194"/>
      <c r="AR8" s="190"/>
      <c r="AS8" s="190"/>
      <c r="AT8" s="190"/>
      <c r="AU8" s="190"/>
      <c r="AV8" s="190"/>
      <c r="AW8" s="190"/>
      <c r="AX8" s="190"/>
      <c r="AY8" s="190"/>
      <c r="AZ8" s="190"/>
    </row>
    <row r="9" spans="1:52" x14ac:dyDescent="0.25">
      <c r="A9" s="135"/>
      <c r="B9" s="135"/>
      <c r="C9" s="190"/>
      <c r="D9" s="190"/>
      <c r="E9" s="190"/>
      <c r="F9" s="190"/>
      <c r="G9" s="190"/>
      <c r="H9" s="190"/>
      <c r="I9" s="190"/>
      <c r="J9" s="190"/>
      <c r="L9" s="190"/>
      <c r="M9" s="190"/>
      <c r="N9" s="165">
        <v>1</v>
      </c>
      <c r="O9" s="166">
        <v>43098</v>
      </c>
      <c r="P9" s="322" t="s">
        <v>298</v>
      </c>
      <c r="Q9" s="323"/>
      <c r="R9" s="323"/>
      <c r="S9" s="324"/>
      <c r="T9" s="124"/>
      <c r="U9" s="124"/>
      <c r="V9" s="124"/>
      <c r="W9" s="318"/>
      <c r="X9" s="318"/>
      <c r="Y9" s="318"/>
      <c r="Z9" s="318"/>
      <c r="AA9" s="318"/>
      <c r="AB9" s="318"/>
      <c r="AC9" s="139"/>
      <c r="AD9" s="139"/>
      <c r="AE9" s="139"/>
      <c r="AF9" s="190"/>
      <c r="AG9" s="190"/>
      <c r="AH9" s="125"/>
      <c r="AI9" s="191"/>
      <c r="AJ9" s="191"/>
      <c r="AK9" s="191"/>
      <c r="AL9" s="191"/>
      <c r="AM9" s="191"/>
      <c r="AN9" s="194">
        <v>0</v>
      </c>
      <c r="AO9" s="133"/>
      <c r="AP9" s="194"/>
      <c r="AQ9" s="194"/>
      <c r="AR9" s="190"/>
      <c r="AS9" s="190"/>
      <c r="AT9" s="190"/>
      <c r="AU9" s="190"/>
      <c r="AV9" s="190"/>
      <c r="AW9" s="190"/>
      <c r="AX9" s="190"/>
      <c r="AY9" s="190"/>
      <c r="AZ9" s="190"/>
    </row>
    <row r="10" spans="1:52" ht="32.25" customHeight="1" x14ac:dyDescent="0.25">
      <c r="A10" s="135"/>
      <c r="B10" s="135"/>
      <c r="C10" s="190"/>
      <c r="D10" s="190"/>
      <c r="E10" s="190"/>
      <c r="F10" s="190"/>
      <c r="G10" s="190"/>
      <c r="H10" s="190"/>
      <c r="I10" s="190"/>
      <c r="J10" s="190"/>
      <c r="L10" s="124"/>
      <c r="M10" s="124"/>
      <c r="N10" s="165">
        <v>2</v>
      </c>
      <c r="O10" s="166">
        <v>43333</v>
      </c>
      <c r="P10" s="322" t="s">
        <v>299</v>
      </c>
      <c r="Q10" s="323"/>
      <c r="R10" s="323"/>
      <c r="S10" s="324"/>
      <c r="T10" s="124"/>
      <c r="U10" s="124"/>
      <c r="V10" s="124"/>
      <c r="W10" s="314"/>
      <c r="X10" s="314"/>
      <c r="Y10" s="314"/>
      <c r="Z10" s="314"/>
      <c r="AA10" s="314"/>
      <c r="AB10" s="314"/>
      <c r="AC10" s="140"/>
      <c r="AD10" s="140"/>
      <c r="AE10" s="141"/>
      <c r="AF10" s="190"/>
      <c r="AG10" s="190"/>
      <c r="AH10" s="125"/>
      <c r="AI10" s="191"/>
      <c r="AJ10" s="191"/>
      <c r="AK10" s="191"/>
      <c r="AL10" s="191"/>
      <c r="AM10" s="191"/>
      <c r="AN10" s="194">
        <v>0</v>
      </c>
      <c r="AO10" s="133"/>
      <c r="AP10" s="194"/>
      <c r="AQ10" s="194"/>
      <c r="AR10" s="190"/>
      <c r="AS10" s="190"/>
      <c r="AT10" s="190"/>
      <c r="AU10" s="190"/>
      <c r="AV10" s="190"/>
      <c r="AW10" s="190"/>
      <c r="AX10" s="190"/>
      <c r="AY10" s="190"/>
      <c r="AZ10" s="190"/>
    </row>
    <row r="11" spans="1:52" ht="65.25" customHeight="1" x14ac:dyDescent="0.25">
      <c r="A11" s="135"/>
      <c r="B11" s="135"/>
      <c r="C11" s="190"/>
      <c r="D11" s="190"/>
      <c r="E11" s="190"/>
      <c r="F11" s="190"/>
      <c r="G11" s="190"/>
      <c r="H11" s="190"/>
      <c r="I11" s="190"/>
      <c r="J11" s="190"/>
      <c r="L11" s="124"/>
      <c r="M11" s="124"/>
      <c r="N11" s="165">
        <v>3</v>
      </c>
      <c r="O11" s="166">
        <v>43753</v>
      </c>
      <c r="P11" s="322" t="s">
        <v>300</v>
      </c>
      <c r="Q11" s="323"/>
      <c r="R11" s="323"/>
      <c r="S11" s="324"/>
      <c r="T11" s="124"/>
      <c r="U11" s="124"/>
      <c r="V11" s="124"/>
      <c r="W11" s="140"/>
      <c r="X11" s="140"/>
      <c r="Y11" s="140"/>
      <c r="Z11" s="140"/>
      <c r="AA11" s="140"/>
      <c r="AB11" s="140"/>
      <c r="AC11" s="140"/>
      <c r="AD11" s="140"/>
      <c r="AE11" s="141"/>
      <c r="AF11" s="190"/>
      <c r="AG11" s="190"/>
      <c r="AH11" s="125"/>
      <c r="AI11" s="191"/>
      <c r="AJ11" s="191"/>
      <c r="AK11" s="191"/>
      <c r="AL11" s="191"/>
      <c r="AM11" s="191"/>
      <c r="AN11" s="194"/>
      <c r="AO11" s="133"/>
      <c r="AP11" s="194"/>
      <c r="AQ11" s="194"/>
      <c r="AR11" s="190"/>
      <c r="AS11" s="190"/>
      <c r="AT11" s="190"/>
      <c r="AU11" s="190"/>
      <c r="AV11" s="190"/>
      <c r="AW11" s="190"/>
      <c r="AX11" s="190"/>
      <c r="AY11" s="190"/>
      <c r="AZ11" s="190"/>
    </row>
    <row r="12" spans="1:52" ht="96" customHeight="1" x14ac:dyDescent="0.25">
      <c r="A12" s="135"/>
      <c r="B12" s="135"/>
      <c r="C12" s="190"/>
      <c r="D12" s="190"/>
      <c r="E12" s="190"/>
      <c r="F12" s="190"/>
      <c r="G12" s="190"/>
      <c r="H12" s="190"/>
      <c r="I12" s="190"/>
      <c r="J12" s="190"/>
      <c r="L12" s="124"/>
      <c r="M12" s="124"/>
      <c r="N12" s="165">
        <v>4</v>
      </c>
      <c r="O12" s="166">
        <v>44201</v>
      </c>
      <c r="P12" s="322" t="s">
        <v>301</v>
      </c>
      <c r="Q12" s="323"/>
      <c r="R12" s="323"/>
      <c r="S12" s="324"/>
      <c r="T12" s="124"/>
      <c r="U12" s="124"/>
      <c r="V12" s="124"/>
      <c r="W12" s="140"/>
      <c r="X12" s="140"/>
      <c r="Y12" s="140"/>
      <c r="Z12" s="140"/>
      <c r="AA12" s="140"/>
      <c r="AB12" s="140"/>
      <c r="AC12" s="140"/>
      <c r="AD12" s="140"/>
      <c r="AE12" s="141"/>
      <c r="AF12" s="190"/>
      <c r="AG12" s="190"/>
      <c r="AH12" s="125"/>
      <c r="AI12" s="191"/>
      <c r="AJ12" s="191"/>
      <c r="AK12" s="191"/>
      <c r="AL12" s="191"/>
      <c r="AM12" s="191"/>
      <c r="AN12" s="194"/>
      <c r="AO12" s="133"/>
      <c r="AP12" s="194"/>
      <c r="AQ12" s="194"/>
      <c r="AR12" s="190"/>
      <c r="AS12" s="190"/>
      <c r="AT12" s="190"/>
      <c r="AU12" s="190"/>
      <c r="AV12" s="190"/>
      <c r="AW12" s="190"/>
      <c r="AX12" s="190"/>
      <c r="AY12" s="190"/>
      <c r="AZ12" s="190"/>
    </row>
    <row r="13" spans="1:52" ht="57" customHeight="1" x14ac:dyDescent="0.25">
      <c r="A13" s="135"/>
      <c r="B13" s="135"/>
      <c r="C13" s="190"/>
      <c r="D13" s="190"/>
      <c r="E13" s="190"/>
      <c r="F13" s="190"/>
      <c r="G13" s="190"/>
      <c r="H13" s="190"/>
      <c r="I13" s="190"/>
      <c r="J13" s="190"/>
      <c r="L13" s="124"/>
      <c r="M13" s="124"/>
      <c r="N13" s="165">
        <v>5</v>
      </c>
      <c r="O13" s="166">
        <v>44550</v>
      </c>
      <c r="P13" s="322" t="s">
        <v>302</v>
      </c>
      <c r="Q13" s="323"/>
      <c r="R13" s="323"/>
      <c r="S13" s="324"/>
      <c r="T13" s="124"/>
      <c r="U13" s="124"/>
      <c r="V13" s="124"/>
      <c r="W13" s="140"/>
      <c r="X13" s="140"/>
      <c r="Y13" s="140"/>
      <c r="Z13" s="140"/>
      <c r="AA13" s="140"/>
      <c r="AB13" s="140"/>
      <c r="AC13" s="140"/>
      <c r="AD13" s="140"/>
      <c r="AE13" s="141"/>
      <c r="AF13" s="190"/>
      <c r="AG13" s="190"/>
      <c r="AH13" s="125"/>
      <c r="AI13" s="191"/>
      <c r="AJ13" s="191"/>
      <c r="AK13" s="191"/>
      <c r="AL13" s="191"/>
      <c r="AM13" s="191"/>
      <c r="AN13" s="194"/>
      <c r="AO13" s="133"/>
      <c r="AP13" s="194"/>
      <c r="AQ13" s="194"/>
      <c r="AR13" s="190"/>
      <c r="AS13" s="190"/>
      <c r="AT13" s="190"/>
      <c r="AU13" s="190"/>
      <c r="AV13" s="190"/>
      <c r="AW13" s="190"/>
      <c r="AX13" s="190"/>
      <c r="AY13" s="190"/>
      <c r="AZ13" s="190"/>
    </row>
    <row r="14" spans="1:52" ht="87" customHeight="1" x14ac:dyDescent="0.25">
      <c r="A14" s="135"/>
      <c r="B14" s="135"/>
      <c r="C14" s="135"/>
      <c r="D14" s="135"/>
      <c r="E14" s="135"/>
      <c r="F14" s="190"/>
      <c r="G14" s="190"/>
      <c r="H14" s="190"/>
      <c r="I14" s="137"/>
      <c r="J14" s="137"/>
      <c r="K14" s="124"/>
      <c r="L14" s="124"/>
      <c r="M14" s="124"/>
      <c r="N14" s="165">
        <v>6</v>
      </c>
      <c r="O14" s="167">
        <v>44669</v>
      </c>
      <c r="P14" s="325" t="s">
        <v>303</v>
      </c>
      <c r="Q14" s="326"/>
      <c r="R14" s="326"/>
      <c r="S14" s="327"/>
      <c r="T14" s="124"/>
      <c r="U14" s="124"/>
      <c r="V14" s="124"/>
      <c r="W14" s="315"/>
      <c r="X14" s="315"/>
      <c r="Y14" s="315"/>
      <c r="Z14" s="315"/>
      <c r="AA14" s="315"/>
      <c r="AB14" s="315"/>
      <c r="AC14" s="195"/>
      <c r="AD14" s="195"/>
      <c r="AE14" s="196"/>
      <c r="AF14" s="197"/>
      <c r="AG14" s="134"/>
      <c r="AH14" s="125"/>
      <c r="AI14" s="191"/>
      <c r="AJ14" s="191"/>
      <c r="AK14" s="191"/>
      <c r="AL14" s="191"/>
      <c r="AM14" s="191"/>
      <c r="AN14" s="194">
        <v>0</v>
      </c>
      <c r="AO14" s="133"/>
      <c r="AP14" s="194"/>
      <c r="AQ14" s="194"/>
      <c r="AR14" s="190"/>
      <c r="AS14" s="190"/>
      <c r="AT14" s="190"/>
      <c r="AU14" s="190"/>
      <c r="AV14" s="190"/>
      <c r="AW14" s="190"/>
      <c r="AX14" s="190"/>
      <c r="AY14" s="190"/>
      <c r="AZ14" s="190"/>
    </row>
    <row r="15" spans="1:52" ht="87" customHeight="1" x14ac:dyDescent="0.25">
      <c r="A15" s="135"/>
      <c r="B15" s="135"/>
      <c r="C15" s="135"/>
      <c r="D15" s="135"/>
      <c r="E15" s="135"/>
      <c r="F15" s="190"/>
      <c r="G15" s="190"/>
      <c r="H15" s="190"/>
      <c r="I15" s="137"/>
      <c r="J15" s="137"/>
      <c r="K15" s="124"/>
      <c r="L15" s="124"/>
      <c r="M15" s="124"/>
      <c r="N15" s="165">
        <v>7</v>
      </c>
      <c r="O15" s="167">
        <v>44918</v>
      </c>
      <c r="P15" s="325" t="s">
        <v>368</v>
      </c>
      <c r="Q15" s="326"/>
      <c r="R15" s="326"/>
      <c r="S15" s="327"/>
      <c r="T15" s="124"/>
      <c r="U15" s="124"/>
      <c r="V15" s="124"/>
      <c r="W15" s="195"/>
      <c r="X15" s="195"/>
      <c r="Y15" s="195"/>
      <c r="Z15" s="195"/>
      <c r="AA15" s="195"/>
      <c r="AB15" s="195"/>
      <c r="AC15" s="195"/>
      <c r="AD15" s="195"/>
      <c r="AE15" s="196"/>
      <c r="AF15" s="197"/>
      <c r="AG15" s="134"/>
      <c r="AH15" s="125"/>
      <c r="AI15" s="191"/>
      <c r="AJ15" s="191"/>
      <c r="AK15" s="191"/>
      <c r="AL15" s="191"/>
      <c r="AM15" s="191"/>
      <c r="AN15" s="194"/>
      <c r="AO15" s="133"/>
      <c r="AP15" s="194"/>
      <c r="AQ15" s="194"/>
      <c r="AR15" s="190"/>
      <c r="AS15" s="190"/>
      <c r="AT15" s="190"/>
      <c r="AU15" s="190"/>
      <c r="AV15" s="190"/>
      <c r="AW15" s="190"/>
      <c r="AX15" s="190"/>
      <c r="AY15" s="190"/>
      <c r="AZ15" s="190"/>
    </row>
    <row r="16" spans="1:52" ht="18.75" x14ac:dyDescent="0.25">
      <c r="A16" s="316" t="s">
        <v>237</v>
      </c>
      <c r="B16" s="316"/>
      <c r="C16" s="316"/>
      <c r="D16" s="316"/>
      <c r="E16" s="316"/>
      <c r="F16" s="316"/>
      <c r="G16" s="316"/>
      <c r="H16" s="316"/>
      <c r="I16" s="316"/>
      <c r="J16" s="316"/>
      <c r="K16" s="124"/>
      <c r="L16" s="124"/>
      <c r="M16" s="124"/>
      <c r="N16" s="124"/>
      <c r="O16" s="136"/>
      <c r="P16" s="124"/>
      <c r="Q16" s="124"/>
      <c r="R16" s="124"/>
      <c r="S16" s="124"/>
      <c r="T16" s="124"/>
      <c r="U16" s="124"/>
      <c r="V16" s="124"/>
      <c r="W16" s="134"/>
      <c r="X16" s="134"/>
      <c r="Y16" s="134"/>
      <c r="Z16" s="134"/>
      <c r="AA16" s="134"/>
      <c r="AB16" s="198"/>
      <c r="AC16" s="198"/>
      <c r="AD16" s="198"/>
      <c r="AE16" s="198"/>
      <c r="AF16" s="138"/>
      <c r="AG16" s="138"/>
      <c r="AH16" s="191"/>
      <c r="AI16" s="191"/>
      <c r="AJ16" s="191"/>
      <c r="AK16" s="191"/>
      <c r="AL16" s="191"/>
      <c r="AM16" s="132"/>
      <c r="AN16" s="194"/>
      <c r="AO16" s="194"/>
      <c r="AP16" s="190"/>
      <c r="AQ16" s="190"/>
      <c r="AR16" s="190"/>
      <c r="AS16" s="190"/>
      <c r="AT16" s="190"/>
      <c r="AU16" s="190"/>
      <c r="AV16" s="190"/>
      <c r="AW16" s="190"/>
      <c r="AX16" s="190"/>
      <c r="AY16" s="190"/>
      <c r="AZ16" s="190"/>
    </row>
    <row r="17" spans="1:68" ht="16.5" customHeight="1" x14ac:dyDescent="0.25">
      <c r="A17" s="250"/>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2"/>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row>
    <row r="18" spans="1:68" ht="24" customHeight="1" x14ac:dyDescent="0.25">
      <c r="A18" s="253"/>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5"/>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row>
    <row r="19" spans="1:68" x14ac:dyDescent="0.25">
      <c r="A19" s="24"/>
      <c r="B19" s="25"/>
      <c r="C19" s="24"/>
      <c r="D19" s="24"/>
      <c r="E19" s="23"/>
      <c r="F19" s="24"/>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row>
    <row r="20" spans="1:68" ht="26.25" customHeight="1" x14ac:dyDescent="0.25">
      <c r="A20" s="266" t="s">
        <v>58</v>
      </c>
      <c r="B20" s="267"/>
      <c r="C20" s="246" t="s">
        <v>367</v>
      </c>
      <c r="D20" s="247"/>
      <c r="E20" s="247"/>
      <c r="F20" s="247"/>
      <c r="G20" s="247"/>
      <c r="H20" s="247"/>
      <c r="I20" s="247"/>
      <c r="J20" s="247"/>
      <c r="K20" s="247"/>
      <c r="L20" s="247"/>
      <c r="M20" s="247"/>
      <c r="N20" s="248"/>
      <c r="O20" s="249"/>
      <c r="P20" s="249"/>
      <c r="Q20" s="249"/>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row>
    <row r="21" spans="1:68" ht="49.5" customHeight="1" x14ac:dyDescent="0.25">
      <c r="A21" s="266" t="s">
        <v>59</v>
      </c>
      <c r="B21" s="267"/>
      <c r="C21" s="303" t="s">
        <v>365</v>
      </c>
      <c r="D21" s="247"/>
      <c r="E21" s="247"/>
      <c r="F21" s="247"/>
      <c r="G21" s="247"/>
      <c r="H21" s="247"/>
      <c r="I21" s="247"/>
      <c r="J21" s="247"/>
      <c r="K21" s="247"/>
      <c r="L21" s="247"/>
      <c r="M21" s="247"/>
      <c r="N21" s="248"/>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row>
    <row r="22" spans="1:68" ht="49.5" customHeight="1" x14ac:dyDescent="0.25">
      <c r="A22" s="266" t="s">
        <v>60</v>
      </c>
      <c r="B22" s="267"/>
      <c r="C22" s="303" t="s">
        <v>366</v>
      </c>
      <c r="D22" s="304"/>
      <c r="E22" s="304"/>
      <c r="F22" s="304"/>
      <c r="G22" s="304"/>
      <c r="H22" s="304"/>
      <c r="I22" s="304"/>
      <c r="J22" s="304"/>
      <c r="K22" s="304"/>
      <c r="L22" s="304"/>
      <c r="M22" s="304"/>
      <c r="N22" s="305"/>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row>
    <row r="23" spans="1:68" x14ac:dyDescent="0.25">
      <c r="A23" s="256" t="s">
        <v>61</v>
      </c>
      <c r="B23" s="257"/>
      <c r="C23" s="257"/>
      <c r="D23" s="257"/>
      <c r="E23" s="257"/>
      <c r="F23" s="257"/>
      <c r="G23" s="258"/>
      <c r="H23" s="256" t="s">
        <v>62</v>
      </c>
      <c r="I23" s="257"/>
      <c r="J23" s="257"/>
      <c r="K23" s="257"/>
      <c r="L23" s="257"/>
      <c r="M23" s="257"/>
      <c r="N23" s="258"/>
      <c r="O23" s="256" t="s">
        <v>63</v>
      </c>
      <c r="P23" s="257"/>
      <c r="Q23" s="257"/>
      <c r="R23" s="257"/>
      <c r="S23" s="257"/>
      <c r="T23" s="257"/>
      <c r="U23" s="257"/>
      <c r="V23" s="257"/>
      <c r="W23" s="258"/>
      <c r="X23" s="256" t="s">
        <v>64</v>
      </c>
      <c r="Y23" s="257"/>
      <c r="Z23" s="257"/>
      <c r="AA23" s="257"/>
      <c r="AB23" s="257"/>
      <c r="AC23" s="257"/>
      <c r="AD23" s="258"/>
      <c r="AE23" s="256" t="s">
        <v>65</v>
      </c>
      <c r="AF23" s="257"/>
      <c r="AG23" s="257"/>
      <c r="AH23" s="257"/>
      <c r="AI23" s="257"/>
      <c r="AJ23" s="258"/>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row>
    <row r="24" spans="1:68" ht="16.5" customHeight="1" x14ac:dyDescent="0.25">
      <c r="A24" s="268" t="s">
        <v>66</v>
      </c>
      <c r="B24" s="311" t="s">
        <v>13</v>
      </c>
      <c r="C24" s="271" t="s">
        <v>15</v>
      </c>
      <c r="D24" s="271" t="s">
        <v>17</v>
      </c>
      <c r="E24" s="312" t="s">
        <v>19</v>
      </c>
      <c r="F24" s="270" t="s">
        <v>21</v>
      </c>
      <c r="G24" s="271" t="s">
        <v>67</v>
      </c>
      <c r="H24" s="307" t="s">
        <v>68</v>
      </c>
      <c r="I24" s="308" t="s">
        <v>69</v>
      </c>
      <c r="J24" s="270" t="s">
        <v>70</v>
      </c>
      <c r="K24" s="270" t="s">
        <v>71</v>
      </c>
      <c r="L24" s="310" t="s">
        <v>72</v>
      </c>
      <c r="M24" s="308" t="s">
        <v>69</v>
      </c>
      <c r="N24" s="271" t="s">
        <v>27</v>
      </c>
      <c r="O24" s="272" t="s">
        <v>73</v>
      </c>
      <c r="P24" s="265" t="s">
        <v>29</v>
      </c>
      <c r="Q24" s="270" t="s">
        <v>31</v>
      </c>
      <c r="R24" s="265" t="s">
        <v>74</v>
      </c>
      <c r="S24" s="265"/>
      <c r="T24" s="265"/>
      <c r="U24" s="265"/>
      <c r="V24" s="265"/>
      <c r="W24" s="265"/>
      <c r="X24" s="306" t="s">
        <v>75</v>
      </c>
      <c r="Y24" s="306" t="s">
        <v>76</v>
      </c>
      <c r="Z24" s="306" t="s">
        <v>69</v>
      </c>
      <c r="AA24" s="306" t="s">
        <v>77</v>
      </c>
      <c r="AB24" s="306" t="s">
        <v>69</v>
      </c>
      <c r="AC24" s="306" t="s">
        <v>78</v>
      </c>
      <c r="AD24" s="272" t="s">
        <v>47</v>
      </c>
      <c r="AE24" s="265" t="s">
        <v>65</v>
      </c>
      <c r="AF24" s="265" t="s">
        <v>79</v>
      </c>
      <c r="AG24" s="265" t="s">
        <v>80</v>
      </c>
      <c r="AH24" s="265" t="s">
        <v>81</v>
      </c>
      <c r="AI24" s="265" t="s">
        <v>82</v>
      </c>
      <c r="AJ24" s="265" t="s">
        <v>51</v>
      </c>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row>
    <row r="25" spans="1:68" s="3" customFormat="1" ht="94.5" customHeight="1" x14ac:dyDescent="0.25">
      <c r="A25" s="269"/>
      <c r="B25" s="311"/>
      <c r="C25" s="265"/>
      <c r="D25" s="265"/>
      <c r="E25" s="311"/>
      <c r="F25" s="271"/>
      <c r="G25" s="265"/>
      <c r="H25" s="271"/>
      <c r="I25" s="309"/>
      <c r="J25" s="271"/>
      <c r="K25" s="271"/>
      <c r="L25" s="309"/>
      <c r="M25" s="309"/>
      <c r="N25" s="265"/>
      <c r="O25" s="273"/>
      <c r="P25" s="265"/>
      <c r="Q25" s="271"/>
      <c r="R25" s="5" t="s">
        <v>83</v>
      </c>
      <c r="S25" s="5" t="s">
        <v>84</v>
      </c>
      <c r="T25" s="5" t="s">
        <v>85</v>
      </c>
      <c r="U25" s="5" t="s">
        <v>86</v>
      </c>
      <c r="V25" s="5" t="s">
        <v>87</v>
      </c>
      <c r="W25" s="5" t="s">
        <v>88</v>
      </c>
      <c r="X25" s="306"/>
      <c r="Y25" s="306"/>
      <c r="Z25" s="306"/>
      <c r="AA25" s="306"/>
      <c r="AB25" s="306"/>
      <c r="AC25" s="306"/>
      <c r="AD25" s="273"/>
      <c r="AE25" s="265"/>
      <c r="AF25" s="265"/>
      <c r="AG25" s="265"/>
      <c r="AH25" s="265"/>
      <c r="AI25" s="265"/>
      <c r="AJ25" s="265"/>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row>
    <row r="26" spans="1:68" ht="213" customHeight="1" x14ac:dyDescent="0.25">
      <c r="A26" s="279">
        <v>1</v>
      </c>
      <c r="B26" s="282" t="s">
        <v>194</v>
      </c>
      <c r="C26" s="176" t="s">
        <v>304</v>
      </c>
      <c r="D26" s="299" t="s">
        <v>317</v>
      </c>
      <c r="E26" s="295" t="s">
        <v>347</v>
      </c>
      <c r="F26" s="282" t="s">
        <v>200</v>
      </c>
      <c r="G26" s="288">
        <v>1215</v>
      </c>
      <c r="H26" s="261" t="str">
        <f>IF(G26&lt;=0,"",IF(G26&lt;=2,"Muy Baja",IF(G26&lt;=24,"Baja",IF(G26&lt;=500,"Media",IF(G26&lt;=5000,"Alta","Muy Alta")))))</f>
        <v>Alta</v>
      </c>
      <c r="I26" s="259">
        <f>IF(H26="","",IF(H26="Muy Baja",0.2,IF(H26="Baja",0.4,IF(H26="Media",0.6,IF(H26="Alta",0.8,IF(H26="Muy Alta",1,))))))</f>
        <v>0.8</v>
      </c>
      <c r="J26" s="297" t="s">
        <v>148</v>
      </c>
      <c r="K26" s="259" t="str">
        <f>IF(NOT(ISERROR(MATCH(J26,'Tabla Impacto'!$B$221:$B$223,0))),'Tabla Impacto'!$F$228&amp;"Por favor no seleccionar los criterios de impacto(Afectación Económica o presupuestal y Pérdida Reputacional)",J26)</f>
        <v xml:space="preserve">     El riesgo afecta la imagen de la entidad con algunos usuarios de relevancia frente al logro de los objetivos</v>
      </c>
      <c r="L26" s="261" t="str">
        <f>IF(OR(K26='Tabla Impacto'!$C$11,K26='Tabla Impacto'!$D$11),"Leve",IF(OR(K26='Tabla Impacto'!$C$12,K26='Tabla Impacto'!$D$12),"Menor",IF(OR(K26='Tabla Impacto'!$C$13,K26='Tabla Impacto'!$D$13),"Moderado",IF(OR(K26='Tabla Impacto'!$C$14,K26='Tabla Impacto'!$D$14),"Mayor",IF(OR(K26='Tabla Impacto'!$C$15,K26='Tabla Impacto'!$D$15),"Catastrófico","")))))</f>
        <v>Moderado</v>
      </c>
      <c r="M26" s="259">
        <f>IF(L26="","",IF(L26="Leve",0.2,IF(L26="Menor",0.4,IF(L26="Moderado",0.6,IF(L26="Mayor",0.8,IF(L26="Catastrófico",1,))))))</f>
        <v>0.6</v>
      </c>
      <c r="N26" s="263"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Alto</v>
      </c>
      <c r="O26" s="4">
        <v>1</v>
      </c>
      <c r="P26" s="186" t="s">
        <v>355</v>
      </c>
      <c r="Q26" s="168" t="str">
        <f>IF(OR(R26="Preventivo",R26="Detectivo"),"Probabilidad",IF(R26="Correctivo","Impacto",""))</f>
        <v>Probabilidad</v>
      </c>
      <c r="R26" s="169" t="s">
        <v>164</v>
      </c>
      <c r="S26" s="169" t="s">
        <v>172</v>
      </c>
      <c r="T26" s="170" t="str">
        <f>IF(AND(R26="Preventivo",S26="Automático"),"50%",IF(AND(R26="Preventivo",S26="Manual"),"40%",IF(AND(R26="Detectivo",S26="Automático"),"40%",IF(AND(R26="Detectivo",S26="Manual"),"30%",IF(AND(R26="Correctivo",S26="Automático"),"35%",IF(AND(R26="Correctivo",S26="Manual"),"25%",""))))))</f>
        <v>40%</v>
      </c>
      <c r="U26" s="169" t="s">
        <v>178</v>
      </c>
      <c r="V26" s="169" t="s">
        <v>180</v>
      </c>
      <c r="W26" s="169" t="s">
        <v>184</v>
      </c>
      <c r="X26" s="156">
        <f>IFERROR(IF(Q26="Probabilidad",(I26-(+I26*T26)),IF(Q26="Impacto",I26,"")),"")</f>
        <v>0.48</v>
      </c>
      <c r="Y26" s="171" t="str">
        <f>IFERROR(IF(X26="","",IF(X26&lt;=0.2,"Muy Baja",IF(X26&lt;=0.4,"Baja",IF(X26&lt;=0.6,"Media",IF(X26&lt;=0.8,"Alta","Muy Alta"))))),"")</f>
        <v>Media</v>
      </c>
      <c r="Z26" s="162">
        <f>+X26</f>
        <v>0.48</v>
      </c>
      <c r="AA26" s="171" t="str">
        <f>IFERROR(IF(AB26="","",IF(AB26&lt;=0.2,"Leve",IF(AB26&lt;=0.4,"Menor",IF(AB26&lt;=0.6,"Moderado",IF(AB26&lt;=0.8,"Mayor","Catastrófico"))))),"")</f>
        <v>Moderado</v>
      </c>
      <c r="AB26" s="162">
        <f>IFERROR(IF(Q26="Impacto",(M26-(+M26*T26)),IF(Q26="Probabilidad",M26,"")),"")</f>
        <v>0.6</v>
      </c>
      <c r="AC26" s="172"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Moderado</v>
      </c>
      <c r="AD26" s="243" t="s">
        <v>189</v>
      </c>
      <c r="AE26" s="173"/>
      <c r="AF26" s="174"/>
      <c r="AG26" s="175"/>
      <c r="AH26" s="175"/>
      <c r="AI26" s="173"/>
      <c r="AJ26" s="174"/>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row>
    <row r="27" spans="1:68" ht="326.10000000000002" customHeight="1" x14ac:dyDescent="0.25">
      <c r="A27" s="280"/>
      <c r="B27" s="283"/>
      <c r="C27" s="177" t="s">
        <v>305</v>
      </c>
      <c r="D27" s="300"/>
      <c r="E27" s="296"/>
      <c r="F27" s="283"/>
      <c r="G27" s="289"/>
      <c r="H27" s="262"/>
      <c r="I27" s="260"/>
      <c r="J27" s="298"/>
      <c r="K27" s="260">
        <f>IF(NOT(ISERROR(MATCH(J27,_xlfn.ANCHORARRAY(E33),0))),I35&amp;"Por favor no seleccionar los criterios de impacto",J27)</f>
        <v>0</v>
      </c>
      <c r="L27" s="262"/>
      <c r="M27" s="260"/>
      <c r="N27" s="264"/>
      <c r="O27" s="4">
        <v>2</v>
      </c>
      <c r="P27" s="186" t="s">
        <v>356</v>
      </c>
      <c r="Q27" s="168" t="str">
        <f t="shared" ref="Q27:Q32" si="0">IF(OR(R27="Preventivo",R27="Detectivo"),"Probabilidad",IF(R27="Correctivo","Impacto",""))</f>
        <v>Probabilidad</v>
      </c>
      <c r="R27" s="169" t="s">
        <v>166</v>
      </c>
      <c r="S27" s="169" t="s">
        <v>172</v>
      </c>
      <c r="T27" s="170" t="str">
        <f t="shared" ref="T27:T29" si="1">IF(AND(R27="Preventivo",S27="Automático"),"50%",IF(AND(R27="Preventivo",S27="Manual"),"40%",IF(AND(R27="Detectivo",S27="Automático"),"40%",IF(AND(R27="Detectivo",S27="Manual"),"30%",IF(AND(R27="Correctivo",S27="Automático"),"35%",IF(AND(R27="Correctivo",S27="Manual"),"25%",""))))))</f>
        <v>30%</v>
      </c>
      <c r="U27" s="169" t="s">
        <v>178</v>
      </c>
      <c r="V27" s="169" t="s">
        <v>180</v>
      </c>
      <c r="W27" s="169" t="s">
        <v>184</v>
      </c>
      <c r="X27" s="156">
        <f>IFERROR(IF(AND(Q26="Probabilidad",Q27="Probabilidad"),(Z26-(+Z26*T27)),IF(Q27="Probabilidad",(I26-(+I26*T27)),IF(Q27="Impacto",Z26,""))),"")</f>
        <v>0.33599999999999997</v>
      </c>
      <c r="Y27" s="171" t="str">
        <f t="shared" ref="Y27:Y29" si="2">IFERROR(IF(X27="","",IF(X27&lt;=0.2,"Muy Baja",IF(X27&lt;=0.4,"Baja",IF(X27&lt;=0.6,"Media",IF(X27&lt;=0.8,"Alta","Muy Alta"))))),"")</f>
        <v>Baja</v>
      </c>
      <c r="Z27" s="162">
        <f t="shared" ref="Z27:Z29" si="3">+X27</f>
        <v>0.33599999999999997</v>
      </c>
      <c r="AA27" s="171" t="str">
        <f t="shared" ref="AA27:AA29" si="4">IFERROR(IF(AB27="","",IF(AB27&lt;=0.2,"Leve",IF(AB27&lt;=0.4,"Menor",IF(AB27&lt;=0.6,"Moderado",IF(AB27&lt;=0.8,"Mayor","Catastrófico"))))),"")</f>
        <v>Moderado</v>
      </c>
      <c r="AB27" s="162">
        <f>IFERROR(IF(AND(Q26="Impacto",Q27="Impacto"),(AB26-(+AB26*T27)),IF(Q27="Impacto",(M26-(+M26*T27)),IF(Q27="Probabilidad",AB26,""))),"")</f>
        <v>0.6</v>
      </c>
      <c r="AC27" s="172" t="str">
        <f t="shared" ref="AC27:AC29" si="5">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Moderado</v>
      </c>
      <c r="AD27" s="244"/>
      <c r="AE27" s="173"/>
      <c r="AF27" s="174"/>
      <c r="AG27" s="175"/>
      <c r="AH27" s="175"/>
      <c r="AI27" s="173"/>
      <c r="AJ27" s="174"/>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row>
    <row r="28" spans="1:68" ht="189" customHeight="1" x14ac:dyDescent="0.25">
      <c r="A28" s="280"/>
      <c r="B28" s="283"/>
      <c r="C28" s="182"/>
      <c r="D28" s="300"/>
      <c r="E28" s="296"/>
      <c r="F28" s="283"/>
      <c r="G28" s="289"/>
      <c r="H28" s="262"/>
      <c r="I28" s="260"/>
      <c r="J28" s="298"/>
      <c r="K28" s="260"/>
      <c r="L28" s="262"/>
      <c r="M28" s="260"/>
      <c r="N28" s="264"/>
      <c r="O28" s="4">
        <v>3</v>
      </c>
      <c r="P28" s="186" t="s">
        <v>351</v>
      </c>
      <c r="Q28" s="168" t="str">
        <f t="shared" si="0"/>
        <v>Probabilidad</v>
      </c>
      <c r="R28" s="169" t="s">
        <v>164</v>
      </c>
      <c r="S28" s="169" t="s">
        <v>172</v>
      </c>
      <c r="T28" s="170" t="str">
        <f t="shared" si="1"/>
        <v>40%</v>
      </c>
      <c r="U28" s="169" t="s">
        <v>178</v>
      </c>
      <c r="V28" s="169" t="s">
        <v>180</v>
      </c>
      <c r="W28" s="169" t="s">
        <v>184</v>
      </c>
      <c r="X28" s="156">
        <f>IFERROR(IF(AND(Q26="Probabilidad",Q28="Probabilidad"),(Z26-(+Z26*T28)),IF(AND(Q26="Impacto",Q28="Probabilidad"),(Z25-(+Z25*T28)),IF(Q28="Impacto",Z26,""))),"")</f>
        <v>0.28799999999999998</v>
      </c>
      <c r="Y28" s="171" t="str">
        <f t="shared" ref="Y28" si="6">IFERROR(IF(X28="","",IF(X28&lt;=0.2,"Muy Baja",IF(X28&lt;=0.4,"Baja",IF(X28&lt;=0.6,"Media",IF(X28&lt;=0.8,"Alta","Muy Alta"))))),"")</f>
        <v>Baja</v>
      </c>
      <c r="Z28" s="162">
        <f t="shared" ref="Z28" si="7">+X28</f>
        <v>0.28799999999999998</v>
      </c>
      <c r="AA28" s="171" t="str">
        <f t="shared" ref="AA28" si="8">IFERROR(IF(AB28="","",IF(AB28&lt;=0.2,"Leve",IF(AB28&lt;=0.4,"Menor",IF(AB28&lt;=0.6,"Moderado",IF(AB28&lt;=0.8,"Mayor","Catastrófico"))))),"")</f>
        <v>Moderado</v>
      </c>
      <c r="AB28" s="162">
        <f>IFERROR(IF(AND(Q26="Impacto",Q28="Impacto"),(AB26-(+AB26*T28)),IF(AND(Q26="Probabilidad",Q28="Impacto"),(AB25-(+AB25*T28)),IF(Q28="Probabilidad",AB26,""))),"")</f>
        <v>0.6</v>
      </c>
      <c r="AC28" s="172" t="str">
        <f t="shared" ref="AC28" si="9">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244"/>
      <c r="AE28" s="173"/>
      <c r="AF28" s="174"/>
      <c r="AG28" s="175"/>
      <c r="AH28" s="175"/>
      <c r="AI28" s="173"/>
      <c r="AJ28" s="174"/>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row>
    <row r="29" spans="1:68" ht="176.1" customHeight="1" x14ac:dyDescent="0.25">
      <c r="A29" s="280"/>
      <c r="B29" s="283"/>
      <c r="C29" s="178" t="s">
        <v>306</v>
      </c>
      <c r="D29" s="300"/>
      <c r="E29" s="296"/>
      <c r="F29" s="283"/>
      <c r="G29" s="289"/>
      <c r="H29" s="262"/>
      <c r="I29" s="260"/>
      <c r="J29" s="298"/>
      <c r="K29" s="260">
        <f>IF(NOT(ISERROR(MATCH(J29,_xlfn.ANCHORARRAY(E34),0))),I36&amp;"Por favor no seleccionar los criterios de impacto",J29)</f>
        <v>0</v>
      </c>
      <c r="L29" s="262"/>
      <c r="M29" s="260"/>
      <c r="N29" s="264"/>
      <c r="O29" s="4">
        <v>4</v>
      </c>
      <c r="P29" s="186" t="s">
        <v>352</v>
      </c>
      <c r="Q29" s="168" t="str">
        <f t="shared" si="0"/>
        <v>Probabilidad</v>
      </c>
      <c r="R29" s="169" t="s">
        <v>164</v>
      </c>
      <c r="S29" s="169" t="s">
        <v>172</v>
      </c>
      <c r="T29" s="170" t="str">
        <f t="shared" si="1"/>
        <v>40%</v>
      </c>
      <c r="U29" s="169" t="s">
        <v>178</v>
      </c>
      <c r="V29" s="169" t="s">
        <v>180</v>
      </c>
      <c r="W29" s="169" t="s">
        <v>184</v>
      </c>
      <c r="X29" s="156">
        <f>IFERROR(IF(AND(Q27="Probabilidad",Q29="Probabilidad"),(Z27-(+Z27*T29)),IF(AND(Q27="Impacto",Q29="Probabilidad"),(Z26-(+Z26*T29)),IF(Q29="Impacto",Z27,""))),"")</f>
        <v>0.20159999999999997</v>
      </c>
      <c r="Y29" s="171" t="str">
        <f t="shared" si="2"/>
        <v>Baja</v>
      </c>
      <c r="Z29" s="162">
        <f t="shared" si="3"/>
        <v>0.20159999999999997</v>
      </c>
      <c r="AA29" s="171" t="str">
        <f t="shared" si="4"/>
        <v>Moderado</v>
      </c>
      <c r="AB29" s="162">
        <f>IFERROR(IF(AND(Q27="Impacto",Q29="Impacto"),(AB27-(+AB27*T29)),IF(AND(Q27="Probabilidad",Q29="Impacto"),(AB26-(+AB26*T29)),IF(Q29="Probabilidad",AB27,""))),"")</f>
        <v>0.6</v>
      </c>
      <c r="AC29" s="172" t="str">
        <f t="shared" si="5"/>
        <v>Moderado</v>
      </c>
      <c r="AD29" s="245"/>
      <c r="AE29" s="173"/>
      <c r="AF29" s="174"/>
      <c r="AG29" s="175"/>
      <c r="AH29" s="175"/>
      <c r="AI29" s="173"/>
      <c r="AJ29" s="174"/>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row>
    <row r="30" spans="1:68" ht="127.5" customHeight="1" x14ac:dyDescent="0.25">
      <c r="A30" s="279">
        <v>2</v>
      </c>
      <c r="B30" s="282" t="s">
        <v>192</v>
      </c>
      <c r="C30" s="176" t="s">
        <v>307</v>
      </c>
      <c r="D30" s="299" t="s">
        <v>309</v>
      </c>
      <c r="E30" s="295" t="s">
        <v>350</v>
      </c>
      <c r="F30" s="282" t="s">
        <v>241</v>
      </c>
      <c r="G30" s="288">
        <v>2</v>
      </c>
      <c r="H30" s="261" t="str">
        <f>IF(G30&lt;=0,"",IF(G30&lt;=2,"Muy Baja",IF(G30&lt;=24,"Baja",IF(G30&lt;=500,"Media",IF(G30&lt;=5000,"Alta","Muy Alta")))))</f>
        <v>Muy Baja</v>
      </c>
      <c r="I30" s="259">
        <f>IF(H30="","",IF(H30="Muy Baja",0.2,IF(H30="Baja",0.4,IF(H30="Media",0.6,IF(H30="Alta",0.8,IF(H30="Muy Alta",1,))))))</f>
        <v>0.2</v>
      </c>
      <c r="J30" s="297" t="s">
        <v>148</v>
      </c>
      <c r="K30" s="259" t="str">
        <f>IF(NOT(ISERROR(MATCH(J30,'Tabla Impacto'!$B$221:$B$223,0))),'Tabla Impacto'!$F$228&amp;"Por favor no seleccionar los criterios de impacto(Afectación Económica o presupuestal y Pérdida Reputacional)",J30)</f>
        <v xml:space="preserve">     El riesgo afecta la imagen de la entidad con algunos usuarios de relevancia frente al logro de los objetivos</v>
      </c>
      <c r="L30" s="261" t="str">
        <f>IF(OR(K30='Tabla Impacto'!$C$11,K30='Tabla Impacto'!$D$11),"Leve",IF(OR(K30='Tabla Impacto'!$C$12,K30='Tabla Impacto'!$D$12),"Menor",IF(OR(K30='Tabla Impacto'!$C$13,K30='Tabla Impacto'!$D$13),"Moderado",IF(OR(K30='Tabla Impacto'!$C$14,K30='Tabla Impacto'!$D$14),"Mayor",IF(OR(K30='Tabla Impacto'!$C$15,K30='Tabla Impacto'!$D$15),"Catastrófico","")))))</f>
        <v>Moderado</v>
      </c>
      <c r="M30" s="259">
        <f>IF(L30="","",IF(L30="Leve",0.2,IF(L30="Menor",0.4,IF(L30="Moderado",0.6,IF(L30="Mayor",0.8,IF(L30="Catastrófico",1,))))))</f>
        <v>0.6</v>
      </c>
      <c r="N30" s="26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4">
        <v>1</v>
      </c>
      <c r="P30" s="188" t="s">
        <v>357</v>
      </c>
      <c r="Q30" s="168" t="str">
        <f t="shared" si="0"/>
        <v>Probabilidad</v>
      </c>
      <c r="R30" s="169" t="s">
        <v>164</v>
      </c>
      <c r="S30" s="169" t="s">
        <v>172</v>
      </c>
      <c r="T30" s="170" t="str">
        <f>IF(AND(R30="Preventivo",S30="Automático"),"50%",IF(AND(R30="Preventivo",S30="Manual"),"40%",IF(AND(R30="Detectivo",S30="Automático"),"40%",IF(AND(R30="Detectivo",S30="Manual"),"30%",IF(AND(R30="Correctivo",S30="Automático"),"35%",IF(AND(R30="Correctivo",S30="Manual"),"25%",""))))))</f>
        <v>40%</v>
      </c>
      <c r="U30" s="169" t="s">
        <v>175</v>
      </c>
      <c r="V30" s="169" t="s">
        <v>180</v>
      </c>
      <c r="W30" s="169" t="s">
        <v>184</v>
      </c>
      <c r="X30" s="156">
        <f>IFERROR(IF(Q30="Probabilidad",(I30-(+I30*T30)),IF(Q30="Impacto",I30,"")),"")</f>
        <v>0.12</v>
      </c>
      <c r="Y30" s="171" t="str">
        <f>IFERROR(IF(X30="","",IF(X30&lt;=0.2,"Muy Baja",IF(X30&lt;=0.4,"Baja",IF(X30&lt;=0.6,"Media",IF(X30&lt;=0.8,"Alta","Muy Alta"))))),"")</f>
        <v>Muy Baja</v>
      </c>
      <c r="Z30" s="162">
        <f>+X30</f>
        <v>0.12</v>
      </c>
      <c r="AA30" s="171" t="str">
        <f>IFERROR(IF(AB30="","",IF(AB30&lt;=0.2,"Leve",IF(AB30&lt;=0.4,"Menor",IF(AB30&lt;=0.6,"Moderado",IF(AB30&lt;=0.8,"Mayor","Catastrófico"))))),"")</f>
        <v>Moderado</v>
      </c>
      <c r="AB30" s="162">
        <f>IFERROR(IF(Q30="Impacto",(M30-(+M30*T30)),IF(Q30="Probabilidad",M30,"")),"")</f>
        <v>0.6</v>
      </c>
      <c r="AC30" s="172"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243" t="s">
        <v>189</v>
      </c>
      <c r="AE30" s="173"/>
      <c r="AF30" s="174"/>
      <c r="AG30" s="175"/>
      <c r="AH30" s="175"/>
      <c r="AI30" s="173"/>
      <c r="AJ30" s="174"/>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row>
    <row r="31" spans="1:68" ht="151.5" customHeight="1" x14ac:dyDescent="0.25">
      <c r="A31" s="280"/>
      <c r="B31" s="283"/>
      <c r="C31" s="301" t="s">
        <v>308</v>
      </c>
      <c r="D31" s="300"/>
      <c r="E31" s="296"/>
      <c r="F31" s="283"/>
      <c r="G31" s="289"/>
      <c r="H31" s="262"/>
      <c r="I31" s="260"/>
      <c r="J31" s="298"/>
      <c r="K31" s="260">
        <f>IF(NOT(ISERROR(MATCH(J31,_xlfn.ANCHORARRAY(E37),0))),I39&amp;"Por favor no seleccionar los criterios de impacto",J31)</f>
        <v>0</v>
      </c>
      <c r="L31" s="262"/>
      <c r="M31" s="260"/>
      <c r="N31" s="264"/>
      <c r="O31" s="4">
        <v>2</v>
      </c>
      <c r="P31" s="187" t="s">
        <v>348</v>
      </c>
      <c r="Q31" s="168" t="str">
        <f t="shared" si="0"/>
        <v>Probabilidad</v>
      </c>
      <c r="R31" s="169" t="s">
        <v>164</v>
      </c>
      <c r="S31" s="169" t="s">
        <v>172</v>
      </c>
      <c r="T31" s="170" t="str">
        <f t="shared" ref="T31:T32" si="10">IF(AND(R31="Preventivo",S31="Automático"),"50%",IF(AND(R31="Preventivo",S31="Manual"),"40%",IF(AND(R31="Detectivo",S31="Automático"),"40%",IF(AND(R31="Detectivo",S31="Manual"),"30%",IF(AND(R31="Correctivo",S31="Automático"),"35%",IF(AND(R31="Correctivo",S31="Manual"),"25%",""))))))</f>
        <v>40%</v>
      </c>
      <c r="U31" s="169" t="s">
        <v>175</v>
      </c>
      <c r="V31" s="169" t="s">
        <v>180</v>
      </c>
      <c r="W31" s="169" t="s">
        <v>184</v>
      </c>
      <c r="X31" s="156">
        <f>IFERROR(IF(AND(Q30="Probabilidad",Q31="Probabilidad"),(Z30-(+Z30*T31)),IF(Q31="Probabilidad",(I30-(+I30*T31)),IF(Q31="Impacto",Z30,""))),"")</f>
        <v>7.1999999999999995E-2</v>
      </c>
      <c r="Y31" s="171" t="str">
        <f t="shared" ref="Y31:Y32" si="11">IFERROR(IF(X31="","",IF(X31&lt;=0.2,"Muy Baja",IF(X31&lt;=0.4,"Baja",IF(X31&lt;=0.6,"Media",IF(X31&lt;=0.8,"Alta","Muy Alta"))))),"")</f>
        <v>Muy Baja</v>
      </c>
      <c r="Z31" s="162">
        <f t="shared" ref="Z31:Z32" si="12">+X31</f>
        <v>7.1999999999999995E-2</v>
      </c>
      <c r="AA31" s="171" t="str">
        <f t="shared" ref="AA31:AA32" si="13">IFERROR(IF(AB31="","",IF(AB31&lt;=0.2,"Leve",IF(AB31&lt;=0.4,"Menor",IF(AB31&lt;=0.6,"Moderado",IF(AB31&lt;=0.8,"Mayor","Catastrófico"))))),"")</f>
        <v>Moderado</v>
      </c>
      <c r="AB31" s="162">
        <f>IFERROR(IF(AND(Q30="Impacto",Q31="Impacto"),(AB30-(+AB30*T31)),IF(Q31="Impacto",(M30-(+M30*T31)),IF(Q31="Probabilidad",AB30,""))),"")</f>
        <v>0.6</v>
      </c>
      <c r="AC31" s="172" t="str">
        <f t="shared" ref="AC31:AC32" si="1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244"/>
      <c r="AE31" s="173"/>
      <c r="AF31" s="174"/>
      <c r="AG31" s="175"/>
      <c r="AH31" s="175"/>
      <c r="AI31" s="173"/>
      <c r="AJ31" s="174"/>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row>
    <row r="32" spans="1:68" ht="108.75" customHeight="1" x14ac:dyDescent="0.25">
      <c r="A32" s="280"/>
      <c r="B32" s="283"/>
      <c r="C32" s="302"/>
      <c r="D32" s="300"/>
      <c r="E32" s="296"/>
      <c r="F32" s="283"/>
      <c r="G32" s="289"/>
      <c r="H32" s="262"/>
      <c r="I32" s="260"/>
      <c r="J32" s="298"/>
      <c r="K32" s="260">
        <f>IF(NOT(ISERROR(MATCH(J32,_xlfn.ANCHORARRAY(E38),0))),I40&amp;"Por favor no seleccionar los criterios de impacto",J32)</f>
        <v>0</v>
      </c>
      <c r="L32" s="262"/>
      <c r="M32" s="260"/>
      <c r="N32" s="264"/>
      <c r="O32" s="4">
        <v>3</v>
      </c>
      <c r="P32" s="187" t="s">
        <v>358</v>
      </c>
      <c r="Q32" s="168" t="str">
        <f t="shared" si="0"/>
        <v>Probabilidad</v>
      </c>
      <c r="R32" s="169" t="s">
        <v>164</v>
      </c>
      <c r="S32" s="169" t="s">
        <v>172</v>
      </c>
      <c r="T32" s="170" t="str">
        <f t="shared" si="10"/>
        <v>40%</v>
      </c>
      <c r="U32" s="169" t="s">
        <v>175</v>
      </c>
      <c r="V32" s="169" t="s">
        <v>180</v>
      </c>
      <c r="W32" s="169" t="s">
        <v>184</v>
      </c>
      <c r="X32" s="156">
        <f>IFERROR(IF(AND(Q31="Probabilidad",Q32="Probabilidad"),(Z31-(+Z31*T32)),IF(AND(Q31="Impacto",Q32="Probabilidad"),(Z30-(+Z30*T32)),IF(Q32="Impacto",Z31,""))),"")</f>
        <v>4.3199999999999995E-2</v>
      </c>
      <c r="Y32" s="171" t="str">
        <f t="shared" si="11"/>
        <v>Muy Baja</v>
      </c>
      <c r="Z32" s="162">
        <f t="shared" si="12"/>
        <v>4.3199999999999995E-2</v>
      </c>
      <c r="AA32" s="171" t="str">
        <f t="shared" si="13"/>
        <v>Moderado</v>
      </c>
      <c r="AB32" s="162">
        <f>IFERROR(IF(AND(Q31="Impacto",Q32="Impacto"),(AB31-(+AB31*T32)),IF(AND(Q31="Probabilidad",Q32="Impacto"),(AB30-(+AB30*T32)),IF(Q32="Probabilidad",AB31,""))),"")</f>
        <v>0.6</v>
      </c>
      <c r="AC32" s="172" t="str">
        <f t="shared" si="14"/>
        <v>Moderado</v>
      </c>
      <c r="AD32" s="245"/>
      <c r="AE32" s="173"/>
      <c r="AF32" s="174"/>
      <c r="AG32" s="175"/>
      <c r="AH32" s="175"/>
      <c r="AI32" s="173"/>
      <c r="AJ32" s="174"/>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row>
    <row r="33" spans="1:68" ht="252" customHeight="1" x14ac:dyDescent="0.25">
      <c r="A33" s="279">
        <v>3</v>
      </c>
      <c r="B33" s="282" t="s">
        <v>192</v>
      </c>
      <c r="C33" s="176" t="s">
        <v>310</v>
      </c>
      <c r="D33" s="282" t="s">
        <v>311</v>
      </c>
      <c r="E33" s="295" t="s">
        <v>349</v>
      </c>
      <c r="F33" s="282" t="s">
        <v>241</v>
      </c>
      <c r="G33" s="288">
        <v>93</v>
      </c>
      <c r="H33" s="261" t="str">
        <f>IF(G33&lt;=0,"",IF(G33&lt;=2,"Muy Baja",IF(G33&lt;=24,"Baja",IF(G33&lt;=500,"Media",IF(G33&lt;=5000,"Alta","Muy Alta")))))</f>
        <v>Media</v>
      </c>
      <c r="I33" s="259">
        <f>IF(H33="","",IF(H33="Muy Baja",0.2,IF(H33="Baja",0.4,IF(H33="Media",0.6,IF(H33="Alta",0.8,IF(H33="Muy Alta",1,))))))</f>
        <v>0.6</v>
      </c>
      <c r="J33" s="292" t="s">
        <v>148</v>
      </c>
      <c r="K33" s="259" t="str">
        <f>IF(NOT(ISERROR(MATCH(J33,'[6]Tabla Impacto'!$B$221:$B$223,0))),'[6]Tabla Impacto'!$F$223&amp;"Por favor no seleccionar los criterios de impacto(Afectación Económica o presupuestal y Pérdida Reputacional)",J33)</f>
        <v xml:space="preserve">     El riesgo afecta la imagen de la entidad con algunos usuarios de relevancia frente al logro de los objetivos</v>
      </c>
      <c r="L33" s="261" t="str">
        <f>IF(OR(K33='[6]Tabla Impacto'!$C$11,K33='[6]Tabla Impacto'!$D$11),"Leve",IF(OR(K33='[6]Tabla Impacto'!$C$12,K33='[6]Tabla Impacto'!$D$12),"Menor",IF(OR(K33='[6]Tabla Impacto'!$C$13,K33='[6]Tabla Impacto'!$D$13),"Moderado",IF(OR(K33='[6]Tabla Impacto'!$C$14,K33='[6]Tabla Impacto'!$D$14),"Mayor",IF(OR(K33='[6]Tabla Impacto'!$C$15,K33='[6]Tabla Impacto'!$D$15),"Catastrófico","")))))</f>
        <v>Moderado</v>
      </c>
      <c r="M33" s="259">
        <f>IF(L33="","",IF(L33="Leve",0.2,IF(L33="Menor",0.4,IF(L33="Moderado",0.6,IF(L33="Mayor",0.8,IF(L33="Catastrófico",1,))))))</f>
        <v>0.6</v>
      </c>
      <c r="N33" s="263"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Moderado</v>
      </c>
      <c r="O33" s="4">
        <v>1</v>
      </c>
      <c r="P33" s="188" t="s">
        <v>359</v>
      </c>
      <c r="Q33" s="168" t="s">
        <v>91</v>
      </c>
      <c r="R33" s="169" t="s">
        <v>166</v>
      </c>
      <c r="S33" s="169" t="s">
        <v>172</v>
      </c>
      <c r="T33" s="170" t="str">
        <f>IF(AND(R33="Preventivo",S33="Automático"),"50%",IF(AND(R33="Preventivo",S33="Manual"),"40%",IF(AND(R33="Detectivo",S33="Automático"),"40%",IF(AND(R33="Detectivo",S33="Manual"),"30%",IF(AND(R33="Correctivo",S33="Automático"),"35%",IF(AND(R33="Correctivo",S33="Manual"),"25%",""))))))</f>
        <v>30%</v>
      </c>
      <c r="U33" s="169" t="s">
        <v>175</v>
      </c>
      <c r="V33" s="169" t="s">
        <v>180</v>
      </c>
      <c r="W33" s="169" t="s">
        <v>184</v>
      </c>
      <c r="X33" s="156">
        <f>IFERROR(IF(Q33="Probabilidad",(I33-(+I33*T33)),IF(Q33="Impacto",I33,"")),"")</f>
        <v>0.42</v>
      </c>
      <c r="Y33" s="171" t="str">
        <f>IFERROR(IF(X33="","",IF(X33&lt;=0.2,"Muy Baja",IF(X33&lt;=0.4,"Baja",IF(X33&lt;=0.6,"Media",IF(X33&lt;=0.8,"Alta","Muy Alta"))))),"")</f>
        <v>Media</v>
      </c>
      <c r="Z33" s="162">
        <f>+X33</f>
        <v>0.42</v>
      </c>
      <c r="AA33" s="171" t="str">
        <f>IFERROR(IF(AB33="","",IF(AB33&lt;=0.2,"Leve",IF(AB33&lt;=0.4,"Menor",IF(AB33&lt;=0.6,"Moderado",IF(AB33&lt;=0.8,"Mayor","Catastrófico"))))),"")</f>
        <v>Moderado</v>
      </c>
      <c r="AB33" s="162">
        <f>IFERROR(IF(Q33="Impacto",(M33-(+M33*T33)),IF(Q33="Probabilidad",M33,"")),"")</f>
        <v>0.6</v>
      </c>
      <c r="AC33" s="172"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Moderado</v>
      </c>
      <c r="AD33" s="243" t="s">
        <v>189</v>
      </c>
      <c r="AE33" s="173"/>
      <c r="AF33" s="174"/>
      <c r="AG33" s="175"/>
      <c r="AH33" s="175"/>
      <c r="AI33" s="173"/>
      <c r="AJ33" s="174"/>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row>
    <row r="34" spans="1:68" ht="168" customHeight="1" x14ac:dyDescent="0.25">
      <c r="A34" s="280"/>
      <c r="B34" s="283"/>
      <c r="C34" s="176" t="s">
        <v>312</v>
      </c>
      <c r="D34" s="283"/>
      <c r="E34" s="296"/>
      <c r="F34" s="283"/>
      <c r="G34" s="289"/>
      <c r="H34" s="262"/>
      <c r="I34" s="260"/>
      <c r="J34" s="293"/>
      <c r="K34" s="260">
        <f>IF(NOT(ISERROR(MATCH(J34,_xlfn.ANCHORARRAY(#REF!),0))),#REF!&amp;"Por favor no seleccionar los criterios de impacto",J34)</f>
        <v>0</v>
      </c>
      <c r="L34" s="262"/>
      <c r="M34" s="260"/>
      <c r="N34" s="264"/>
      <c r="O34" s="4">
        <v>2</v>
      </c>
      <c r="P34" s="188" t="s">
        <v>353</v>
      </c>
      <c r="Q34" s="168" t="s">
        <v>91</v>
      </c>
      <c r="R34" s="169" t="s">
        <v>164</v>
      </c>
      <c r="S34" s="169" t="s">
        <v>172</v>
      </c>
      <c r="T34" s="170" t="str">
        <f t="shared" ref="T34:T37" si="15">IF(AND(R34="Preventivo",S34="Automático"),"50%",IF(AND(R34="Preventivo",S34="Manual"),"40%",IF(AND(R34="Detectivo",S34="Automático"),"40%",IF(AND(R34="Detectivo",S34="Manual"),"30%",IF(AND(R34="Correctivo",S34="Automático"),"35%",IF(AND(R34="Correctivo",S34="Manual"),"25%",""))))))</f>
        <v>40%</v>
      </c>
      <c r="U34" s="169" t="s">
        <v>175</v>
      </c>
      <c r="V34" s="169" t="s">
        <v>180</v>
      </c>
      <c r="W34" s="169" t="s">
        <v>184</v>
      </c>
      <c r="X34" s="179">
        <f>IFERROR(IF(AND(Q33="Probabilidad",Q34="Probabilidad"),(Z33-(+Z33*T34)),IF(Q34="Probabilidad",(I33-(+I33*T34)),IF(Q34="Impacto",Z33,""))),"")</f>
        <v>0.252</v>
      </c>
      <c r="Y34" s="171" t="str">
        <f t="shared" ref="Y34:Y37" si="16">IFERROR(IF(X34="","",IF(X34&lt;=0.2,"Muy Baja",IF(X34&lt;=0.4,"Baja",IF(X34&lt;=0.6,"Media",IF(X34&lt;=0.8,"Alta","Muy Alta"))))),"")</f>
        <v>Baja</v>
      </c>
      <c r="Z34" s="162">
        <f t="shared" ref="Z34:Z37" si="17">+X34</f>
        <v>0.252</v>
      </c>
      <c r="AA34" s="171" t="str">
        <f t="shared" ref="AA34:AA37" si="18">IFERROR(IF(AB34="","",IF(AB34&lt;=0.2,"Leve",IF(AB34&lt;=0.4,"Menor",IF(AB34&lt;=0.6,"Moderado",IF(AB34&lt;=0.8,"Mayor","Catastrófico"))))),"")</f>
        <v>Moderado</v>
      </c>
      <c r="AB34" s="162">
        <f>IFERROR(IF(AND(Q33="Impacto",Q34="Impacto"),(AB33-(+AB33*T34)),IF(Q34="Impacto",(M33-(+M33*T34)),IF(Q34="Probabilidad",AB33,""))),"")</f>
        <v>0.6</v>
      </c>
      <c r="AC34" s="172" t="str">
        <f t="shared" ref="AC34:AC35" si="19">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244"/>
      <c r="AE34" s="173"/>
      <c r="AF34" s="174"/>
      <c r="AG34" s="175"/>
      <c r="AH34" s="175"/>
      <c r="AI34" s="173"/>
      <c r="AJ34" s="174"/>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row>
    <row r="35" spans="1:68" ht="168.95" customHeight="1" x14ac:dyDescent="0.25">
      <c r="A35" s="280"/>
      <c r="B35" s="283"/>
      <c r="C35" s="176" t="s">
        <v>313</v>
      </c>
      <c r="D35" s="283"/>
      <c r="E35" s="296"/>
      <c r="F35" s="283"/>
      <c r="G35" s="289"/>
      <c r="H35" s="262"/>
      <c r="I35" s="260"/>
      <c r="J35" s="293"/>
      <c r="K35" s="260">
        <f>IF(NOT(ISERROR(MATCH(J35,_xlfn.ANCHORARRAY(#REF!),0))),#REF!&amp;"Por favor no seleccionar los criterios de impacto",J35)</f>
        <v>0</v>
      </c>
      <c r="L35" s="262"/>
      <c r="M35" s="260"/>
      <c r="N35" s="264"/>
      <c r="O35" s="4">
        <v>3</v>
      </c>
      <c r="P35" s="188" t="s">
        <v>354</v>
      </c>
      <c r="Q35" s="168" t="str">
        <f>IF(OR(R35="Preventivo",R35="Detectivo"),"Probabilidad",IF(R35="Correctivo","Impacto",""))</f>
        <v>Probabilidad</v>
      </c>
      <c r="R35" s="169" t="s">
        <v>164</v>
      </c>
      <c r="S35" s="169" t="s">
        <v>172</v>
      </c>
      <c r="T35" s="170" t="str">
        <f t="shared" si="15"/>
        <v>40%</v>
      </c>
      <c r="U35" s="169" t="s">
        <v>175</v>
      </c>
      <c r="V35" s="169" t="s">
        <v>180</v>
      </c>
      <c r="W35" s="169" t="s">
        <v>184</v>
      </c>
      <c r="X35" s="156">
        <f>IFERROR(IF(AND(Q34="Probabilidad",Q35="Probabilidad"),(Z34-(+Z34*T35)),IF(AND(Q34="Impacto",Q35="Probabilidad"),(Z33-(+Z33*T35)),IF(Q35="Impacto",Z34,""))),"")</f>
        <v>0.1512</v>
      </c>
      <c r="Y35" s="171" t="str">
        <f t="shared" si="16"/>
        <v>Muy Baja</v>
      </c>
      <c r="Z35" s="162">
        <f t="shared" si="17"/>
        <v>0.1512</v>
      </c>
      <c r="AA35" s="171" t="str">
        <f t="shared" si="18"/>
        <v>Moderado</v>
      </c>
      <c r="AB35" s="162">
        <f>IFERROR(IF(AND(Q34="Impacto",Q35="Impacto"),(AB34-(+AB34*T35)),IF(AND(Q34="Probabilidad",Q35="Impacto"),(AB33-(+AB33*T35)),IF(Q35="Probabilidad",AB34,""))),"")</f>
        <v>0.6</v>
      </c>
      <c r="AC35" s="172" t="str">
        <f t="shared" si="19"/>
        <v>Moderado</v>
      </c>
      <c r="AD35" s="244"/>
      <c r="AE35" s="173"/>
      <c r="AF35" s="174"/>
      <c r="AG35" s="175"/>
      <c r="AH35" s="175"/>
      <c r="AI35" s="173"/>
      <c r="AJ35" s="174"/>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row>
    <row r="36" spans="1:68" ht="91.5" customHeight="1" x14ac:dyDescent="0.25">
      <c r="A36" s="280"/>
      <c r="B36" s="283"/>
      <c r="C36" s="176" t="s">
        <v>314</v>
      </c>
      <c r="D36" s="283"/>
      <c r="E36" s="296"/>
      <c r="F36" s="283"/>
      <c r="G36" s="289"/>
      <c r="H36" s="262"/>
      <c r="I36" s="260"/>
      <c r="J36" s="293"/>
      <c r="K36" s="260">
        <f>IF(NOT(ISERROR(MATCH(J36,_xlfn.ANCHORARRAY(#REF!),0))),#REF!&amp;"Por favor no seleccionar los criterios de impacto",J36)</f>
        <v>0</v>
      </c>
      <c r="L36" s="262"/>
      <c r="M36" s="260"/>
      <c r="N36" s="264"/>
      <c r="O36" s="4">
        <v>4</v>
      </c>
      <c r="P36" s="187" t="s">
        <v>315</v>
      </c>
      <c r="Q36" s="168" t="str">
        <f t="shared" ref="Q36:Q39" si="20">IF(OR(R36="Preventivo",R36="Detectivo"),"Probabilidad",IF(R36="Correctivo","Impacto",""))</f>
        <v>Probabilidad</v>
      </c>
      <c r="R36" s="169" t="s">
        <v>164</v>
      </c>
      <c r="S36" s="169" t="s">
        <v>172</v>
      </c>
      <c r="T36" s="170" t="str">
        <f t="shared" si="15"/>
        <v>40%</v>
      </c>
      <c r="U36" s="169" t="s">
        <v>175</v>
      </c>
      <c r="V36" s="169" t="s">
        <v>180</v>
      </c>
      <c r="W36" s="169" t="s">
        <v>184</v>
      </c>
      <c r="X36" s="156">
        <f t="shared" ref="X36" si="21">IFERROR(IF(AND(Q35="Probabilidad",Q36="Probabilidad"),(Z35-(+Z35*T36)),IF(AND(Q35="Impacto",Q36="Probabilidad"),(Z34-(+Z34*T36)),IF(Q36="Impacto",Z35,""))),"")</f>
        <v>9.0719999999999995E-2</v>
      </c>
      <c r="Y36" s="171" t="str">
        <f t="shared" si="16"/>
        <v>Muy Baja</v>
      </c>
      <c r="Z36" s="162">
        <f t="shared" si="17"/>
        <v>9.0719999999999995E-2</v>
      </c>
      <c r="AA36" s="171" t="str">
        <f t="shared" si="18"/>
        <v>Moderado</v>
      </c>
      <c r="AB36" s="162">
        <f t="shared" ref="AB36" si="22">IFERROR(IF(AND(Q35="Impacto",Q36="Impacto"),(AB35-(+AB35*T36)),IF(AND(Q35="Probabilidad",Q36="Impacto"),(AB34-(+AB34*T36)),IF(Q36="Probabilidad",AB35,""))),"")</f>
        <v>0.6</v>
      </c>
      <c r="AC36" s="172"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245"/>
      <c r="AE36" s="173"/>
      <c r="AF36" s="174"/>
      <c r="AG36" s="175"/>
      <c r="AH36" s="175"/>
      <c r="AI36" s="173"/>
      <c r="AJ36" s="174"/>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row>
    <row r="37" spans="1:68" ht="226.5" customHeight="1" x14ac:dyDescent="0.25">
      <c r="A37" s="279">
        <v>4</v>
      </c>
      <c r="B37" s="282" t="s">
        <v>194</v>
      </c>
      <c r="C37" s="180" t="s">
        <v>320</v>
      </c>
      <c r="D37" s="282" t="s">
        <v>319</v>
      </c>
      <c r="E37" s="295" t="s">
        <v>360</v>
      </c>
      <c r="F37" s="282" t="s">
        <v>241</v>
      </c>
      <c r="G37" s="288">
        <v>300</v>
      </c>
      <c r="H37" s="261" t="str">
        <f>IF(G37&lt;=0,"",IF(G37&lt;=2,"Muy Baja",IF(G37&lt;=24,"Baja",IF(G37&lt;=500,"Media",IF(G37&lt;=5000,"Alta","Muy Alta")))))</f>
        <v>Media</v>
      </c>
      <c r="I37" s="259">
        <f>IF(H37="","",IF(H37="Muy Baja",0.2,IF(H37="Baja",0.4,IF(H37="Media",0.6,IF(H37="Alta",0.8,IF(H37="Muy Alta",1,))))))</f>
        <v>0.6</v>
      </c>
      <c r="J37" s="292" t="s">
        <v>148</v>
      </c>
      <c r="K37" s="259" t="str">
        <f>IF(NOT(ISERROR(MATCH(J37,'Tabla Impacto'!$B$221:$B$223,0))),'Tabla Impacto'!$F$228&amp;"Por favor no seleccionar los criterios de impacto(Afectación Económica o presupuestal y Pérdida Reputacional)",J37)</f>
        <v xml:space="preserve">     El riesgo afecta la imagen de la entidad con algunos usuarios de relevancia frente al logro de los objetivos</v>
      </c>
      <c r="L37" s="261" t="str">
        <f>IF(OR(K37='Tabla Impacto'!$C$11,K37='Tabla Impacto'!$D$11),"Leve",IF(OR(K37='Tabla Impacto'!$C$12,K37='Tabla Impacto'!$D$12),"Menor",IF(OR(K37='Tabla Impacto'!$C$13,K37='Tabla Impacto'!$D$13),"Moderado",IF(OR(K37='Tabla Impacto'!$C$14,K37='Tabla Impacto'!$D$14),"Mayor",IF(OR(K37='Tabla Impacto'!$C$15,K37='Tabla Impacto'!$D$15),"Catastrófico","")))))</f>
        <v>Moderado</v>
      </c>
      <c r="M37" s="259">
        <f>IF(L37="","",IF(L37="Leve",0.2,IF(L37="Menor",0.4,IF(L37="Moderado",0.6,IF(L37="Mayor",0.8,IF(L37="Catastrófico",1,))))))</f>
        <v>0.6</v>
      </c>
      <c r="N37" s="263"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4">
        <v>1</v>
      </c>
      <c r="P37" s="188" t="s">
        <v>361</v>
      </c>
      <c r="Q37" s="168" t="str">
        <f>IF(OR(R37="Preventivo",R37="Detectivo"),"Probabilidad",IF(R37="Correctivo","Impacto",""))</f>
        <v>Probabilidad</v>
      </c>
      <c r="R37" s="169" t="s">
        <v>164</v>
      </c>
      <c r="S37" s="169" t="s">
        <v>172</v>
      </c>
      <c r="T37" s="170" t="str">
        <f t="shared" si="15"/>
        <v>40%</v>
      </c>
      <c r="U37" s="169" t="s">
        <v>178</v>
      </c>
      <c r="V37" s="169" t="s">
        <v>180</v>
      </c>
      <c r="W37" s="169" t="s">
        <v>184</v>
      </c>
      <c r="X37" s="156">
        <f>IFERROR(IF(AND(Q36="Probabilidad",Q37="Probabilidad"),(Z36-(+Z36*T37)),IF(Q37="Probabilidad",(I36-(+I36*T37)),IF(Q37="Impacto",Z36,""))),"")</f>
        <v>5.4431999999999994E-2</v>
      </c>
      <c r="Y37" s="171" t="str">
        <f t="shared" si="16"/>
        <v>Muy Baja</v>
      </c>
      <c r="Z37" s="162">
        <f t="shared" si="17"/>
        <v>5.4431999999999994E-2</v>
      </c>
      <c r="AA37" s="171" t="str">
        <f t="shared" si="18"/>
        <v>Moderado</v>
      </c>
      <c r="AB37" s="162">
        <f>IFERROR(IF(AND(Q36="Impacto",Q37="Impacto"),(AB36-(+AB36*T37)),IF(Q37="Impacto",(M36-(+M36*T37)),IF(Q37="Probabilidad",AB36,""))),"")</f>
        <v>0.6</v>
      </c>
      <c r="AC37" s="172" t="str">
        <f t="shared" ref="AC37" si="23">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Moderado</v>
      </c>
      <c r="AD37" s="243" t="s">
        <v>189</v>
      </c>
      <c r="AE37" s="173"/>
      <c r="AF37" s="174"/>
      <c r="AG37" s="175"/>
      <c r="AH37" s="175"/>
      <c r="AI37" s="173"/>
      <c r="AJ37" s="174"/>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row>
    <row r="38" spans="1:68" ht="103.5" customHeight="1" x14ac:dyDescent="0.25">
      <c r="A38" s="280"/>
      <c r="B38" s="283"/>
      <c r="C38" s="181" t="s">
        <v>318</v>
      </c>
      <c r="D38" s="283"/>
      <c r="E38" s="296"/>
      <c r="F38" s="283"/>
      <c r="G38" s="289"/>
      <c r="H38" s="262"/>
      <c r="I38" s="260"/>
      <c r="J38" s="293"/>
      <c r="K38" s="260">
        <f>IF(NOT(ISERROR(MATCH(J38,_xlfn.ANCHORARRAY(#REF!),0))),#REF!&amp;"Por favor no seleccionar los criterios de impacto",J38)</f>
        <v>0</v>
      </c>
      <c r="L38" s="262"/>
      <c r="M38" s="260"/>
      <c r="N38" s="264"/>
      <c r="O38" s="4">
        <v>2</v>
      </c>
      <c r="P38" s="188" t="s">
        <v>362</v>
      </c>
      <c r="Q38" s="168" t="str">
        <f>IF(OR(R38="Preventivo",R38="Detectivo"),"Probabilidad",IF(R38="Correctivo","Impacto",""))</f>
        <v>Probabilidad</v>
      </c>
      <c r="R38" s="169" t="s">
        <v>164</v>
      </c>
      <c r="S38" s="169" t="s">
        <v>172</v>
      </c>
      <c r="T38" s="170" t="str">
        <f t="shared" ref="T38:T39" si="24">IF(AND(R38="Preventivo",S38="Automático"),"50%",IF(AND(R38="Preventivo",S38="Manual"),"40%",IF(AND(R38="Detectivo",S38="Automático"),"40%",IF(AND(R38="Detectivo",S38="Manual"),"30%",IF(AND(R38="Correctivo",S38="Automático"),"35%",IF(AND(R38="Correctivo",S38="Manual"),"25%",""))))))</f>
        <v>40%</v>
      </c>
      <c r="U38" s="169" t="s">
        <v>175</v>
      </c>
      <c r="V38" s="169" t="s">
        <v>180</v>
      </c>
      <c r="W38" s="169" t="s">
        <v>184</v>
      </c>
      <c r="X38" s="156">
        <f>IFERROR(IF(AND(Q37="Probabilidad",Q38="Probabilidad"),(Z37-(+Z37*T38)),IF(Q38="Probabilidad",(I37-(+I37*T38)),IF(Q38="Impacto",Z37,""))),"")</f>
        <v>3.2659199999999999E-2</v>
      </c>
      <c r="Y38" s="171" t="str">
        <f t="shared" ref="Y38:Y58" si="25">IFERROR(IF(X38="","",IF(X38&lt;=0.2,"Muy Baja",IF(X38&lt;=0.4,"Baja",IF(X38&lt;=0.6,"Media",IF(X38&lt;=0.8,"Alta","Muy Alta"))))),"")</f>
        <v>Muy Baja</v>
      </c>
      <c r="Z38" s="162">
        <f t="shared" ref="Z38:Z39" si="26">+X38</f>
        <v>3.2659199999999999E-2</v>
      </c>
      <c r="AA38" s="171" t="str">
        <f t="shared" ref="AA38:AA58" si="27">IFERROR(IF(AB38="","",IF(AB38&lt;=0.2,"Leve",IF(AB38&lt;=0.4,"Menor",IF(AB38&lt;=0.6,"Moderado",IF(AB38&lt;=0.8,"Mayor","Catastrófico"))))),"")</f>
        <v>Moderado</v>
      </c>
      <c r="AB38" s="162">
        <f>IFERROR(IF(AND(Q37="Impacto",Q38="Impacto"),(AB37-(+AB37*T38)),IF(Q38="Impacto",(M37-(+M37*T38)),IF(Q38="Probabilidad",AB37,""))),"")</f>
        <v>0.6</v>
      </c>
      <c r="AC38" s="172" t="str">
        <f t="shared" ref="AC38" si="2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Moderado</v>
      </c>
      <c r="AD38" s="244"/>
      <c r="AE38" s="173"/>
      <c r="AF38" s="174"/>
      <c r="AG38" s="175"/>
      <c r="AH38" s="175"/>
      <c r="AI38" s="173"/>
      <c r="AJ38" s="174"/>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row>
    <row r="39" spans="1:68" ht="183.6" customHeight="1" x14ac:dyDescent="0.25">
      <c r="A39" s="280"/>
      <c r="B39" s="283"/>
      <c r="C39" s="181" t="s">
        <v>316</v>
      </c>
      <c r="D39" s="283"/>
      <c r="E39" s="296"/>
      <c r="F39" s="283"/>
      <c r="G39" s="289"/>
      <c r="H39" s="262"/>
      <c r="I39" s="260"/>
      <c r="J39" s="293"/>
      <c r="K39" s="260">
        <f>IF(NOT(ISERROR(MATCH(J39,_xlfn.ANCHORARRAY(#REF!),0))),#REF!&amp;"Por favor no seleccionar los criterios de impacto",J39)</f>
        <v>0</v>
      </c>
      <c r="L39" s="262"/>
      <c r="M39" s="260"/>
      <c r="N39" s="264"/>
      <c r="O39" s="4">
        <v>3</v>
      </c>
      <c r="P39" s="188" t="s">
        <v>363</v>
      </c>
      <c r="Q39" s="168" t="str">
        <f t="shared" si="20"/>
        <v>Probabilidad</v>
      </c>
      <c r="R39" s="169" t="s">
        <v>164</v>
      </c>
      <c r="S39" s="169" t="s">
        <v>172</v>
      </c>
      <c r="T39" s="170" t="str">
        <f t="shared" si="24"/>
        <v>40%</v>
      </c>
      <c r="U39" s="169" t="s">
        <v>178</v>
      </c>
      <c r="V39" s="169" t="s">
        <v>180</v>
      </c>
      <c r="W39" s="169" t="s">
        <v>184</v>
      </c>
      <c r="X39" s="156">
        <f>IFERROR(IF(AND(Q38="Probabilidad",Q39="Probabilidad"),(Z38-(+Z38*T39)),IF(AND(Q38="Impacto",Q39="Probabilidad"),(Z37-(+Z37*T39)),IF(Q39="Impacto",Z38,""))),"")</f>
        <v>1.9595519999999998E-2</v>
      </c>
      <c r="Y39" s="171" t="str">
        <f>IFERROR(IF(X39="","",IF(X39&lt;=0.2,"Muy Baja",IF(X39&lt;=0.4,"Baja",IF(X39&lt;=0.6,"Media",IF(X39&lt;=0.8,"Alta","Muy Alta"))))),"")</f>
        <v>Muy Baja</v>
      </c>
      <c r="Z39" s="162">
        <f t="shared" si="26"/>
        <v>1.9595519999999998E-2</v>
      </c>
      <c r="AA39" s="171" t="str">
        <f t="shared" si="27"/>
        <v>Moderado</v>
      </c>
      <c r="AB39" s="162">
        <f t="shared" ref="AB39" si="29">IFERROR(IF(AND(Q38="Impacto",Q39="Impacto"),(AB38-(+AB38*T39)),IF(AND(Q38="Probabilidad",Q39="Impacto"),(AB37-(+AB37*T39)),IF(Q39="Probabilidad",AB38,""))),"")</f>
        <v>0.6</v>
      </c>
      <c r="AC39" s="172"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Moderado</v>
      </c>
      <c r="AD39" s="244"/>
      <c r="AE39" s="173"/>
      <c r="AF39" s="174"/>
      <c r="AG39" s="175"/>
      <c r="AH39" s="175"/>
      <c r="AI39" s="173"/>
      <c r="AJ39" s="174"/>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row>
    <row r="40" spans="1:68" ht="93" customHeight="1" x14ac:dyDescent="0.25">
      <c r="A40" s="280"/>
      <c r="B40" s="283"/>
      <c r="C40" s="181"/>
      <c r="D40" s="283"/>
      <c r="E40" s="296"/>
      <c r="F40" s="283"/>
      <c r="G40" s="289"/>
      <c r="H40" s="262"/>
      <c r="I40" s="260"/>
      <c r="J40" s="293"/>
      <c r="K40" s="260">
        <f>IF(NOT(ISERROR(MATCH(J40,_xlfn.ANCHORARRAY(#REF!),0))),#REF!&amp;"Por favor no seleccionar los criterios de impacto",J40)</f>
        <v>0</v>
      </c>
      <c r="L40" s="262"/>
      <c r="M40" s="260"/>
      <c r="N40" s="264"/>
      <c r="O40" s="4">
        <v>4</v>
      </c>
      <c r="P40" s="188" t="s">
        <v>364</v>
      </c>
      <c r="Q40" s="168" t="str">
        <f t="shared" ref="Q40" si="30">IF(OR(R40="Preventivo",R40="Detectivo"),"Probabilidad",IF(R40="Correctivo","Impacto",""))</f>
        <v>Probabilidad</v>
      </c>
      <c r="R40" s="169" t="s">
        <v>164</v>
      </c>
      <c r="S40" s="169" t="s">
        <v>172</v>
      </c>
      <c r="T40" s="170" t="str">
        <f t="shared" ref="T40" si="31">IF(AND(R40="Preventivo",S40="Automático"),"50%",IF(AND(R40="Preventivo",S40="Manual"),"40%",IF(AND(R40="Detectivo",S40="Automático"),"40%",IF(AND(R40="Detectivo",S40="Manual"),"30%",IF(AND(R40="Correctivo",S40="Automático"),"35%",IF(AND(R40="Correctivo",S40="Manual"),"25%",""))))))</f>
        <v>40%</v>
      </c>
      <c r="U40" s="169" t="s">
        <v>178</v>
      </c>
      <c r="V40" s="169" t="s">
        <v>180</v>
      </c>
      <c r="W40" s="169" t="s">
        <v>184</v>
      </c>
      <c r="X40" s="156">
        <f>IFERROR(IF(AND(Q39="Probabilidad",Q40="Probabilidad"),(Z39-(+Z39*T40)),IF(AND(Q39="Impacto",Q40="Probabilidad"),(Z38-(+Z38*T40)),IF(Q40="Impacto",Z39,""))),"")</f>
        <v>1.1757311999999999E-2</v>
      </c>
      <c r="Y40" s="171" t="str">
        <f>IFERROR(IF(X40="","",IF(X40&lt;=0.2,"Muy Baja",IF(X40&lt;=0.4,"Baja",IF(X40&lt;=0.6,"Media",IF(X40&lt;=0.8,"Alta","Muy Alta"))))),"")</f>
        <v>Muy Baja</v>
      </c>
      <c r="Z40" s="162">
        <f t="shared" ref="Z40" si="32">+X40</f>
        <v>1.1757311999999999E-2</v>
      </c>
      <c r="AA40" s="171" t="str">
        <f t="shared" ref="AA40" si="33">IFERROR(IF(AB40="","",IF(AB40&lt;=0.2,"Leve",IF(AB40&lt;=0.4,"Menor",IF(AB40&lt;=0.6,"Moderado",IF(AB40&lt;=0.8,"Mayor","Catastrófico"))))),"")</f>
        <v>Moderado</v>
      </c>
      <c r="AB40" s="162">
        <f t="shared" ref="AB40" si="34">IFERROR(IF(AND(Q39="Impacto",Q40="Impacto"),(AB39-(+AB39*T40)),IF(AND(Q39="Probabilidad",Q40="Impacto"),(AB38-(+AB38*T40)),IF(Q40="Probabilidad",AB39,""))),"")</f>
        <v>0.6</v>
      </c>
      <c r="AC40" s="172"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Moderado</v>
      </c>
      <c r="AD40" s="245"/>
      <c r="AE40" s="173"/>
      <c r="AF40" s="174"/>
      <c r="AG40" s="175"/>
      <c r="AH40" s="175"/>
      <c r="AI40" s="173"/>
      <c r="AJ40" s="174"/>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row>
    <row r="41" spans="1:68" ht="18" hidden="1" customHeight="1" x14ac:dyDescent="0.25">
      <c r="A41" s="279">
        <v>8</v>
      </c>
      <c r="B41" s="282"/>
      <c r="C41" s="282"/>
      <c r="D41" s="282"/>
      <c r="E41" s="285"/>
      <c r="F41" s="282"/>
      <c r="G41" s="288"/>
      <c r="H41" s="261" t="str">
        <f>IF(G41&lt;=0,"",IF(G41&lt;=2,"Muy Baja",IF(G41&lt;=24,"Baja",IF(G41&lt;=500,"Media",IF(G41&lt;=5000,"Alta","Muy Alta")))))</f>
        <v/>
      </c>
      <c r="I41" s="259" t="str">
        <f>IF(H41="","",IF(H41="Muy Baja",0.2,IF(H41="Baja",0.4,IF(H41="Media",0.6,IF(H41="Alta",0.8,IF(H41="Muy Alta",1,))))))</f>
        <v/>
      </c>
      <c r="J41" s="292"/>
      <c r="K41" s="259">
        <f>IF(NOT(ISERROR(MATCH(J41,'Tabla Impacto'!$B$221:$B$223,0))),'Tabla Impacto'!$F$228&amp;"Por favor no seleccionar los criterios de impacto(Afectación Económica o presupuestal y Pérdida Reputacional)",J41)</f>
        <v>0</v>
      </c>
      <c r="L41" s="261" t="str">
        <f>IF(OR(K41='Tabla Impacto'!$C$11,K41='Tabla Impacto'!$D$11),"Leve",IF(OR(K41='Tabla Impacto'!$C$12,K41='Tabla Impacto'!$D$12),"Menor",IF(OR(K41='Tabla Impacto'!$C$13,K41='Tabla Impacto'!$D$13),"Moderado",IF(OR(K41='Tabla Impacto'!$C$14,K41='Tabla Impacto'!$D$14),"Mayor",IF(OR(K41='Tabla Impacto'!$C$15,K41='Tabla Impacto'!$D$15),"Catastrófico","")))))</f>
        <v/>
      </c>
      <c r="M41" s="259" t="str">
        <f>IF(L41="","",IF(L41="Leve",0.2,IF(L41="Menor",0.4,IF(L41="Moderado",0.6,IF(L41="Mayor",0.8,IF(L41="Catastrófico",1,))))))</f>
        <v/>
      </c>
      <c r="N41" s="263"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
      </c>
      <c r="O41" s="4">
        <v>1</v>
      </c>
      <c r="P41" s="187"/>
      <c r="Q41" s="168" t="str">
        <f>IF(OR(R41="Preventivo",R41="Detectivo"),"Probabilidad",IF(R41="Correctivo","Impacto",""))</f>
        <v/>
      </c>
      <c r="R41" s="169"/>
      <c r="S41" s="169"/>
      <c r="T41" s="170" t="str">
        <f>IF(AND(R41="Preventivo",S41="Automático"),"50%",IF(AND(R41="Preventivo",S41="Manual"),"40%",IF(AND(R41="Detectivo",S41="Automático"),"40%",IF(AND(R41="Detectivo",S41="Manual"),"30%",IF(AND(R41="Correctivo",S41="Automático"),"35%",IF(AND(R41="Correctivo",S41="Manual"),"25%",""))))))</f>
        <v/>
      </c>
      <c r="U41" s="169"/>
      <c r="V41" s="169"/>
      <c r="W41" s="169"/>
      <c r="X41" s="156" t="str">
        <f>IFERROR(IF(Q41="Probabilidad",(I41-(+I41*T41)),IF(Q41="Impacto",I41,"")),"")</f>
        <v/>
      </c>
      <c r="Y41" s="171" t="str">
        <f>IFERROR(IF(X41="","",IF(X41&lt;=0.2,"Muy Baja",IF(X41&lt;=0.4,"Baja",IF(X41&lt;=0.6,"Media",IF(X41&lt;=0.8,"Alta","Muy Alta"))))),"")</f>
        <v/>
      </c>
      <c r="Z41" s="162" t="str">
        <f>+X41</f>
        <v/>
      </c>
      <c r="AA41" s="171" t="str">
        <f>IFERROR(IF(AB41="","",IF(AB41&lt;=0.2,"Leve",IF(AB41&lt;=0.4,"Menor",IF(AB41&lt;=0.6,"Moderado",IF(AB41&lt;=0.8,"Mayor","Catastrófico"))))),"")</f>
        <v/>
      </c>
      <c r="AB41" s="162" t="str">
        <f>IFERROR(IF(Q41="Impacto",(M41-(+M41*T41)),IF(Q41="Probabilidad",M41,"")),"")</f>
        <v/>
      </c>
      <c r="AC41" s="172"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63"/>
      <c r="AE41" s="173"/>
      <c r="AF41" s="174"/>
      <c r="AG41" s="175"/>
      <c r="AH41" s="175"/>
      <c r="AI41" s="173"/>
      <c r="AJ41" s="174"/>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row>
    <row r="42" spans="1:68" ht="18" hidden="1" customHeight="1" x14ac:dyDescent="0.25">
      <c r="A42" s="280"/>
      <c r="B42" s="283"/>
      <c r="C42" s="283"/>
      <c r="D42" s="283"/>
      <c r="E42" s="286"/>
      <c r="F42" s="283"/>
      <c r="G42" s="289"/>
      <c r="H42" s="262"/>
      <c r="I42" s="260"/>
      <c r="J42" s="293"/>
      <c r="K42" s="260">
        <f>IF(NOT(ISERROR(MATCH(J42,_xlfn.ANCHORARRAY(E53),0))),I55&amp;"Por favor no seleccionar los criterios de impacto",J42)</f>
        <v>0</v>
      </c>
      <c r="L42" s="262"/>
      <c r="M42" s="260"/>
      <c r="N42" s="264"/>
      <c r="O42" s="4">
        <v>2</v>
      </c>
      <c r="P42" s="187"/>
      <c r="Q42" s="168" t="str">
        <f>IF(OR(R42="Preventivo",R42="Detectivo"),"Probabilidad",IF(R42="Correctivo","Impacto",""))</f>
        <v/>
      </c>
      <c r="R42" s="169"/>
      <c r="S42" s="169"/>
      <c r="T42" s="170" t="str">
        <f t="shared" ref="T42:T46" si="35">IF(AND(R42="Preventivo",S42="Automático"),"50%",IF(AND(R42="Preventivo",S42="Manual"),"40%",IF(AND(R42="Detectivo",S42="Automático"),"40%",IF(AND(R42="Detectivo",S42="Manual"),"30%",IF(AND(R42="Correctivo",S42="Automático"),"35%",IF(AND(R42="Correctivo",S42="Manual"),"25%",""))))))</f>
        <v/>
      </c>
      <c r="U42" s="169"/>
      <c r="V42" s="169"/>
      <c r="W42" s="169"/>
      <c r="X42" s="156" t="str">
        <f>IFERROR(IF(AND(Q41="Probabilidad",Q42="Probabilidad"),(Z41-(+Z41*T42)),IF(Q42="Probabilidad",(I41-(+I41*T42)),IF(Q42="Impacto",Z41,""))),"")</f>
        <v/>
      </c>
      <c r="Y42" s="171" t="str">
        <f t="shared" si="25"/>
        <v/>
      </c>
      <c r="Z42" s="162" t="str">
        <f t="shared" ref="Z42:Z46" si="36">+X42</f>
        <v/>
      </c>
      <c r="AA42" s="171" t="str">
        <f t="shared" si="27"/>
        <v/>
      </c>
      <c r="AB42" s="162" t="str">
        <f>IFERROR(IF(AND(Q41="Impacto",Q42="Impacto"),(AB41-(+AB41*T42)),IF(Q42="Impacto",(M41-(+M41*T42)),IF(Q42="Probabilidad",AB41,""))),"")</f>
        <v/>
      </c>
      <c r="AC42" s="172" t="str">
        <f t="shared" ref="AC42:AC43" si="37">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63"/>
      <c r="AE42" s="173"/>
      <c r="AF42" s="174"/>
      <c r="AG42" s="175"/>
      <c r="AH42" s="175"/>
      <c r="AI42" s="173"/>
      <c r="AJ42" s="174"/>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row>
    <row r="43" spans="1:68" ht="18" hidden="1" customHeight="1" x14ac:dyDescent="0.25">
      <c r="A43" s="280"/>
      <c r="B43" s="283"/>
      <c r="C43" s="283"/>
      <c r="D43" s="283"/>
      <c r="E43" s="286"/>
      <c r="F43" s="283"/>
      <c r="G43" s="289"/>
      <c r="H43" s="262"/>
      <c r="I43" s="260"/>
      <c r="J43" s="293"/>
      <c r="K43" s="260">
        <f>IF(NOT(ISERROR(MATCH(J43,_xlfn.ANCHORARRAY(E54),0))),I56&amp;"Por favor no seleccionar los criterios de impacto",J43)</f>
        <v>0</v>
      </c>
      <c r="L43" s="262"/>
      <c r="M43" s="260"/>
      <c r="N43" s="264"/>
      <c r="O43" s="4">
        <v>3</v>
      </c>
      <c r="P43" s="199"/>
      <c r="Q43" s="168" t="str">
        <f>IF(OR(R43="Preventivo",R43="Detectivo"),"Probabilidad",IF(R43="Correctivo","Impacto",""))</f>
        <v/>
      </c>
      <c r="R43" s="169"/>
      <c r="S43" s="169"/>
      <c r="T43" s="170" t="str">
        <f t="shared" si="35"/>
        <v/>
      </c>
      <c r="U43" s="169"/>
      <c r="V43" s="169"/>
      <c r="W43" s="169"/>
      <c r="X43" s="156" t="str">
        <f>IFERROR(IF(AND(Q42="Probabilidad",Q43="Probabilidad"),(Z42-(+Z42*T43)),IF(AND(Q42="Impacto",Q43="Probabilidad"),(Z41-(+Z41*T43)),IF(Q43="Impacto",Z42,""))),"")</f>
        <v/>
      </c>
      <c r="Y43" s="171" t="str">
        <f t="shared" si="25"/>
        <v/>
      </c>
      <c r="Z43" s="162" t="str">
        <f t="shared" si="36"/>
        <v/>
      </c>
      <c r="AA43" s="171" t="str">
        <f t="shared" si="27"/>
        <v/>
      </c>
      <c r="AB43" s="162" t="str">
        <f>IFERROR(IF(AND(Q42="Impacto",Q43="Impacto"),(AB42-(+AB42*T43)),IF(AND(Q42="Probabilidad",Q43="Impacto"),(AB41-(+AB41*T43)),IF(Q43="Probabilidad",AB42,""))),"")</f>
        <v/>
      </c>
      <c r="AC43" s="172" t="str">
        <f t="shared" si="37"/>
        <v/>
      </c>
      <c r="AD43" s="163"/>
      <c r="AE43" s="173"/>
      <c r="AF43" s="174"/>
      <c r="AG43" s="175"/>
      <c r="AH43" s="175"/>
      <c r="AI43" s="173"/>
      <c r="AJ43" s="174"/>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row>
    <row r="44" spans="1:68" ht="18" hidden="1" customHeight="1" x14ac:dyDescent="0.25">
      <c r="A44" s="280"/>
      <c r="B44" s="283"/>
      <c r="C44" s="283"/>
      <c r="D44" s="283"/>
      <c r="E44" s="286"/>
      <c r="F44" s="283"/>
      <c r="G44" s="289"/>
      <c r="H44" s="262"/>
      <c r="I44" s="260"/>
      <c r="J44" s="293"/>
      <c r="K44" s="260">
        <f>IF(NOT(ISERROR(MATCH(J44,_xlfn.ANCHORARRAY(E55),0))),I57&amp;"Por favor no seleccionar los criterios de impacto",J44)</f>
        <v>0</v>
      </c>
      <c r="L44" s="262"/>
      <c r="M44" s="260"/>
      <c r="N44" s="264"/>
      <c r="O44" s="4">
        <v>4</v>
      </c>
      <c r="P44" s="187"/>
      <c r="Q44" s="168" t="str">
        <f t="shared" ref="Q44:Q46" si="38">IF(OR(R44="Preventivo",R44="Detectivo"),"Probabilidad",IF(R44="Correctivo","Impacto",""))</f>
        <v/>
      </c>
      <c r="R44" s="169"/>
      <c r="S44" s="169"/>
      <c r="T44" s="170" t="str">
        <f t="shared" si="35"/>
        <v/>
      </c>
      <c r="U44" s="169"/>
      <c r="V44" s="169"/>
      <c r="W44" s="169"/>
      <c r="X44" s="156" t="str">
        <f t="shared" ref="X44:X46" si="39">IFERROR(IF(AND(Q43="Probabilidad",Q44="Probabilidad"),(Z43-(+Z43*T44)),IF(AND(Q43="Impacto",Q44="Probabilidad"),(Z42-(+Z42*T44)),IF(Q44="Impacto",Z43,""))),"")</f>
        <v/>
      </c>
      <c r="Y44" s="171" t="str">
        <f t="shared" si="25"/>
        <v/>
      </c>
      <c r="Z44" s="162" t="str">
        <f t="shared" si="36"/>
        <v/>
      </c>
      <c r="AA44" s="171" t="str">
        <f t="shared" si="27"/>
        <v/>
      </c>
      <c r="AB44" s="162" t="str">
        <f t="shared" ref="AB44:AB46" si="40">IFERROR(IF(AND(Q43="Impacto",Q44="Impacto"),(AB43-(+AB43*T44)),IF(AND(Q43="Probabilidad",Q44="Impacto"),(AB42-(+AB42*T44)),IF(Q44="Probabilidad",AB43,""))),"")</f>
        <v/>
      </c>
      <c r="AC44" s="172"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63"/>
      <c r="AE44" s="173"/>
      <c r="AF44" s="174"/>
      <c r="AG44" s="175"/>
      <c r="AH44" s="175"/>
      <c r="AI44" s="173"/>
      <c r="AJ44" s="174"/>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row>
    <row r="45" spans="1:68" ht="18" hidden="1" customHeight="1" x14ac:dyDescent="0.25">
      <c r="A45" s="280"/>
      <c r="B45" s="283"/>
      <c r="C45" s="283"/>
      <c r="D45" s="283"/>
      <c r="E45" s="286"/>
      <c r="F45" s="283"/>
      <c r="G45" s="289"/>
      <c r="H45" s="262"/>
      <c r="I45" s="260"/>
      <c r="J45" s="293"/>
      <c r="K45" s="260">
        <f>IF(NOT(ISERROR(MATCH(J45,_xlfn.ANCHORARRAY(E56),0))),I58&amp;"Por favor no seleccionar los criterios de impacto",J45)</f>
        <v>0</v>
      </c>
      <c r="L45" s="262"/>
      <c r="M45" s="260"/>
      <c r="N45" s="264"/>
      <c r="O45" s="4">
        <v>5</v>
      </c>
      <c r="P45" s="187"/>
      <c r="Q45" s="168" t="str">
        <f t="shared" si="38"/>
        <v/>
      </c>
      <c r="R45" s="169"/>
      <c r="S45" s="169"/>
      <c r="T45" s="170" t="str">
        <f t="shared" si="35"/>
        <v/>
      </c>
      <c r="U45" s="169"/>
      <c r="V45" s="169"/>
      <c r="W45" s="169"/>
      <c r="X45" s="156" t="str">
        <f t="shared" si="39"/>
        <v/>
      </c>
      <c r="Y45" s="171" t="str">
        <f t="shared" si="25"/>
        <v/>
      </c>
      <c r="Z45" s="162" t="str">
        <f t="shared" si="36"/>
        <v/>
      </c>
      <c r="AA45" s="171" t="str">
        <f t="shared" si="27"/>
        <v/>
      </c>
      <c r="AB45" s="162" t="str">
        <f t="shared" si="40"/>
        <v/>
      </c>
      <c r="AC45" s="172" t="str">
        <f t="shared" ref="AC45:AC46" si="41">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63"/>
      <c r="AE45" s="173"/>
      <c r="AF45" s="174"/>
      <c r="AG45" s="175"/>
      <c r="AH45" s="175"/>
      <c r="AI45" s="173"/>
      <c r="AJ45" s="174"/>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row>
    <row r="46" spans="1:68" ht="18" hidden="1" customHeight="1" x14ac:dyDescent="0.25">
      <c r="A46" s="281"/>
      <c r="B46" s="284"/>
      <c r="C46" s="284"/>
      <c r="D46" s="284"/>
      <c r="E46" s="287"/>
      <c r="F46" s="284"/>
      <c r="G46" s="290"/>
      <c r="H46" s="291"/>
      <c r="I46" s="277"/>
      <c r="J46" s="294"/>
      <c r="K46" s="277">
        <f>IF(NOT(ISERROR(MATCH(J46,_xlfn.ANCHORARRAY(E57),0))),I59&amp;"Por favor no seleccionar los criterios de impacto",J46)</f>
        <v>0</v>
      </c>
      <c r="L46" s="291"/>
      <c r="M46" s="277"/>
      <c r="N46" s="278"/>
      <c r="O46" s="4">
        <v>6</v>
      </c>
      <c r="P46" s="187"/>
      <c r="Q46" s="168" t="str">
        <f t="shared" si="38"/>
        <v/>
      </c>
      <c r="R46" s="169"/>
      <c r="S46" s="169"/>
      <c r="T46" s="170" t="str">
        <f t="shared" si="35"/>
        <v/>
      </c>
      <c r="U46" s="169"/>
      <c r="V46" s="169"/>
      <c r="W46" s="169"/>
      <c r="X46" s="156" t="str">
        <f t="shared" si="39"/>
        <v/>
      </c>
      <c r="Y46" s="171" t="str">
        <f t="shared" si="25"/>
        <v/>
      </c>
      <c r="Z46" s="162" t="str">
        <f t="shared" si="36"/>
        <v/>
      </c>
      <c r="AA46" s="171" t="str">
        <f t="shared" si="27"/>
        <v/>
      </c>
      <c r="AB46" s="162" t="str">
        <f t="shared" si="40"/>
        <v/>
      </c>
      <c r="AC46" s="172" t="str">
        <f t="shared" si="41"/>
        <v/>
      </c>
      <c r="AD46" s="163"/>
      <c r="AE46" s="173"/>
      <c r="AF46" s="174"/>
      <c r="AG46" s="175"/>
      <c r="AH46" s="175"/>
      <c r="AI46" s="173"/>
      <c r="AJ46" s="174"/>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row>
    <row r="47" spans="1:68" ht="18" hidden="1" customHeight="1" x14ac:dyDescent="0.25">
      <c r="A47" s="279">
        <v>9</v>
      </c>
      <c r="B47" s="282"/>
      <c r="C47" s="282"/>
      <c r="D47" s="282"/>
      <c r="E47" s="285"/>
      <c r="F47" s="282"/>
      <c r="G47" s="288"/>
      <c r="H47" s="261" t="str">
        <f>IF(G47&lt;=0,"",IF(G47&lt;=2,"Muy Baja",IF(G47&lt;=24,"Baja",IF(G47&lt;=500,"Media",IF(G47&lt;=5000,"Alta","Muy Alta")))))</f>
        <v/>
      </c>
      <c r="I47" s="259" t="str">
        <f>IF(H47="","",IF(H47="Muy Baja",0.2,IF(H47="Baja",0.4,IF(H47="Media",0.6,IF(H47="Alta",0.8,IF(H47="Muy Alta",1,))))))</f>
        <v/>
      </c>
      <c r="J47" s="292"/>
      <c r="K47" s="259">
        <f>IF(NOT(ISERROR(MATCH(J47,'Tabla Impacto'!$B$221:$B$223,0))),'Tabla Impacto'!$F$228&amp;"Por favor no seleccionar los criterios de impacto(Afectación Económica o presupuestal y Pérdida Reputacional)",J47)</f>
        <v>0</v>
      </c>
      <c r="L47" s="261" t="str">
        <f>IF(OR(K47='Tabla Impacto'!$C$11,K47='Tabla Impacto'!$D$11),"Leve",IF(OR(K47='Tabla Impacto'!$C$12,K47='Tabla Impacto'!$D$12),"Menor",IF(OR(K47='Tabla Impacto'!$C$13,K47='Tabla Impacto'!$D$13),"Moderado",IF(OR(K47='Tabla Impacto'!$C$14,K47='Tabla Impacto'!$D$14),"Mayor",IF(OR(K47='Tabla Impacto'!$C$15,K47='Tabla Impacto'!$D$15),"Catastrófico","")))))</f>
        <v/>
      </c>
      <c r="M47" s="259" t="str">
        <f>IF(L47="","",IF(L47="Leve",0.2,IF(L47="Menor",0.4,IF(L47="Moderado",0.6,IF(L47="Mayor",0.8,IF(L47="Catastrófico",1,))))))</f>
        <v/>
      </c>
      <c r="N47" s="263"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
      </c>
      <c r="O47" s="4">
        <v>1</v>
      </c>
      <c r="P47" s="187"/>
      <c r="Q47" s="168" t="str">
        <f>IF(OR(R47="Preventivo",R47="Detectivo"),"Probabilidad",IF(R47="Correctivo","Impacto",""))</f>
        <v/>
      </c>
      <c r="R47" s="169"/>
      <c r="S47" s="169"/>
      <c r="T47" s="170" t="str">
        <f>IF(AND(R47="Preventivo",S47="Automático"),"50%",IF(AND(R47="Preventivo",S47="Manual"),"40%",IF(AND(R47="Detectivo",S47="Automático"),"40%",IF(AND(R47="Detectivo",S47="Manual"),"30%",IF(AND(R47="Correctivo",S47="Automático"),"35%",IF(AND(R47="Correctivo",S47="Manual"),"25%",""))))))</f>
        <v/>
      </c>
      <c r="U47" s="169"/>
      <c r="V47" s="169"/>
      <c r="W47" s="169"/>
      <c r="X47" s="156" t="str">
        <f>IFERROR(IF(Q47="Probabilidad",(I47-(+I47*T47)),IF(Q47="Impacto",I47,"")),"")</f>
        <v/>
      </c>
      <c r="Y47" s="171" t="str">
        <f>IFERROR(IF(X47="","",IF(X47&lt;=0.2,"Muy Baja",IF(X47&lt;=0.4,"Baja",IF(X47&lt;=0.6,"Media",IF(X47&lt;=0.8,"Alta","Muy Alta"))))),"")</f>
        <v/>
      </c>
      <c r="Z47" s="162" t="str">
        <f>+X47</f>
        <v/>
      </c>
      <c r="AA47" s="171" t="str">
        <f>IFERROR(IF(AB47="","",IF(AB47&lt;=0.2,"Leve",IF(AB47&lt;=0.4,"Menor",IF(AB47&lt;=0.6,"Moderado",IF(AB47&lt;=0.8,"Mayor","Catastrófico"))))),"")</f>
        <v/>
      </c>
      <c r="AB47" s="162" t="str">
        <f>IFERROR(IF(Q47="Impacto",(M47-(+M47*T47)),IF(Q47="Probabilidad",M47,"")),"")</f>
        <v/>
      </c>
      <c r="AC47" s="172"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63"/>
      <c r="AE47" s="173"/>
      <c r="AF47" s="174"/>
      <c r="AG47" s="175"/>
      <c r="AH47" s="175"/>
      <c r="AI47" s="173"/>
      <c r="AJ47" s="174"/>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row>
    <row r="48" spans="1:68" ht="18" hidden="1" customHeight="1" x14ac:dyDescent="0.25">
      <c r="A48" s="280"/>
      <c r="B48" s="283"/>
      <c r="C48" s="283"/>
      <c r="D48" s="283"/>
      <c r="E48" s="286"/>
      <c r="F48" s="283"/>
      <c r="G48" s="289"/>
      <c r="H48" s="262"/>
      <c r="I48" s="260"/>
      <c r="J48" s="293"/>
      <c r="K48" s="260">
        <f>IF(NOT(ISERROR(MATCH(J48,_xlfn.ANCHORARRAY(E59),0))),I61&amp;"Por favor no seleccionar los criterios de impacto",J48)</f>
        <v>0</v>
      </c>
      <c r="L48" s="262"/>
      <c r="M48" s="260"/>
      <c r="N48" s="264"/>
      <c r="O48" s="4">
        <v>2</v>
      </c>
      <c r="P48" s="187"/>
      <c r="Q48" s="168" t="str">
        <f>IF(OR(R48="Preventivo",R48="Detectivo"),"Probabilidad",IF(R48="Correctivo","Impacto",""))</f>
        <v/>
      </c>
      <c r="R48" s="169"/>
      <c r="S48" s="169"/>
      <c r="T48" s="170" t="str">
        <f t="shared" ref="T48:T52" si="42">IF(AND(R48="Preventivo",S48="Automático"),"50%",IF(AND(R48="Preventivo",S48="Manual"),"40%",IF(AND(R48="Detectivo",S48="Automático"),"40%",IF(AND(R48="Detectivo",S48="Manual"),"30%",IF(AND(R48="Correctivo",S48="Automático"),"35%",IF(AND(R48="Correctivo",S48="Manual"),"25%",""))))))</f>
        <v/>
      </c>
      <c r="U48" s="169"/>
      <c r="V48" s="169"/>
      <c r="W48" s="169"/>
      <c r="X48" s="156" t="str">
        <f>IFERROR(IF(AND(Q47="Probabilidad",Q48="Probabilidad"),(Z47-(+Z47*T48)),IF(Q48="Probabilidad",(I47-(+I47*T48)),IF(Q48="Impacto",Z47,""))),"")</f>
        <v/>
      </c>
      <c r="Y48" s="171" t="str">
        <f t="shared" si="25"/>
        <v/>
      </c>
      <c r="Z48" s="162" t="str">
        <f t="shared" ref="Z48:Z52" si="43">+X48</f>
        <v/>
      </c>
      <c r="AA48" s="171" t="str">
        <f t="shared" si="27"/>
        <v/>
      </c>
      <c r="AB48" s="162" t="str">
        <f>IFERROR(IF(AND(Q47="Impacto",Q48="Impacto"),(AB47-(+AB47*T48)),IF(Q48="Impacto",(M47-(+M47*T48)),IF(Q48="Probabilidad",AB47,""))),"")</f>
        <v/>
      </c>
      <c r="AC48" s="172" t="str">
        <f t="shared" ref="AC48:AC49" si="44">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3"/>
      <c r="AE48" s="173"/>
      <c r="AF48" s="174"/>
      <c r="AG48" s="175"/>
      <c r="AH48" s="175"/>
      <c r="AI48" s="173"/>
      <c r="AJ48" s="174"/>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row>
    <row r="49" spans="1:68" ht="18" hidden="1" customHeight="1" x14ac:dyDescent="0.25">
      <c r="A49" s="280"/>
      <c r="B49" s="283"/>
      <c r="C49" s="283"/>
      <c r="D49" s="283"/>
      <c r="E49" s="286"/>
      <c r="F49" s="283"/>
      <c r="G49" s="289"/>
      <c r="H49" s="262"/>
      <c r="I49" s="260"/>
      <c r="J49" s="293"/>
      <c r="K49" s="260">
        <f>IF(NOT(ISERROR(MATCH(J49,_xlfn.ANCHORARRAY(E60),0))),I62&amp;"Por favor no seleccionar los criterios de impacto",J49)</f>
        <v>0</v>
      </c>
      <c r="L49" s="262"/>
      <c r="M49" s="260"/>
      <c r="N49" s="264"/>
      <c r="O49" s="4">
        <v>3</v>
      </c>
      <c r="P49" s="199"/>
      <c r="Q49" s="168" t="str">
        <f>IF(OR(R49="Preventivo",R49="Detectivo"),"Probabilidad",IF(R49="Correctivo","Impacto",""))</f>
        <v/>
      </c>
      <c r="R49" s="169"/>
      <c r="S49" s="169"/>
      <c r="T49" s="170" t="str">
        <f t="shared" si="42"/>
        <v/>
      </c>
      <c r="U49" s="169"/>
      <c r="V49" s="169"/>
      <c r="W49" s="169"/>
      <c r="X49" s="156" t="str">
        <f>IFERROR(IF(AND(Q48="Probabilidad",Q49="Probabilidad"),(Z48-(+Z48*T49)),IF(AND(Q48="Impacto",Q49="Probabilidad"),(Z47-(+Z47*T49)),IF(Q49="Impacto",Z48,""))),"")</f>
        <v/>
      </c>
      <c r="Y49" s="171" t="str">
        <f t="shared" si="25"/>
        <v/>
      </c>
      <c r="Z49" s="162" t="str">
        <f t="shared" si="43"/>
        <v/>
      </c>
      <c r="AA49" s="171" t="str">
        <f t="shared" si="27"/>
        <v/>
      </c>
      <c r="AB49" s="162" t="str">
        <f>IFERROR(IF(AND(Q48="Impacto",Q49="Impacto"),(AB48-(+AB48*T49)),IF(AND(Q48="Probabilidad",Q49="Impacto"),(AB47-(+AB47*T49)),IF(Q49="Probabilidad",AB48,""))),"")</f>
        <v/>
      </c>
      <c r="AC49" s="172" t="str">
        <f t="shared" si="44"/>
        <v/>
      </c>
      <c r="AD49" s="163"/>
      <c r="AE49" s="173"/>
      <c r="AF49" s="174"/>
      <c r="AG49" s="175"/>
      <c r="AH49" s="175"/>
      <c r="AI49" s="173"/>
      <c r="AJ49" s="174"/>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row>
    <row r="50" spans="1:68" ht="18" hidden="1" customHeight="1" x14ac:dyDescent="0.25">
      <c r="A50" s="280"/>
      <c r="B50" s="283"/>
      <c r="C50" s="283"/>
      <c r="D50" s="283"/>
      <c r="E50" s="286"/>
      <c r="F50" s="283"/>
      <c r="G50" s="289"/>
      <c r="H50" s="262"/>
      <c r="I50" s="260"/>
      <c r="J50" s="293"/>
      <c r="K50" s="260">
        <f>IF(NOT(ISERROR(MATCH(J50,_xlfn.ANCHORARRAY(E61),0))),I63&amp;"Por favor no seleccionar los criterios de impacto",J50)</f>
        <v>0</v>
      </c>
      <c r="L50" s="262"/>
      <c r="M50" s="260"/>
      <c r="N50" s="264"/>
      <c r="O50" s="4">
        <v>4</v>
      </c>
      <c r="P50" s="187"/>
      <c r="Q50" s="168" t="str">
        <f t="shared" ref="Q50:Q52" si="45">IF(OR(R50="Preventivo",R50="Detectivo"),"Probabilidad",IF(R50="Correctivo","Impacto",""))</f>
        <v/>
      </c>
      <c r="R50" s="169"/>
      <c r="S50" s="169"/>
      <c r="T50" s="170" t="str">
        <f t="shared" si="42"/>
        <v/>
      </c>
      <c r="U50" s="169"/>
      <c r="V50" s="169"/>
      <c r="W50" s="169"/>
      <c r="X50" s="156" t="str">
        <f t="shared" ref="X50:X52" si="46">IFERROR(IF(AND(Q49="Probabilidad",Q50="Probabilidad"),(Z49-(+Z49*T50)),IF(AND(Q49="Impacto",Q50="Probabilidad"),(Z48-(+Z48*T50)),IF(Q50="Impacto",Z49,""))),"")</f>
        <v/>
      </c>
      <c r="Y50" s="171" t="str">
        <f t="shared" si="25"/>
        <v/>
      </c>
      <c r="Z50" s="162" t="str">
        <f t="shared" si="43"/>
        <v/>
      </c>
      <c r="AA50" s="171" t="str">
        <f t="shared" si="27"/>
        <v/>
      </c>
      <c r="AB50" s="162" t="str">
        <f t="shared" ref="AB50:AB52" si="47">IFERROR(IF(AND(Q49="Impacto",Q50="Impacto"),(AB49-(+AB49*T50)),IF(AND(Q49="Probabilidad",Q50="Impacto"),(AB48-(+AB48*T50)),IF(Q50="Probabilidad",AB49,""))),"")</f>
        <v/>
      </c>
      <c r="AC50" s="172"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63"/>
      <c r="AE50" s="173"/>
      <c r="AF50" s="174"/>
      <c r="AG50" s="175"/>
      <c r="AH50" s="175"/>
      <c r="AI50" s="173"/>
      <c r="AJ50" s="174"/>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row>
    <row r="51" spans="1:68" ht="18" hidden="1" customHeight="1" x14ac:dyDescent="0.25">
      <c r="A51" s="280"/>
      <c r="B51" s="283"/>
      <c r="C51" s="283"/>
      <c r="D51" s="283"/>
      <c r="E51" s="286"/>
      <c r="F51" s="283"/>
      <c r="G51" s="289"/>
      <c r="H51" s="262"/>
      <c r="I51" s="260"/>
      <c r="J51" s="293"/>
      <c r="K51" s="260">
        <f>IF(NOT(ISERROR(MATCH(J51,_xlfn.ANCHORARRAY(E62),0))),I64&amp;"Por favor no seleccionar los criterios de impacto",J51)</f>
        <v>0</v>
      </c>
      <c r="L51" s="262"/>
      <c r="M51" s="260"/>
      <c r="N51" s="264"/>
      <c r="O51" s="4">
        <v>5</v>
      </c>
      <c r="P51" s="187"/>
      <c r="Q51" s="168" t="str">
        <f t="shared" si="45"/>
        <v/>
      </c>
      <c r="R51" s="169"/>
      <c r="S51" s="169"/>
      <c r="T51" s="170" t="str">
        <f t="shared" si="42"/>
        <v/>
      </c>
      <c r="U51" s="169"/>
      <c r="V51" s="169"/>
      <c r="W51" s="169"/>
      <c r="X51" s="156" t="str">
        <f t="shared" si="46"/>
        <v/>
      </c>
      <c r="Y51" s="171" t="str">
        <f t="shared" si="25"/>
        <v/>
      </c>
      <c r="Z51" s="162" t="str">
        <f t="shared" si="43"/>
        <v/>
      </c>
      <c r="AA51" s="171" t="str">
        <f t="shared" si="27"/>
        <v/>
      </c>
      <c r="AB51" s="162" t="str">
        <f t="shared" si="47"/>
        <v/>
      </c>
      <c r="AC51" s="172" t="str">
        <f t="shared" ref="AC51:AC52" si="48">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63"/>
      <c r="AE51" s="173"/>
      <c r="AF51" s="174"/>
      <c r="AG51" s="175"/>
      <c r="AH51" s="175"/>
      <c r="AI51" s="173"/>
      <c r="AJ51" s="174"/>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row>
    <row r="52" spans="1:68" ht="18" hidden="1" customHeight="1" x14ac:dyDescent="0.25">
      <c r="A52" s="281"/>
      <c r="B52" s="284"/>
      <c r="C52" s="284"/>
      <c r="D52" s="284"/>
      <c r="E52" s="287"/>
      <c r="F52" s="284"/>
      <c r="G52" s="290"/>
      <c r="H52" s="291"/>
      <c r="I52" s="277"/>
      <c r="J52" s="294"/>
      <c r="K52" s="277">
        <f>IF(NOT(ISERROR(MATCH(J52,_xlfn.ANCHORARRAY(E63),0))),I65&amp;"Por favor no seleccionar los criterios de impacto",J52)</f>
        <v>0</v>
      </c>
      <c r="L52" s="291"/>
      <c r="M52" s="277"/>
      <c r="N52" s="278"/>
      <c r="O52" s="4">
        <v>6</v>
      </c>
      <c r="P52" s="187"/>
      <c r="Q52" s="168" t="str">
        <f t="shared" si="45"/>
        <v/>
      </c>
      <c r="R52" s="169"/>
      <c r="S52" s="169"/>
      <c r="T52" s="170" t="str">
        <f t="shared" si="42"/>
        <v/>
      </c>
      <c r="U52" s="169"/>
      <c r="V52" s="169"/>
      <c r="W52" s="169"/>
      <c r="X52" s="156" t="str">
        <f t="shared" si="46"/>
        <v/>
      </c>
      <c r="Y52" s="171" t="str">
        <f t="shared" si="25"/>
        <v/>
      </c>
      <c r="Z52" s="162" t="str">
        <f t="shared" si="43"/>
        <v/>
      </c>
      <c r="AA52" s="171" t="str">
        <f t="shared" si="27"/>
        <v/>
      </c>
      <c r="AB52" s="162" t="str">
        <f t="shared" si="47"/>
        <v/>
      </c>
      <c r="AC52" s="172" t="str">
        <f t="shared" si="48"/>
        <v/>
      </c>
      <c r="AD52" s="163"/>
      <c r="AE52" s="173"/>
      <c r="AF52" s="174"/>
      <c r="AG52" s="175"/>
      <c r="AH52" s="175"/>
      <c r="AI52" s="173"/>
      <c r="AJ52" s="174"/>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row>
    <row r="53" spans="1:68" ht="18" hidden="1" customHeight="1" x14ac:dyDescent="0.25">
      <c r="A53" s="279">
        <v>10</v>
      </c>
      <c r="B53" s="282"/>
      <c r="C53" s="282"/>
      <c r="D53" s="282"/>
      <c r="E53" s="285"/>
      <c r="F53" s="282"/>
      <c r="G53" s="288"/>
      <c r="H53" s="261" t="str">
        <f>IF(G53&lt;=0,"",IF(G53&lt;=2,"Muy Baja",IF(G53&lt;=24,"Baja",IF(G53&lt;=500,"Media",IF(G53&lt;=5000,"Alta","Muy Alta")))))</f>
        <v/>
      </c>
      <c r="I53" s="259" t="str">
        <f>IF(H53="","",IF(H53="Muy Baja",0.2,IF(H53="Baja",0.4,IF(H53="Media",0.6,IF(H53="Alta",0.8,IF(H53="Muy Alta",1,))))))</f>
        <v/>
      </c>
      <c r="J53" s="292"/>
      <c r="K53" s="259">
        <f>IF(NOT(ISERROR(MATCH(J53,'Tabla Impacto'!$B$221:$B$223,0))),'Tabla Impacto'!$F$228&amp;"Por favor no seleccionar los criterios de impacto(Afectación Económica o presupuestal y Pérdida Reputacional)",J53)</f>
        <v>0</v>
      </c>
      <c r="L53" s="261" t="str">
        <f>IF(OR(K53='Tabla Impacto'!$C$11,K53='Tabla Impacto'!$D$11),"Leve",IF(OR(K53='Tabla Impacto'!$C$12,K53='Tabla Impacto'!$D$12),"Menor",IF(OR(K53='Tabla Impacto'!$C$13,K53='Tabla Impacto'!$D$13),"Moderado",IF(OR(K53='Tabla Impacto'!$C$14,K53='Tabla Impacto'!$D$14),"Mayor",IF(OR(K53='Tabla Impacto'!$C$15,K53='Tabla Impacto'!$D$15),"Catastrófico","")))))</f>
        <v/>
      </c>
      <c r="M53" s="259" t="str">
        <f>IF(L53="","",IF(L53="Leve",0.2,IF(L53="Menor",0.4,IF(L53="Moderado",0.6,IF(L53="Mayor",0.8,IF(L53="Catastrófico",1,))))))</f>
        <v/>
      </c>
      <c r="N53" s="263"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
      </c>
      <c r="O53" s="4">
        <v>1</v>
      </c>
      <c r="P53" s="187"/>
      <c r="Q53" s="168" t="str">
        <f>IF(OR(R53="Preventivo",R53="Detectivo"),"Probabilidad",IF(R53="Correctivo","Impacto",""))</f>
        <v/>
      </c>
      <c r="R53" s="169"/>
      <c r="S53" s="169"/>
      <c r="T53" s="170" t="str">
        <f>IF(AND(R53="Preventivo",S53="Automático"),"50%",IF(AND(R53="Preventivo",S53="Manual"),"40%",IF(AND(R53="Detectivo",S53="Automático"),"40%",IF(AND(R53="Detectivo",S53="Manual"),"30%",IF(AND(R53="Correctivo",S53="Automático"),"35%",IF(AND(R53="Correctivo",S53="Manual"),"25%",""))))))</f>
        <v/>
      </c>
      <c r="U53" s="169"/>
      <c r="V53" s="169"/>
      <c r="W53" s="169"/>
      <c r="X53" s="156" t="str">
        <f>IFERROR(IF(Q53="Probabilidad",(I53-(+I53*T53)),IF(Q53="Impacto",I53,"")),"")</f>
        <v/>
      </c>
      <c r="Y53" s="171" t="str">
        <f>IFERROR(IF(X53="","",IF(X53&lt;=0.2,"Muy Baja",IF(X53&lt;=0.4,"Baja",IF(X53&lt;=0.6,"Media",IF(X53&lt;=0.8,"Alta","Muy Alta"))))),"")</f>
        <v/>
      </c>
      <c r="Z53" s="162" t="str">
        <f>+X53</f>
        <v/>
      </c>
      <c r="AA53" s="171" t="str">
        <f>IFERROR(IF(AB53="","",IF(AB53&lt;=0.2,"Leve",IF(AB53&lt;=0.4,"Menor",IF(AB53&lt;=0.6,"Moderado",IF(AB53&lt;=0.8,"Mayor","Catastrófico"))))),"")</f>
        <v/>
      </c>
      <c r="AB53" s="162" t="str">
        <f>IFERROR(IF(Q53="Impacto",(M53-(+M53*T53)),IF(Q53="Probabilidad",M53,"")),"")</f>
        <v/>
      </c>
      <c r="AC53" s="172"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63"/>
      <c r="AE53" s="173"/>
      <c r="AF53" s="174"/>
      <c r="AG53" s="175"/>
      <c r="AH53" s="175"/>
      <c r="AI53" s="173"/>
      <c r="AJ53" s="174"/>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row>
    <row r="54" spans="1:68" ht="18" hidden="1" customHeight="1" x14ac:dyDescent="0.25">
      <c r="A54" s="280"/>
      <c r="B54" s="283"/>
      <c r="C54" s="283"/>
      <c r="D54" s="283"/>
      <c r="E54" s="286"/>
      <c r="F54" s="283"/>
      <c r="G54" s="289"/>
      <c r="H54" s="262"/>
      <c r="I54" s="260"/>
      <c r="J54" s="293"/>
      <c r="K54" s="260">
        <f>IF(NOT(ISERROR(MATCH(J54,_xlfn.ANCHORARRAY(E65),0))),I67&amp;"Por favor no seleccionar los criterios de impacto",J54)</f>
        <v>0</v>
      </c>
      <c r="L54" s="262"/>
      <c r="M54" s="260"/>
      <c r="N54" s="264"/>
      <c r="O54" s="4">
        <v>2</v>
      </c>
      <c r="P54" s="187"/>
      <c r="Q54" s="168" t="str">
        <f>IF(OR(R54="Preventivo",R54="Detectivo"),"Probabilidad",IF(R54="Correctivo","Impacto",""))</f>
        <v/>
      </c>
      <c r="R54" s="169"/>
      <c r="S54" s="169"/>
      <c r="T54" s="170" t="str">
        <f t="shared" ref="T54:T58" si="49">IF(AND(R54="Preventivo",S54="Automático"),"50%",IF(AND(R54="Preventivo",S54="Manual"),"40%",IF(AND(R54="Detectivo",S54="Automático"),"40%",IF(AND(R54="Detectivo",S54="Manual"),"30%",IF(AND(R54="Correctivo",S54="Automático"),"35%",IF(AND(R54="Correctivo",S54="Manual"),"25%",""))))))</f>
        <v/>
      </c>
      <c r="U54" s="169"/>
      <c r="V54" s="169"/>
      <c r="W54" s="169"/>
      <c r="X54" s="156" t="str">
        <f>IFERROR(IF(AND(Q53="Probabilidad",Q54="Probabilidad"),(Z53-(+Z53*T54)),IF(Q54="Probabilidad",(I53-(+I53*T54)),IF(Q54="Impacto",Z53,""))),"")</f>
        <v/>
      </c>
      <c r="Y54" s="171" t="str">
        <f t="shared" si="25"/>
        <v/>
      </c>
      <c r="Z54" s="162" t="str">
        <f t="shared" ref="Z54:Z58" si="50">+X54</f>
        <v/>
      </c>
      <c r="AA54" s="171" t="str">
        <f t="shared" si="27"/>
        <v/>
      </c>
      <c r="AB54" s="162" t="str">
        <f>IFERROR(IF(AND(Q53="Impacto",Q54="Impacto"),(AB53-(+AB53*T54)),IF(Q54="Impacto",(M53-(+M53*T54)),IF(Q54="Probabilidad",AB53,""))),"")</f>
        <v/>
      </c>
      <c r="AC54" s="172" t="str">
        <f t="shared" ref="AC54:AC55" si="51">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3"/>
      <c r="AE54" s="173"/>
      <c r="AF54" s="174"/>
      <c r="AG54" s="175"/>
      <c r="AH54" s="175"/>
      <c r="AI54" s="173"/>
      <c r="AJ54" s="174"/>
    </row>
    <row r="55" spans="1:68" ht="18" hidden="1" customHeight="1" x14ac:dyDescent="0.25">
      <c r="A55" s="280"/>
      <c r="B55" s="283"/>
      <c r="C55" s="283"/>
      <c r="D55" s="283"/>
      <c r="E55" s="286"/>
      <c r="F55" s="283"/>
      <c r="G55" s="289"/>
      <c r="H55" s="262"/>
      <c r="I55" s="260"/>
      <c r="J55" s="293"/>
      <c r="K55" s="260">
        <f>IF(NOT(ISERROR(MATCH(J55,_xlfn.ANCHORARRAY(E66),0))),I68&amp;"Por favor no seleccionar los criterios de impacto",J55)</f>
        <v>0</v>
      </c>
      <c r="L55" s="262"/>
      <c r="M55" s="260"/>
      <c r="N55" s="264"/>
      <c r="O55" s="4">
        <v>3</v>
      </c>
      <c r="P55" s="199"/>
      <c r="Q55" s="168" t="str">
        <f>IF(OR(R55="Preventivo",R55="Detectivo"),"Probabilidad",IF(R55="Correctivo","Impacto",""))</f>
        <v/>
      </c>
      <c r="R55" s="169"/>
      <c r="S55" s="169"/>
      <c r="T55" s="170" t="str">
        <f t="shared" si="49"/>
        <v/>
      </c>
      <c r="U55" s="169"/>
      <c r="V55" s="169"/>
      <c r="W55" s="169"/>
      <c r="X55" s="156" t="str">
        <f>IFERROR(IF(AND(Q54="Probabilidad",Q55="Probabilidad"),(Z54-(+Z54*T55)),IF(AND(Q54="Impacto",Q55="Probabilidad"),(Z53-(+Z53*T55)),IF(Q55="Impacto",Z54,""))),"")</f>
        <v/>
      </c>
      <c r="Y55" s="171" t="str">
        <f t="shared" si="25"/>
        <v/>
      </c>
      <c r="Z55" s="162" t="str">
        <f t="shared" si="50"/>
        <v/>
      </c>
      <c r="AA55" s="171" t="str">
        <f t="shared" si="27"/>
        <v/>
      </c>
      <c r="AB55" s="162" t="str">
        <f>IFERROR(IF(AND(Q54="Impacto",Q55="Impacto"),(AB54-(+AB54*T55)),IF(AND(Q54="Probabilidad",Q55="Impacto"),(AB53-(+AB53*T55)),IF(Q55="Probabilidad",AB54,""))),"")</f>
        <v/>
      </c>
      <c r="AC55" s="172" t="str">
        <f t="shared" si="51"/>
        <v/>
      </c>
      <c r="AD55" s="163"/>
      <c r="AE55" s="173"/>
      <c r="AF55" s="174"/>
      <c r="AG55" s="175"/>
      <c r="AH55" s="175"/>
      <c r="AI55" s="173"/>
      <c r="AJ55" s="174"/>
    </row>
    <row r="56" spans="1:68" ht="18" hidden="1" customHeight="1" x14ac:dyDescent="0.25">
      <c r="A56" s="280"/>
      <c r="B56" s="283"/>
      <c r="C56" s="283"/>
      <c r="D56" s="283"/>
      <c r="E56" s="286"/>
      <c r="F56" s="283"/>
      <c r="G56" s="289"/>
      <c r="H56" s="262"/>
      <c r="I56" s="260"/>
      <c r="J56" s="293"/>
      <c r="K56" s="260">
        <f>IF(NOT(ISERROR(MATCH(J56,_xlfn.ANCHORARRAY(E67),0))),I69&amp;"Por favor no seleccionar los criterios de impacto",J56)</f>
        <v>0</v>
      </c>
      <c r="L56" s="262"/>
      <c r="M56" s="260"/>
      <c r="N56" s="264"/>
      <c r="O56" s="4">
        <v>4</v>
      </c>
      <c r="P56" s="187"/>
      <c r="Q56" s="168" t="str">
        <f t="shared" ref="Q56:Q58" si="52">IF(OR(R56="Preventivo",R56="Detectivo"),"Probabilidad",IF(R56="Correctivo","Impacto",""))</f>
        <v/>
      </c>
      <c r="R56" s="169"/>
      <c r="S56" s="169"/>
      <c r="T56" s="170" t="str">
        <f t="shared" si="49"/>
        <v/>
      </c>
      <c r="U56" s="169"/>
      <c r="V56" s="169"/>
      <c r="W56" s="169"/>
      <c r="X56" s="156" t="str">
        <f t="shared" ref="X56:X58" si="53">IFERROR(IF(AND(Q55="Probabilidad",Q56="Probabilidad"),(Z55-(+Z55*T56)),IF(AND(Q55="Impacto",Q56="Probabilidad"),(Z54-(+Z54*T56)),IF(Q56="Impacto",Z55,""))),"")</f>
        <v/>
      </c>
      <c r="Y56" s="171" t="str">
        <f t="shared" si="25"/>
        <v/>
      </c>
      <c r="Z56" s="162" t="str">
        <f t="shared" si="50"/>
        <v/>
      </c>
      <c r="AA56" s="171" t="str">
        <f t="shared" si="27"/>
        <v/>
      </c>
      <c r="AB56" s="162" t="str">
        <f t="shared" ref="AB56:AB58" si="54">IFERROR(IF(AND(Q55="Impacto",Q56="Impacto"),(AB55-(+AB55*T56)),IF(AND(Q55="Probabilidad",Q56="Impacto"),(AB54-(+AB54*T56)),IF(Q56="Probabilidad",AB55,""))),"")</f>
        <v/>
      </c>
      <c r="AC56" s="172"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63"/>
      <c r="AE56" s="173"/>
      <c r="AF56" s="174"/>
      <c r="AG56" s="175"/>
      <c r="AH56" s="175"/>
      <c r="AI56" s="173"/>
      <c r="AJ56" s="174"/>
    </row>
    <row r="57" spans="1:68" ht="18" hidden="1" customHeight="1" x14ac:dyDescent="0.25">
      <c r="A57" s="280"/>
      <c r="B57" s="283"/>
      <c r="C57" s="283"/>
      <c r="D57" s="283"/>
      <c r="E57" s="286"/>
      <c r="F57" s="283"/>
      <c r="G57" s="289"/>
      <c r="H57" s="262"/>
      <c r="I57" s="260"/>
      <c r="J57" s="293"/>
      <c r="K57" s="260">
        <f>IF(NOT(ISERROR(MATCH(J57,_xlfn.ANCHORARRAY(E68),0))),I70&amp;"Por favor no seleccionar los criterios de impacto",J57)</f>
        <v>0</v>
      </c>
      <c r="L57" s="262"/>
      <c r="M57" s="260"/>
      <c r="N57" s="264"/>
      <c r="O57" s="4">
        <v>5</v>
      </c>
      <c r="P57" s="187"/>
      <c r="Q57" s="168" t="str">
        <f t="shared" si="52"/>
        <v/>
      </c>
      <c r="R57" s="169"/>
      <c r="S57" s="169"/>
      <c r="T57" s="170" t="str">
        <f t="shared" si="49"/>
        <v/>
      </c>
      <c r="U57" s="169"/>
      <c r="V57" s="169"/>
      <c r="W57" s="169"/>
      <c r="X57" s="156" t="str">
        <f t="shared" si="53"/>
        <v/>
      </c>
      <c r="Y57" s="171" t="str">
        <f t="shared" si="25"/>
        <v/>
      </c>
      <c r="Z57" s="162" t="str">
        <f t="shared" si="50"/>
        <v/>
      </c>
      <c r="AA57" s="171" t="str">
        <f t="shared" si="27"/>
        <v/>
      </c>
      <c r="AB57" s="162" t="str">
        <f t="shared" si="54"/>
        <v/>
      </c>
      <c r="AC57" s="172" t="str">
        <f t="shared" ref="AC57:AC58" si="55">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63"/>
      <c r="AE57" s="173"/>
      <c r="AF57" s="174"/>
      <c r="AG57" s="175"/>
      <c r="AH57" s="175"/>
      <c r="AI57" s="173"/>
      <c r="AJ57" s="174"/>
    </row>
    <row r="58" spans="1:68" ht="18" hidden="1" customHeight="1" x14ac:dyDescent="0.25">
      <c r="A58" s="281"/>
      <c r="B58" s="284"/>
      <c r="C58" s="284"/>
      <c r="D58" s="284"/>
      <c r="E58" s="287"/>
      <c r="F58" s="284"/>
      <c r="G58" s="290"/>
      <c r="H58" s="291"/>
      <c r="I58" s="277"/>
      <c r="J58" s="294"/>
      <c r="K58" s="277">
        <f>IF(NOT(ISERROR(MATCH(J58,_xlfn.ANCHORARRAY(E69),0))),I71&amp;"Por favor no seleccionar los criterios de impacto",J58)</f>
        <v>0</v>
      </c>
      <c r="L58" s="291"/>
      <c r="M58" s="277"/>
      <c r="N58" s="278"/>
      <c r="O58" s="4">
        <v>6</v>
      </c>
      <c r="P58" s="187"/>
      <c r="Q58" s="168" t="str">
        <f t="shared" si="52"/>
        <v/>
      </c>
      <c r="R58" s="169"/>
      <c r="S58" s="169"/>
      <c r="T58" s="170" t="str">
        <f t="shared" si="49"/>
        <v/>
      </c>
      <c r="U58" s="169"/>
      <c r="V58" s="169"/>
      <c r="W58" s="169"/>
      <c r="X58" s="156" t="str">
        <f t="shared" si="53"/>
        <v/>
      </c>
      <c r="Y58" s="171" t="str">
        <f t="shared" si="25"/>
        <v/>
      </c>
      <c r="Z58" s="162" t="str">
        <f t="shared" si="50"/>
        <v/>
      </c>
      <c r="AA58" s="171" t="str">
        <f t="shared" si="27"/>
        <v/>
      </c>
      <c r="AB58" s="162" t="str">
        <f t="shared" si="54"/>
        <v/>
      </c>
      <c r="AC58" s="172" t="str">
        <f t="shared" si="55"/>
        <v/>
      </c>
      <c r="AD58" s="163"/>
      <c r="AE58" s="173"/>
      <c r="AF58" s="174"/>
      <c r="AG58" s="175"/>
      <c r="AH58" s="175"/>
      <c r="AI58" s="173"/>
      <c r="AJ58" s="174"/>
    </row>
    <row r="59" spans="1:68" ht="49.5" customHeight="1" x14ac:dyDescent="0.25">
      <c r="A59" s="4"/>
      <c r="B59" s="274" t="s">
        <v>89</v>
      </c>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6"/>
    </row>
    <row r="61" spans="1:68" x14ac:dyDescent="0.25">
      <c r="A61" s="2"/>
      <c r="B61" s="21"/>
      <c r="C61" s="2"/>
      <c r="D61" s="2"/>
      <c r="F61" s="2"/>
    </row>
  </sheetData>
  <dataConsolidate/>
  <mergeCells count="158">
    <mergeCell ref="A1:AE5"/>
    <mergeCell ref="W10:AB10"/>
    <mergeCell ref="W14:AB14"/>
    <mergeCell ref="A16:J16"/>
    <mergeCell ref="N7:S7"/>
    <mergeCell ref="W9:AB9"/>
    <mergeCell ref="P8:S8"/>
    <mergeCell ref="P9:S9"/>
    <mergeCell ref="P10:S10"/>
    <mergeCell ref="P14:S14"/>
    <mergeCell ref="P11:S11"/>
    <mergeCell ref="P12:S12"/>
    <mergeCell ref="P13:S13"/>
    <mergeCell ref="P15:S15"/>
    <mergeCell ref="A26:A29"/>
    <mergeCell ref="B26:B29"/>
    <mergeCell ref="D26:D29"/>
    <mergeCell ref="E26:E29"/>
    <mergeCell ref="N26:N29"/>
    <mergeCell ref="I26:I29"/>
    <mergeCell ref="J26:J29"/>
    <mergeCell ref="K26:K29"/>
    <mergeCell ref="L26:L29"/>
    <mergeCell ref="M26:M29"/>
    <mergeCell ref="B24:B25"/>
    <mergeCell ref="N24:N25"/>
    <mergeCell ref="J24:J25"/>
    <mergeCell ref="K24:K25"/>
    <mergeCell ref="Q24:Q25"/>
    <mergeCell ref="R24:W24"/>
    <mergeCell ref="F26:F29"/>
    <mergeCell ref="G26:G29"/>
    <mergeCell ref="H26:H29"/>
    <mergeCell ref="E24:E25"/>
    <mergeCell ref="D24:D25"/>
    <mergeCell ref="C24:C25"/>
    <mergeCell ref="C21:N21"/>
    <mergeCell ref="C22:N22"/>
    <mergeCell ref="O24:O25"/>
    <mergeCell ref="AC24:AC25"/>
    <mergeCell ref="AB24:AB25"/>
    <mergeCell ref="X24:X25"/>
    <mergeCell ref="P24:P25"/>
    <mergeCell ref="AA24:AA25"/>
    <mergeCell ref="Y24:Y25"/>
    <mergeCell ref="Z24:Z25"/>
    <mergeCell ref="G24:G25"/>
    <mergeCell ref="H24:H25"/>
    <mergeCell ref="I24:I25"/>
    <mergeCell ref="L24:L25"/>
    <mergeCell ref="M24:M25"/>
    <mergeCell ref="K33:K36"/>
    <mergeCell ref="L33:L36"/>
    <mergeCell ref="F30:F32"/>
    <mergeCell ref="G30:G32"/>
    <mergeCell ref="H30:H32"/>
    <mergeCell ref="I30:I32"/>
    <mergeCell ref="J30:J32"/>
    <mergeCell ref="A30:A32"/>
    <mergeCell ref="B30:B32"/>
    <mergeCell ref="D30:D32"/>
    <mergeCell ref="E30:E32"/>
    <mergeCell ref="C31:C32"/>
    <mergeCell ref="M33:M36"/>
    <mergeCell ref="N33:N36"/>
    <mergeCell ref="A37:A40"/>
    <mergeCell ref="B37:B40"/>
    <mergeCell ref="D37:D40"/>
    <mergeCell ref="E37:E40"/>
    <mergeCell ref="F37:F40"/>
    <mergeCell ref="G37:G40"/>
    <mergeCell ref="H37:H40"/>
    <mergeCell ref="I37:I40"/>
    <mergeCell ref="J37:J40"/>
    <mergeCell ref="K37:K40"/>
    <mergeCell ref="L37:L40"/>
    <mergeCell ref="M37:M40"/>
    <mergeCell ref="N37:N40"/>
    <mergeCell ref="A33:A36"/>
    <mergeCell ref="B33:B36"/>
    <mergeCell ref="D33:D36"/>
    <mergeCell ref="E33:E36"/>
    <mergeCell ref="F33:F36"/>
    <mergeCell ref="G33:G36"/>
    <mergeCell ref="H33:H36"/>
    <mergeCell ref="I33:I36"/>
    <mergeCell ref="J33:J36"/>
    <mergeCell ref="A41:A46"/>
    <mergeCell ref="B41:B46"/>
    <mergeCell ref="C41:C46"/>
    <mergeCell ref="D41:D46"/>
    <mergeCell ref="E41:E46"/>
    <mergeCell ref="K41:K46"/>
    <mergeCell ref="L41:L46"/>
    <mergeCell ref="M41:M46"/>
    <mergeCell ref="N41:N46"/>
    <mergeCell ref="F41:F46"/>
    <mergeCell ref="G41:G46"/>
    <mergeCell ref="H41:H46"/>
    <mergeCell ref="I41:I46"/>
    <mergeCell ref="J41:J46"/>
    <mergeCell ref="A47:A52"/>
    <mergeCell ref="B47:B52"/>
    <mergeCell ref="C47:C52"/>
    <mergeCell ref="D47:D52"/>
    <mergeCell ref="E47:E52"/>
    <mergeCell ref="F47:F52"/>
    <mergeCell ref="G47:G52"/>
    <mergeCell ref="H47:H52"/>
    <mergeCell ref="I47:I52"/>
    <mergeCell ref="A22:B22"/>
    <mergeCell ref="A24:A25"/>
    <mergeCell ref="F24:F25"/>
    <mergeCell ref="AD24:AD25"/>
    <mergeCell ref="B59:AJ59"/>
    <mergeCell ref="M47:M52"/>
    <mergeCell ref="N47:N52"/>
    <mergeCell ref="A53:A58"/>
    <mergeCell ref="B53:B58"/>
    <mergeCell ref="C53:C58"/>
    <mergeCell ref="D53:D58"/>
    <mergeCell ref="E53:E58"/>
    <mergeCell ref="F53:F58"/>
    <mergeCell ref="G53:G58"/>
    <mergeCell ref="H53:H58"/>
    <mergeCell ref="I53:I58"/>
    <mergeCell ref="J53:J58"/>
    <mergeCell ref="K53:K58"/>
    <mergeCell ref="L53:L58"/>
    <mergeCell ref="M53:M58"/>
    <mergeCell ref="N53:N58"/>
    <mergeCell ref="J47:J52"/>
    <mergeCell ref="K47:K52"/>
    <mergeCell ref="L47:L52"/>
    <mergeCell ref="AD26:AD29"/>
    <mergeCell ref="AD30:AD32"/>
    <mergeCell ref="AD33:AD36"/>
    <mergeCell ref="AD37:AD40"/>
    <mergeCell ref="C20:N20"/>
    <mergeCell ref="O20:Q20"/>
    <mergeCell ref="A17:AJ18"/>
    <mergeCell ref="A23:G23"/>
    <mergeCell ref="H23:N23"/>
    <mergeCell ref="O23:W23"/>
    <mergeCell ref="X23:AD23"/>
    <mergeCell ref="AE23:AJ23"/>
    <mergeCell ref="K30:K32"/>
    <mergeCell ref="L30:L32"/>
    <mergeCell ref="M30:M32"/>
    <mergeCell ref="N30:N32"/>
    <mergeCell ref="AE24:AE25"/>
    <mergeCell ref="AJ24:AJ25"/>
    <mergeCell ref="AI24:AI25"/>
    <mergeCell ref="AH24:AH25"/>
    <mergeCell ref="AG24:AG25"/>
    <mergeCell ref="AF24:AF25"/>
    <mergeCell ref="A20:B20"/>
    <mergeCell ref="A21:B21"/>
  </mergeCells>
  <conditionalFormatting sqref="L37 L41 L47 L53">
    <cfRule type="cellIs" dxfId="201" priority="448" operator="equal">
      <formula>"Catastrófico"</formula>
    </cfRule>
    <cfRule type="cellIs" dxfId="200" priority="449" operator="equal">
      <formula>"Mayor"</formula>
    </cfRule>
    <cfRule type="cellIs" dxfId="199" priority="450" operator="equal">
      <formula>"Moderado"</formula>
    </cfRule>
    <cfRule type="cellIs" dxfId="198" priority="451" operator="equal">
      <formula>"Menor"</formula>
    </cfRule>
    <cfRule type="cellIs" dxfId="197" priority="452" operator="equal">
      <formula>"Leve"</formula>
    </cfRule>
  </conditionalFormatting>
  <conditionalFormatting sqref="H47">
    <cfRule type="cellIs" dxfId="196" priority="187" operator="equal">
      <formula>"Muy Alta"</formula>
    </cfRule>
    <cfRule type="cellIs" dxfId="195" priority="188" operator="equal">
      <formula>"Alta"</formula>
    </cfRule>
    <cfRule type="cellIs" dxfId="194" priority="189" operator="equal">
      <formula>"Media"</formula>
    </cfRule>
    <cfRule type="cellIs" dxfId="193" priority="190" operator="equal">
      <formula>"Baja"</formula>
    </cfRule>
    <cfRule type="cellIs" dxfId="192" priority="191" operator="equal">
      <formula>"Muy Baja"</formula>
    </cfRule>
  </conditionalFormatting>
  <conditionalFormatting sqref="H37">
    <cfRule type="cellIs" dxfId="191" priority="327" operator="equal">
      <formula>"Muy Alta"</formula>
    </cfRule>
    <cfRule type="cellIs" dxfId="190" priority="328" operator="equal">
      <formula>"Alta"</formula>
    </cfRule>
    <cfRule type="cellIs" dxfId="189" priority="329" operator="equal">
      <formula>"Media"</formula>
    </cfRule>
    <cfRule type="cellIs" dxfId="188" priority="330" operator="equal">
      <formula>"Baja"</formula>
    </cfRule>
    <cfRule type="cellIs" dxfId="187" priority="331" operator="equal">
      <formula>"Muy Baja"</formula>
    </cfRule>
  </conditionalFormatting>
  <conditionalFormatting sqref="N37">
    <cfRule type="cellIs" dxfId="186" priority="318" operator="equal">
      <formula>"Extremo"</formula>
    </cfRule>
    <cfRule type="cellIs" dxfId="185" priority="319" operator="equal">
      <formula>"Alto"</formula>
    </cfRule>
    <cfRule type="cellIs" dxfId="184" priority="320" operator="equal">
      <formula>"Moderado"</formula>
    </cfRule>
    <cfRule type="cellIs" dxfId="183" priority="321" operator="equal">
      <formula>"Bajo"</formula>
    </cfRule>
  </conditionalFormatting>
  <conditionalFormatting sqref="Y37:Y38">
    <cfRule type="cellIs" dxfId="182" priority="313" operator="equal">
      <formula>"Muy Alta"</formula>
    </cfRule>
    <cfRule type="cellIs" dxfId="181" priority="314" operator="equal">
      <formula>"Alta"</formula>
    </cfRule>
    <cfRule type="cellIs" dxfId="180" priority="315" operator="equal">
      <formula>"Media"</formula>
    </cfRule>
    <cfRule type="cellIs" dxfId="179" priority="316" operator="equal">
      <formula>"Baja"</formula>
    </cfRule>
    <cfRule type="cellIs" dxfId="178" priority="317" operator="equal">
      <formula>"Muy Baja"</formula>
    </cfRule>
  </conditionalFormatting>
  <conditionalFormatting sqref="AA37:AA38">
    <cfRule type="cellIs" dxfId="177" priority="308" operator="equal">
      <formula>"Catastrófico"</formula>
    </cfRule>
    <cfRule type="cellIs" dxfId="176" priority="309" operator="equal">
      <formula>"Mayor"</formula>
    </cfRule>
    <cfRule type="cellIs" dxfId="175" priority="310" operator="equal">
      <formula>"Moderado"</formula>
    </cfRule>
    <cfRule type="cellIs" dxfId="174" priority="311" operator="equal">
      <formula>"Menor"</formula>
    </cfRule>
    <cfRule type="cellIs" dxfId="173" priority="312" operator="equal">
      <formula>"Leve"</formula>
    </cfRule>
  </conditionalFormatting>
  <conditionalFormatting sqref="AC37:AC38">
    <cfRule type="cellIs" dxfId="172" priority="304" operator="equal">
      <formula>"Extremo"</formula>
    </cfRule>
    <cfRule type="cellIs" dxfId="171" priority="305" operator="equal">
      <formula>"Alto"</formula>
    </cfRule>
    <cfRule type="cellIs" dxfId="170" priority="306" operator="equal">
      <formula>"Moderado"</formula>
    </cfRule>
    <cfRule type="cellIs" dxfId="169" priority="307" operator="equal">
      <formula>"Bajo"</formula>
    </cfRule>
  </conditionalFormatting>
  <conditionalFormatting sqref="H41">
    <cfRule type="cellIs" dxfId="168" priority="215" operator="equal">
      <formula>"Muy Alta"</formula>
    </cfRule>
    <cfRule type="cellIs" dxfId="167" priority="216" operator="equal">
      <formula>"Alta"</formula>
    </cfRule>
    <cfRule type="cellIs" dxfId="166" priority="217" operator="equal">
      <formula>"Media"</formula>
    </cfRule>
    <cfRule type="cellIs" dxfId="165" priority="218" operator="equal">
      <formula>"Baja"</formula>
    </cfRule>
    <cfRule type="cellIs" dxfId="164" priority="219" operator="equal">
      <formula>"Muy Baja"</formula>
    </cfRule>
  </conditionalFormatting>
  <conditionalFormatting sqref="N41">
    <cfRule type="cellIs" dxfId="163" priority="206" operator="equal">
      <formula>"Extremo"</formula>
    </cfRule>
    <cfRule type="cellIs" dxfId="162" priority="207" operator="equal">
      <formula>"Alto"</formula>
    </cfRule>
    <cfRule type="cellIs" dxfId="161" priority="208" operator="equal">
      <formula>"Moderado"</formula>
    </cfRule>
    <cfRule type="cellIs" dxfId="160" priority="209" operator="equal">
      <formula>"Bajo"</formula>
    </cfRule>
  </conditionalFormatting>
  <conditionalFormatting sqref="Y41:Y46">
    <cfRule type="cellIs" dxfId="159" priority="201" operator="equal">
      <formula>"Muy Alta"</formula>
    </cfRule>
    <cfRule type="cellIs" dxfId="158" priority="202" operator="equal">
      <formula>"Alta"</formula>
    </cfRule>
    <cfRule type="cellIs" dxfId="157" priority="203" operator="equal">
      <formula>"Media"</formula>
    </cfRule>
    <cfRule type="cellIs" dxfId="156" priority="204" operator="equal">
      <formula>"Baja"</formula>
    </cfRule>
    <cfRule type="cellIs" dxfId="155" priority="205" operator="equal">
      <formula>"Muy Baja"</formula>
    </cfRule>
  </conditionalFormatting>
  <conditionalFormatting sqref="AA41:AA46">
    <cfRule type="cellIs" dxfId="154" priority="196" operator="equal">
      <formula>"Catastrófico"</formula>
    </cfRule>
    <cfRule type="cellIs" dxfId="153" priority="197" operator="equal">
      <formula>"Mayor"</formula>
    </cfRule>
    <cfRule type="cellIs" dxfId="152" priority="198" operator="equal">
      <formula>"Moderado"</formula>
    </cfRule>
    <cfRule type="cellIs" dxfId="151" priority="199" operator="equal">
      <formula>"Menor"</formula>
    </cfRule>
    <cfRule type="cellIs" dxfId="150" priority="200" operator="equal">
      <formula>"Leve"</formula>
    </cfRule>
  </conditionalFormatting>
  <conditionalFormatting sqref="AC41:AC46">
    <cfRule type="cellIs" dxfId="149" priority="192" operator="equal">
      <formula>"Extremo"</formula>
    </cfRule>
    <cfRule type="cellIs" dxfId="148" priority="193" operator="equal">
      <formula>"Alto"</formula>
    </cfRule>
    <cfRule type="cellIs" dxfId="147" priority="194" operator="equal">
      <formula>"Moderado"</formula>
    </cfRule>
    <cfRule type="cellIs" dxfId="146" priority="195" operator="equal">
      <formula>"Bajo"</formula>
    </cfRule>
  </conditionalFormatting>
  <conditionalFormatting sqref="N47">
    <cfRule type="cellIs" dxfId="145" priority="178" operator="equal">
      <formula>"Extremo"</formula>
    </cfRule>
    <cfRule type="cellIs" dxfId="144" priority="179" operator="equal">
      <formula>"Alto"</formula>
    </cfRule>
    <cfRule type="cellIs" dxfId="143" priority="180" operator="equal">
      <formula>"Moderado"</formula>
    </cfRule>
    <cfRule type="cellIs" dxfId="142" priority="181" operator="equal">
      <formula>"Bajo"</formula>
    </cfRule>
  </conditionalFormatting>
  <conditionalFormatting sqref="Y47:Y52">
    <cfRule type="cellIs" dxfId="141" priority="173" operator="equal">
      <formula>"Muy Alta"</formula>
    </cfRule>
    <cfRule type="cellIs" dxfId="140" priority="174" operator="equal">
      <formula>"Alta"</formula>
    </cfRule>
    <cfRule type="cellIs" dxfId="139" priority="175" operator="equal">
      <formula>"Media"</formula>
    </cfRule>
    <cfRule type="cellIs" dxfId="138" priority="176" operator="equal">
      <formula>"Baja"</formula>
    </cfRule>
    <cfRule type="cellIs" dxfId="137" priority="177" operator="equal">
      <formula>"Muy Baja"</formula>
    </cfRule>
  </conditionalFormatting>
  <conditionalFormatting sqref="AA47:AA52">
    <cfRule type="cellIs" dxfId="136" priority="168" operator="equal">
      <formula>"Catastrófico"</formula>
    </cfRule>
    <cfRule type="cellIs" dxfId="135" priority="169" operator="equal">
      <formula>"Mayor"</formula>
    </cfRule>
    <cfRule type="cellIs" dxfId="134" priority="170" operator="equal">
      <formula>"Moderado"</formula>
    </cfRule>
    <cfRule type="cellIs" dxfId="133" priority="171" operator="equal">
      <formula>"Menor"</formula>
    </cfRule>
    <cfRule type="cellIs" dxfId="132" priority="172" operator="equal">
      <formula>"Leve"</formula>
    </cfRule>
  </conditionalFormatting>
  <conditionalFormatting sqref="AC47:AC52">
    <cfRule type="cellIs" dxfId="131" priority="164" operator="equal">
      <formula>"Extremo"</formula>
    </cfRule>
    <cfRule type="cellIs" dxfId="130" priority="165" operator="equal">
      <formula>"Alto"</formula>
    </cfRule>
    <cfRule type="cellIs" dxfId="129" priority="166" operator="equal">
      <formula>"Moderado"</formula>
    </cfRule>
    <cfRule type="cellIs" dxfId="128" priority="167" operator="equal">
      <formula>"Bajo"</formula>
    </cfRule>
  </conditionalFormatting>
  <conditionalFormatting sqref="H53">
    <cfRule type="cellIs" dxfId="127" priority="159" operator="equal">
      <formula>"Muy Alta"</formula>
    </cfRule>
    <cfRule type="cellIs" dxfId="126" priority="160" operator="equal">
      <formula>"Alta"</formula>
    </cfRule>
    <cfRule type="cellIs" dxfId="125" priority="161" operator="equal">
      <formula>"Media"</formula>
    </cfRule>
    <cfRule type="cellIs" dxfId="124" priority="162" operator="equal">
      <formula>"Baja"</formula>
    </cfRule>
    <cfRule type="cellIs" dxfId="123" priority="163" operator="equal">
      <formula>"Muy Baja"</formula>
    </cfRule>
  </conditionalFormatting>
  <conditionalFormatting sqref="N53">
    <cfRule type="cellIs" dxfId="122" priority="150" operator="equal">
      <formula>"Extremo"</formula>
    </cfRule>
    <cfRule type="cellIs" dxfId="121" priority="151" operator="equal">
      <formula>"Alto"</formula>
    </cfRule>
    <cfRule type="cellIs" dxfId="120" priority="152" operator="equal">
      <formula>"Moderado"</formula>
    </cfRule>
    <cfRule type="cellIs" dxfId="119" priority="153" operator="equal">
      <formula>"Bajo"</formula>
    </cfRule>
  </conditionalFormatting>
  <conditionalFormatting sqref="Y53:Y58">
    <cfRule type="cellIs" dxfId="118" priority="145" operator="equal">
      <formula>"Muy Alta"</formula>
    </cfRule>
    <cfRule type="cellIs" dxfId="117" priority="146" operator="equal">
      <formula>"Alta"</formula>
    </cfRule>
    <cfRule type="cellIs" dxfId="116" priority="147" operator="equal">
      <formula>"Media"</formula>
    </cfRule>
    <cfRule type="cellIs" dxfId="115" priority="148" operator="equal">
      <formula>"Baja"</formula>
    </cfRule>
    <cfRule type="cellIs" dxfId="114" priority="149" operator="equal">
      <formula>"Muy Baja"</formula>
    </cfRule>
  </conditionalFormatting>
  <conditionalFormatting sqref="AA53:AA58">
    <cfRule type="cellIs" dxfId="113" priority="140" operator="equal">
      <formula>"Catastrófico"</formula>
    </cfRule>
    <cfRule type="cellIs" dxfId="112" priority="141" operator="equal">
      <formula>"Mayor"</formula>
    </cfRule>
    <cfRule type="cellIs" dxfId="111" priority="142" operator="equal">
      <formula>"Moderado"</formula>
    </cfRule>
    <cfRule type="cellIs" dxfId="110" priority="143" operator="equal">
      <formula>"Menor"</formula>
    </cfRule>
    <cfRule type="cellIs" dxfId="109" priority="144" operator="equal">
      <formula>"Leve"</formula>
    </cfRule>
  </conditionalFormatting>
  <conditionalFormatting sqref="AC53:AC58">
    <cfRule type="cellIs" dxfId="108" priority="136" operator="equal">
      <formula>"Extremo"</formula>
    </cfRule>
    <cfRule type="cellIs" dxfId="107" priority="137" operator="equal">
      <formula>"Alto"</formula>
    </cfRule>
    <cfRule type="cellIs" dxfId="106" priority="138" operator="equal">
      <formula>"Moderado"</formula>
    </cfRule>
    <cfRule type="cellIs" dxfId="105" priority="139" operator="equal">
      <formula>"Bajo"</formula>
    </cfRule>
  </conditionalFormatting>
  <conditionalFormatting sqref="K30:K32 K37:K58">
    <cfRule type="containsText" dxfId="104" priority="135" operator="containsText" text="❌">
      <formula>NOT(ISERROR(SEARCH("❌",K30)))</formula>
    </cfRule>
  </conditionalFormatting>
  <conditionalFormatting sqref="H26">
    <cfRule type="cellIs" dxfId="103" priority="116" operator="equal">
      <formula>"Muy Alta"</formula>
    </cfRule>
    <cfRule type="cellIs" dxfId="102" priority="117" operator="equal">
      <formula>"Alta"</formula>
    </cfRule>
    <cfRule type="cellIs" dxfId="101" priority="118" operator="equal">
      <formula>"Media"</formula>
    </cfRule>
    <cfRule type="cellIs" dxfId="100" priority="119" operator="equal">
      <formula>"Baja"</formula>
    </cfRule>
    <cfRule type="cellIs" dxfId="99" priority="120" operator="equal">
      <formula>"Muy Baja"</formula>
    </cfRule>
  </conditionalFormatting>
  <conditionalFormatting sqref="L26">
    <cfRule type="cellIs" dxfId="98" priority="111" operator="equal">
      <formula>"Catastrófico"</formula>
    </cfRule>
    <cfRule type="cellIs" dxfId="97" priority="112" operator="equal">
      <formula>"Mayor"</formula>
    </cfRule>
    <cfRule type="cellIs" dxfId="96" priority="113" operator="equal">
      <formula>"Moderado"</formula>
    </cfRule>
    <cfRule type="cellIs" dxfId="95" priority="114" operator="equal">
      <formula>"Menor"</formula>
    </cfRule>
    <cfRule type="cellIs" dxfId="94" priority="115" operator="equal">
      <formula>"Leve"</formula>
    </cfRule>
  </conditionalFormatting>
  <conditionalFormatting sqref="N26">
    <cfRule type="cellIs" dxfId="93" priority="107" operator="equal">
      <formula>"Extremo"</formula>
    </cfRule>
    <cfRule type="cellIs" dxfId="92" priority="108" operator="equal">
      <formula>"Alto"</formula>
    </cfRule>
    <cfRule type="cellIs" dxfId="91" priority="109" operator="equal">
      <formula>"Moderado"</formula>
    </cfRule>
    <cfRule type="cellIs" dxfId="90" priority="110" operator="equal">
      <formula>"Bajo"</formula>
    </cfRule>
  </conditionalFormatting>
  <conditionalFormatting sqref="Y26:Y29">
    <cfRule type="cellIs" dxfId="89" priority="102" operator="equal">
      <formula>"Muy Alta"</formula>
    </cfRule>
    <cfRule type="cellIs" dxfId="88" priority="103" operator="equal">
      <formula>"Alta"</formula>
    </cfRule>
    <cfRule type="cellIs" dxfId="87" priority="104" operator="equal">
      <formula>"Media"</formula>
    </cfRule>
    <cfRule type="cellIs" dxfId="86" priority="105" operator="equal">
      <formula>"Baja"</formula>
    </cfRule>
    <cfRule type="cellIs" dxfId="85" priority="106" operator="equal">
      <formula>"Muy Baja"</formula>
    </cfRule>
  </conditionalFormatting>
  <conditionalFormatting sqref="AA26:AA29">
    <cfRule type="cellIs" dxfId="84" priority="97" operator="equal">
      <formula>"Catastrófico"</formula>
    </cfRule>
    <cfRule type="cellIs" dxfId="83" priority="98" operator="equal">
      <formula>"Mayor"</formula>
    </cfRule>
    <cfRule type="cellIs" dxfId="82" priority="99" operator="equal">
      <formula>"Moderado"</formula>
    </cfRule>
    <cfRule type="cellIs" dxfId="81" priority="100" operator="equal">
      <formula>"Menor"</formula>
    </cfRule>
    <cfRule type="cellIs" dxfId="80" priority="101" operator="equal">
      <formula>"Leve"</formula>
    </cfRule>
  </conditionalFormatting>
  <conditionalFormatting sqref="AC26:AC29">
    <cfRule type="cellIs" dxfId="79" priority="93" operator="equal">
      <formula>"Extremo"</formula>
    </cfRule>
    <cfRule type="cellIs" dxfId="78" priority="94" operator="equal">
      <formula>"Alto"</formula>
    </cfRule>
    <cfRule type="cellIs" dxfId="77" priority="95" operator="equal">
      <formula>"Moderado"</formula>
    </cfRule>
    <cfRule type="cellIs" dxfId="76" priority="96" operator="equal">
      <formula>"Bajo"</formula>
    </cfRule>
  </conditionalFormatting>
  <conditionalFormatting sqref="K26:K29">
    <cfRule type="containsText" dxfId="75" priority="92" operator="containsText" text="❌">
      <formula>NOT(ISERROR(SEARCH("❌",K26)))</formula>
    </cfRule>
  </conditionalFormatting>
  <conditionalFormatting sqref="Y30:Y32">
    <cfRule type="cellIs" dxfId="74" priority="73" operator="equal">
      <formula>"Muy Alta"</formula>
    </cfRule>
    <cfRule type="cellIs" dxfId="73" priority="74" operator="equal">
      <formula>"Alta"</formula>
    </cfRule>
    <cfRule type="cellIs" dxfId="72" priority="75" operator="equal">
      <formula>"Media"</formula>
    </cfRule>
    <cfRule type="cellIs" dxfId="71" priority="76" operator="equal">
      <formula>"Baja"</formula>
    </cfRule>
    <cfRule type="cellIs" dxfId="70" priority="77" operator="equal">
      <formula>"Muy Baja"</formula>
    </cfRule>
  </conditionalFormatting>
  <conditionalFormatting sqref="AA30:AA32">
    <cfRule type="cellIs" dxfId="69" priority="68" operator="equal">
      <formula>"Catastrófico"</formula>
    </cfRule>
    <cfRule type="cellIs" dxfId="68" priority="69" operator="equal">
      <formula>"Mayor"</formula>
    </cfRule>
    <cfRule type="cellIs" dxfId="67" priority="70" operator="equal">
      <formula>"Moderado"</formula>
    </cfRule>
    <cfRule type="cellIs" dxfId="66" priority="71" operator="equal">
      <formula>"Menor"</formula>
    </cfRule>
    <cfRule type="cellIs" dxfId="65" priority="72" operator="equal">
      <formula>"Leve"</formula>
    </cfRule>
  </conditionalFormatting>
  <conditionalFormatting sqref="AC30:AC32">
    <cfRule type="cellIs" dxfId="64" priority="64" operator="equal">
      <formula>"Extremo"</formula>
    </cfRule>
    <cfRule type="cellIs" dxfId="63" priority="65" operator="equal">
      <formula>"Alto"</formula>
    </cfRule>
    <cfRule type="cellIs" dxfId="62" priority="66" operator="equal">
      <formula>"Moderado"</formula>
    </cfRule>
    <cfRule type="cellIs" dxfId="61" priority="67" operator="equal">
      <formula>"Bajo"</formula>
    </cfRule>
  </conditionalFormatting>
  <conditionalFormatting sqref="L30">
    <cfRule type="cellIs" dxfId="60" priority="58" operator="equal">
      <formula>"Catastrófico"</formula>
    </cfRule>
    <cfRule type="cellIs" dxfId="59" priority="59" operator="equal">
      <formula>"Mayor"</formula>
    </cfRule>
    <cfRule type="cellIs" dxfId="58" priority="60" operator="equal">
      <formula>"Moderado"</formula>
    </cfRule>
    <cfRule type="cellIs" dxfId="57" priority="61" operator="equal">
      <formula>"Menor"</formula>
    </cfRule>
    <cfRule type="cellIs" dxfId="56" priority="62" operator="equal">
      <formula>"Leve"</formula>
    </cfRule>
  </conditionalFormatting>
  <conditionalFormatting sqref="H30">
    <cfRule type="cellIs" dxfId="55" priority="53" operator="equal">
      <formula>"Muy Alta"</formula>
    </cfRule>
    <cfRule type="cellIs" dxfId="54" priority="54" operator="equal">
      <formula>"Alta"</formula>
    </cfRule>
    <cfRule type="cellIs" dxfId="53" priority="55" operator="equal">
      <formula>"Media"</formula>
    </cfRule>
    <cfRule type="cellIs" dxfId="52" priority="56" operator="equal">
      <formula>"Baja"</formula>
    </cfRule>
    <cfRule type="cellIs" dxfId="51" priority="57" operator="equal">
      <formula>"Muy Baja"</formula>
    </cfRule>
  </conditionalFormatting>
  <conditionalFormatting sqref="N30">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L33">
    <cfRule type="cellIs" dxfId="46" priority="44" operator="equal">
      <formula>"Catastrófico"</formula>
    </cfRule>
    <cfRule type="cellIs" dxfId="45" priority="45" operator="equal">
      <formula>"Mayor"</formula>
    </cfRule>
    <cfRule type="cellIs" dxfId="44" priority="46" operator="equal">
      <formula>"Moderado"</formula>
    </cfRule>
    <cfRule type="cellIs" dxfId="43" priority="47" operator="equal">
      <formula>"Menor"</formula>
    </cfRule>
    <cfRule type="cellIs" dxfId="42" priority="48" operator="equal">
      <formula>"Leve"</formula>
    </cfRule>
  </conditionalFormatting>
  <conditionalFormatting sqref="H3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N33">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Y33:Y36">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AA33:AA36">
    <cfRule type="cellIs" dxfId="27" priority="25" operator="equal">
      <formula>"Catastrófico"</formula>
    </cfRule>
    <cfRule type="cellIs" dxfId="26" priority="26" operator="equal">
      <formula>"Mayor"</formula>
    </cfRule>
    <cfRule type="cellIs" dxfId="25" priority="27" operator="equal">
      <formula>"Moderado"</formula>
    </cfRule>
    <cfRule type="cellIs" dxfId="24" priority="28" operator="equal">
      <formula>"Menor"</formula>
    </cfRule>
    <cfRule type="cellIs" dxfId="23" priority="29" operator="equal">
      <formula>"Leve"</formula>
    </cfRule>
  </conditionalFormatting>
  <conditionalFormatting sqref="AC33:AC36">
    <cfRule type="cellIs" dxfId="22" priority="21" operator="equal">
      <formula>"Extremo"</formula>
    </cfRule>
    <cfRule type="cellIs" dxfId="21" priority="22" operator="equal">
      <formula>"Alto"</formula>
    </cfRule>
    <cfRule type="cellIs" dxfId="20" priority="23" operator="equal">
      <formula>"Moderado"</formula>
    </cfRule>
    <cfRule type="cellIs" dxfId="19" priority="24" operator="equal">
      <formula>"Bajo"</formula>
    </cfRule>
  </conditionalFormatting>
  <conditionalFormatting sqref="K33:K36">
    <cfRule type="containsText" dxfId="18" priority="20" operator="containsText" text="❌">
      <formula>NOT(ISERROR(SEARCH("❌",K33)))</formula>
    </cfRule>
  </conditionalFormatting>
  <conditionalFormatting sqref="Y39:Y40">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A39:AA40">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C39:AC40">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4000000}">
          <x14:formula1>
            <xm:f>'Opciones Tratamiento'!$B$9:$B$10</xm:f>
          </x14:formula1>
          <xm:sqref>AJ56:AJ57 AJ53:AJ54 AJ47:AJ48 AJ50:AJ51 AJ37:AJ38 AJ44:AJ45 AJ40:AJ42</xm:sqref>
        </x14:dataValidation>
        <x14:dataValidation type="list" allowBlank="1" showInputMessage="1" showErrorMessage="1" xr:uid="{00000000-0002-0000-0100-000006000000}">
          <x14:formula1>
            <xm:f>'Opciones Tratamiento'!$B$13:$B$19</xm:f>
          </x14:formula1>
          <xm:sqref>F47:F58</xm:sqref>
        </x14:dataValidation>
        <x14:dataValidation type="list" allowBlank="1" showInputMessage="1" showErrorMessage="1" xr:uid="{00000000-0002-0000-0100-000000000000}">
          <x14:formula1>
            <xm:f>'Tabla Valoración controles'!$D$4:$D$6</xm:f>
          </x14:formula1>
          <xm:sqref>R41:R58 R37:R40</xm:sqref>
        </x14:dataValidation>
        <x14:dataValidation type="list" allowBlank="1" showInputMessage="1" showErrorMessage="1" xr:uid="{00000000-0002-0000-0100-000001000000}">
          <x14:formula1>
            <xm:f>'Tabla Valoración controles'!$D$7:$D$8</xm:f>
          </x14:formula1>
          <xm:sqref>S41:S58 S37:S40</xm:sqref>
        </x14:dataValidation>
        <x14:dataValidation type="list" allowBlank="1" showInputMessage="1" showErrorMessage="1" xr:uid="{00000000-0002-0000-0100-000002000000}">
          <x14:formula1>
            <xm:f>'Tabla Valoración controles'!$D$9:$D$10</xm:f>
          </x14:formula1>
          <xm:sqref>U41:U58 U26:U31 U34 U37:U40</xm:sqref>
        </x14:dataValidation>
        <x14:dataValidation type="list" allowBlank="1" showInputMessage="1" showErrorMessage="1" xr:uid="{00000000-0002-0000-0100-000003000000}">
          <x14:formula1>
            <xm:f>'Tabla Valoración controles'!$D$11:$D$12</xm:f>
          </x14:formula1>
          <xm:sqref>V41:V58 V37:V40</xm:sqref>
        </x14:dataValidation>
        <x14:dataValidation type="list" allowBlank="1" showInputMessage="1" showErrorMessage="1" xr:uid="{00000000-0002-0000-0100-000005000000}">
          <x14:formula1>
            <xm:f>'Tabla Valoración controles'!$D$13:$D$14</xm:f>
          </x14:formula1>
          <xm:sqref>W41:W58 W37:W40</xm:sqref>
        </x14:dataValidation>
        <x14:dataValidation type="list" allowBlank="1" showInputMessage="1" showErrorMessage="1" xr:uid="{00000000-0002-0000-0100-000008000000}">
          <x14:formula1>
            <xm:f>'Opciones Tratamiento'!$B$2:$B$5</xm:f>
          </x14:formula1>
          <xm:sqref>AD41:AD58 AD37</xm:sqref>
        </x14:dataValidation>
        <x14:dataValidation type="custom" allowBlank="1" showInputMessage="1" showErrorMessage="1" error="Recuerde que las acciones se generan bajo la medida de mitigar el riesgo" xr:uid="{00000000-0002-0000-0100-00000A000000}">
          <x14:formula1>
            <xm:f>IF(OR(AD37='Opciones Tratamiento'!$B$2,AD37='Opciones Tratamiento'!$B$3,AD37='Opciones Tratamiento'!$B$4),ISBLANK(AD37),ISTEXT(AD37))</xm:f>
          </x14:formula1>
          <xm:sqref>AE37:AE58</xm:sqref>
        </x14:dataValidation>
        <x14:dataValidation type="list" allowBlank="1" showInputMessage="1" showErrorMessage="1" xr:uid="{A08F2382-C520-458D-822B-27E981004C95}">
          <x14:formula1>
            <xm:f>'Impacto-clasificacion'!$A$3:$A$6</xm:f>
          </x14:formula1>
          <xm:sqref>B30:B32 B37:B58</xm:sqref>
        </x14:dataValidation>
        <x14:dataValidation type="custom" allowBlank="1" showInputMessage="1" showErrorMessage="1" error="Recuerde que las acciones se generan bajo la medida de mitigar el riesgo" xr:uid="{00000000-0002-0000-0100-00000B000000}">
          <x14:formula1>
            <xm:f>IF(OR(AD37='Opciones Tratamiento'!$B$2,AD37='Opciones Tratamiento'!$B$3,AD37='Opciones Tratamiento'!$B$4),ISBLANK(AD37),ISTEXT(AD37))</xm:f>
          </x14:formula1>
          <xm:sqref>AF37:AF58</xm:sqref>
        </x14:dataValidation>
        <x14:dataValidation type="custom" allowBlank="1" showInputMessage="1" showErrorMessage="1" error="Recuerde que las acciones se generan bajo la medida de mitigar el riesgo" xr:uid="{00000000-0002-0000-0100-00000C000000}">
          <x14:formula1>
            <xm:f>IF(OR(AD37='Opciones Tratamiento'!$B$2,AD37='Opciones Tratamiento'!$B$3,AD37='Opciones Tratamiento'!$B$4),ISBLANK(AD37),ISTEXT(AD37))</xm:f>
          </x14:formula1>
          <xm:sqref>AG37:AG58</xm:sqref>
        </x14:dataValidation>
        <x14:dataValidation type="custom" allowBlank="1" showInputMessage="1" showErrorMessage="1" error="Recuerde que las acciones se generan bajo la medida de mitigar el riesgo" xr:uid="{00000000-0002-0000-0100-00000D000000}">
          <x14:formula1>
            <xm:f>IF(OR(AD37='Opciones Tratamiento'!$B$2,AD37='Opciones Tratamiento'!$B$3,AD37='Opciones Tratamiento'!$B$4),ISBLANK(AD37),ISTEXT(AD37))</xm:f>
          </x14:formula1>
          <xm:sqref>AH37:AH58</xm:sqref>
        </x14:dataValidation>
        <x14:dataValidation type="custom" allowBlank="1" showInputMessage="1" showErrorMessage="1" error="Recuerde que las acciones se generan bajo la medida de mitigar el riesgo" xr:uid="{00000000-0002-0000-0100-00000E000000}">
          <x14:formula1>
            <xm:f>IF(OR(AD37='Opciones Tratamiento'!$B$2,AD37='Opciones Tratamiento'!$B$3,AD37='Opciones Tratamiento'!$B$4),ISBLANK(AD37),ISTEXT(AD37))</xm:f>
          </x14:formula1>
          <xm:sqref>AI37:AI58</xm:sqref>
        </x14:dataValidation>
        <x14:dataValidation type="list" allowBlank="1" showInputMessage="1" showErrorMessage="1" xr:uid="{8DAD2BC1-1BDC-471A-A521-4F3A16793D70}">
          <x14:formula1>
            <xm:f>'Tabla Impacto'!$F$210:$F$227</xm:f>
          </x14:formula1>
          <xm:sqref>J37:J58</xm:sqref>
        </x14:dataValidation>
        <x14:dataValidation type="list" allowBlank="1" showInputMessage="1" showErrorMessage="1" xr:uid="{5B4BFEDF-535D-4676-A2D9-BF1564B5BA44}">
          <x14:formula1>
            <xm:f>'Impacto-clasificacion'!$D$3:$D$10</xm:f>
          </x14:formula1>
          <xm:sqref>F30:F46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60AC-28F7-489F-8FA7-03900777C28F}">
  <dimension ref="A2:D10"/>
  <sheetViews>
    <sheetView workbookViewId="0">
      <selection activeCell="E12" sqref="E12"/>
    </sheetView>
  </sheetViews>
  <sheetFormatPr baseColWidth="10" defaultRowHeight="15" x14ac:dyDescent="0.25"/>
  <sheetData>
    <row r="2" spans="1:4" x14ac:dyDescent="0.25">
      <c r="A2" t="s">
        <v>13</v>
      </c>
    </row>
    <row r="3" spans="1:4" x14ac:dyDescent="0.25">
      <c r="A3" t="s">
        <v>190</v>
      </c>
      <c r="D3" t="s">
        <v>240</v>
      </c>
    </row>
    <row r="4" spans="1:4" x14ac:dyDescent="0.25">
      <c r="A4" t="s">
        <v>192</v>
      </c>
      <c r="D4" t="s">
        <v>241</v>
      </c>
    </row>
    <row r="5" spans="1:4" x14ac:dyDescent="0.25">
      <c r="A5" t="s">
        <v>194</v>
      </c>
      <c r="D5" t="s">
        <v>242</v>
      </c>
    </row>
    <row r="6" spans="1:4" x14ac:dyDescent="0.25">
      <c r="A6" t="s">
        <v>239</v>
      </c>
      <c r="D6" t="s">
        <v>202</v>
      </c>
    </row>
    <row r="7" spans="1:4" x14ac:dyDescent="0.25">
      <c r="D7" t="s">
        <v>203</v>
      </c>
    </row>
    <row r="8" spans="1:4" x14ac:dyDescent="0.25">
      <c r="D8" t="s">
        <v>204</v>
      </c>
    </row>
    <row r="9" spans="1:4" x14ac:dyDescent="0.25">
      <c r="D9" t="s">
        <v>243</v>
      </c>
    </row>
    <row r="10" spans="1:4" x14ac:dyDescent="0.25">
      <c r="D10"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row>
    <row r="2" spans="1:99" ht="18" customHeight="1" x14ac:dyDescent="0.25">
      <c r="A2" s="79"/>
      <c r="B2" s="413" t="s">
        <v>90</v>
      </c>
      <c r="C2" s="413"/>
      <c r="D2" s="413"/>
      <c r="E2" s="413"/>
      <c r="F2" s="413"/>
      <c r="G2" s="413"/>
      <c r="H2" s="413"/>
      <c r="I2" s="413"/>
      <c r="J2" s="381" t="s">
        <v>13</v>
      </c>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row>
    <row r="3" spans="1:99" ht="18.75" customHeight="1" x14ac:dyDescent="0.25">
      <c r="A3" s="79"/>
      <c r="B3" s="413"/>
      <c r="C3" s="413"/>
      <c r="D3" s="413"/>
      <c r="E3" s="413"/>
      <c r="F3" s="413"/>
      <c r="G3" s="413"/>
      <c r="H3" s="413"/>
      <c r="I3" s="413"/>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row>
    <row r="4" spans="1:99" ht="15" customHeight="1" x14ac:dyDescent="0.25">
      <c r="A4" s="79"/>
      <c r="B4" s="413"/>
      <c r="C4" s="413"/>
      <c r="D4" s="413"/>
      <c r="E4" s="413"/>
      <c r="F4" s="413"/>
      <c r="G4" s="413"/>
      <c r="H4" s="413"/>
      <c r="I4" s="413"/>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row>
    <row r="5" spans="1:99" ht="15.75" thickBot="1" x14ac:dyDescent="0.3">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row>
    <row r="6" spans="1:99" ht="15" customHeight="1" x14ac:dyDescent="0.25">
      <c r="A6" s="79"/>
      <c r="B6" s="328" t="s">
        <v>91</v>
      </c>
      <c r="C6" s="328"/>
      <c r="D6" s="329"/>
      <c r="E6" s="366" t="s">
        <v>92</v>
      </c>
      <c r="F6" s="367"/>
      <c r="G6" s="367"/>
      <c r="H6" s="367"/>
      <c r="I6" s="368"/>
      <c r="J6" s="377" t="str">
        <f>IF(AND('Mapa final'!$H$26="Muy Alta",'Mapa final'!$L$26="Leve"),CONCATENATE("R",'Mapa final'!$A$26),"")</f>
        <v/>
      </c>
      <c r="K6" s="378"/>
      <c r="L6" s="378" t="str">
        <f>IF(AND('Mapa final'!$H$30="Muy Alta",'Mapa final'!$L$30="Leve"),CONCATENATE("R",'Mapa final'!$A$30),"")</f>
        <v/>
      </c>
      <c r="M6" s="378"/>
      <c r="N6" s="378" t="str">
        <f>IF(AND('Mapa final'!$H$33="Muy Alta",'Mapa final'!$L$33="Leve"),CONCATENATE("R",'Mapa final'!$A$33),"")</f>
        <v/>
      </c>
      <c r="O6" s="380"/>
      <c r="P6" s="377" t="str">
        <f>IF(AND('Mapa final'!$H$26="Muy Alta",'Mapa final'!$L$26="Menor"),CONCATENATE("R",'Mapa final'!$A$26),"")</f>
        <v/>
      </c>
      <c r="Q6" s="378"/>
      <c r="R6" s="378" t="str">
        <f>IF(AND('Mapa final'!$H$30="Muy Alta",'Mapa final'!$L$30="Menor"),CONCATENATE("R",'Mapa final'!$A$30),"")</f>
        <v/>
      </c>
      <c r="S6" s="378"/>
      <c r="T6" s="378" t="str">
        <f>IF(AND('Mapa final'!$H$33="Muy Alta",'Mapa final'!$L$33="Menor"),CONCATENATE("R",'Mapa final'!$A$33),"")</f>
        <v/>
      </c>
      <c r="U6" s="380"/>
      <c r="V6" s="377" t="str">
        <f>IF(AND('Mapa final'!$H$26="Muy Alta",'Mapa final'!$L$26="Moderado"),CONCATENATE("R",'Mapa final'!$A$26),"")</f>
        <v/>
      </c>
      <c r="W6" s="378"/>
      <c r="X6" s="378" t="str">
        <f>IF(AND('Mapa final'!$H$30="Muy Alta",'Mapa final'!$L$30="Moderado"),CONCATENATE("R",'Mapa final'!$A$30),"")</f>
        <v/>
      </c>
      <c r="Y6" s="378"/>
      <c r="Z6" s="378" t="str">
        <f>IF(AND('Mapa final'!$H$33="Muy Alta",'Mapa final'!$L$33="Moderado"),CONCATENATE("R",'Mapa final'!$A$33),"")</f>
        <v/>
      </c>
      <c r="AA6" s="380"/>
      <c r="AB6" s="377" t="str">
        <f>IF(AND('Mapa final'!$H$26="Muy Alta",'Mapa final'!$L$26="Mayor"),CONCATENATE("R",'Mapa final'!$A$26),"")</f>
        <v/>
      </c>
      <c r="AC6" s="378"/>
      <c r="AD6" s="378" t="str">
        <f>IF(AND('Mapa final'!$H$30="Muy Alta",'Mapa final'!$L$30="Mayor"),CONCATENATE("R",'Mapa final'!$A$30),"")</f>
        <v/>
      </c>
      <c r="AE6" s="378"/>
      <c r="AF6" s="378" t="str">
        <f>IF(AND('Mapa final'!$H$33="Muy Alta",'Mapa final'!$L$33="Mayor"),CONCATENATE("R",'Mapa final'!$A$33),"")</f>
        <v/>
      </c>
      <c r="AG6" s="380"/>
      <c r="AH6" s="392" t="str">
        <f>IF(AND('Mapa final'!$H$26="Muy Alta",'Mapa final'!$L$26="Catastrófico"),CONCATENATE("R",'Mapa final'!$A$26),"")</f>
        <v/>
      </c>
      <c r="AI6" s="393"/>
      <c r="AJ6" s="393" t="str">
        <f>IF(AND('Mapa final'!$H$30="Muy Alta",'Mapa final'!$L$30="Catastrófico"),CONCATENATE("R",'Mapa final'!$A$30),"")</f>
        <v/>
      </c>
      <c r="AK6" s="393"/>
      <c r="AL6" s="393" t="str">
        <f>IF(AND('Mapa final'!$H$33="Muy Alta",'Mapa final'!$L$33="Catastrófico"),CONCATENATE("R",'Mapa final'!$A$33),"")</f>
        <v/>
      </c>
      <c r="AM6" s="394"/>
      <c r="AO6" s="330" t="s">
        <v>93</v>
      </c>
      <c r="AP6" s="331"/>
      <c r="AQ6" s="331"/>
      <c r="AR6" s="331"/>
      <c r="AS6" s="331"/>
      <c r="AT6" s="332"/>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row>
    <row r="7" spans="1:99" ht="15" customHeight="1" x14ac:dyDescent="0.25">
      <c r="A7" s="79"/>
      <c r="B7" s="328"/>
      <c r="C7" s="328"/>
      <c r="D7" s="329"/>
      <c r="E7" s="369"/>
      <c r="F7" s="370"/>
      <c r="G7" s="370"/>
      <c r="H7" s="370"/>
      <c r="I7" s="371"/>
      <c r="J7" s="379"/>
      <c r="K7" s="375"/>
      <c r="L7" s="375"/>
      <c r="M7" s="375"/>
      <c r="N7" s="375"/>
      <c r="O7" s="376"/>
      <c r="P7" s="379"/>
      <c r="Q7" s="375"/>
      <c r="R7" s="375"/>
      <c r="S7" s="375"/>
      <c r="T7" s="375"/>
      <c r="U7" s="376"/>
      <c r="V7" s="379"/>
      <c r="W7" s="375"/>
      <c r="X7" s="375"/>
      <c r="Y7" s="375"/>
      <c r="Z7" s="375"/>
      <c r="AA7" s="376"/>
      <c r="AB7" s="379"/>
      <c r="AC7" s="375"/>
      <c r="AD7" s="375"/>
      <c r="AE7" s="375"/>
      <c r="AF7" s="375"/>
      <c r="AG7" s="376"/>
      <c r="AH7" s="386"/>
      <c r="AI7" s="387"/>
      <c r="AJ7" s="387"/>
      <c r="AK7" s="387"/>
      <c r="AL7" s="387"/>
      <c r="AM7" s="388"/>
      <c r="AN7" s="79"/>
      <c r="AO7" s="333"/>
      <c r="AP7" s="334"/>
      <c r="AQ7" s="334"/>
      <c r="AR7" s="334"/>
      <c r="AS7" s="334"/>
      <c r="AT7" s="335"/>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row>
    <row r="8" spans="1:99" ht="15" customHeight="1" x14ac:dyDescent="0.25">
      <c r="A8" s="79"/>
      <c r="B8" s="328"/>
      <c r="C8" s="328"/>
      <c r="D8" s="329"/>
      <c r="E8" s="369"/>
      <c r="F8" s="370"/>
      <c r="G8" s="370"/>
      <c r="H8" s="370"/>
      <c r="I8" s="371"/>
      <c r="J8" s="379" t="str">
        <f>IF(AND('Mapa final'!$H$37="Muy Alta",'Mapa final'!$L$37="Leve"),CONCATENATE("R",'Mapa final'!$A$37),"")</f>
        <v/>
      </c>
      <c r="K8" s="375"/>
      <c r="L8" s="375" t="e">
        <f>IF(AND('Mapa final'!#REF!="Muy Alta",'Mapa final'!#REF!="Leve"),CONCATENATE("R",'Mapa final'!#REF!),"")</f>
        <v>#REF!</v>
      </c>
      <c r="M8" s="375"/>
      <c r="N8" s="375" t="e">
        <f>IF(AND('Mapa final'!#REF!="Muy Alta",'Mapa final'!#REF!="Leve"),CONCATENATE("R",'Mapa final'!#REF!),"")</f>
        <v>#REF!</v>
      </c>
      <c r="O8" s="376"/>
      <c r="P8" s="379" t="str">
        <f>IF(AND('Mapa final'!$H$37="Muy Alta",'Mapa final'!$L$37="Menor"),CONCATENATE("R",'Mapa final'!$A$37),"")</f>
        <v/>
      </c>
      <c r="Q8" s="375"/>
      <c r="R8" s="375" t="e">
        <f>IF(AND('Mapa final'!#REF!="Muy Alta",'Mapa final'!#REF!="Menor"),CONCATENATE("R",'Mapa final'!#REF!),"")</f>
        <v>#REF!</v>
      </c>
      <c r="S8" s="375"/>
      <c r="T8" s="375" t="e">
        <f>IF(AND('Mapa final'!#REF!="Muy Alta",'Mapa final'!#REF!="Menor"),CONCATENATE("R",'Mapa final'!#REF!),"")</f>
        <v>#REF!</v>
      </c>
      <c r="U8" s="376"/>
      <c r="V8" s="379" t="str">
        <f>IF(AND('Mapa final'!$H$37="Muy Alta",'Mapa final'!$L$37="Moderado"),CONCATENATE("R",'Mapa final'!$A$37),"")</f>
        <v/>
      </c>
      <c r="W8" s="375"/>
      <c r="X8" s="375" t="e">
        <f>IF(AND('Mapa final'!#REF!="Muy Alta",'Mapa final'!#REF!="Moderado"),CONCATENATE("R",'Mapa final'!#REF!),"")</f>
        <v>#REF!</v>
      </c>
      <c r="Y8" s="375"/>
      <c r="Z8" s="375" t="e">
        <f>IF(AND('Mapa final'!#REF!="Muy Alta",'Mapa final'!#REF!="Moderado"),CONCATENATE("R",'Mapa final'!#REF!),"")</f>
        <v>#REF!</v>
      </c>
      <c r="AA8" s="376"/>
      <c r="AB8" s="379" t="str">
        <f>IF(AND('Mapa final'!$H$37="Muy Alta",'Mapa final'!$L$37="Mayor"),CONCATENATE("R",'Mapa final'!$A$37),"")</f>
        <v/>
      </c>
      <c r="AC8" s="375"/>
      <c r="AD8" s="375" t="e">
        <f>IF(AND('Mapa final'!#REF!="Muy Alta",'Mapa final'!#REF!="Mayor"),CONCATENATE("R",'Mapa final'!#REF!),"")</f>
        <v>#REF!</v>
      </c>
      <c r="AE8" s="375"/>
      <c r="AF8" s="375" t="e">
        <f>IF(AND('Mapa final'!#REF!="Muy Alta",'Mapa final'!#REF!="Mayor"),CONCATENATE("R",'Mapa final'!#REF!),"")</f>
        <v>#REF!</v>
      </c>
      <c r="AG8" s="376"/>
      <c r="AH8" s="386" t="str">
        <f>IF(AND('Mapa final'!$H$37="Muy Alta",'Mapa final'!$L$37="Catastrófico"),CONCATENATE("R",'Mapa final'!$A$37),"")</f>
        <v/>
      </c>
      <c r="AI8" s="387"/>
      <c r="AJ8" s="387" t="e">
        <f>IF(AND('Mapa final'!#REF!="Muy Alta",'Mapa final'!#REF!="Catastrófico"),CONCATENATE("R",'Mapa final'!#REF!),"")</f>
        <v>#REF!</v>
      </c>
      <c r="AK8" s="387"/>
      <c r="AL8" s="387" t="e">
        <f>IF(AND('Mapa final'!#REF!="Muy Alta",'Mapa final'!#REF!="Catastrófico"),CONCATENATE("R",'Mapa final'!#REF!),"")</f>
        <v>#REF!</v>
      </c>
      <c r="AM8" s="388"/>
      <c r="AN8" s="79"/>
      <c r="AO8" s="333"/>
      <c r="AP8" s="334"/>
      <c r="AQ8" s="334"/>
      <c r="AR8" s="334"/>
      <c r="AS8" s="334"/>
      <c r="AT8" s="335"/>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row>
    <row r="9" spans="1:99" ht="15" customHeight="1" x14ac:dyDescent="0.25">
      <c r="A9" s="79"/>
      <c r="B9" s="328"/>
      <c r="C9" s="328"/>
      <c r="D9" s="329"/>
      <c r="E9" s="369"/>
      <c r="F9" s="370"/>
      <c r="G9" s="370"/>
      <c r="H9" s="370"/>
      <c r="I9" s="371"/>
      <c r="J9" s="379"/>
      <c r="K9" s="375"/>
      <c r="L9" s="375"/>
      <c r="M9" s="375"/>
      <c r="N9" s="375"/>
      <c r="O9" s="376"/>
      <c r="P9" s="379"/>
      <c r="Q9" s="375"/>
      <c r="R9" s="375"/>
      <c r="S9" s="375"/>
      <c r="T9" s="375"/>
      <c r="U9" s="376"/>
      <c r="V9" s="379"/>
      <c r="W9" s="375"/>
      <c r="X9" s="375"/>
      <c r="Y9" s="375"/>
      <c r="Z9" s="375"/>
      <c r="AA9" s="376"/>
      <c r="AB9" s="379"/>
      <c r="AC9" s="375"/>
      <c r="AD9" s="375"/>
      <c r="AE9" s="375"/>
      <c r="AF9" s="375"/>
      <c r="AG9" s="376"/>
      <c r="AH9" s="386"/>
      <c r="AI9" s="387"/>
      <c r="AJ9" s="387"/>
      <c r="AK9" s="387"/>
      <c r="AL9" s="387"/>
      <c r="AM9" s="388"/>
      <c r="AN9" s="79"/>
      <c r="AO9" s="333"/>
      <c r="AP9" s="334"/>
      <c r="AQ9" s="334"/>
      <c r="AR9" s="334"/>
      <c r="AS9" s="334"/>
      <c r="AT9" s="335"/>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row>
    <row r="10" spans="1:99" ht="15" customHeight="1" x14ac:dyDescent="0.25">
      <c r="A10" s="79"/>
      <c r="B10" s="328"/>
      <c r="C10" s="328"/>
      <c r="D10" s="329"/>
      <c r="E10" s="369"/>
      <c r="F10" s="370"/>
      <c r="G10" s="370"/>
      <c r="H10" s="370"/>
      <c r="I10" s="371"/>
      <c r="J10" s="379" t="e">
        <f>IF(AND('Mapa final'!#REF!="Muy Alta",'Mapa final'!#REF!="Leve"),CONCATENATE("R",'Mapa final'!#REF!),"")</f>
        <v>#REF!</v>
      </c>
      <c r="K10" s="375"/>
      <c r="L10" s="375" t="str">
        <f>IF(AND('Mapa final'!$H$41="Muy Alta",'Mapa final'!$L$41="Leve"),CONCATENATE("R",'Mapa final'!$A$41),"")</f>
        <v/>
      </c>
      <c r="M10" s="375"/>
      <c r="N10" s="375" t="str">
        <f>IF(AND('Mapa final'!$H$47="Muy Alta",'Mapa final'!$L$47="Leve"),CONCATENATE("R",'Mapa final'!$A$47),"")</f>
        <v/>
      </c>
      <c r="O10" s="376"/>
      <c r="P10" s="379" t="e">
        <f>IF(AND('Mapa final'!#REF!="Muy Alta",'Mapa final'!#REF!="Menor"),CONCATENATE("R",'Mapa final'!#REF!),"")</f>
        <v>#REF!</v>
      </c>
      <c r="Q10" s="375"/>
      <c r="R10" s="375" t="str">
        <f>IF(AND('Mapa final'!$H$41="Muy Alta",'Mapa final'!$L$41="Menor"),CONCATENATE("R",'Mapa final'!$A$41),"")</f>
        <v/>
      </c>
      <c r="S10" s="375"/>
      <c r="T10" s="375" t="str">
        <f>IF(AND('Mapa final'!$H$47="Muy Alta",'Mapa final'!$L$47="Menor"),CONCATENATE("R",'Mapa final'!$A$47),"")</f>
        <v/>
      </c>
      <c r="U10" s="376"/>
      <c r="V10" s="379" t="e">
        <f>IF(AND('Mapa final'!#REF!="Muy Alta",'Mapa final'!#REF!="Moderado"),CONCATENATE("R",'Mapa final'!#REF!),"")</f>
        <v>#REF!</v>
      </c>
      <c r="W10" s="375"/>
      <c r="X10" s="375" t="str">
        <f>IF(AND('Mapa final'!$H$41="Muy Alta",'Mapa final'!$L$41="Moderado"),CONCATENATE("R",'Mapa final'!$A$41),"")</f>
        <v/>
      </c>
      <c r="Y10" s="375"/>
      <c r="Z10" s="375" t="str">
        <f>IF(AND('Mapa final'!$H$47="Muy Alta",'Mapa final'!$L$47="Moderado"),CONCATENATE("R",'Mapa final'!$A$47),"")</f>
        <v/>
      </c>
      <c r="AA10" s="376"/>
      <c r="AB10" s="379" t="e">
        <f>IF(AND('Mapa final'!#REF!="Muy Alta",'Mapa final'!#REF!="Mayor"),CONCATENATE("R",'Mapa final'!#REF!),"")</f>
        <v>#REF!</v>
      </c>
      <c r="AC10" s="375"/>
      <c r="AD10" s="375" t="str">
        <f>IF(AND('Mapa final'!$H$41="Muy Alta",'Mapa final'!$L$41="Mayor"),CONCATENATE("R",'Mapa final'!$A$41),"")</f>
        <v/>
      </c>
      <c r="AE10" s="375"/>
      <c r="AF10" s="375" t="str">
        <f>IF(AND('Mapa final'!$H$47="Muy Alta",'Mapa final'!$L$47="Mayor"),CONCATENATE("R",'Mapa final'!$A$47),"")</f>
        <v/>
      </c>
      <c r="AG10" s="376"/>
      <c r="AH10" s="386" t="e">
        <f>IF(AND('Mapa final'!#REF!="Muy Alta",'Mapa final'!#REF!="Catastrófico"),CONCATENATE("R",'Mapa final'!#REF!),"")</f>
        <v>#REF!</v>
      </c>
      <c r="AI10" s="387"/>
      <c r="AJ10" s="387" t="str">
        <f>IF(AND('Mapa final'!$H$41="Muy Alta",'Mapa final'!$L$41="Catastrófico"),CONCATENATE("R",'Mapa final'!$A$41),"")</f>
        <v/>
      </c>
      <c r="AK10" s="387"/>
      <c r="AL10" s="387" t="str">
        <f>IF(AND('Mapa final'!$H$47="Muy Alta",'Mapa final'!$L$47="Catastrófico"),CONCATENATE("R",'Mapa final'!$A$47),"")</f>
        <v/>
      </c>
      <c r="AM10" s="388"/>
      <c r="AN10" s="79"/>
      <c r="AO10" s="333"/>
      <c r="AP10" s="334"/>
      <c r="AQ10" s="334"/>
      <c r="AR10" s="334"/>
      <c r="AS10" s="334"/>
      <c r="AT10" s="335"/>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row>
    <row r="11" spans="1:99" ht="15" customHeight="1" x14ac:dyDescent="0.25">
      <c r="A11" s="79"/>
      <c r="B11" s="328"/>
      <c r="C11" s="328"/>
      <c r="D11" s="329"/>
      <c r="E11" s="369"/>
      <c r="F11" s="370"/>
      <c r="G11" s="370"/>
      <c r="H11" s="370"/>
      <c r="I11" s="371"/>
      <c r="J11" s="379"/>
      <c r="K11" s="375"/>
      <c r="L11" s="375"/>
      <c r="M11" s="375"/>
      <c r="N11" s="375"/>
      <c r="O11" s="376"/>
      <c r="P11" s="379"/>
      <c r="Q11" s="375"/>
      <c r="R11" s="375"/>
      <c r="S11" s="375"/>
      <c r="T11" s="375"/>
      <c r="U11" s="376"/>
      <c r="V11" s="379"/>
      <c r="W11" s="375"/>
      <c r="X11" s="375"/>
      <c r="Y11" s="375"/>
      <c r="Z11" s="375"/>
      <c r="AA11" s="376"/>
      <c r="AB11" s="379"/>
      <c r="AC11" s="375"/>
      <c r="AD11" s="375"/>
      <c r="AE11" s="375"/>
      <c r="AF11" s="375"/>
      <c r="AG11" s="376"/>
      <c r="AH11" s="386"/>
      <c r="AI11" s="387"/>
      <c r="AJ11" s="387"/>
      <c r="AK11" s="387"/>
      <c r="AL11" s="387"/>
      <c r="AM11" s="388"/>
      <c r="AN11" s="79"/>
      <c r="AO11" s="333"/>
      <c r="AP11" s="334"/>
      <c r="AQ11" s="334"/>
      <c r="AR11" s="334"/>
      <c r="AS11" s="334"/>
      <c r="AT11" s="335"/>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row>
    <row r="12" spans="1:99" ht="15" customHeight="1" x14ac:dyDescent="0.25">
      <c r="A12" s="79"/>
      <c r="B12" s="328"/>
      <c r="C12" s="328"/>
      <c r="D12" s="329"/>
      <c r="E12" s="369"/>
      <c r="F12" s="370"/>
      <c r="G12" s="370"/>
      <c r="H12" s="370"/>
      <c r="I12" s="371"/>
      <c r="J12" s="379" t="str">
        <f>IF(AND('Mapa final'!$H$53="Muy Alta",'Mapa final'!$L$53="Leve"),CONCATENATE("R",'Mapa final'!$A$53),"")</f>
        <v/>
      </c>
      <c r="K12" s="375"/>
      <c r="L12" s="375" t="str">
        <f>IF(AND('Mapa final'!$H$59="Muy Alta",'Mapa final'!$L$59="Leve"),CONCATENATE("R",'Mapa final'!$A$59),"")</f>
        <v/>
      </c>
      <c r="M12" s="375"/>
      <c r="N12" s="375" t="str">
        <f>IF(AND('Mapa final'!$H$65="Muy Alta",'Mapa final'!$L$65="Leve"),CONCATENATE("R",'Mapa final'!$A$65),"")</f>
        <v/>
      </c>
      <c r="O12" s="376"/>
      <c r="P12" s="379" t="str">
        <f>IF(AND('Mapa final'!$H$53="Muy Alta",'Mapa final'!$L$53="Menor"),CONCATENATE("R",'Mapa final'!$A$53),"")</f>
        <v/>
      </c>
      <c r="Q12" s="375"/>
      <c r="R12" s="375" t="str">
        <f>IF(AND('Mapa final'!$H$59="Muy Alta",'Mapa final'!$L$59="Menor"),CONCATENATE("R",'Mapa final'!$A$59),"")</f>
        <v/>
      </c>
      <c r="S12" s="375"/>
      <c r="T12" s="375" t="str">
        <f>IF(AND('Mapa final'!$H$65="Muy Alta",'Mapa final'!$L$65="Menor"),CONCATENATE("R",'Mapa final'!$A$65),"")</f>
        <v/>
      </c>
      <c r="U12" s="376"/>
      <c r="V12" s="379" t="str">
        <f>IF(AND('Mapa final'!$H$53="Muy Alta",'Mapa final'!$L$53="Moderado"),CONCATENATE("R",'Mapa final'!$A$53),"")</f>
        <v/>
      </c>
      <c r="W12" s="375"/>
      <c r="X12" s="375" t="str">
        <f>IF(AND('Mapa final'!$H$59="Muy Alta",'Mapa final'!$L$59="Moderado"),CONCATENATE("R",'Mapa final'!$A$59),"")</f>
        <v/>
      </c>
      <c r="Y12" s="375"/>
      <c r="Z12" s="375" t="str">
        <f>IF(AND('Mapa final'!$H$65="Muy Alta",'Mapa final'!$L$65="Moderado"),CONCATENATE("R",'Mapa final'!$A$65),"")</f>
        <v/>
      </c>
      <c r="AA12" s="376"/>
      <c r="AB12" s="379" t="str">
        <f>IF(AND('Mapa final'!$H$53="Muy Alta",'Mapa final'!$L$53="Mayor"),CONCATENATE("R",'Mapa final'!$A$53),"")</f>
        <v/>
      </c>
      <c r="AC12" s="375"/>
      <c r="AD12" s="375" t="str">
        <f>IF(AND('Mapa final'!$H$59="Muy Alta",'Mapa final'!$L$59="Mayor"),CONCATENATE("R",'Mapa final'!$A$59),"")</f>
        <v/>
      </c>
      <c r="AE12" s="375"/>
      <c r="AF12" s="375" t="str">
        <f>IF(AND('Mapa final'!$H$65="Muy Alta",'Mapa final'!$L$65="Mayor"),CONCATENATE("R",'Mapa final'!$A$65),"")</f>
        <v/>
      </c>
      <c r="AG12" s="376"/>
      <c r="AH12" s="386" t="str">
        <f>IF(AND('Mapa final'!$H$53="Muy Alta",'Mapa final'!$L$53="Catastrófico"),CONCATENATE("R",'Mapa final'!$A$53),"")</f>
        <v/>
      </c>
      <c r="AI12" s="387"/>
      <c r="AJ12" s="387" t="str">
        <f>IF(AND('Mapa final'!$H$59="Muy Alta",'Mapa final'!$L$59="Catastrófico"),CONCATENATE("R",'Mapa final'!$A$59),"")</f>
        <v/>
      </c>
      <c r="AK12" s="387"/>
      <c r="AL12" s="387" t="str">
        <f>IF(AND('Mapa final'!$H$65="Muy Alta",'Mapa final'!$L$65="Catastrófico"),CONCATENATE("R",'Mapa final'!$A$65),"")</f>
        <v/>
      </c>
      <c r="AM12" s="388"/>
      <c r="AN12" s="79"/>
      <c r="AO12" s="333"/>
      <c r="AP12" s="334"/>
      <c r="AQ12" s="334"/>
      <c r="AR12" s="334"/>
      <c r="AS12" s="334"/>
      <c r="AT12" s="335"/>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row>
    <row r="13" spans="1:99" ht="15.75" customHeight="1" thickBot="1" x14ac:dyDescent="0.3">
      <c r="A13" s="79"/>
      <c r="B13" s="328"/>
      <c r="C13" s="328"/>
      <c r="D13" s="329"/>
      <c r="E13" s="372"/>
      <c r="F13" s="373"/>
      <c r="G13" s="373"/>
      <c r="H13" s="373"/>
      <c r="I13" s="374"/>
      <c r="J13" s="379"/>
      <c r="K13" s="375"/>
      <c r="L13" s="375"/>
      <c r="M13" s="375"/>
      <c r="N13" s="375"/>
      <c r="O13" s="376"/>
      <c r="P13" s="379"/>
      <c r="Q13" s="375"/>
      <c r="R13" s="375"/>
      <c r="S13" s="375"/>
      <c r="T13" s="375"/>
      <c r="U13" s="376"/>
      <c r="V13" s="379"/>
      <c r="W13" s="375"/>
      <c r="X13" s="375"/>
      <c r="Y13" s="375"/>
      <c r="Z13" s="375"/>
      <c r="AA13" s="376"/>
      <c r="AB13" s="379"/>
      <c r="AC13" s="375"/>
      <c r="AD13" s="375"/>
      <c r="AE13" s="375"/>
      <c r="AF13" s="375"/>
      <c r="AG13" s="376"/>
      <c r="AH13" s="389"/>
      <c r="AI13" s="390"/>
      <c r="AJ13" s="390"/>
      <c r="AK13" s="390"/>
      <c r="AL13" s="390"/>
      <c r="AM13" s="391"/>
      <c r="AN13" s="79"/>
      <c r="AO13" s="336"/>
      <c r="AP13" s="337"/>
      <c r="AQ13" s="337"/>
      <c r="AR13" s="337"/>
      <c r="AS13" s="337"/>
      <c r="AT13" s="338"/>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row>
    <row r="14" spans="1:99" ht="15" customHeight="1" x14ac:dyDescent="0.25">
      <c r="A14" s="79"/>
      <c r="B14" s="328"/>
      <c r="C14" s="328"/>
      <c r="D14" s="329"/>
      <c r="E14" s="366" t="s">
        <v>94</v>
      </c>
      <c r="F14" s="367"/>
      <c r="G14" s="367"/>
      <c r="H14" s="367"/>
      <c r="I14" s="367"/>
      <c r="J14" s="401" t="str">
        <f>IF(AND('Mapa final'!$H$26="Alta",'Mapa final'!$L$26="Leve"),CONCATENATE("R",'Mapa final'!$A$26),"")</f>
        <v/>
      </c>
      <c r="K14" s="402"/>
      <c r="L14" s="402" t="str">
        <f>IF(AND('Mapa final'!$H$30="Alta",'Mapa final'!$L$30="Leve"),CONCATENATE("R",'Mapa final'!$A$30),"")</f>
        <v/>
      </c>
      <c r="M14" s="402"/>
      <c r="N14" s="402" t="str">
        <f>IF(AND('Mapa final'!$H$33="Alta",'Mapa final'!$L$33="Leve"),CONCATENATE("R",'Mapa final'!$A$33),"")</f>
        <v/>
      </c>
      <c r="O14" s="403"/>
      <c r="P14" s="401" t="str">
        <f>IF(AND('Mapa final'!$H$26="Alta",'Mapa final'!$L$26="Menor"),CONCATENATE("R",'Mapa final'!$A$26),"")</f>
        <v/>
      </c>
      <c r="Q14" s="402"/>
      <c r="R14" s="402" t="str">
        <f>IF(AND('Mapa final'!$H$30="Alta",'Mapa final'!$L$30="Menor"),CONCATENATE("R",'Mapa final'!$A$30),"")</f>
        <v/>
      </c>
      <c r="S14" s="402"/>
      <c r="T14" s="402" t="str">
        <f>IF(AND('Mapa final'!$H$33="Alta",'Mapa final'!$L$33="Menor"),CONCATENATE("R",'Mapa final'!$A$33),"")</f>
        <v/>
      </c>
      <c r="U14" s="403"/>
      <c r="V14" s="377" t="str">
        <f>IF(AND('Mapa final'!$H$26="Alta",'Mapa final'!$L$26="Moderado"),CONCATENATE("R",'Mapa final'!$A$26),"")</f>
        <v>R1</v>
      </c>
      <c r="W14" s="378"/>
      <c r="X14" s="378" t="str">
        <f>IF(AND('Mapa final'!$H$30="Alta",'Mapa final'!$L$30="Moderado"),CONCATENATE("R",'Mapa final'!$A$30),"")</f>
        <v/>
      </c>
      <c r="Y14" s="378"/>
      <c r="Z14" s="378" t="str">
        <f>IF(AND('Mapa final'!$H$33="Alta",'Mapa final'!$L$33="Moderado"),CONCATENATE("R",'Mapa final'!$A$33),"")</f>
        <v/>
      </c>
      <c r="AA14" s="380"/>
      <c r="AB14" s="377" t="str">
        <f>IF(AND('Mapa final'!$H$26="Alta",'Mapa final'!$L$26="Mayor"),CONCATENATE("R",'Mapa final'!$A$26),"")</f>
        <v/>
      </c>
      <c r="AC14" s="378"/>
      <c r="AD14" s="378" t="str">
        <f>IF(AND('Mapa final'!$H$30="Alta",'Mapa final'!$L$30="Mayor"),CONCATENATE("R",'Mapa final'!$A$30),"")</f>
        <v/>
      </c>
      <c r="AE14" s="378"/>
      <c r="AF14" s="378" t="str">
        <f>IF(AND('Mapa final'!$H$33="Alta",'Mapa final'!$L$33="Mayor"),CONCATENATE("R",'Mapa final'!$A$33),"")</f>
        <v/>
      </c>
      <c r="AG14" s="380"/>
      <c r="AH14" s="392" t="str">
        <f>IF(AND('Mapa final'!$H$26="Alta",'Mapa final'!$L$26="Catastrófico"),CONCATENATE("R",'Mapa final'!$A$26),"")</f>
        <v/>
      </c>
      <c r="AI14" s="393"/>
      <c r="AJ14" s="393" t="str">
        <f>IF(AND('Mapa final'!$H$30="Alta",'Mapa final'!$L$30="Catastrófico"),CONCATENATE("R",'Mapa final'!$A$30),"")</f>
        <v/>
      </c>
      <c r="AK14" s="393"/>
      <c r="AL14" s="393" t="str">
        <f>IF(AND('Mapa final'!$H$33="Alta",'Mapa final'!$L$33="Catastrófico"),CONCATENATE("R",'Mapa final'!$A$33),"")</f>
        <v/>
      </c>
      <c r="AM14" s="394"/>
      <c r="AN14" s="79"/>
      <c r="AO14" s="339" t="s">
        <v>95</v>
      </c>
      <c r="AP14" s="340"/>
      <c r="AQ14" s="340"/>
      <c r="AR14" s="340"/>
      <c r="AS14" s="340"/>
      <c r="AT14" s="341"/>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row>
    <row r="15" spans="1:99" ht="15" customHeight="1" x14ac:dyDescent="0.25">
      <c r="A15" s="79"/>
      <c r="B15" s="328"/>
      <c r="C15" s="328"/>
      <c r="D15" s="329"/>
      <c r="E15" s="369"/>
      <c r="F15" s="370"/>
      <c r="G15" s="370"/>
      <c r="H15" s="370"/>
      <c r="I15" s="370"/>
      <c r="J15" s="395"/>
      <c r="K15" s="396"/>
      <c r="L15" s="396"/>
      <c r="M15" s="396"/>
      <c r="N15" s="396"/>
      <c r="O15" s="397"/>
      <c r="P15" s="395"/>
      <c r="Q15" s="396"/>
      <c r="R15" s="396"/>
      <c r="S15" s="396"/>
      <c r="T15" s="396"/>
      <c r="U15" s="397"/>
      <c r="V15" s="379"/>
      <c r="W15" s="375"/>
      <c r="X15" s="375"/>
      <c r="Y15" s="375"/>
      <c r="Z15" s="375"/>
      <c r="AA15" s="376"/>
      <c r="AB15" s="379"/>
      <c r="AC15" s="375"/>
      <c r="AD15" s="375"/>
      <c r="AE15" s="375"/>
      <c r="AF15" s="375"/>
      <c r="AG15" s="376"/>
      <c r="AH15" s="386"/>
      <c r="AI15" s="387"/>
      <c r="AJ15" s="387"/>
      <c r="AK15" s="387"/>
      <c r="AL15" s="387"/>
      <c r="AM15" s="388"/>
      <c r="AN15" s="79"/>
      <c r="AO15" s="342"/>
      <c r="AP15" s="343"/>
      <c r="AQ15" s="343"/>
      <c r="AR15" s="343"/>
      <c r="AS15" s="343"/>
      <c r="AT15" s="344"/>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row>
    <row r="16" spans="1:99" ht="15" customHeight="1" x14ac:dyDescent="0.25">
      <c r="A16" s="79"/>
      <c r="B16" s="328"/>
      <c r="C16" s="328"/>
      <c r="D16" s="329"/>
      <c r="E16" s="369"/>
      <c r="F16" s="370"/>
      <c r="G16" s="370"/>
      <c r="H16" s="370"/>
      <c r="I16" s="370"/>
      <c r="J16" s="395" t="str">
        <f>IF(AND('Mapa final'!$H$37="Alta",'Mapa final'!$L$37="Leve"),CONCATENATE("R",'Mapa final'!$A$37),"")</f>
        <v/>
      </c>
      <c r="K16" s="396"/>
      <c r="L16" s="396" t="e">
        <f>IF(AND('Mapa final'!#REF!="Alta",'Mapa final'!#REF!="Leve"),CONCATENATE("R",'Mapa final'!#REF!),"")</f>
        <v>#REF!</v>
      </c>
      <c r="M16" s="396"/>
      <c r="N16" s="396" t="e">
        <f>IF(AND('Mapa final'!#REF!="Alta",'Mapa final'!#REF!="Leve"),CONCATENATE("R",'Mapa final'!#REF!),"")</f>
        <v>#REF!</v>
      </c>
      <c r="O16" s="397"/>
      <c r="P16" s="395" t="str">
        <f>IF(AND('Mapa final'!$H$37="Alta",'Mapa final'!$L$37="Menor"),CONCATENATE("R",'Mapa final'!$A$37),"")</f>
        <v/>
      </c>
      <c r="Q16" s="396"/>
      <c r="R16" s="396" t="e">
        <f>IF(AND('Mapa final'!#REF!="Alta",'Mapa final'!#REF!="Menor"),CONCATENATE("R",'Mapa final'!#REF!),"")</f>
        <v>#REF!</v>
      </c>
      <c r="S16" s="396"/>
      <c r="T16" s="396" t="e">
        <f>IF(AND('Mapa final'!#REF!="Alta",'Mapa final'!#REF!="Menor"),CONCATENATE("R",'Mapa final'!#REF!),"")</f>
        <v>#REF!</v>
      </c>
      <c r="U16" s="397"/>
      <c r="V16" s="379" t="str">
        <f>IF(AND('Mapa final'!$H$37="Alta",'Mapa final'!$L$37="Moderado"),CONCATENATE("R",'Mapa final'!$A$37),"")</f>
        <v/>
      </c>
      <c r="W16" s="375"/>
      <c r="X16" s="375" t="e">
        <f>IF(AND('Mapa final'!#REF!="Alta",'Mapa final'!#REF!="Moderado"),CONCATENATE("R",'Mapa final'!#REF!),"")</f>
        <v>#REF!</v>
      </c>
      <c r="Y16" s="375"/>
      <c r="Z16" s="375" t="e">
        <f>IF(AND('Mapa final'!#REF!="Alta",'Mapa final'!#REF!="Moderado"),CONCATENATE("R",'Mapa final'!#REF!),"")</f>
        <v>#REF!</v>
      </c>
      <c r="AA16" s="376"/>
      <c r="AB16" s="379" t="str">
        <f>IF(AND('Mapa final'!$H$37="Alta",'Mapa final'!$L$37="Mayor"),CONCATENATE("R",'Mapa final'!$A$37),"")</f>
        <v/>
      </c>
      <c r="AC16" s="375"/>
      <c r="AD16" s="375" t="e">
        <f>IF(AND('Mapa final'!#REF!="Alta",'Mapa final'!#REF!="Mayor"),CONCATENATE("R",'Mapa final'!#REF!),"")</f>
        <v>#REF!</v>
      </c>
      <c r="AE16" s="375"/>
      <c r="AF16" s="375" t="e">
        <f>IF(AND('Mapa final'!#REF!="Alta",'Mapa final'!#REF!="Mayor"),CONCATENATE("R",'Mapa final'!#REF!),"")</f>
        <v>#REF!</v>
      </c>
      <c r="AG16" s="376"/>
      <c r="AH16" s="386" t="str">
        <f>IF(AND('Mapa final'!$H$37="Alta",'Mapa final'!$L$37="Catastrófico"),CONCATENATE("R",'Mapa final'!$A$37),"")</f>
        <v/>
      </c>
      <c r="AI16" s="387"/>
      <c r="AJ16" s="387" t="e">
        <f>IF(AND('Mapa final'!#REF!="Alta",'Mapa final'!#REF!="Catastrófico"),CONCATENATE("R",'Mapa final'!#REF!),"")</f>
        <v>#REF!</v>
      </c>
      <c r="AK16" s="387"/>
      <c r="AL16" s="387" t="e">
        <f>IF(AND('Mapa final'!#REF!="Alta",'Mapa final'!#REF!="Catastrófico"),CONCATENATE("R",'Mapa final'!#REF!),"")</f>
        <v>#REF!</v>
      </c>
      <c r="AM16" s="388"/>
      <c r="AN16" s="79"/>
      <c r="AO16" s="342"/>
      <c r="AP16" s="343"/>
      <c r="AQ16" s="343"/>
      <c r="AR16" s="343"/>
      <c r="AS16" s="343"/>
      <c r="AT16" s="344"/>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row>
    <row r="17" spans="1:80" ht="15" customHeight="1" x14ac:dyDescent="0.25">
      <c r="A17" s="79"/>
      <c r="B17" s="328"/>
      <c r="C17" s="328"/>
      <c r="D17" s="329"/>
      <c r="E17" s="369"/>
      <c r="F17" s="370"/>
      <c r="G17" s="370"/>
      <c r="H17" s="370"/>
      <c r="I17" s="370"/>
      <c r="J17" s="395"/>
      <c r="K17" s="396"/>
      <c r="L17" s="396"/>
      <c r="M17" s="396"/>
      <c r="N17" s="396"/>
      <c r="O17" s="397"/>
      <c r="P17" s="395"/>
      <c r="Q17" s="396"/>
      <c r="R17" s="396"/>
      <c r="S17" s="396"/>
      <c r="T17" s="396"/>
      <c r="U17" s="397"/>
      <c r="V17" s="379"/>
      <c r="W17" s="375"/>
      <c r="X17" s="375"/>
      <c r="Y17" s="375"/>
      <c r="Z17" s="375"/>
      <c r="AA17" s="376"/>
      <c r="AB17" s="379"/>
      <c r="AC17" s="375"/>
      <c r="AD17" s="375"/>
      <c r="AE17" s="375"/>
      <c r="AF17" s="375"/>
      <c r="AG17" s="376"/>
      <c r="AH17" s="386"/>
      <c r="AI17" s="387"/>
      <c r="AJ17" s="387"/>
      <c r="AK17" s="387"/>
      <c r="AL17" s="387"/>
      <c r="AM17" s="388"/>
      <c r="AN17" s="79"/>
      <c r="AO17" s="342"/>
      <c r="AP17" s="343"/>
      <c r="AQ17" s="343"/>
      <c r="AR17" s="343"/>
      <c r="AS17" s="343"/>
      <c r="AT17" s="344"/>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row>
    <row r="18" spans="1:80" ht="15" customHeight="1" x14ac:dyDescent="0.25">
      <c r="A18" s="79"/>
      <c r="B18" s="328"/>
      <c r="C18" s="328"/>
      <c r="D18" s="329"/>
      <c r="E18" s="369"/>
      <c r="F18" s="370"/>
      <c r="G18" s="370"/>
      <c r="H18" s="370"/>
      <c r="I18" s="370"/>
      <c r="J18" s="395" t="e">
        <f>IF(AND('Mapa final'!#REF!="Alta",'Mapa final'!#REF!="Leve"),CONCATENATE("R",'Mapa final'!#REF!),"")</f>
        <v>#REF!</v>
      </c>
      <c r="K18" s="396"/>
      <c r="L18" s="396" t="str">
        <f>IF(AND('Mapa final'!$H$41="Alta",'Mapa final'!$L$41="Leve"),CONCATENATE("R",'Mapa final'!$A$41),"")</f>
        <v/>
      </c>
      <c r="M18" s="396"/>
      <c r="N18" s="396" t="str">
        <f>IF(AND('Mapa final'!$H$47="Alta",'Mapa final'!$L$47="Leve"),CONCATENATE("R",'Mapa final'!$A$47),"")</f>
        <v/>
      </c>
      <c r="O18" s="397"/>
      <c r="P18" s="395" t="e">
        <f>IF(AND('Mapa final'!#REF!="Alta",'Mapa final'!#REF!="Menor"),CONCATENATE("R",'Mapa final'!#REF!),"")</f>
        <v>#REF!</v>
      </c>
      <c r="Q18" s="396"/>
      <c r="R18" s="396" t="str">
        <f>IF(AND('Mapa final'!$H$41="Alta",'Mapa final'!$L$41="Menor"),CONCATENATE("R",'Mapa final'!$A$41),"")</f>
        <v/>
      </c>
      <c r="S18" s="396"/>
      <c r="T18" s="396" t="str">
        <f>IF(AND('Mapa final'!$H$47="Alta",'Mapa final'!$L$47="Menor"),CONCATENATE("R",'Mapa final'!$A$47),"")</f>
        <v/>
      </c>
      <c r="U18" s="397"/>
      <c r="V18" s="379" t="e">
        <f>IF(AND('Mapa final'!#REF!="Alta",'Mapa final'!#REF!="Moderado"),CONCATENATE("R",'Mapa final'!#REF!),"")</f>
        <v>#REF!</v>
      </c>
      <c r="W18" s="375"/>
      <c r="X18" s="375" t="str">
        <f>IF(AND('Mapa final'!$H$41="Alta",'Mapa final'!$L$41="Moderado"),CONCATENATE("R",'Mapa final'!$A$41),"")</f>
        <v/>
      </c>
      <c r="Y18" s="375"/>
      <c r="Z18" s="375" t="str">
        <f>IF(AND('Mapa final'!$H$47="Alta",'Mapa final'!$L$47="Moderado"),CONCATENATE("R",'Mapa final'!$A$47),"")</f>
        <v/>
      </c>
      <c r="AA18" s="376"/>
      <c r="AB18" s="379" t="e">
        <f>IF(AND('Mapa final'!#REF!="Alta",'Mapa final'!#REF!="Mayor"),CONCATENATE("R",'Mapa final'!#REF!),"")</f>
        <v>#REF!</v>
      </c>
      <c r="AC18" s="375"/>
      <c r="AD18" s="375" t="str">
        <f>IF(AND('Mapa final'!$H$41="Alta",'Mapa final'!$L$41="Mayor"),CONCATENATE("R",'Mapa final'!$A$41),"")</f>
        <v/>
      </c>
      <c r="AE18" s="375"/>
      <c r="AF18" s="375" t="str">
        <f>IF(AND('Mapa final'!$H$47="Alta",'Mapa final'!$L$47="Mayor"),CONCATENATE("R",'Mapa final'!$A$47),"")</f>
        <v/>
      </c>
      <c r="AG18" s="376"/>
      <c r="AH18" s="386" t="e">
        <f>IF(AND('Mapa final'!#REF!="Alta",'Mapa final'!#REF!="Catastrófico"),CONCATENATE("R",'Mapa final'!#REF!),"")</f>
        <v>#REF!</v>
      </c>
      <c r="AI18" s="387"/>
      <c r="AJ18" s="387" t="str">
        <f>IF(AND('Mapa final'!$H$41="Alta",'Mapa final'!$L$41="Catastrófico"),CONCATENATE("R",'Mapa final'!$A$41),"")</f>
        <v/>
      </c>
      <c r="AK18" s="387"/>
      <c r="AL18" s="387" t="str">
        <f>IF(AND('Mapa final'!$H$47="Alta",'Mapa final'!$L$47="Catastrófico"),CONCATENATE("R",'Mapa final'!$A$47),"")</f>
        <v/>
      </c>
      <c r="AM18" s="388"/>
      <c r="AN18" s="79"/>
      <c r="AO18" s="342"/>
      <c r="AP18" s="343"/>
      <c r="AQ18" s="343"/>
      <c r="AR18" s="343"/>
      <c r="AS18" s="343"/>
      <c r="AT18" s="344"/>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row>
    <row r="19" spans="1:80" ht="15" customHeight="1" x14ac:dyDescent="0.25">
      <c r="A19" s="79"/>
      <c r="B19" s="328"/>
      <c r="C19" s="328"/>
      <c r="D19" s="329"/>
      <c r="E19" s="369"/>
      <c r="F19" s="370"/>
      <c r="G19" s="370"/>
      <c r="H19" s="370"/>
      <c r="I19" s="370"/>
      <c r="J19" s="395"/>
      <c r="K19" s="396"/>
      <c r="L19" s="396"/>
      <c r="M19" s="396"/>
      <c r="N19" s="396"/>
      <c r="O19" s="397"/>
      <c r="P19" s="395"/>
      <c r="Q19" s="396"/>
      <c r="R19" s="396"/>
      <c r="S19" s="396"/>
      <c r="T19" s="396"/>
      <c r="U19" s="397"/>
      <c r="V19" s="379"/>
      <c r="W19" s="375"/>
      <c r="X19" s="375"/>
      <c r="Y19" s="375"/>
      <c r="Z19" s="375"/>
      <c r="AA19" s="376"/>
      <c r="AB19" s="379"/>
      <c r="AC19" s="375"/>
      <c r="AD19" s="375"/>
      <c r="AE19" s="375"/>
      <c r="AF19" s="375"/>
      <c r="AG19" s="376"/>
      <c r="AH19" s="386"/>
      <c r="AI19" s="387"/>
      <c r="AJ19" s="387"/>
      <c r="AK19" s="387"/>
      <c r="AL19" s="387"/>
      <c r="AM19" s="388"/>
      <c r="AN19" s="79"/>
      <c r="AO19" s="342"/>
      <c r="AP19" s="343"/>
      <c r="AQ19" s="343"/>
      <c r="AR19" s="343"/>
      <c r="AS19" s="343"/>
      <c r="AT19" s="344"/>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row>
    <row r="20" spans="1:80" ht="15" customHeight="1" x14ac:dyDescent="0.25">
      <c r="A20" s="79"/>
      <c r="B20" s="328"/>
      <c r="C20" s="328"/>
      <c r="D20" s="329"/>
      <c r="E20" s="369"/>
      <c r="F20" s="370"/>
      <c r="G20" s="370"/>
      <c r="H20" s="370"/>
      <c r="I20" s="370"/>
      <c r="J20" s="395" t="str">
        <f>IF(AND('Mapa final'!$H$53="Alta",'Mapa final'!$L$53="Leve"),CONCATENATE("R",'Mapa final'!$A$53),"")</f>
        <v/>
      </c>
      <c r="K20" s="396"/>
      <c r="L20" s="396" t="str">
        <f>IF(AND('Mapa final'!$H$59="Alta",'Mapa final'!$L$59="Leve"),CONCATENATE("R",'Mapa final'!$A$59),"")</f>
        <v/>
      </c>
      <c r="M20" s="396"/>
      <c r="N20" s="396" t="str">
        <f>IF(AND('Mapa final'!$H$65="Alta",'Mapa final'!$L$65="Leve"),CONCATENATE("R",'Mapa final'!$A$65),"")</f>
        <v/>
      </c>
      <c r="O20" s="397"/>
      <c r="P20" s="395" t="str">
        <f>IF(AND('Mapa final'!$H$53="Alta",'Mapa final'!$L$53="Menor"),CONCATENATE("R",'Mapa final'!$A$53),"")</f>
        <v/>
      </c>
      <c r="Q20" s="396"/>
      <c r="R20" s="396" t="str">
        <f>IF(AND('Mapa final'!$H$59="Alta",'Mapa final'!$L$59="Menor"),CONCATENATE("R",'Mapa final'!$A$59),"")</f>
        <v/>
      </c>
      <c r="S20" s="396"/>
      <c r="T20" s="396" t="str">
        <f>IF(AND('Mapa final'!$H$65="Alta",'Mapa final'!$L$65="Menor"),CONCATENATE("R",'Mapa final'!$A$65),"")</f>
        <v/>
      </c>
      <c r="U20" s="397"/>
      <c r="V20" s="379" t="str">
        <f>IF(AND('Mapa final'!$H$53="Alta",'Mapa final'!$L$53="Moderado"),CONCATENATE("R",'Mapa final'!$A$53),"")</f>
        <v/>
      </c>
      <c r="W20" s="375"/>
      <c r="X20" s="375" t="str">
        <f>IF(AND('Mapa final'!$H$59="Alta",'Mapa final'!$L$59="Moderado"),CONCATENATE("R",'Mapa final'!$A$59),"")</f>
        <v/>
      </c>
      <c r="Y20" s="375"/>
      <c r="Z20" s="375" t="str">
        <f>IF(AND('Mapa final'!$H$65="Alta",'Mapa final'!$L$65="Moderado"),CONCATENATE("R",'Mapa final'!$A$65),"")</f>
        <v/>
      </c>
      <c r="AA20" s="376"/>
      <c r="AB20" s="379" t="str">
        <f>IF(AND('Mapa final'!$H$53="Alta",'Mapa final'!$L$53="Mayor"),CONCATENATE("R",'Mapa final'!$A$53),"")</f>
        <v/>
      </c>
      <c r="AC20" s="375"/>
      <c r="AD20" s="375" t="str">
        <f>IF(AND('Mapa final'!$H$59="Alta",'Mapa final'!$L$59="Mayor"),CONCATENATE("R",'Mapa final'!$A$59),"")</f>
        <v/>
      </c>
      <c r="AE20" s="375"/>
      <c r="AF20" s="375" t="str">
        <f>IF(AND('Mapa final'!$H$65="Alta",'Mapa final'!$L$65="Mayor"),CONCATENATE("R",'Mapa final'!$A$65),"")</f>
        <v/>
      </c>
      <c r="AG20" s="376"/>
      <c r="AH20" s="386" t="str">
        <f>IF(AND('Mapa final'!$H$53="Alta",'Mapa final'!$L$53="Catastrófico"),CONCATENATE("R",'Mapa final'!$A$53),"")</f>
        <v/>
      </c>
      <c r="AI20" s="387"/>
      <c r="AJ20" s="387" t="str">
        <f>IF(AND('Mapa final'!$H$59="Alta",'Mapa final'!$L$59="Catastrófico"),CONCATENATE("R",'Mapa final'!$A$59),"")</f>
        <v/>
      </c>
      <c r="AK20" s="387"/>
      <c r="AL20" s="387" t="str">
        <f>IF(AND('Mapa final'!$H$65="Alta",'Mapa final'!$L$65="Catastrófico"),CONCATENATE("R",'Mapa final'!$A$65),"")</f>
        <v/>
      </c>
      <c r="AM20" s="388"/>
      <c r="AN20" s="79"/>
      <c r="AO20" s="342"/>
      <c r="AP20" s="343"/>
      <c r="AQ20" s="343"/>
      <c r="AR20" s="343"/>
      <c r="AS20" s="343"/>
      <c r="AT20" s="344"/>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row>
    <row r="21" spans="1:80" ht="15.75" customHeight="1" thickBot="1" x14ac:dyDescent="0.3">
      <c r="A21" s="79"/>
      <c r="B21" s="328"/>
      <c r="C21" s="328"/>
      <c r="D21" s="329"/>
      <c r="E21" s="372"/>
      <c r="F21" s="373"/>
      <c r="G21" s="373"/>
      <c r="H21" s="373"/>
      <c r="I21" s="373"/>
      <c r="J21" s="398"/>
      <c r="K21" s="399"/>
      <c r="L21" s="399"/>
      <c r="M21" s="399"/>
      <c r="N21" s="399"/>
      <c r="O21" s="400"/>
      <c r="P21" s="398"/>
      <c r="Q21" s="399"/>
      <c r="R21" s="399"/>
      <c r="S21" s="399"/>
      <c r="T21" s="399"/>
      <c r="U21" s="400"/>
      <c r="V21" s="383"/>
      <c r="W21" s="384"/>
      <c r="X21" s="384"/>
      <c r="Y21" s="384"/>
      <c r="Z21" s="384"/>
      <c r="AA21" s="385"/>
      <c r="AB21" s="383"/>
      <c r="AC21" s="384"/>
      <c r="AD21" s="384"/>
      <c r="AE21" s="384"/>
      <c r="AF21" s="384"/>
      <c r="AG21" s="385"/>
      <c r="AH21" s="389"/>
      <c r="AI21" s="390"/>
      <c r="AJ21" s="390"/>
      <c r="AK21" s="390"/>
      <c r="AL21" s="390"/>
      <c r="AM21" s="391"/>
      <c r="AN21" s="79"/>
      <c r="AO21" s="345"/>
      <c r="AP21" s="346"/>
      <c r="AQ21" s="346"/>
      <c r="AR21" s="346"/>
      <c r="AS21" s="346"/>
      <c r="AT21" s="347"/>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row>
    <row r="22" spans="1:80" x14ac:dyDescent="0.25">
      <c r="A22" s="79"/>
      <c r="B22" s="328"/>
      <c r="C22" s="328"/>
      <c r="D22" s="329"/>
      <c r="E22" s="366" t="s">
        <v>96</v>
      </c>
      <c r="F22" s="367"/>
      <c r="G22" s="367"/>
      <c r="H22" s="367"/>
      <c r="I22" s="368"/>
      <c r="J22" s="401" t="str">
        <f>IF(AND('Mapa final'!$H$26="Media",'Mapa final'!$L$26="Leve"),CONCATENATE("R",'Mapa final'!$A$26),"")</f>
        <v/>
      </c>
      <c r="K22" s="402"/>
      <c r="L22" s="402" t="str">
        <f>IF(AND('Mapa final'!$H$30="Media",'Mapa final'!$L$30="Leve"),CONCATENATE("R",'Mapa final'!$A$30),"")</f>
        <v/>
      </c>
      <c r="M22" s="402"/>
      <c r="N22" s="402" t="str">
        <f>IF(AND('Mapa final'!$H$33="Media",'Mapa final'!$L$33="Leve"),CONCATENATE("R",'Mapa final'!$A$33),"")</f>
        <v/>
      </c>
      <c r="O22" s="403"/>
      <c r="P22" s="401" t="str">
        <f>IF(AND('Mapa final'!$H$26="Media",'Mapa final'!$L$26="Menor"),CONCATENATE("R",'Mapa final'!$A$26),"")</f>
        <v/>
      </c>
      <c r="Q22" s="402"/>
      <c r="R22" s="402" t="str">
        <f>IF(AND('Mapa final'!$H$30="Media",'Mapa final'!$L$30="Menor"),CONCATENATE("R",'Mapa final'!$A$30),"")</f>
        <v/>
      </c>
      <c r="S22" s="402"/>
      <c r="T22" s="402" t="str">
        <f>IF(AND('Mapa final'!$H$33="Media",'Mapa final'!$L$33="Menor"),CONCATENATE("R",'Mapa final'!$A$33),"")</f>
        <v/>
      </c>
      <c r="U22" s="403"/>
      <c r="V22" s="401" t="str">
        <f>IF(AND('Mapa final'!$H$26="Media",'Mapa final'!$L$26="Moderado"),CONCATENATE("R",'Mapa final'!$A$26),"")</f>
        <v/>
      </c>
      <c r="W22" s="402"/>
      <c r="X22" s="402" t="str">
        <f>IF(AND('Mapa final'!$H$30="Media",'Mapa final'!$L$30="Moderado"),CONCATENATE("R",'Mapa final'!$A$30),"")</f>
        <v/>
      </c>
      <c r="Y22" s="402"/>
      <c r="Z22" s="402" t="str">
        <f>IF(AND('Mapa final'!$H$33="Media",'Mapa final'!$L$33="Moderado"),CONCATENATE("R",'Mapa final'!$A$33),"")</f>
        <v>R3</v>
      </c>
      <c r="AA22" s="403"/>
      <c r="AB22" s="377" t="str">
        <f>IF(AND('Mapa final'!$H$26="Media",'Mapa final'!$L$26="Mayor"),CONCATENATE("R",'Mapa final'!$A$26),"")</f>
        <v/>
      </c>
      <c r="AC22" s="378"/>
      <c r="AD22" s="378" t="str">
        <f>IF(AND('Mapa final'!$H$30="Media",'Mapa final'!$L$30="Mayor"),CONCATENATE("R",'Mapa final'!$A$30),"")</f>
        <v/>
      </c>
      <c r="AE22" s="378"/>
      <c r="AF22" s="378" t="str">
        <f>IF(AND('Mapa final'!$H$33="Media",'Mapa final'!$L$33="Mayor"),CONCATENATE("R",'Mapa final'!$A$33),"")</f>
        <v/>
      </c>
      <c r="AG22" s="380"/>
      <c r="AH22" s="392" t="str">
        <f>IF(AND('Mapa final'!$H$26="Media",'Mapa final'!$L$26="Catastrófico"),CONCATENATE("R",'Mapa final'!$A$26),"")</f>
        <v/>
      </c>
      <c r="AI22" s="393"/>
      <c r="AJ22" s="393" t="str">
        <f>IF(AND('Mapa final'!$H$30="Media",'Mapa final'!$L$30="Catastrófico"),CONCATENATE("R",'Mapa final'!$A$30),"")</f>
        <v/>
      </c>
      <c r="AK22" s="393"/>
      <c r="AL22" s="393" t="str">
        <f>IF(AND('Mapa final'!$H$33="Media",'Mapa final'!$L$33="Catastrófico"),CONCATENATE("R",'Mapa final'!$A$33),"")</f>
        <v/>
      </c>
      <c r="AM22" s="394"/>
      <c r="AN22" s="79"/>
      <c r="AO22" s="348" t="s">
        <v>97</v>
      </c>
      <c r="AP22" s="349"/>
      <c r="AQ22" s="349"/>
      <c r="AR22" s="349"/>
      <c r="AS22" s="349"/>
      <c r="AT22" s="350"/>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row>
    <row r="23" spans="1:80" x14ac:dyDescent="0.25">
      <c r="A23" s="79"/>
      <c r="B23" s="328"/>
      <c r="C23" s="328"/>
      <c r="D23" s="329"/>
      <c r="E23" s="369"/>
      <c r="F23" s="370"/>
      <c r="G23" s="370"/>
      <c r="H23" s="370"/>
      <c r="I23" s="371"/>
      <c r="J23" s="395"/>
      <c r="K23" s="396"/>
      <c r="L23" s="396"/>
      <c r="M23" s="396"/>
      <c r="N23" s="396"/>
      <c r="O23" s="397"/>
      <c r="P23" s="395"/>
      <c r="Q23" s="396"/>
      <c r="R23" s="396"/>
      <c r="S23" s="396"/>
      <c r="T23" s="396"/>
      <c r="U23" s="397"/>
      <c r="V23" s="395"/>
      <c r="W23" s="396"/>
      <c r="X23" s="396"/>
      <c r="Y23" s="396"/>
      <c r="Z23" s="396"/>
      <c r="AA23" s="397"/>
      <c r="AB23" s="379"/>
      <c r="AC23" s="375"/>
      <c r="AD23" s="375"/>
      <c r="AE23" s="375"/>
      <c r="AF23" s="375"/>
      <c r="AG23" s="376"/>
      <c r="AH23" s="386"/>
      <c r="AI23" s="387"/>
      <c r="AJ23" s="387"/>
      <c r="AK23" s="387"/>
      <c r="AL23" s="387"/>
      <c r="AM23" s="388"/>
      <c r="AN23" s="79"/>
      <c r="AO23" s="351"/>
      <c r="AP23" s="352"/>
      <c r="AQ23" s="352"/>
      <c r="AR23" s="352"/>
      <c r="AS23" s="352"/>
      <c r="AT23" s="353"/>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row>
    <row r="24" spans="1:80" x14ac:dyDescent="0.25">
      <c r="A24" s="79"/>
      <c r="B24" s="328"/>
      <c r="C24" s="328"/>
      <c r="D24" s="329"/>
      <c r="E24" s="369"/>
      <c r="F24" s="370"/>
      <c r="G24" s="370"/>
      <c r="H24" s="370"/>
      <c r="I24" s="371"/>
      <c r="J24" s="395" t="str">
        <f>IF(AND('Mapa final'!$H$37="Media",'Mapa final'!$L$37="Leve"),CONCATENATE("R",'Mapa final'!$A$37),"")</f>
        <v/>
      </c>
      <c r="K24" s="396"/>
      <c r="L24" s="396" t="e">
        <f>IF(AND('Mapa final'!#REF!="Media",'Mapa final'!#REF!="Leve"),CONCATENATE("R",'Mapa final'!#REF!),"")</f>
        <v>#REF!</v>
      </c>
      <c r="M24" s="396"/>
      <c r="N24" s="396" t="e">
        <f>IF(AND('Mapa final'!#REF!="Media",'Mapa final'!#REF!="Leve"),CONCATENATE("R",'Mapa final'!#REF!),"")</f>
        <v>#REF!</v>
      </c>
      <c r="O24" s="397"/>
      <c r="P24" s="395" t="str">
        <f>IF(AND('Mapa final'!$H$37="Media",'Mapa final'!$L$37="Menor"),CONCATENATE("R",'Mapa final'!$A$37),"")</f>
        <v/>
      </c>
      <c r="Q24" s="396"/>
      <c r="R24" s="396" t="e">
        <f>IF(AND('Mapa final'!#REF!="Media",'Mapa final'!#REF!="Menor"),CONCATENATE("R",'Mapa final'!#REF!),"")</f>
        <v>#REF!</v>
      </c>
      <c r="S24" s="396"/>
      <c r="T24" s="396" t="e">
        <f>IF(AND('Mapa final'!#REF!="Media",'Mapa final'!#REF!="Menor"),CONCATENATE("R",'Mapa final'!#REF!),"")</f>
        <v>#REF!</v>
      </c>
      <c r="U24" s="397"/>
      <c r="V24" s="395" t="str">
        <f>IF(AND('Mapa final'!$H$37="Media",'Mapa final'!$L$37="Moderado"),CONCATENATE("R",'Mapa final'!$A$37),"")</f>
        <v>R4</v>
      </c>
      <c r="W24" s="396"/>
      <c r="X24" s="396" t="e">
        <f>IF(AND('Mapa final'!#REF!="Media",'Mapa final'!#REF!="Moderado"),CONCATENATE("R",'Mapa final'!#REF!),"")</f>
        <v>#REF!</v>
      </c>
      <c r="Y24" s="396"/>
      <c r="Z24" s="396" t="e">
        <f>IF(AND('Mapa final'!#REF!="Media",'Mapa final'!#REF!="Moderado"),CONCATENATE("R",'Mapa final'!#REF!),"")</f>
        <v>#REF!</v>
      </c>
      <c r="AA24" s="397"/>
      <c r="AB24" s="379" t="str">
        <f>IF(AND('Mapa final'!$H$37="Media",'Mapa final'!$L$37="Mayor"),CONCATENATE("R",'Mapa final'!$A$37),"")</f>
        <v/>
      </c>
      <c r="AC24" s="375"/>
      <c r="AD24" s="375" t="e">
        <f>IF(AND('Mapa final'!#REF!="Media",'Mapa final'!#REF!="Mayor"),CONCATENATE("R",'Mapa final'!#REF!),"")</f>
        <v>#REF!</v>
      </c>
      <c r="AE24" s="375"/>
      <c r="AF24" s="375" t="e">
        <f>IF(AND('Mapa final'!#REF!="Media",'Mapa final'!#REF!="Mayor"),CONCATENATE("R",'Mapa final'!#REF!),"")</f>
        <v>#REF!</v>
      </c>
      <c r="AG24" s="376"/>
      <c r="AH24" s="386" t="str">
        <f>IF(AND('Mapa final'!$H$37="Media",'Mapa final'!$L$37="Catastrófico"),CONCATENATE("R",'Mapa final'!$A$37),"")</f>
        <v/>
      </c>
      <c r="AI24" s="387"/>
      <c r="AJ24" s="387" t="e">
        <f>IF(AND('Mapa final'!#REF!="Media",'Mapa final'!#REF!="Catastrófico"),CONCATENATE("R",'Mapa final'!#REF!),"")</f>
        <v>#REF!</v>
      </c>
      <c r="AK24" s="387"/>
      <c r="AL24" s="387" t="e">
        <f>IF(AND('Mapa final'!#REF!="Media",'Mapa final'!#REF!="Catastrófico"),CONCATENATE("R",'Mapa final'!#REF!),"")</f>
        <v>#REF!</v>
      </c>
      <c r="AM24" s="388"/>
      <c r="AN24" s="79"/>
      <c r="AO24" s="351"/>
      <c r="AP24" s="352"/>
      <c r="AQ24" s="352"/>
      <c r="AR24" s="352"/>
      <c r="AS24" s="352"/>
      <c r="AT24" s="353"/>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row>
    <row r="25" spans="1:80" x14ac:dyDescent="0.25">
      <c r="A25" s="79"/>
      <c r="B25" s="328"/>
      <c r="C25" s="328"/>
      <c r="D25" s="329"/>
      <c r="E25" s="369"/>
      <c r="F25" s="370"/>
      <c r="G25" s="370"/>
      <c r="H25" s="370"/>
      <c r="I25" s="371"/>
      <c r="J25" s="395"/>
      <c r="K25" s="396"/>
      <c r="L25" s="396"/>
      <c r="M25" s="396"/>
      <c r="N25" s="396"/>
      <c r="O25" s="397"/>
      <c r="P25" s="395"/>
      <c r="Q25" s="396"/>
      <c r="R25" s="396"/>
      <c r="S25" s="396"/>
      <c r="T25" s="396"/>
      <c r="U25" s="397"/>
      <c r="V25" s="395"/>
      <c r="W25" s="396"/>
      <c r="X25" s="396"/>
      <c r="Y25" s="396"/>
      <c r="Z25" s="396"/>
      <c r="AA25" s="397"/>
      <c r="AB25" s="379"/>
      <c r="AC25" s="375"/>
      <c r="AD25" s="375"/>
      <c r="AE25" s="375"/>
      <c r="AF25" s="375"/>
      <c r="AG25" s="376"/>
      <c r="AH25" s="386"/>
      <c r="AI25" s="387"/>
      <c r="AJ25" s="387"/>
      <c r="AK25" s="387"/>
      <c r="AL25" s="387"/>
      <c r="AM25" s="388"/>
      <c r="AN25" s="79"/>
      <c r="AO25" s="351"/>
      <c r="AP25" s="352"/>
      <c r="AQ25" s="352"/>
      <c r="AR25" s="352"/>
      <c r="AS25" s="352"/>
      <c r="AT25" s="353"/>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row>
    <row r="26" spans="1:80" x14ac:dyDescent="0.25">
      <c r="A26" s="79"/>
      <c r="B26" s="328"/>
      <c r="C26" s="328"/>
      <c r="D26" s="329"/>
      <c r="E26" s="369"/>
      <c r="F26" s="370"/>
      <c r="G26" s="370"/>
      <c r="H26" s="370"/>
      <c r="I26" s="371"/>
      <c r="J26" s="395" t="e">
        <f>IF(AND('Mapa final'!#REF!="Media",'Mapa final'!#REF!="Leve"),CONCATENATE("R",'Mapa final'!#REF!),"")</f>
        <v>#REF!</v>
      </c>
      <c r="K26" s="396"/>
      <c r="L26" s="396" t="str">
        <f>IF(AND('Mapa final'!$H$41="Media",'Mapa final'!$L$41="Leve"),CONCATENATE("R",'Mapa final'!$A$41),"")</f>
        <v/>
      </c>
      <c r="M26" s="396"/>
      <c r="N26" s="396" t="str">
        <f>IF(AND('Mapa final'!$H$47="Media",'Mapa final'!$L$47="Leve"),CONCATENATE("R",'Mapa final'!$A$47),"")</f>
        <v/>
      </c>
      <c r="O26" s="397"/>
      <c r="P26" s="395" t="e">
        <f>IF(AND('Mapa final'!#REF!="Media",'Mapa final'!#REF!="Menor"),CONCATENATE("R",'Mapa final'!#REF!),"")</f>
        <v>#REF!</v>
      </c>
      <c r="Q26" s="396"/>
      <c r="R26" s="396" t="str">
        <f>IF(AND('Mapa final'!$H$41="Media",'Mapa final'!$L$41="Menor"),CONCATENATE("R",'Mapa final'!$A$41),"")</f>
        <v/>
      </c>
      <c r="S26" s="396"/>
      <c r="T26" s="396" t="str">
        <f>IF(AND('Mapa final'!$H$47="Media",'Mapa final'!$L$47="Menor"),CONCATENATE("R",'Mapa final'!$A$47),"")</f>
        <v/>
      </c>
      <c r="U26" s="397"/>
      <c r="V26" s="395" t="e">
        <f>IF(AND('Mapa final'!#REF!="Media",'Mapa final'!#REF!="Moderado"),CONCATENATE("R",'Mapa final'!#REF!),"")</f>
        <v>#REF!</v>
      </c>
      <c r="W26" s="396"/>
      <c r="X26" s="396" t="str">
        <f>IF(AND('Mapa final'!$H$41="Media",'Mapa final'!$L$41="Moderado"),CONCATENATE("R",'Mapa final'!$A$41),"")</f>
        <v/>
      </c>
      <c r="Y26" s="396"/>
      <c r="Z26" s="396" t="str">
        <f>IF(AND('Mapa final'!$H$47="Media",'Mapa final'!$L$47="Moderado"),CONCATENATE("R",'Mapa final'!$A$47),"")</f>
        <v/>
      </c>
      <c r="AA26" s="397"/>
      <c r="AB26" s="379" t="e">
        <f>IF(AND('Mapa final'!#REF!="Media",'Mapa final'!#REF!="Mayor"),CONCATENATE("R",'Mapa final'!#REF!),"")</f>
        <v>#REF!</v>
      </c>
      <c r="AC26" s="375"/>
      <c r="AD26" s="375" t="str">
        <f>IF(AND('Mapa final'!$H$41="Media",'Mapa final'!$L$41="Mayor"),CONCATENATE("R",'Mapa final'!$A$41),"")</f>
        <v/>
      </c>
      <c r="AE26" s="375"/>
      <c r="AF26" s="375" t="str">
        <f>IF(AND('Mapa final'!$H$47="Media",'Mapa final'!$L$47="Mayor"),CONCATENATE("R",'Mapa final'!$A$47),"")</f>
        <v/>
      </c>
      <c r="AG26" s="376"/>
      <c r="AH26" s="386" t="e">
        <f>IF(AND('Mapa final'!#REF!="Media",'Mapa final'!#REF!="Catastrófico"),CONCATENATE("R",'Mapa final'!#REF!),"")</f>
        <v>#REF!</v>
      </c>
      <c r="AI26" s="387"/>
      <c r="AJ26" s="387" t="str">
        <f>IF(AND('Mapa final'!$H$41="Media",'Mapa final'!$L$41="Catastrófico"),CONCATENATE("R",'Mapa final'!$A$41),"")</f>
        <v/>
      </c>
      <c r="AK26" s="387"/>
      <c r="AL26" s="387" t="str">
        <f>IF(AND('Mapa final'!$H$47="Media",'Mapa final'!$L$47="Catastrófico"),CONCATENATE("R",'Mapa final'!$A$47),"")</f>
        <v/>
      </c>
      <c r="AM26" s="388"/>
      <c r="AN26" s="79"/>
      <c r="AO26" s="351"/>
      <c r="AP26" s="352"/>
      <c r="AQ26" s="352"/>
      <c r="AR26" s="352"/>
      <c r="AS26" s="352"/>
      <c r="AT26" s="353"/>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row>
    <row r="27" spans="1:80" x14ac:dyDescent="0.25">
      <c r="A27" s="79"/>
      <c r="B27" s="328"/>
      <c r="C27" s="328"/>
      <c r="D27" s="329"/>
      <c r="E27" s="369"/>
      <c r="F27" s="370"/>
      <c r="G27" s="370"/>
      <c r="H27" s="370"/>
      <c r="I27" s="371"/>
      <c r="J27" s="395"/>
      <c r="K27" s="396"/>
      <c r="L27" s="396"/>
      <c r="M27" s="396"/>
      <c r="N27" s="396"/>
      <c r="O27" s="397"/>
      <c r="P27" s="395"/>
      <c r="Q27" s="396"/>
      <c r="R27" s="396"/>
      <c r="S27" s="396"/>
      <c r="T27" s="396"/>
      <c r="U27" s="397"/>
      <c r="V27" s="395"/>
      <c r="W27" s="396"/>
      <c r="X27" s="396"/>
      <c r="Y27" s="396"/>
      <c r="Z27" s="396"/>
      <c r="AA27" s="397"/>
      <c r="AB27" s="379"/>
      <c r="AC27" s="375"/>
      <c r="AD27" s="375"/>
      <c r="AE27" s="375"/>
      <c r="AF27" s="375"/>
      <c r="AG27" s="376"/>
      <c r="AH27" s="386"/>
      <c r="AI27" s="387"/>
      <c r="AJ27" s="387"/>
      <c r="AK27" s="387"/>
      <c r="AL27" s="387"/>
      <c r="AM27" s="388"/>
      <c r="AN27" s="79"/>
      <c r="AO27" s="351"/>
      <c r="AP27" s="352"/>
      <c r="AQ27" s="352"/>
      <c r="AR27" s="352"/>
      <c r="AS27" s="352"/>
      <c r="AT27" s="353"/>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row>
    <row r="28" spans="1:80" x14ac:dyDescent="0.25">
      <c r="A28" s="79"/>
      <c r="B28" s="328"/>
      <c r="C28" s="328"/>
      <c r="D28" s="329"/>
      <c r="E28" s="369"/>
      <c r="F28" s="370"/>
      <c r="G28" s="370"/>
      <c r="H28" s="370"/>
      <c r="I28" s="371"/>
      <c r="J28" s="395" t="str">
        <f>IF(AND('Mapa final'!$H$53="Media",'Mapa final'!$L$53="Leve"),CONCATENATE("R",'Mapa final'!$A$53),"")</f>
        <v/>
      </c>
      <c r="K28" s="396"/>
      <c r="L28" s="396" t="str">
        <f>IF(AND('Mapa final'!$H$59="Media",'Mapa final'!$L$59="Leve"),CONCATENATE("R",'Mapa final'!$A$59),"")</f>
        <v/>
      </c>
      <c r="M28" s="396"/>
      <c r="N28" s="396" t="str">
        <f>IF(AND('Mapa final'!$H$65="Media",'Mapa final'!$L$65="Leve"),CONCATENATE("R",'Mapa final'!$A$65),"")</f>
        <v/>
      </c>
      <c r="O28" s="397"/>
      <c r="P28" s="395" t="str">
        <f>IF(AND('Mapa final'!$H$53="Media",'Mapa final'!$L$53="Menor"),CONCATENATE("R",'Mapa final'!$A$53),"")</f>
        <v/>
      </c>
      <c r="Q28" s="396"/>
      <c r="R28" s="396" t="str">
        <f>IF(AND('Mapa final'!$H$59="Media",'Mapa final'!$L$59="Menor"),CONCATENATE("R",'Mapa final'!$A$59),"")</f>
        <v/>
      </c>
      <c r="S28" s="396"/>
      <c r="T28" s="396" t="str">
        <f>IF(AND('Mapa final'!$H$65="Media",'Mapa final'!$L$65="Menor"),CONCATENATE("R",'Mapa final'!$A$65),"")</f>
        <v/>
      </c>
      <c r="U28" s="397"/>
      <c r="V28" s="395" t="str">
        <f>IF(AND('Mapa final'!$H$53="Media",'Mapa final'!$L$53="Moderado"),CONCATENATE("R",'Mapa final'!$A$53),"")</f>
        <v/>
      </c>
      <c r="W28" s="396"/>
      <c r="X28" s="396" t="str">
        <f>IF(AND('Mapa final'!$H$59="Media",'Mapa final'!$L$59="Moderado"),CONCATENATE("R",'Mapa final'!$A$59),"")</f>
        <v/>
      </c>
      <c r="Y28" s="396"/>
      <c r="Z28" s="396" t="str">
        <f>IF(AND('Mapa final'!$H$65="Media",'Mapa final'!$L$65="Moderado"),CONCATENATE("R",'Mapa final'!$A$65),"")</f>
        <v/>
      </c>
      <c r="AA28" s="397"/>
      <c r="AB28" s="379" t="str">
        <f>IF(AND('Mapa final'!$H$53="Media",'Mapa final'!$L$53="Mayor"),CONCATENATE("R",'Mapa final'!$A$53),"")</f>
        <v/>
      </c>
      <c r="AC28" s="375"/>
      <c r="AD28" s="375" t="str">
        <f>IF(AND('Mapa final'!$H$59="Media",'Mapa final'!$L$59="Mayor"),CONCATENATE("R",'Mapa final'!$A$59),"")</f>
        <v/>
      </c>
      <c r="AE28" s="375"/>
      <c r="AF28" s="375" t="str">
        <f>IF(AND('Mapa final'!$H$65="Media",'Mapa final'!$L$65="Mayor"),CONCATENATE("R",'Mapa final'!$A$65),"")</f>
        <v/>
      </c>
      <c r="AG28" s="376"/>
      <c r="AH28" s="386" t="str">
        <f>IF(AND('Mapa final'!$H$53="Media",'Mapa final'!$L$53="Catastrófico"),CONCATENATE("R",'Mapa final'!$A$53),"")</f>
        <v/>
      </c>
      <c r="AI28" s="387"/>
      <c r="AJ28" s="387" t="str">
        <f>IF(AND('Mapa final'!$H$59="Media",'Mapa final'!$L$59="Catastrófico"),CONCATENATE("R",'Mapa final'!$A$59),"")</f>
        <v/>
      </c>
      <c r="AK28" s="387"/>
      <c r="AL28" s="387" t="str">
        <f>IF(AND('Mapa final'!$H$65="Media",'Mapa final'!$L$65="Catastrófico"),CONCATENATE("R",'Mapa final'!$A$65),"")</f>
        <v/>
      </c>
      <c r="AM28" s="388"/>
      <c r="AN28" s="79"/>
      <c r="AO28" s="351"/>
      <c r="AP28" s="352"/>
      <c r="AQ28" s="352"/>
      <c r="AR28" s="352"/>
      <c r="AS28" s="352"/>
      <c r="AT28" s="353"/>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row>
    <row r="29" spans="1:80" ht="15.75" thickBot="1" x14ac:dyDescent="0.3">
      <c r="A29" s="79"/>
      <c r="B29" s="328"/>
      <c r="C29" s="328"/>
      <c r="D29" s="329"/>
      <c r="E29" s="372"/>
      <c r="F29" s="373"/>
      <c r="G29" s="373"/>
      <c r="H29" s="373"/>
      <c r="I29" s="374"/>
      <c r="J29" s="395"/>
      <c r="K29" s="396"/>
      <c r="L29" s="396"/>
      <c r="M29" s="396"/>
      <c r="N29" s="396"/>
      <c r="O29" s="397"/>
      <c r="P29" s="398"/>
      <c r="Q29" s="399"/>
      <c r="R29" s="399"/>
      <c r="S29" s="399"/>
      <c r="T29" s="399"/>
      <c r="U29" s="400"/>
      <c r="V29" s="398"/>
      <c r="W29" s="399"/>
      <c r="X29" s="399"/>
      <c r="Y29" s="399"/>
      <c r="Z29" s="399"/>
      <c r="AA29" s="400"/>
      <c r="AB29" s="383"/>
      <c r="AC29" s="384"/>
      <c r="AD29" s="384"/>
      <c r="AE29" s="384"/>
      <c r="AF29" s="384"/>
      <c r="AG29" s="385"/>
      <c r="AH29" s="389"/>
      <c r="AI29" s="390"/>
      <c r="AJ29" s="390"/>
      <c r="AK29" s="390"/>
      <c r="AL29" s="390"/>
      <c r="AM29" s="391"/>
      <c r="AN29" s="79"/>
      <c r="AO29" s="354"/>
      <c r="AP29" s="355"/>
      <c r="AQ29" s="355"/>
      <c r="AR29" s="355"/>
      <c r="AS29" s="355"/>
      <c r="AT29" s="356"/>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row>
    <row r="30" spans="1:80" x14ac:dyDescent="0.25">
      <c r="A30" s="79"/>
      <c r="B30" s="328"/>
      <c r="C30" s="328"/>
      <c r="D30" s="329"/>
      <c r="E30" s="366" t="s">
        <v>98</v>
      </c>
      <c r="F30" s="367"/>
      <c r="G30" s="367"/>
      <c r="H30" s="367"/>
      <c r="I30" s="367"/>
      <c r="J30" s="410" t="str">
        <f>IF(AND('Mapa final'!$H$26="Baja",'Mapa final'!$L$26="Leve"),CONCATENATE("R",'Mapa final'!$A$26),"")</f>
        <v/>
      </c>
      <c r="K30" s="411"/>
      <c r="L30" s="411" t="str">
        <f>IF(AND('Mapa final'!$H$30="Baja",'Mapa final'!$L$30="Leve"),CONCATENATE("R",'Mapa final'!$A$30),"")</f>
        <v/>
      </c>
      <c r="M30" s="411"/>
      <c r="N30" s="411" t="str">
        <f>IF(AND('Mapa final'!$H$33="Baja",'Mapa final'!$L$33="Leve"),CONCATENATE("R",'Mapa final'!$A$33),"")</f>
        <v/>
      </c>
      <c r="O30" s="412"/>
      <c r="P30" s="402" t="str">
        <f>IF(AND('Mapa final'!$H$26="Baja",'Mapa final'!$L$26="Menor"),CONCATENATE("R",'Mapa final'!$A$26),"")</f>
        <v/>
      </c>
      <c r="Q30" s="402"/>
      <c r="R30" s="402" t="str">
        <f>IF(AND('Mapa final'!$H$30="Baja",'Mapa final'!$L$30="Menor"),CONCATENATE("R",'Mapa final'!$A$30),"")</f>
        <v/>
      </c>
      <c r="S30" s="402"/>
      <c r="T30" s="402" t="str">
        <f>IF(AND('Mapa final'!$H$33="Baja",'Mapa final'!$L$33="Menor"),CONCATENATE("R",'Mapa final'!$A$33),"")</f>
        <v/>
      </c>
      <c r="U30" s="403"/>
      <c r="V30" s="401" t="str">
        <f>IF(AND('Mapa final'!$H$26="Baja",'Mapa final'!$L$26="Moderado"),CONCATENATE("R",'Mapa final'!$A$26),"")</f>
        <v/>
      </c>
      <c r="W30" s="402"/>
      <c r="X30" s="402" t="str">
        <f>IF(AND('Mapa final'!$H$30="Baja",'Mapa final'!$L$30="Moderado"),CONCATENATE("R",'Mapa final'!$A$30),"")</f>
        <v/>
      </c>
      <c r="Y30" s="402"/>
      <c r="Z30" s="402" t="str">
        <f>IF(AND('Mapa final'!$H$33="Baja",'Mapa final'!$L$33="Moderado"),CONCATENATE("R",'Mapa final'!$A$33),"")</f>
        <v/>
      </c>
      <c r="AA30" s="403"/>
      <c r="AB30" s="377" t="str">
        <f>IF(AND('Mapa final'!$H$26="Baja",'Mapa final'!$L$26="Mayor"),CONCATENATE("R",'Mapa final'!$A$26),"")</f>
        <v/>
      </c>
      <c r="AC30" s="378"/>
      <c r="AD30" s="378" t="str">
        <f>IF(AND('Mapa final'!$H$30="Baja",'Mapa final'!$L$30="Mayor"),CONCATENATE("R",'Mapa final'!$A$30),"")</f>
        <v/>
      </c>
      <c r="AE30" s="378"/>
      <c r="AF30" s="378" t="str">
        <f>IF(AND('Mapa final'!$H$33="Baja",'Mapa final'!$L$33="Mayor"),CONCATENATE("R",'Mapa final'!$A$33),"")</f>
        <v/>
      </c>
      <c r="AG30" s="380"/>
      <c r="AH30" s="392" t="str">
        <f>IF(AND('Mapa final'!$H$26="Baja",'Mapa final'!$L$26="Catastrófico"),CONCATENATE("R",'Mapa final'!$A$26),"")</f>
        <v/>
      </c>
      <c r="AI30" s="393"/>
      <c r="AJ30" s="393" t="str">
        <f>IF(AND('Mapa final'!$H$30="Baja",'Mapa final'!$L$30="Catastrófico"),CONCATENATE("R",'Mapa final'!$A$30),"")</f>
        <v/>
      </c>
      <c r="AK30" s="393"/>
      <c r="AL30" s="393" t="str">
        <f>IF(AND('Mapa final'!$H$33="Baja",'Mapa final'!$L$33="Catastrófico"),CONCATENATE("R",'Mapa final'!$A$33),"")</f>
        <v/>
      </c>
      <c r="AM30" s="394"/>
      <c r="AN30" s="79"/>
      <c r="AO30" s="357" t="s">
        <v>99</v>
      </c>
      <c r="AP30" s="358"/>
      <c r="AQ30" s="358"/>
      <c r="AR30" s="358"/>
      <c r="AS30" s="358"/>
      <c r="AT30" s="35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row>
    <row r="31" spans="1:80" x14ac:dyDescent="0.25">
      <c r="A31" s="79"/>
      <c r="B31" s="328"/>
      <c r="C31" s="328"/>
      <c r="D31" s="329"/>
      <c r="E31" s="369"/>
      <c r="F31" s="370"/>
      <c r="G31" s="370"/>
      <c r="H31" s="370"/>
      <c r="I31" s="370"/>
      <c r="J31" s="406"/>
      <c r="K31" s="404"/>
      <c r="L31" s="404"/>
      <c r="M31" s="404"/>
      <c r="N31" s="404"/>
      <c r="O31" s="405"/>
      <c r="P31" s="396"/>
      <c r="Q31" s="396"/>
      <c r="R31" s="396"/>
      <c r="S31" s="396"/>
      <c r="T31" s="396"/>
      <c r="U31" s="397"/>
      <c r="V31" s="395"/>
      <c r="W31" s="396"/>
      <c r="X31" s="396"/>
      <c r="Y31" s="396"/>
      <c r="Z31" s="396"/>
      <c r="AA31" s="397"/>
      <c r="AB31" s="379"/>
      <c r="AC31" s="375"/>
      <c r="AD31" s="375"/>
      <c r="AE31" s="375"/>
      <c r="AF31" s="375"/>
      <c r="AG31" s="376"/>
      <c r="AH31" s="386"/>
      <c r="AI31" s="387"/>
      <c r="AJ31" s="387"/>
      <c r="AK31" s="387"/>
      <c r="AL31" s="387"/>
      <c r="AM31" s="388"/>
      <c r="AN31" s="79"/>
      <c r="AO31" s="360"/>
      <c r="AP31" s="361"/>
      <c r="AQ31" s="361"/>
      <c r="AR31" s="361"/>
      <c r="AS31" s="361"/>
      <c r="AT31" s="362"/>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row>
    <row r="32" spans="1:80" x14ac:dyDescent="0.25">
      <c r="A32" s="79"/>
      <c r="B32" s="328"/>
      <c r="C32" s="328"/>
      <c r="D32" s="329"/>
      <c r="E32" s="369"/>
      <c r="F32" s="370"/>
      <c r="G32" s="370"/>
      <c r="H32" s="370"/>
      <c r="I32" s="370"/>
      <c r="J32" s="406" t="str">
        <f>IF(AND('Mapa final'!$H$37="Baja",'Mapa final'!$L$37="Leve"),CONCATENATE("R",'Mapa final'!$A$37),"")</f>
        <v/>
      </c>
      <c r="K32" s="404"/>
      <c r="L32" s="404" t="e">
        <f>IF(AND('Mapa final'!#REF!="Baja",'Mapa final'!#REF!="Leve"),CONCATENATE("R",'Mapa final'!#REF!),"")</f>
        <v>#REF!</v>
      </c>
      <c r="M32" s="404"/>
      <c r="N32" s="404" t="e">
        <f>IF(AND('Mapa final'!#REF!="Baja",'Mapa final'!#REF!="Leve"),CONCATENATE("R",'Mapa final'!#REF!),"")</f>
        <v>#REF!</v>
      </c>
      <c r="O32" s="405"/>
      <c r="P32" s="396" t="str">
        <f>IF(AND('Mapa final'!$H$37="Baja",'Mapa final'!$L$37="Menor"),CONCATENATE("R",'Mapa final'!$A$37),"")</f>
        <v/>
      </c>
      <c r="Q32" s="396"/>
      <c r="R32" s="396" t="e">
        <f>IF(AND('Mapa final'!#REF!="Baja",'Mapa final'!#REF!="Menor"),CONCATENATE("R",'Mapa final'!#REF!),"")</f>
        <v>#REF!</v>
      </c>
      <c r="S32" s="396"/>
      <c r="T32" s="396" t="e">
        <f>IF(AND('Mapa final'!#REF!="Baja",'Mapa final'!#REF!="Menor"),CONCATENATE("R",'Mapa final'!#REF!),"")</f>
        <v>#REF!</v>
      </c>
      <c r="U32" s="397"/>
      <c r="V32" s="395" t="str">
        <f>IF(AND('Mapa final'!$H$37="Baja",'Mapa final'!$L$37="Moderado"),CONCATENATE("R",'Mapa final'!$A$37),"")</f>
        <v/>
      </c>
      <c r="W32" s="396"/>
      <c r="X32" s="396" t="e">
        <f>IF(AND('Mapa final'!#REF!="Baja",'Mapa final'!#REF!="Moderado"),CONCATENATE("R",'Mapa final'!#REF!),"")</f>
        <v>#REF!</v>
      </c>
      <c r="Y32" s="396"/>
      <c r="Z32" s="396" t="e">
        <f>IF(AND('Mapa final'!#REF!="Baja",'Mapa final'!#REF!="Moderado"),CONCATENATE("R",'Mapa final'!#REF!),"")</f>
        <v>#REF!</v>
      </c>
      <c r="AA32" s="397"/>
      <c r="AB32" s="379" t="str">
        <f>IF(AND('Mapa final'!$H$37="Baja",'Mapa final'!$L$37="Mayor"),CONCATENATE("R",'Mapa final'!$A$37),"")</f>
        <v/>
      </c>
      <c r="AC32" s="375"/>
      <c r="AD32" s="375" t="e">
        <f>IF(AND('Mapa final'!#REF!="Baja",'Mapa final'!#REF!="Mayor"),CONCATENATE("R",'Mapa final'!#REF!),"")</f>
        <v>#REF!</v>
      </c>
      <c r="AE32" s="375"/>
      <c r="AF32" s="375" t="e">
        <f>IF(AND('Mapa final'!#REF!="Baja",'Mapa final'!#REF!="Mayor"),CONCATENATE("R",'Mapa final'!#REF!),"")</f>
        <v>#REF!</v>
      </c>
      <c r="AG32" s="376"/>
      <c r="AH32" s="386" t="str">
        <f>IF(AND('Mapa final'!$H$37="Baja",'Mapa final'!$L$37="Catastrófico"),CONCATENATE("R",'Mapa final'!$A$37),"")</f>
        <v/>
      </c>
      <c r="AI32" s="387"/>
      <c r="AJ32" s="387" t="e">
        <f>IF(AND('Mapa final'!#REF!="Baja",'Mapa final'!#REF!="Catastrófico"),CONCATENATE("R",'Mapa final'!#REF!),"")</f>
        <v>#REF!</v>
      </c>
      <c r="AK32" s="387"/>
      <c r="AL32" s="387" t="e">
        <f>IF(AND('Mapa final'!#REF!="Baja",'Mapa final'!#REF!="Catastrófico"),CONCATENATE("R",'Mapa final'!#REF!),"")</f>
        <v>#REF!</v>
      </c>
      <c r="AM32" s="388"/>
      <c r="AN32" s="79"/>
      <c r="AO32" s="360"/>
      <c r="AP32" s="361"/>
      <c r="AQ32" s="361"/>
      <c r="AR32" s="361"/>
      <c r="AS32" s="361"/>
      <c r="AT32" s="362"/>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row>
    <row r="33" spans="1:80" x14ac:dyDescent="0.25">
      <c r="A33" s="79"/>
      <c r="B33" s="328"/>
      <c r="C33" s="328"/>
      <c r="D33" s="329"/>
      <c r="E33" s="369"/>
      <c r="F33" s="370"/>
      <c r="G33" s="370"/>
      <c r="H33" s="370"/>
      <c r="I33" s="370"/>
      <c r="J33" s="406"/>
      <c r="K33" s="404"/>
      <c r="L33" s="404"/>
      <c r="M33" s="404"/>
      <c r="N33" s="404"/>
      <c r="O33" s="405"/>
      <c r="P33" s="396"/>
      <c r="Q33" s="396"/>
      <c r="R33" s="396"/>
      <c r="S33" s="396"/>
      <c r="T33" s="396"/>
      <c r="U33" s="397"/>
      <c r="V33" s="395"/>
      <c r="W33" s="396"/>
      <c r="X33" s="396"/>
      <c r="Y33" s="396"/>
      <c r="Z33" s="396"/>
      <c r="AA33" s="397"/>
      <c r="AB33" s="379"/>
      <c r="AC33" s="375"/>
      <c r="AD33" s="375"/>
      <c r="AE33" s="375"/>
      <c r="AF33" s="375"/>
      <c r="AG33" s="376"/>
      <c r="AH33" s="386"/>
      <c r="AI33" s="387"/>
      <c r="AJ33" s="387"/>
      <c r="AK33" s="387"/>
      <c r="AL33" s="387"/>
      <c r="AM33" s="388"/>
      <c r="AN33" s="79"/>
      <c r="AO33" s="360"/>
      <c r="AP33" s="361"/>
      <c r="AQ33" s="361"/>
      <c r="AR33" s="361"/>
      <c r="AS33" s="361"/>
      <c r="AT33" s="362"/>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row>
    <row r="34" spans="1:80" x14ac:dyDescent="0.25">
      <c r="A34" s="79"/>
      <c r="B34" s="328"/>
      <c r="C34" s="328"/>
      <c r="D34" s="329"/>
      <c r="E34" s="369"/>
      <c r="F34" s="370"/>
      <c r="G34" s="370"/>
      <c r="H34" s="370"/>
      <c r="I34" s="370"/>
      <c r="J34" s="406" t="e">
        <f>IF(AND('Mapa final'!#REF!="Baja",'Mapa final'!#REF!="Leve"),CONCATENATE("R",'Mapa final'!#REF!),"")</f>
        <v>#REF!</v>
      </c>
      <c r="K34" s="404"/>
      <c r="L34" s="404" t="str">
        <f>IF(AND('Mapa final'!$H$41="Baja",'Mapa final'!$L$41="Leve"),CONCATENATE("R",'Mapa final'!$A$41),"")</f>
        <v/>
      </c>
      <c r="M34" s="404"/>
      <c r="N34" s="404" t="str">
        <f>IF(AND('Mapa final'!$H$47="Baja",'Mapa final'!$L$47="Leve"),CONCATENATE("R",'Mapa final'!$A$47),"")</f>
        <v/>
      </c>
      <c r="O34" s="405"/>
      <c r="P34" s="396" t="e">
        <f>IF(AND('Mapa final'!#REF!="Baja",'Mapa final'!#REF!="Menor"),CONCATENATE("R",'Mapa final'!#REF!),"")</f>
        <v>#REF!</v>
      </c>
      <c r="Q34" s="396"/>
      <c r="R34" s="396" t="str">
        <f>IF(AND('Mapa final'!$H$41="Baja",'Mapa final'!$L$41="Menor"),CONCATENATE("R",'Mapa final'!$A$41),"")</f>
        <v/>
      </c>
      <c r="S34" s="396"/>
      <c r="T34" s="396" t="str">
        <f>IF(AND('Mapa final'!$H$47="Baja",'Mapa final'!$L$47="Menor"),CONCATENATE("R",'Mapa final'!$A$47),"")</f>
        <v/>
      </c>
      <c r="U34" s="397"/>
      <c r="V34" s="395" t="e">
        <f>IF(AND('Mapa final'!#REF!="Baja",'Mapa final'!#REF!="Moderado"),CONCATENATE("R",'Mapa final'!#REF!),"")</f>
        <v>#REF!</v>
      </c>
      <c r="W34" s="396"/>
      <c r="X34" s="396" t="str">
        <f>IF(AND('Mapa final'!$H$41="Baja",'Mapa final'!$L$41="Moderado"),CONCATENATE("R",'Mapa final'!$A$41),"")</f>
        <v/>
      </c>
      <c r="Y34" s="396"/>
      <c r="Z34" s="396" t="str">
        <f>IF(AND('Mapa final'!$H$47="Baja",'Mapa final'!$L$47="Moderado"),CONCATENATE("R",'Mapa final'!$A$47),"")</f>
        <v/>
      </c>
      <c r="AA34" s="397"/>
      <c r="AB34" s="379" t="e">
        <f>IF(AND('Mapa final'!#REF!="Baja",'Mapa final'!#REF!="Mayor"),CONCATENATE("R",'Mapa final'!#REF!),"")</f>
        <v>#REF!</v>
      </c>
      <c r="AC34" s="375"/>
      <c r="AD34" s="375" t="str">
        <f>IF(AND('Mapa final'!$H$41="Baja",'Mapa final'!$L$41="Mayor"),CONCATENATE("R",'Mapa final'!$A$41),"")</f>
        <v/>
      </c>
      <c r="AE34" s="375"/>
      <c r="AF34" s="375" t="str">
        <f>IF(AND('Mapa final'!$H$47="Baja",'Mapa final'!$L$47="Mayor"),CONCATENATE("R",'Mapa final'!$A$47),"")</f>
        <v/>
      </c>
      <c r="AG34" s="376"/>
      <c r="AH34" s="386" t="e">
        <f>IF(AND('Mapa final'!#REF!="Baja",'Mapa final'!#REF!="Catastrófico"),CONCATENATE("R",'Mapa final'!#REF!),"")</f>
        <v>#REF!</v>
      </c>
      <c r="AI34" s="387"/>
      <c r="AJ34" s="387" t="str">
        <f>IF(AND('Mapa final'!$H$41="Baja",'Mapa final'!$L$41="Catastrófico"),CONCATENATE("R",'Mapa final'!$A$41),"")</f>
        <v/>
      </c>
      <c r="AK34" s="387"/>
      <c r="AL34" s="387" t="str">
        <f>IF(AND('Mapa final'!$H$47="Baja",'Mapa final'!$L$47="Catastrófico"),CONCATENATE("R",'Mapa final'!$A$47),"")</f>
        <v/>
      </c>
      <c r="AM34" s="388"/>
      <c r="AN34" s="79"/>
      <c r="AO34" s="360"/>
      <c r="AP34" s="361"/>
      <c r="AQ34" s="361"/>
      <c r="AR34" s="361"/>
      <c r="AS34" s="361"/>
      <c r="AT34" s="362"/>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row>
    <row r="35" spans="1:80" x14ac:dyDescent="0.25">
      <c r="A35" s="79"/>
      <c r="B35" s="328"/>
      <c r="C35" s="328"/>
      <c r="D35" s="329"/>
      <c r="E35" s="369"/>
      <c r="F35" s="370"/>
      <c r="G35" s="370"/>
      <c r="H35" s="370"/>
      <c r="I35" s="370"/>
      <c r="J35" s="406"/>
      <c r="K35" s="404"/>
      <c r="L35" s="404"/>
      <c r="M35" s="404"/>
      <c r="N35" s="404"/>
      <c r="O35" s="405"/>
      <c r="P35" s="396"/>
      <c r="Q35" s="396"/>
      <c r="R35" s="396"/>
      <c r="S35" s="396"/>
      <c r="T35" s="396"/>
      <c r="U35" s="397"/>
      <c r="V35" s="395"/>
      <c r="W35" s="396"/>
      <c r="X35" s="396"/>
      <c r="Y35" s="396"/>
      <c r="Z35" s="396"/>
      <c r="AA35" s="397"/>
      <c r="AB35" s="379"/>
      <c r="AC35" s="375"/>
      <c r="AD35" s="375"/>
      <c r="AE35" s="375"/>
      <c r="AF35" s="375"/>
      <c r="AG35" s="376"/>
      <c r="AH35" s="386"/>
      <c r="AI35" s="387"/>
      <c r="AJ35" s="387"/>
      <c r="AK35" s="387"/>
      <c r="AL35" s="387"/>
      <c r="AM35" s="388"/>
      <c r="AN35" s="79"/>
      <c r="AO35" s="360"/>
      <c r="AP35" s="361"/>
      <c r="AQ35" s="361"/>
      <c r="AR35" s="361"/>
      <c r="AS35" s="361"/>
      <c r="AT35" s="362"/>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row>
    <row r="36" spans="1:80" x14ac:dyDescent="0.25">
      <c r="A36" s="79"/>
      <c r="B36" s="328"/>
      <c r="C36" s="328"/>
      <c r="D36" s="329"/>
      <c r="E36" s="369"/>
      <c r="F36" s="370"/>
      <c r="G36" s="370"/>
      <c r="H36" s="370"/>
      <c r="I36" s="370"/>
      <c r="J36" s="406" t="str">
        <f>IF(AND('Mapa final'!$H$53="Baja",'Mapa final'!$L$53="Leve"),CONCATENATE("R",'Mapa final'!$A$53),"")</f>
        <v/>
      </c>
      <c r="K36" s="404"/>
      <c r="L36" s="404" t="str">
        <f>IF(AND('Mapa final'!$H$59="Baja",'Mapa final'!$L$59="Leve"),CONCATENATE("R",'Mapa final'!$A$59),"")</f>
        <v/>
      </c>
      <c r="M36" s="404"/>
      <c r="N36" s="404" t="str">
        <f>IF(AND('Mapa final'!$H$65="Baja",'Mapa final'!$L$65="Leve"),CONCATENATE("R",'Mapa final'!$A$65),"")</f>
        <v/>
      </c>
      <c r="O36" s="405"/>
      <c r="P36" s="396" t="str">
        <f>IF(AND('Mapa final'!$H$53="Baja",'Mapa final'!$L$53="Menor"),CONCATENATE("R",'Mapa final'!$A$53),"")</f>
        <v/>
      </c>
      <c r="Q36" s="396"/>
      <c r="R36" s="396" t="str">
        <f>IF(AND('Mapa final'!$H$59="Baja",'Mapa final'!$L$59="Menor"),CONCATENATE("R",'Mapa final'!$A$59),"")</f>
        <v/>
      </c>
      <c r="S36" s="396"/>
      <c r="T36" s="396" t="str">
        <f>IF(AND('Mapa final'!$H$65="Baja",'Mapa final'!$L$65="Menor"),CONCATENATE("R",'Mapa final'!$A$65),"")</f>
        <v/>
      </c>
      <c r="U36" s="397"/>
      <c r="V36" s="395" t="str">
        <f>IF(AND('Mapa final'!$H$53="Baja",'Mapa final'!$L$53="Moderado"),CONCATENATE("R",'Mapa final'!$A$53),"")</f>
        <v/>
      </c>
      <c r="W36" s="396"/>
      <c r="X36" s="396" t="str">
        <f>IF(AND('Mapa final'!$H$59="Baja",'Mapa final'!$L$59="Moderado"),CONCATENATE("R",'Mapa final'!$A$59),"")</f>
        <v/>
      </c>
      <c r="Y36" s="396"/>
      <c r="Z36" s="396" t="str">
        <f>IF(AND('Mapa final'!$H$65="Baja",'Mapa final'!$L$65="Moderado"),CONCATENATE("R",'Mapa final'!$A$65),"")</f>
        <v/>
      </c>
      <c r="AA36" s="397"/>
      <c r="AB36" s="379" t="str">
        <f>IF(AND('Mapa final'!$H$53="Baja",'Mapa final'!$L$53="Mayor"),CONCATENATE("R",'Mapa final'!$A$53),"")</f>
        <v/>
      </c>
      <c r="AC36" s="375"/>
      <c r="AD36" s="375" t="str">
        <f>IF(AND('Mapa final'!$H$59="Baja",'Mapa final'!$L$59="Mayor"),CONCATENATE("R",'Mapa final'!$A$59),"")</f>
        <v/>
      </c>
      <c r="AE36" s="375"/>
      <c r="AF36" s="375" t="str">
        <f>IF(AND('Mapa final'!$H$65="Baja",'Mapa final'!$L$65="Mayor"),CONCATENATE("R",'Mapa final'!$A$65),"")</f>
        <v/>
      </c>
      <c r="AG36" s="376"/>
      <c r="AH36" s="386" t="str">
        <f>IF(AND('Mapa final'!$H$53="Baja",'Mapa final'!$L$53="Catastrófico"),CONCATENATE("R",'Mapa final'!$A$53),"")</f>
        <v/>
      </c>
      <c r="AI36" s="387"/>
      <c r="AJ36" s="387" t="str">
        <f>IF(AND('Mapa final'!$H$59="Baja",'Mapa final'!$L$59="Catastrófico"),CONCATENATE("R",'Mapa final'!$A$59),"")</f>
        <v/>
      </c>
      <c r="AK36" s="387"/>
      <c r="AL36" s="387" t="str">
        <f>IF(AND('Mapa final'!$H$65="Baja",'Mapa final'!$L$65="Catastrófico"),CONCATENATE("R",'Mapa final'!$A$65),"")</f>
        <v/>
      </c>
      <c r="AM36" s="388"/>
      <c r="AN36" s="79"/>
      <c r="AO36" s="360"/>
      <c r="AP36" s="361"/>
      <c r="AQ36" s="361"/>
      <c r="AR36" s="361"/>
      <c r="AS36" s="361"/>
      <c r="AT36" s="362"/>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row>
    <row r="37" spans="1:80" ht="15.75" thickBot="1" x14ac:dyDescent="0.3">
      <c r="A37" s="79"/>
      <c r="B37" s="328"/>
      <c r="C37" s="328"/>
      <c r="D37" s="329"/>
      <c r="E37" s="372"/>
      <c r="F37" s="373"/>
      <c r="G37" s="373"/>
      <c r="H37" s="373"/>
      <c r="I37" s="373"/>
      <c r="J37" s="407"/>
      <c r="K37" s="408"/>
      <c r="L37" s="408"/>
      <c r="M37" s="408"/>
      <c r="N37" s="408"/>
      <c r="O37" s="409"/>
      <c r="P37" s="399"/>
      <c r="Q37" s="399"/>
      <c r="R37" s="399"/>
      <c r="S37" s="399"/>
      <c r="T37" s="399"/>
      <c r="U37" s="400"/>
      <c r="V37" s="398"/>
      <c r="W37" s="399"/>
      <c r="X37" s="399"/>
      <c r="Y37" s="399"/>
      <c r="Z37" s="399"/>
      <c r="AA37" s="400"/>
      <c r="AB37" s="383"/>
      <c r="AC37" s="384"/>
      <c r="AD37" s="384"/>
      <c r="AE37" s="384"/>
      <c r="AF37" s="384"/>
      <c r="AG37" s="385"/>
      <c r="AH37" s="389"/>
      <c r="AI37" s="390"/>
      <c r="AJ37" s="390"/>
      <c r="AK37" s="390"/>
      <c r="AL37" s="390"/>
      <c r="AM37" s="391"/>
      <c r="AN37" s="79"/>
      <c r="AO37" s="363"/>
      <c r="AP37" s="364"/>
      <c r="AQ37" s="364"/>
      <c r="AR37" s="364"/>
      <c r="AS37" s="364"/>
      <c r="AT37" s="365"/>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row>
    <row r="38" spans="1:80" x14ac:dyDescent="0.25">
      <c r="A38" s="79"/>
      <c r="B38" s="328"/>
      <c r="C38" s="328"/>
      <c r="D38" s="329"/>
      <c r="E38" s="366" t="s">
        <v>100</v>
      </c>
      <c r="F38" s="367"/>
      <c r="G38" s="367"/>
      <c r="H38" s="367"/>
      <c r="I38" s="368"/>
      <c r="J38" s="410" t="str">
        <f>IF(AND('Mapa final'!$H$26="Muy Baja",'Mapa final'!$L$26="Leve"),CONCATENATE("R",'Mapa final'!$A$26),"")</f>
        <v/>
      </c>
      <c r="K38" s="411"/>
      <c r="L38" s="411" t="str">
        <f>IF(AND('Mapa final'!$H$30="Muy Baja",'Mapa final'!$L$30="Leve"),CONCATENATE("R",'Mapa final'!$A$30),"")</f>
        <v/>
      </c>
      <c r="M38" s="411"/>
      <c r="N38" s="411" t="str">
        <f>IF(AND('Mapa final'!$H$33="Muy Baja",'Mapa final'!$L$33="Leve"),CONCATENATE("R",'Mapa final'!$A$33),"")</f>
        <v/>
      </c>
      <c r="O38" s="412"/>
      <c r="P38" s="410" t="str">
        <f>IF(AND('Mapa final'!$H$26="Muy Baja",'Mapa final'!$L$26="Menor"),CONCATENATE("R",'Mapa final'!$A$26),"")</f>
        <v/>
      </c>
      <c r="Q38" s="411"/>
      <c r="R38" s="411" t="str">
        <f>IF(AND('Mapa final'!$H$30="Muy Baja",'Mapa final'!$L$30="Menor"),CONCATENATE("R",'Mapa final'!$A$30),"")</f>
        <v/>
      </c>
      <c r="S38" s="411"/>
      <c r="T38" s="411" t="str">
        <f>IF(AND('Mapa final'!$H$33="Muy Baja",'Mapa final'!$L$33="Menor"),CONCATENATE("R",'Mapa final'!$A$33),"")</f>
        <v/>
      </c>
      <c r="U38" s="412"/>
      <c r="V38" s="401" t="str">
        <f>IF(AND('Mapa final'!$H$26="Muy Baja",'Mapa final'!$L$26="Moderado"),CONCATENATE("R",'Mapa final'!$A$26),"")</f>
        <v/>
      </c>
      <c r="W38" s="402"/>
      <c r="X38" s="402" t="str">
        <f>IF(AND('Mapa final'!$H$30="Muy Baja",'Mapa final'!$L$30="Moderado"),CONCATENATE("R",'Mapa final'!$A$30),"")</f>
        <v>R2</v>
      </c>
      <c r="Y38" s="402"/>
      <c r="Z38" s="402" t="str">
        <f>IF(AND('Mapa final'!$H$33="Muy Baja",'Mapa final'!$L$33="Moderado"),CONCATENATE("R",'Mapa final'!$A$33),"")</f>
        <v/>
      </c>
      <c r="AA38" s="403"/>
      <c r="AB38" s="377" t="str">
        <f>IF(AND('Mapa final'!$H$26="Muy Baja",'Mapa final'!$L$26="Mayor"),CONCATENATE("R",'Mapa final'!$A$26),"")</f>
        <v/>
      </c>
      <c r="AC38" s="378"/>
      <c r="AD38" s="378" t="str">
        <f>IF(AND('Mapa final'!$H$30="Muy Baja",'Mapa final'!$L$30="Mayor"),CONCATENATE("R",'Mapa final'!$A$30),"")</f>
        <v/>
      </c>
      <c r="AE38" s="378"/>
      <c r="AF38" s="378" t="str">
        <f>IF(AND('Mapa final'!$H$33="Muy Baja",'Mapa final'!$L$33="Mayor"),CONCATENATE("R",'Mapa final'!$A$33),"")</f>
        <v/>
      </c>
      <c r="AG38" s="380"/>
      <c r="AH38" s="392" t="str">
        <f>IF(AND('Mapa final'!$H$26="Muy Baja",'Mapa final'!$L$26="Catastrófico"),CONCATENATE("R",'Mapa final'!$A$26),"")</f>
        <v/>
      </c>
      <c r="AI38" s="393"/>
      <c r="AJ38" s="393" t="str">
        <f>IF(AND('Mapa final'!$H$30="Muy Baja",'Mapa final'!$L$30="Catastrófico"),CONCATENATE("R",'Mapa final'!$A$30),"")</f>
        <v/>
      </c>
      <c r="AK38" s="393"/>
      <c r="AL38" s="393" t="str">
        <f>IF(AND('Mapa final'!$H$33="Muy Baja",'Mapa final'!$L$33="Catastrófico"),CONCATENATE("R",'Mapa final'!$A$33),"")</f>
        <v/>
      </c>
      <c r="AM38" s="394"/>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row>
    <row r="39" spans="1:80" x14ac:dyDescent="0.25">
      <c r="A39" s="79"/>
      <c r="B39" s="328"/>
      <c r="C39" s="328"/>
      <c r="D39" s="329"/>
      <c r="E39" s="369"/>
      <c r="F39" s="370"/>
      <c r="G39" s="370"/>
      <c r="H39" s="370"/>
      <c r="I39" s="371"/>
      <c r="J39" s="406"/>
      <c r="K39" s="404"/>
      <c r="L39" s="404"/>
      <c r="M39" s="404"/>
      <c r="N39" s="404"/>
      <c r="O39" s="405"/>
      <c r="P39" s="406"/>
      <c r="Q39" s="404"/>
      <c r="R39" s="404"/>
      <c r="S39" s="404"/>
      <c r="T39" s="404"/>
      <c r="U39" s="405"/>
      <c r="V39" s="395"/>
      <c r="W39" s="396"/>
      <c r="X39" s="396"/>
      <c r="Y39" s="396"/>
      <c r="Z39" s="396"/>
      <c r="AA39" s="397"/>
      <c r="AB39" s="379"/>
      <c r="AC39" s="375"/>
      <c r="AD39" s="375"/>
      <c r="AE39" s="375"/>
      <c r="AF39" s="375"/>
      <c r="AG39" s="376"/>
      <c r="AH39" s="386"/>
      <c r="AI39" s="387"/>
      <c r="AJ39" s="387"/>
      <c r="AK39" s="387"/>
      <c r="AL39" s="387"/>
      <c r="AM39" s="388"/>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row>
    <row r="40" spans="1:80" x14ac:dyDescent="0.25">
      <c r="A40" s="79"/>
      <c r="B40" s="328"/>
      <c r="C40" s="328"/>
      <c r="D40" s="329"/>
      <c r="E40" s="369"/>
      <c r="F40" s="370"/>
      <c r="G40" s="370"/>
      <c r="H40" s="370"/>
      <c r="I40" s="371"/>
      <c r="J40" s="406" t="str">
        <f>IF(AND('Mapa final'!$H$37="Muy Baja",'Mapa final'!$L$37="Leve"),CONCATENATE("R",'Mapa final'!$A$37),"")</f>
        <v/>
      </c>
      <c r="K40" s="404"/>
      <c r="L40" s="404" t="e">
        <f>IF(AND('Mapa final'!#REF!="Muy Baja",'Mapa final'!#REF!="Leve"),CONCATENATE("R",'Mapa final'!#REF!),"")</f>
        <v>#REF!</v>
      </c>
      <c r="M40" s="404"/>
      <c r="N40" s="404" t="e">
        <f>IF(AND('Mapa final'!#REF!="Muy Baja",'Mapa final'!#REF!="Leve"),CONCATENATE("R",'Mapa final'!#REF!),"")</f>
        <v>#REF!</v>
      </c>
      <c r="O40" s="405"/>
      <c r="P40" s="406" t="str">
        <f>IF(AND('Mapa final'!$H$37="Muy Baja",'Mapa final'!$L$37="Menor"),CONCATENATE("R",'Mapa final'!$A$37),"")</f>
        <v/>
      </c>
      <c r="Q40" s="404"/>
      <c r="R40" s="404" t="e">
        <f>IF(AND('Mapa final'!#REF!="Muy Baja",'Mapa final'!#REF!="Menor"),CONCATENATE("R",'Mapa final'!#REF!),"")</f>
        <v>#REF!</v>
      </c>
      <c r="S40" s="404"/>
      <c r="T40" s="404" t="e">
        <f>IF(AND('Mapa final'!#REF!="Muy Baja",'Mapa final'!#REF!="Menor"),CONCATENATE("R",'Mapa final'!#REF!),"")</f>
        <v>#REF!</v>
      </c>
      <c r="U40" s="405"/>
      <c r="V40" s="395" t="str">
        <f>IF(AND('Mapa final'!$H$37="Muy Baja",'Mapa final'!$L$37="Moderado"),CONCATENATE("R",'Mapa final'!$A$37),"")</f>
        <v/>
      </c>
      <c r="W40" s="396"/>
      <c r="X40" s="396" t="e">
        <f>IF(AND('Mapa final'!#REF!="Muy Baja",'Mapa final'!#REF!="Moderado"),CONCATENATE("R",'Mapa final'!#REF!),"")</f>
        <v>#REF!</v>
      </c>
      <c r="Y40" s="396"/>
      <c r="Z40" s="396" t="e">
        <f>IF(AND('Mapa final'!#REF!="Muy Baja",'Mapa final'!#REF!="Moderado"),CONCATENATE("R",'Mapa final'!#REF!),"")</f>
        <v>#REF!</v>
      </c>
      <c r="AA40" s="397"/>
      <c r="AB40" s="379" t="str">
        <f>IF(AND('Mapa final'!$H$37="Muy Baja",'Mapa final'!$L$37="Mayor"),CONCATENATE("R",'Mapa final'!$A$37),"")</f>
        <v/>
      </c>
      <c r="AC40" s="375"/>
      <c r="AD40" s="375" t="e">
        <f>IF(AND('Mapa final'!#REF!="Muy Baja",'Mapa final'!#REF!="Mayor"),CONCATENATE("R",'Mapa final'!#REF!),"")</f>
        <v>#REF!</v>
      </c>
      <c r="AE40" s="375"/>
      <c r="AF40" s="375" t="e">
        <f>IF(AND('Mapa final'!#REF!="Muy Baja",'Mapa final'!#REF!="Mayor"),CONCATENATE("R",'Mapa final'!#REF!),"")</f>
        <v>#REF!</v>
      </c>
      <c r="AG40" s="376"/>
      <c r="AH40" s="386" t="str">
        <f>IF(AND('Mapa final'!$H$37="Muy Baja",'Mapa final'!$L$37="Catastrófico"),CONCATENATE("R",'Mapa final'!$A$37),"")</f>
        <v/>
      </c>
      <c r="AI40" s="387"/>
      <c r="AJ40" s="387" t="e">
        <f>IF(AND('Mapa final'!#REF!="Muy Baja",'Mapa final'!#REF!="Catastrófico"),CONCATENATE("R",'Mapa final'!#REF!),"")</f>
        <v>#REF!</v>
      </c>
      <c r="AK40" s="387"/>
      <c r="AL40" s="387" t="e">
        <f>IF(AND('Mapa final'!#REF!="Muy Baja",'Mapa final'!#REF!="Catastrófico"),CONCATENATE("R",'Mapa final'!#REF!),"")</f>
        <v>#REF!</v>
      </c>
      <c r="AM40" s="388"/>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row>
    <row r="41" spans="1:80" x14ac:dyDescent="0.25">
      <c r="A41" s="79"/>
      <c r="B41" s="328"/>
      <c r="C41" s="328"/>
      <c r="D41" s="329"/>
      <c r="E41" s="369"/>
      <c r="F41" s="370"/>
      <c r="G41" s="370"/>
      <c r="H41" s="370"/>
      <c r="I41" s="371"/>
      <c r="J41" s="406"/>
      <c r="K41" s="404"/>
      <c r="L41" s="404"/>
      <c r="M41" s="404"/>
      <c r="N41" s="404"/>
      <c r="O41" s="405"/>
      <c r="P41" s="406"/>
      <c r="Q41" s="404"/>
      <c r="R41" s="404"/>
      <c r="S41" s="404"/>
      <c r="T41" s="404"/>
      <c r="U41" s="405"/>
      <c r="V41" s="395"/>
      <c r="W41" s="396"/>
      <c r="X41" s="396"/>
      <c r="Y41" s="396"/>
      <c r="Z41" s="396"/>
      <c r="AA41" s="397"/>
      <c r="AB41" s="379"/>
      <c r="AC41" s="375"/>
      <c r="AD41" s="375"/>
      <c r="AE41" s="375"/>
      <c r="AF41" s="375"/>
      <c r="AG41" s="376"/>
      <c r="AH41" s="386"/>
      <c r="AI41" s="387"/>
      <c r="AJ41" s="387"/>
      <c r="AK41" s="387"/>
      <c r="AL41" s="387"/>
      <c r="AM41" s="388"/>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row>
    <row r="42" spans="1:80" x14ac:dyDescent="0.25">
      <c r="A42" s="79"/>
      <c r="B42" s="328"/>
      <c r="C42" s="328"/>
      <c r="D42" s="329"/>
      <c r="E42" s="369"/>
      <c r="F42" s="370"/>
      <c r="G42" s="370"/>
      <c r="H42" s="370"/>
      <c r="I42" s="371"/>
      <c r="J42" s="406" t="e">
        <f>IF(AND('Mapa final'!#REF!="Muy Baja",'Mapa final'!#REF!="Leve"),CONCATENATE("R",'Mapa final'!#REF!),"")</f>
        <v>#REF!</v>
      </c>
      <c r="K42" s="404"/>
      <c r="L42" s="404" t="str">
        <f>IF(AND('Mapa final'!$H$41="Muy Baja",'Mapa final'!$L$41="Leve"),CONCATENATE("R",'Mapa final'!$A$41),"")</f>
        <v/>
      </c>
      <c r="M42" s="404"/>
      <c r="N42" s="404" t="str">
        <f>IF(AND('Mapa final'!$H$47="Muy Baja",'Mapa final'!$L$47="Leve"),CONCATENATE("R",'Mapa final'!$A$47),"")</f>
        <v/>
      </c>
      <c r="O42" s="405"/>
      <c r="P42" s="406" t="e">
        <f>IF(AND('Mapa final'!#REF!="Muy Baja",'Mapa final'!#REF!="Menor"),CONCATENATE("R",'Mapa final'!#REF!),"")</f>
        <v>#REF!</v>
      </c>
      <c r="Q42" s="404"/>
      <c r="R42" s="404" t="str">
        <f>IF(AND('Mapa final'!$H$41="Muy Baja",'Mapa final'!$L$41="Menor"),CONCATENATE("R",'Mapa final'!$A$41),"")</f>
        <v/>
      </c>
      <c r="S42" s="404"/>
      <c r="T42" s="404" t="str">
        <f>IF(AND('Mapa final'!$H$47="Muy Baja",'Mapa final'!$L$47="Menor"),CONCATENATE("R",'Mapa final'!$A$47),"")</f>
        <v/>
      </c>
      <c r="U42" s="405"/>
      <c r="V42" s="395" t="e">
        <f>IF(AND('Mapa final'!#REF!="Muy Baja",'Mapa final'!#REF!="Moderado"),CONCATENATE("R",'Mapa final'!#REF!),"")</f>
        <v>#REF!</v>
      </c>
      <c r="W42" s="396"/>
      <c r="X42" s="396" t="str">
        <f>IF(AND('Mapa final'!$H$41="Muy Baja",'Mapa final'!$L$41="Moderado"),CONCATENATE("R",'Mapa final'!$A$41),"")</f>
        <v/>
      </c>
      <c r="Y42" s="396"/>
      <c r="Z42" s="396" t="str">
        <f>IF(AND('Mapa final'!$H$47="Muy Baja",'Mapa final'!$L$47="Moderado"),CONCATENATE("R",'Mapa final'!$A$47),"")</f>
        <v/>
      </c>
      <c r="AA42" s="397"/>
      <c r="AB42" s="379" t="e">
        <f>IF(AND('Mapa final'!#REF!="Muy Baja",'Mapa final'!#REF!="Mayor"),CONCATENATE("R",'Mapa final'!#REF!),"")</f>
        <v>#REF!</v>
      </c>
      <c r="AC42" s="375"/>
      <c r="AD42" s="375" t="str">
        <f>IF(AND('Mapa final'!$H$41="Muy Baja",'Mapa final'!$L$41="Mayor"),CONCATENATE("R",'Mapa final'!$A$41),"")</f>
        <v/>
      </c>
      <c r="AE42" s="375"/>
      <c r="AF42" s="375" t="str">
        <f>IF(AND('Mapa final'!$H$47="Muy Baja",'Mapa final'!$L$47="Mayor"),CONCATENATE("R",'Mapa final'!$A$47),"")</f>
        <v/>
      </c>
      <c r="AG42" s="376"/>
      <c r="AH42" s="386" t="e">
        <f>IF(AND('Mapa final'!#REF!="Muy Baja",'Mapa final'!#REF!="Catastrófico"),CONCATENATE("R",'Mapa final'!#REF!),"")</f>
        <v>#REF!</v>
      </c>
      <c r="AI42" s="387"/>
      <c r="AJ42" s="387" t="str">
        <f>IF(AND('Mapa final'!$H$41="Muy Baja",'Mapa final'!$L$41="Catastrófico"),CONCATENATE("R",'Mapa final'!$A$41),"")</f>
        <v/>
      </c>
      <c r="AK42" s="387"/>
      <c r="AL42" s="387" t="str">
        <f>IF(AND('Mapa final'!$H$47="Muy Baja",'Mapa final'!$L$47="Catastrófico"),CONCATENATE("R",'Mapa final'!$A$47),"")</f>
        <v/>
      </c>
      <c r="AM42" s="388"/>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row>
    <row r="43" spans="1:80" x14ac:dyDescent="0.25">
      <c r="A43" s="79"/>
      <c r="B43" s="328"/>
      <c r="C43" s="328"/>
      <c r="D43" s="329"/>
      <c r="E43" s="369"/>
      <c r="F43" s="370"/>
      <c r="G43" s="370"/>
      <c r="H43" s="370"/>
      <c r="I43" s="371"/>
      <c r="J43" s="406"/>
      <c r="K43" s="404"/>
      <c r="L43" s="404"/>
      <c r="M43" s="404"/>
      <c r="N43" s="404"/>
      <c r="O43" s="405"/>
      <c r="P43" s="406"/>
      <c r="Q43" s="404"/>
      <c r="R43" s="404"/>
      <c r="S43" s="404"/>
      <c r="T43" s="404"/>
      <c r="U43" s="405"/>
      <c r="V43" s="395"/>
      <c r="W43" s="396"/>
      <c r="X43" s="396"/>
      <c r="Y43" s="396"/>
      <c r="Z43" s="396"/>
      <c r="AA43" s="397"/>
      <c r="AB43" s="379"/>
      <c r="AC43" s="375"/>
      <c r="AD43" s="375"/>
      <c r="AE43" s="375"/>
      <c r="AF43" s="375"/>
      <c r="AG43" s="376"/>
      <c r="AH43" s="386"/>
      <c r="AI43" s="387"/>
      <c r="AJ43" s="387"/>
      <c r="AK43" s="387"/>
      <c r="AL43" s="387"/>
      <c r="AM43" s="388"/>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row>
    <row r="44" spans="1:80" x14ac:dyDescent="0.25">
      <c r="A44" s="79"/>
      <c r="B44" s="328"/>
      <c r="C44" s="328"/>
      <c r="D44" s="329"/>
      <c r="E44" s="369"/>
      <c r="F44" s="370"/>
      <c r="G44" s="370"/>
      <c r="H44" s="370"/>
      <c r="I44" s="371"/>
      <c r="J44" s="406" t="str">
        <f>IF(AND('Mapa final'!$H$53="Muy Baja",'Mapa final'!$L$53="Leve"),CONCATENATE("R",'Mapa final'!$A$53),"")</f>
        <v/>
      </c>
      <c r="K44" s="404"/>
      <c r="L44" s="404" t="str">
        <f>IF(AND('Mapa final'!$H$59="Muy Baja",'Mapa final'!$L$59="Leve"),CONCATENATE("R",'Mapa final'!$A$59),"")</f>
        <v/>
      </c>
      <c r="M44" s="404"/>
      <c r="N44" s="404" t="str">
        <f>IF(AND('Mapa final'!$H$65="Muy Baja",'Mapa final'!$L$65="Leve"),CONCATENATE("R",'Mapa final'!$A$65),"")</f>
        <v/>
      </c>
      <c r="O44" s="405"/>
      <c r="P44" s="406" t="str">
        <f>IF(AND('Mapa final'!$H$53="Muy Baja",'Mapa final'!$L$53="Menor"),CONCATENATE("R",'Mapa final'!$A$53),"")</f>
        <v/>
      </c>
      <c r="Q44" s="404"/>
      <c r="R44" s="404" t="str">
        <f>IF(AND('Mapa final'!$H$59="Muy Baja",'Mapa final'!$L$59="Menor"),CONCATENATE("R",'Mapa final'!$A$59),"")</f>
        <v/>
      </c>
      <c r="S44" s="404"/>
      <c r="T44" s="404" t="str">
        <f>IF(AND('Mapa final'!$H$65="Muy Baja",'Mapa final'!$L$65="Menor"),CONCATENATE("R",'Mapa final'!$A$65),"")</f>
        <v/>
      </c>
      <c r="U44" s="405"/>
      <c r="V44" s="395" t="str">
        <f>IF(AND('Mapa final'!$H$53="Muy Baja",'Mapa final'!$L$53="Moderado"),CONCATENATE("R",'Mapa final'!$A$53),"")</f>
        <v/>
      </c>
      <c r="W44" s="396"/>
      <c r="X44" s="396" t="str">
        <f>IF(AND('Mapa final'!$H$59="Muy Baja",'Mapa final'!$L$59="Moderado"),CONCATENATE("R",'Mapa final'!$A$59),"")</f>
        <v/>
      </c>
      <c r="Y44" s="396"/>
      <c r="Z44" s="396" t="str">
        <f>IF(AND('Mapa final'!$H$65="Muy Baja",'Mapa final'!$L$65="Moderado"),CONCATENATE("R",'Mapa final'!$A$65),"")</f>
        <v/>
      </c>
      <c r="AA44" s="397"/>
      <c r="AB44" s="379" t="str">
        <f>IF(AND('Mapa final'!$H$53="Muy Baja",'Mapa final'!$L$53="Mayor"),CONCATENATE("R",'Mapa final'!$A$53),"")</f>
        <v/>
      </c>
      <c r="AC44" s="375"/>
      <c r="AD44" s="375" t="str">
        <f>IF(AND('Mapa final'!$H$59="Muy Baja",'Mapa final'!$L$59="Mayor"),CONCATENATE("R",'Mapa final'!$A$59),"")</f>
        <v/>
      </c>
      <c r="AE44" s="375"/>
      <c r="AF44" s="375" t="str">
        <f>IF(AND('Mapa final'!$H$65="Muy Baja",'Mapa final'!$L$65="Mayor"),CONCATENATE("R",'Mapa final'!$A$65),"")</f>
        <v/>
      </c>
      <c r="AG44" s="376"/>
      <c r="AH44" s="386" t="str">
        <f>IF(AND('Mapa final'!$H$53="Muy Baja",'Mapa final'!$L$53="Catastrófico"),CONCATENATE("R",'Mapa final'!$A$53),"")</f>
        <v/>
      </c>
      <c r="AI44" s="387"/>
      <c r="AJ44" s="387" t="str">
        <f>IF(AND('Mapa final'!$H$59="Muy Baja",'Mapa final'!$L$59="Catastrófico"),CONCATENATE("R",'Mapa final'!$A$59),"")</f>
        <v/>
      </c>
      <c r="AK44" s="387"/>
      <c r="AL44" s="387" t="str">
        <f>IF(AND('Mapa final'!$H$65="Muy Baja",'Mapa final'!$L$65="Catastrófico"),CONCATENATE("R",'Mapa final'!$A$65),"")</f>
        <v/>
      </c>
      <c r="AM44" s="388"/>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row>
    <row r="45" spans="1:80" ht="15.75" thickBot="1" x14ac:dyDescent="0.3">
      <c r="A45" s="79"/>
      <c r="B45" s="328"/>
      <c r="C45" s="328"/>
      <c r="D45" s="329"/>
      <c r="E45" s="372"/>
      <c r="F45" s="373"/>
      <c r="G45" s="373"/>
      <c r="H45" s="373"/>
      <c r="I45" s="374"/>
      <c r="J45" s="407"/>
      <c r="K45" s="408"/>
      <c r="L45" s="408"/>
      <c r="M45" s="408"/>
      <c r="N45" s="408"/>
      <c r="O45" s="409"/>
      <c r="P45" s="407"/>
      <c r="Q45" s="408"/>
      <c r="R45" s="408"/>
      <c r="S45" s="408"/>
      <c r="T45" s="408"/>
      <c r="U45" s="409"/>
      <c r="V45" s="398"/>
      <c r="W45" s="399"/>
      <c r="X45" s="399"/>
      <c r="Y45" s="399"/>
      <c r="Z45" s="399"/>
      <c r="AA45" s="400"/>
      <c r="AB45" s="383"/>
      <c r="AC45" s="384"/>
      <c r="AD45" s="384"/>
      <c r="AE45" s="384"/>
      <c r="AF45" s="384"/>
      <c r="AG45" s="385"/>
      <c r="AH45" s="389"/>
      <c r="AI45" s="390"/>
      <c r="AJ45" s="390"/>
      <c r="AK45" s="390"/>
      <c r="AL45" s="390"/>
      <c r="AM45" s="391"/>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row>
    <row r="46" spans="1:80" x14ac:dyDescent="0.25">
      <c r="A46" s="79"/>
      <c r="B46" s="79"/>
      <c r="C46" s="79"/>
      <c r="D46" s="79"/>
      <c r="E46" s="79"/>
      <c r="F46" s="79"/>
      <c r="G46" s="79"/>
      <c r="H46" s="79"/>
      <c r="I46" s="79"/>
      <c r="J46" s="366" t="s">
        <v>101</v>
      </c>
      <c r="K46" s="367"/>
      <c r="L46" s="367"/>
      <c r="M46" s="367"/>
      <c r="N46" s="367"/>
      <c r="O46" s="368"/>
      <c r="P46" s="366" t="s">
        <v>102</v>
      </c>
      <c r="Q46" s="367"/>
      <c r="R46" s="367"/>
      <c r="S46" s="367"/>
      <c r="T46" s="367"/>
      <c r="U46" s="368"/>
      <c r="V46" s="366" t="s">
        <v>103</v>
      </c>
      <c r="W46" s="367"/>
      <c r="X46" s="367"/>
      <c r="Y46" s="367"/>
      <c r="Z46" s="367"/>
      <c r="AA46" s="368"/>
      <c r="AB46" s="366" t="s">
        <v>104</v>
      </c>
      <c r="AC46" s="382"/>
      <c r="AD46" s="367"/>
      <c r="AE46" s="367"/>
      <c r="AF46" s="367"/>
      <c r="AG46" s="368"/>
      <c r="AH46" s="366" t="s">
        <v>105</v>
      </c>
      <c r="AI46" s="367"/>
      <c r="AJ46" s="367"/>
      <c r="AK46" s="367"/>
      <c r="AL46" s="367"/>
      <c r="AM46" s="368"/>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row>
    <row r="47" spans="1:80" x14ac:dyDescent="0.25">
      <c r="A47" s="79"/>
      <c r="B47" s="79"/>
      <c r="C47" s="79"/>
      <c r="D47" s="79"/>
      <c r="E47" s="79"/>
      <c r="F47" s="79"/>
      <c r="G47" s="79"/>
      <c r="H47" s="79"/>
      <c r="I47" s="79"/>
      <c r="J47" s="369"/>
      <c r="K47" s="370"/>
      <c r="L47" s="370"/>
      <c r="M47" s="370"/>
      <c r="N47" s="370"/>
      <c r="O47" s="371"/>
      <c r="P47" s="369"/>
      <c r="Q47" s="370"/>
      <c r="R47" s="370"/>
      <c r="S47" s="370"/>
      <c r="T47" s="370"/>
      <c r="U47" s="371"/>
      <c r="V47" s="369"/>
      <c r="W47" s="370"/>
      <c r="X47" s="370"/>
      <c r="Y47" s="370"/>
      <c r="Z47" s="370"/>
      <c r="AA47" s="371"/>
      <c r="AB47" s="369"/>
      <c r="AC47" s="370"/>
      <c r="AD47" s="370"/>
      <c r="AE47" s="370"/>
      <c r="AF47" s="370"/>
      <c r="AG47" s="371"/>
      <c r="AH47" s="369"/>
      <c r="AI47" s="370"/>
      <c r="AJ47" s="370"/>
      <c r="AK47" s="370"/>
      <c r="AL47" s="370"/>
      <c r="AM47" s="371"/>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row>
    <row r="48" spans="1:80" x14ac:dyDescent="0.25">
      <c r="A48" s="79"/>
      <c r="B48" s="79"/>
      <c r="C48" s="79"/>
      <c r="D48" s="79"/>
      <c r="E48" s="79"/>
      <c r="F48" s="79"/>
      <c r="G48" s="79"/>
      <c r="H48" s="79"/>
      <c r="I48" s="79"/>
      <c r="J48" s="369"/>
      <c r="K48" s="370"/>
      <c r="L48" s="370"/>
      <c r="M48" s="370"/>
      <c r="N48" s="370"/>
      <c r="O48" s="371"/>
      <c r="P48" s="369"/>
      <c r="Q48" s="370"/>
      <c r="R48" s="370"/>
      <c r="S48" s="370"/>
      <c r="T48" s="370"/>
      <c r="U48" s="371"/>
      <c r="V48" s="369"/>
      <c r="W48" s="370"/>
      <c r="X48" s="370"/>
      <c r="Y48" s="370"/>
      <c r="Z48" s="370"/>
      <c r="AA48" s="371"/>
      <c r="AB48" s="369"/>
      <c r="AC48" s="370"/>
      <c r="AD48" s="370"/>
      <c r="AE48" s="370"/>
      <c r="AF48" s="370"/>
      <c r="AG48" s="371"/>
      <c r="AH48" s="369"/>
      <c r="AI48" s="370"/>
      <c r="AJ48" s="370"/>
      <c r="AK48" s="370"/>
      <c r="AL48" s="370"/>
      <c r="AM48" s="371"/>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row>
    <row r="49" spans="1:80" x14ac:dyDescent="0.25">
      <c r="A49" s="79"/>
      <c r="B49" s="79"/>
      <c r="C49" s="79"/>
      <c r="D49" s="79"/>
      <c r="E49" s="79"/>
      <c r="F49" s="79"/>
      <c r="G49" s="79"/>
      <c r="H49" s="79"/>
      <c r="I49" s="79"/>
      <c r="J49" s="369"/>
      <c r="K49" s="370"/>
      <c r="L49" s="370"/>
      <c r="M49" s="370"/>
      <c r="N49" s="370"/>
      <c r="O49" s="371"/>
      <c r="P49" s="369"/>
      <c r="Q49" s="370"/>
      <c r="R49" s="370"/>
      <c r="S49" s="370"/>
      <c r="T49" s="370"/>
      <c r="U49" s="371"/>
      <c r="V49" s="369"/>
      <c r="W49" s="370"/>
      <c r="X49" s="370"/>
      <c r="Y49" s="370"/>
      <c r="Z49" s="370"/>
      <c r="AA49" s="371"/>
      <c r="AB49" s="369"/>
      <c r="AC49" s="370"/>
      <c r="AD49" s="370"/>
      <c r="AE49" s="370"/>
      <c r="AF49" s="370"/>
      <c r="AG49" s="371"/>
      <c r="AH49" s="369"/>
      <c r="AI49" s="370"/>
      <c r="AJ49" s="370"/>
      <c r="AK49" s="370"/>
      <c r="AL49" s="370"/>
      <c r="AM49" s="371"/>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row>
    <row r="50" spans="1:80" x14ac:dyDescent="0.25">
      <c r="A50" s="79"/>
      <c r="B50" s="79"/>
      <c r="C50" s="79"/>
      <c r="D50" s="79"/>
      <c r="E50" s="79"/>
      <c r="F50" s="79"/>
      <c r="G50" s="79"/>
      <c r="H50" s="79"/>
      <c r="I50" s="79"/>
      <c r="J50" s="369"/>
      <c r="K50" s="370"/>
      <c r="L50" s="370"/>
      <c r="M50" s="370"/>
      <c r="N50" s="370"/>
      <c r="O50" s="371"/>
      <c r="P50" s="369"/>
      <c r="Q50" s="370"/>
      <c r="R50" s="370"/>
      <c r="S50" s="370"/>
      <c r="T50" s="370"/>
      <c r="U50" s="371"/>
      <c r="V50" s="369"/>
      <c r="W50" s="370"/>
      <c r="X50" s="370"/>
      <c r="Y50" s="370"/>
      <c r="Z50" s="370"/>
      <c r="AA50" s="371"/>
      <c r="AB50" s="369"/>
      <c r="AC50" s="370"/>
      <c r="AD50" s="370"/>
      <c r="AE50" s="370"/>
      <c r="AF50" s="370"/>
      <c r="AG50" s="371"/>
      <c r="AH50" s="369"/>
      <c r="AI50" s="370"/>
      <c r="AJ50" s="370"/>
      <c r="AK50" s="370"/>
      <c r="AL50" s="370"/>
      <c r="AM50" s="371"/>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row>
    <row r="51" spans="1:80" ht="15.75" thickBot="1" x14ac:dyDescent="0.3">
      <c r="A51" s="79"/>
      <c r="B51" s="79"/>
      <c r="C51" s="79"/>
      <c r="D51" s="79"/>
      <c r="E51" s="79"/>
      <c r="F51" s="79"/>
      <c r="G51" s="79"/>
      <c r="H51" s="79"/>
      <c r="I51" s="79"/>
      <c r="J51" s="372"/>
      <c r="K51" s="373"/>
      <c r="L51" s="373"/>
      <c r="M51" s="373"/>
      <c r="N51" s="373"/>
      <c r="O51" s="374"/>
      <c r="P51" s="372"/>
      <c r="Q51" s="373"/>
      <c r="R51" s="373"/>
      <c r="S51" s="373"/>
      <c r="T51" s="373"/>
      <c r="U51" s="374"/>
      <c r="V51" s="372"/>
      <c r="W51" s="373"/>
      <c r="X51" s="373"/>
      <c r="Y51" s="373"/>
      <c r="Z51" s="373"/>
      <c r="AA51" s="374"/>
      <c r="AB51" s="372"/>
      <c r="AC51" s="373"/>
      <c r="AD51" s="373"/>
      <c r="AE51" s="373"/>
      <c r="AF51" s="373"/>
      <c r="AG51" s="374"/>
      <c r="AH51" s="372"/>
      <c r="AI51" s="373"/>
      <c r="AJ51" s="373"/>
      <c r="AK51" s="373"/>
      <c r="AL51" s="373"/>
      <c r="AM51" s="374"/>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row>
    <row r="52" spans="1:80" x14ac:dyDescent="0.2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row>
    <row r="53" spans="1:80" ht="15" customHeight="1" x14ac:dyDescent="0.25">
      <c r="A53" s="79"/>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row>
    <row r="54" spans="1:80" ht="15" customHeight="1" x14ac:dyDescent="0.25">
      <c r="A54" s="79"/>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row>
    <row r="55" spans="1:80" x14ac:dyDescent="0.2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row>
    <row r="56" spans="1:80" x14ac:dyDescent="0.2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row>
    <row r="57" spans="1:80" x14ac:dyDescent="0.2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row>
    <row r="58" spans="1:80"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row>
    <row r="59" spans="1:80"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row>
    <row r="60" spans="1:80"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row>
    <row r="61" spans="1:80"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row>
    <row r="62" spans="1:80"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row>
    <row r="63" spans="1:80"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row>
    <row r="64" spans="1:80"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row>
    <row r="65" spans="1:80"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row>
    <row r="66" spans="1:80"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row>
    <row r="67" spans="1:80"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row>
    <row r="68" spans="1:80"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row>
    <row r="69" spans="1:80"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row>
    <row r="70" spans="1:80"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row>
    <row r="71" spans="1:80"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row>
    <row r="72" spans="1:80"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row>
    <row r="73" spans="1:80"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row>
    <row r="74" spans="1:80"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row>
    <row r="75" spans="1:80"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row>
    <row r="76" spans="1:80"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row>
    <row r="77" spans="1:80"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row>
    <row r="78" spans="1:80"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row>
    <row r="79" spans="1:80"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row>
    <row r="80" spans="1:80"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row>
    <row r="81" spans="1:63"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row>
    <row r="82" spans="1:63"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row>
    <row r="83" spans="1:63"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row>
    <row r="84" spans="1:63"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row>
    <row r="85" spans="1:63"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row>
    <row r="86" spans="1:63"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row>
    <row r="87" spans="1:63"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row>
    <row r="88" spans="1:63"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row>
    <row r="89" spans="1:63"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row>
    <row r="90" spans="1:63"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row>
    <row r="91" spans="1:63"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row>
    <row r="92" spans="1:63"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row>
    <row r="93" spans="1:63"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row>
    <row r="94" spans="1:63"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row>
    <row r="95" spans="1:63"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row>
    <row r="96" spans="1:63"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row>
    <row r="97" spans="1:63"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row>
    <row r="98" spans="1:63"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row>
    <row r="99" spans="1:63"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row>
    <row r="100" spans="1:63"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row>
    <row r="101" spans="1:63" x14ac:dyDescent="0.2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row>
    <row r="102" spans="1:63" x14ac:dyDescent="0.2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row>
    <row r="103" spans="1:63" x14ac:dyDescent="0.2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row>
    <row r="104" spans="1:63" x14ac:dyDescent="0.2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row>
    <row r="105" spans="1:63" x14ac:dyDescent="0.2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row>
    <row r="106" spans="1:63" x14ac:dyDescent="0.2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row>
    <row r="107" spans="1:63" x14ac:dyDescent="0.2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row>
    <row r="108" spans="1:63" x14ac:dyDescent="0.2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row>
    <row r="109" spans="1:63" x14ac:dyDescent="0.2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row>
    <row r="110" spans="1:63" x14ac:dyDescent="0.2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row>
    <row r="111" spans="1:63" x14ac:dyDescent="0.2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row>
    <row r="112" spans="1:63" x14ac:dyDescent="0.2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row>
    <row r="113" spans="1:63" x14ac:dyDescent="0.2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row>
    <row r="114" spans="1:63" x14ac:dyDescent="0.2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row>
    <row r="115" spans="1:63" x14ac:dyDescent="0.2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row>
    <row r="116" spans="1:63" x14ac:dyDescent="0.2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row>
    <row r="117" spans="1:63" x14ac:dyDescent="0.2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row>
    <row r="118" spans="1:63" x14ac:dyDescent="0.2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row>
    <row r="119" spans="1:63" x14ac:dyDescent="0.2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row>
    <row r="120" spans="1:63" x14ac:dyDescent="0.2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row>
    <row r="121" spans="1:63" x14ac:dyDescent="0.2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row>
    <row r="122" spans="1:63" x14ac:dyDescent="0.25">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row>
    <row r="123" spans="1:63" x14ac:dyDescent="0.25">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row>
    <row r="124" spans="1:63" x14ac:dyDescent="0.25">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row>
    <row r="125" spans="1:63" x14ac:dyDescent="0.25">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row>
    <row r="126" spans="1:63" x14ac:dyDescent="0.25">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row>
    <row r="127" spans="1:63" x14ac:dyDescent="0.25">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row>
    <row r="128" spans="1:63" x14ac:dyDescent="0.25">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row>
    <row r="129" spans="2:63" x14ac:dyDescent="0.25">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row>
    <row r="130" spans="2:63" x14ac:dyDescent="0.25">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row>
    <row r="131" spans="2:63" x14ac:dyDescent="0.25">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row>
    <row r="132" spans="2:63" x14ac:dyDescent="0.25">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row>
    <row r="133" spans="2:63" x14ac:dyDescent="0.25">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row>
    <row r="134" spans="2:63" x14ac:dyDescent="0.25">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row>
    <row r="135" spans="2:63" x14ac:dyDescent="0.25">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row>
    <row r="136" spans="2:63" x14ac:dyDescent="0.25">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row>
    <row r="137" spans="2:63" x14ac:dyDescent="0.25">
      <c r="B137" s="79"/>
      <c r="C137" s="79"/>
      <c r="D137" s="79"/>
      <c r="E137" s="79"/>
      <c r="F137" s="79"/>
      <c r="G137" s="79"/>
      <c r="H137" s="79"/>
      <c r="I137" s="79"/>
    </row>
    <row r="138" spans="2:63" x14ac:dyDescent="0.25">
      <c r="B138" s="79"/>
      <c r="C138" s="79"/>
      <c r="D138" s="79"/>
      <c r="E138" s="79"/>
      <c r="F138" s="79"/>
      <c r="G138" s="79"/>
      <c r="H138" s="79"/>
      <c r="I138" s="79"/>
    </row>
    <row r="139" spans="2:63" x14ac:dyDescent="0.25">
      <c r="B139" s="79"/>
      <c r="C139" s="79"/>
      <c r="D139" s="79"/>
      <c r="E139" s="79"/>
      <c r="F139" s="79"/>
      <c r="G139" s="79"/>
      <c r="H139" s="79"/>
      <c r="I139" s="79"/>
    </row>
    <row r="140" spans="2:63" x14ac:dyDescent="0.25">
      <c r="B140" s="79"/>
      <c r="C140" s="79"/>
      <c r="D140" s="79"/>
      <c r="E140" s="79"/>
      <c r="F140" s="79"/>
      <c r="G140" s="79"/>
      <c r="H140" s="79"/>
      <c r="I140" s="79"/>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row>
    <row r="2" spans="1:91" ht="18" customHeight="1" x14ac:dyDescent="0.25">
      <c r="A2" s="79"/>
      <c r="B2" s="439" t="s">
        <v>106</v>
      </c>
      <c r="C2" s="440"/>
      <c r="D2" s="440"/>
      <c r="E2" s="440"/>
      <c r="F2" s="440"/>
      <c r="G2" s="440"/>
      <c r="H2" s="440"/>
      <c r="I2" s="440"/>
      <c r="J2" s="381" t="s">
        <v>13</v>
      </c>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row>
    <row r="3" spans="1:91" ht="18.75" customHeight="1" x14ac:dyDescent="0.25">
      <c r="A3" s="79"/>
      <c r="B3" s="440"/>
      <c r="C3" s="440"/>
      <c r="D3" s="440"/>
      <c r="E3" s="440"/>
      <c r="F3" s="440"/>
      <c r="G3" s="440"/>
      <c r="H3" s="440"/>
      <c r="I3" s="440"/>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row>
    <row r="4" spans="1:91" ht="15" customHeight="1" x14ac:dyDescent="0.25">
      <c r="A4" s="79"/>
      <c r="B4" s="440"/>
      <c r="C4" s="440"/>
      <c r="D4" s="440"/>
      <c r="E4" s="440"/>
      <c r="F4" s="440"/>
      <c r="G4" s="440"/>
      <c r="H4" s="440"/>
      <c r="I4" s="440"/>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row>
    <row r="5" spans="1:91" ht="15.75" thickBot="1" x14ac:dyDescent="0.3">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row>
    <row r="6" spans="1:91" ht="15" customHeight="1" x14ac:dyDescent="0.25">
      <c r="A6" s="79"/>
      <c r="B6" s="328" t="s">
        <v>91</v>
      </c>
      <c r="C6" s="328"/>
      <c r="D6" s="329"/>
      <c r="E6" s="423" t="s">
        <v>92</v>
      </c>
      <c r="F6" s="424"/>
      <c r="G6" s="424"/>
      <c r="H6" s="424"/>
      <c r="I6" s="441"/>
      <c r="J6" s="42" t="str">
        <f>IF(AND('Mapa final'!$Y$26="Muy Alta",'Mapa final'!$AA$26="Leve"),CONCATENATE("R1C",'Mapa final'!$O$26),"")</f>
        <v/>
      </c>
      <c r="K6" s="43" t="str">
        <f>IF(AND('Mapa final'!$Y$27="Muy Alta",'Mapa final'!$AA$27="Leve"),CONCATENATE("R1C",'Mapa final'!$O$27),"")</f>
        <v/>
      </c>
      <c r="L6" s="43" t="str">
        <f>IF(AND('Mapa final'!$Y$29="Muy Alta",'Mapa final'!$AA$29="Leve"),CONCATENATE("R1C",'Mapa final'!$O$29),"")</f>
        <v/>
      </c>
      <c r="M6" s="43" t="e">
        <f>IF(AND('Mapa final'!#REF!="Muy Alta",'Mapa final'!#REF!="Leve"),CONCATENATE("R1C",'Mapa final'!#REF!),"")</f>
        <v>#REF!</v>
      </c>
      <c r="N6" s="43" t="e">
        <f>IF(AND('Mapa final'!#REF!="Muy Alta",'Mapa final'!#REF!="Leve"),CONCATENATE("R1C",'Mapa final'!#REF!),"")</f>
        <v>#REF!</v>
      </c>
      <c r="O6" s="44" t="e">
        <f>IF(AND('Mapa final'!#REF!="Muy Alta",'Mapa final'!#REF!="Leve"),CONCATENATE("R1C",'Mapa final'!#REF!),"")</f>
        <v>#REF!</v>
      </c>
      <c r="P6" s="42" t="str">
        <f>IF(AND('Mapa final'!$Y$26="Muy Alta",'Mapa final'!$AA$26="Menor"),CONCATENATE("R1C",'Mapa final'!$O$26),"")</f>
        <v/>
      </c>
      <c r="Q6" s="43" t="str">
        <f>IF(AND('Mapa final'!$Y$27="Muy Alta",'Mapa final'!$AA$27="Menor"),CONCATENATE("R1C",'Mapa final'!$O$27),"")</f>
        <v/>
      </c>
      <c r="R6" s="43" t="str">
        <f>IF(AND('Mapa final'!$Y$29="Muy Alta",'Mapa final'!$AA$29="Menor"),CONCATENATE("R1C",'Mapa final'!$O$29),"")</f>
        <v/>
      </c>
      <c r="S6" s="43" t="e">
        <f>IF(AND('Mapa final'!#REF!="Muy Alta",'Mapa final'!#REF!="Menor"),CONCATENATE("R1C",'Mapa final'!#REF!),"")</f>
        <v>#REF!</v>
      </c>
      <c r="T6" s="43" t="e">
        <f>IF(AND('Mapa final'!#REF!="Muy Alta",'Mapa final'!#REF!="Menor"),CONCATENATE("R1C",'Mapa final'!#REF!),"")</f>
        <v>#REF!</v>
      </c>
      <c r="U6" s="44" t="e">
        <f>IF(AND('Mapa final'!#REF!="Muy Alta",'Mapa final'!#REF!="Menor"),CONCATENATE("R1C",'Mapa final'!#REF!),"")</f>
        <v>#REF!</v>
      </c>
      <c r="V6" s="42" t="str">
        <f>IF(AND('Mapa final'!$Y$26="Muy Alta",'Mapa final'!$AA$26="Moderado"),CONCATENATE("R1C",'Mapa final'!$O$26),"")</f>
        <v/>
      </c>
      <c r="W6" s="43" t="str">
        <f>IF(AND('Mapa final'!$Y$27="Muy Alta",'Mapa final'!$AA$27="Moderado"),CONCATENATE("R1C",'Mapa final'!$O$27),"")</f>
        <v/>
      </c>
      <c r="X6" s="43" t="str">
        <f>IF(AND('Mapa final'!$Y$29="Muy Alta",'Mapa final'!$AA$29="Moderado"),CONCATENATE("R1C",'Mapa final'!$O$29),"")</f>
        <v/>
      </c>
      <c r="Y6" s="43" t="e">
        <f>IF(AND('Mapa final'!#REF!="Muy Alta",'Mapa final'!#REF!="Moderado"),CONCATENATE("R1C",'Mapa final'!#REF!),"")</f>
        <v>#REF!</v>
      </c>
      <c r="Z6" s="43" t="e">
        <f>IF(AND('Mapa final'!#REF!="Muy Alta",'Mapa final'!#REF!="Moderado"),CONCATENATE("R1C",'Mapa final'!#REF!),"")</f>
        <v>#REF!</v>
      </c>
      <c r="AA6" s="44" t="e">
        <f>IF(AND('Mapa final'!#REF!="Muy Alta",'Mapa final'!#REF!="Moderado"),CONCATENATE("R1C",'Mapa final'!#REF!),"")</f>
        <v>#REF!</v>
      </c>
      <c r="AB6" s="42" t="str">
        <f>IF(AND('Mapa final'!$Y$26="Muy Alta",'Mapa final'!$AA$26="Mayor"),CONCATENATE("R1C",'Mapa final'!$O$26),"")</f>
        <v/>
      </c>
      <c r="AC6" s="43" t="str">
        <f>IF(AND('Mapa final'!$Y$27="Muy Alta",'Mapa final'!$AA$27="Mayor"),CONCATENATE("R1C",'Mapa final'!$O$27),"")</f>
        <v/>
      </c>
      <c r="AD6" s="43" t="str">
        <f>IF(AND('Mapa final'!$Y$29="Muy Alta",'Mapa final'!$AA$29="Mayor"),CONCATENATE("R1C",'Mapa final'!$O$29),"")</f>
        <v/>
      </c>
      <c r="AE6" s="43" t="e">
        <f>IF(AND('Mapa final'!#REF!="Muy Alta",'Mapa final'!#REF!="Mayor"),CONCATENATE("R1C",'Mapa final'!#REF!),"")</f>
        <v>#REF!</v>
      </c>
      <c r="AF6" s="43" t="e">
        <f>IF(AND('Mapa final'!#REF!="Muy Alta",'Mapa final'!#REF!="Mayor"),CONCATENATE("R1C",'Mapa final'!#REF!),"")</f>
        <v>#REF!</v>
      </c>
      <c r="AG6" s="44" t="e">
        <f>IF(AND('Mapa final'!#REF!="Muy Alta",'Mapa final'!#REF!="Mayor"),CONCATENATE("R1C",'Mapa final'!#REF!),"")</f>
        <v>#REF!</v>
      </c>
      <c r="AH6" s="45" t="str">
        <f>IF(AND('Mapa final'!$Y$26="Muy Alta",'Mapa final'!$AA$26="Catastrófico"),CONCATENATE("R1C",'Mapa final'!$O$26),"")</f>
        <v/>
      </c>
      <c r="AI6" s="46" t="str">
        <f>IF(AND('Mapa final'!$Y$27="Muy Alta",'Mapa final'!$AA$27="Catastrófico"),CONCATENATE("R1C",'Mapa final'!$O$27),"")</f>
        <v/>
      </c>
      <c r="AJ6" s="46" t="str">
        <f>IF(AND('Mapa final'!$Y$29="Muy Alta",'Mapa final'!$AA$29="Catastrófico"),CONCATENATE("R1C",'Mapa final'!$O$29),"")</f>
        <v/>
      </c>
      <c r="AK6" s="46" t="e">
        <f>IF(AND('Mapa final'!#REF!="Muy Alta",'Mapa final'!#REF!="Catastrófico"),CONCATENATE("R1C",'Mapa final'!#REF!),"")</f>
        <v>#REF!</v>
      </c>
      <c r="AL6" s="46" t="e">
        <f>IF(AND('Mapa final'!#REF!="Muy Alta",'Mapa final'!#REF!="Catastrófico"),CONCATENATE("R1C",'Mapa final'!#REF!),"")</f>
        <v>#REF!</v>
      </c>
      <c r="AM6" s="47" t="e">
        <f>IF(AND('Mapa final'!#REF!="Muy Alta",'Mapa final'!#REF!="Catastrófico"),CONCATENATE("R1C",'Mapa final'!#REF!),"")</f>
        <v>#REF!</v>
      </c>
      <c r="AN6" s="79"/>
      <c r="AO6" s="430" t="s">
        <v>93</v>
      </c>
      <c r="AP6" s="431"/>
      <c r="AQ6" s="431"/>
      <c r="AR6" s="431"/>
      <c r="AS6" s="431"/>
      <c r="AT6" s="432"/>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row>
    <row r="7" spans="1:91" ht="15" customHeight="1" x14ac:dyDescent="0.25">
      <c r="A7" s="79"/>
      <c r="B7" s="328"/>
      <c r="C7" s="328"/>
      <c r="D7" s="329"/>
      <c r="E7" s="427"/>
      <c r="F7" s="426"/>
      <c r="G7" s="426"/>
      <c r="H7" s="426"/>
      <c r="I7" s="442"/>
      <c r="J7" s="48" t="str">
        <f>IF(AND('Mapa final'!$Y$30="Muy Alta",'Mapa final'!$AA$30="Leve"),CONCATENATE("R2C",'Mapa final'!$O$30),"")</f>
        <v/>
      </c>
      <c r="K7" s="49" t="str">
        <f>IF(AND('Mapa final'!$Y$31="Muy Alta",'Mapa final'!$AA$31="Leve"),CONCATENATE("R2C",'Mapa final'!$O$31),"")</f>
        <v/>
      </c>
      <c r="L7" s="49" t="str">
        <f>IF(AND('Mapa final'!$Y$32="Muy Alta",'Mapa final'!$AA$32="Leve"),CONCATENATE("R2C",'Mapa final'!$O$32),"")</f>
        <v/>
      </c>
      <c r="M7" s="49" t="e">
        <f>IF(AND('Mapa final'!#REF!="Muy Alta",'Mapa final'!#REF!="Leve"),CONCATENATE("R2C",'Mapa final'!#REF!),"")</f>
        <v>#REF!</v>
      </c>
      <c r="N7" s="49" t="e">
        <f>IF(AND('Mapa final'!#REF!="Muy Alta",'Mapa final'!#REF!="Leve"),CONCATENATE("R2C",'Mapa final'!#REF!),"")</f>
        <v>#REF!</v>
      </c>
      <c r="O7" s="50" t="e">
        <f>IF(AND('Mapa final'!#REF!="Muy Alta",'Mapa final'!#REF!="Leve"),CONCATENATE("R2C",'Mapa final'!#REF!),"")</f>
        <v>#REF!</v>
      </c>
      <c r="P7" s="48" t="str">
        <f>IF(AND('Mapa final'!$Y$30="Muy Alta",'Mapa final'!$AA$30="Menor"),CONCATENATE("R2C",'Mapa final'!$O$30),"")</f>
        <v/>
      </c>
      <c r="Q7" s="49" t="str">
        <f>IF(AND('Mapa final'!$Y$31="Muy Alta",'Mapa final'!$AA$31="Menor"),CONCATENATE("R2C",'Mapa final'!$O$31),"")</f>
        <v/>
      </c>
      <c r="R7" s="49" t="str">
        <f>IF(AND('Mapa final'!$Y$32="Muy Alta",'Mapa final'!$AA$32="Menor"),CONCATENATE("R2C",'Mapa final'!$O$32),"")</f>
        <v/>
      </c>
      <c r="S7" s="49" t="e">
        <f>IF(AND('Mapa final'!#REF!="Muy Alta",'Mapa final'!#REF!="Menor"),CONCATENATE("R2C",'Mapa final'!#REF!),"")</f>
        <v>#REF!</v>
      </c>
      <c r="T7" s="49" t="e">
        <f>IF(AND('Mapa final'!#REF!="Muy Alta",'Mapa final'!#REF!="Menor"),CONCATENATE("R2C",'Mapa final'!#REF!),"")</f>
        <v>#REF!</v>
      </c>
      <c r="U7" s="50" t="e">
        <f>IF(AND('Mapa final'!#REF!="Muy Alta",'Mapa final'!#REF!="Menor"),CONCATENATE("R2C",'Mapa final'!#REF!),"")</f>
        <v>#REF!</v>
      </c>
      <c r="V7" s="48" t="str">
        <f>IF(AND('Mapa final'!$Y$30="Muy Alta",'Mapa final'!$AA$30="Moderado"),CONCATENATE("R2C",'Mapa final'!$O$30),"")</f>
        <v/>
      </c>
      <c r="W7" s="49" t="str">
        <f>IF(AND('Mapa final'!$Y$31="Muy Alta",'Mapa final'!$AA$31="Moderado"),CONCATENATE("R2C",'Mapa final'!$O$31),"")</f>
        <v/>
      </c>
      <c r="X7" s="49" t="str">
        <f>IF(AND('Mapa final'!$Y$32="Muy Alta",'Mapa final'!$AA$32="Moderado"),CONCATENATE("R2C",'Mapa final'!$O$32),"")</f>
        <v/>
      </c>
      <c r="Y7" s="49" t="e">
        <f>IF(AND('Mapa final'!#REF!="Muy Alta",'Mapa final'!#REF!="Moderado"),CONCATENATE("R2C",'Mapa final'!#REF!),"")</f>
        <v>#REF!</v>
      </c>
      <c r="Z7" s="49" t="e">
        <f>IF(AND('Mapa final'!#REF!="Muy Alta",'Mapa final'!#REF!="Moderado"),CONCATENATE("R2C",'Mapa final'!#REF!),"")</f>
        <v>#REF!</v>
      </c>
      <c r="AA7" s="50" t="e">
        <f>IF(AND('Mapa final'!#REF!="Muy Alta",'Mapa final'!#REF!="Moderado"),CONCATENATE("R2C",'Mapa final'!#REF!),"")</f>
        <v>#REF!</v>
      </c>
      <c r="AB7" s="48" t="str">
        <f>IF(AND('Mapa final'!$Y$30="Muy Alta",'Mapa final'!$AA$30="Mayor"),CONCATENATE("R2C",'Mapa final'!$O$30),"")</f>
        <v/>
      </c>
      <c r="AC7" s="49" t="str">
        <f>IF(AND('Mapa final'!$Y$31="Muy Alta",'Mapa final'!$AA$31="Mayor"),CONCATENATE("R2C",'Mapa final'!$O$31),"")</f>
        <v/>
      </c>
      <c r="AD7" s="49" t="str">
        <f>IF(AND('Mapa final'!$Y$32="Muy Alta",'Mapa final'!$AA$32="Mayor"),CONCATENATE("R2C",'Mapa final'!$O$32),"")</f>
        <v/>
      </c>
      <c r="AE7" s="49" t="e">
        <f>IF(AND('Mapa final'!#REF!="Muy Alta",'Mapa final'!#REF!="Mayor"),CONCATENATE("R2C",'Mapa final'!#REF!),"")</f>
        <v>#REF!</v>
      </c>
      <c r="AF7" s="49" t="e">
        <f>IF(AND('Mapa final'!#REF!="Muy Alta",'Mapa final'!#REF!="Mayor"),CONCATENATE("R2C",'Mapa final'!#REF!),"")</f>
        <v>#REF!</v>
      </c>
      <c r="AG7" s="50" t="e">
        <f>IF(AND('Mapa final'!#REF!="Muy Alta",'Mapa final'!#REF!="Mayor"),CONCATENATE("R2C",'Mapa final'!#REF!),"")</f>
        <v>#REF!</v>
      </c>
      <c r="AH7" s="51" t="str">
        <f>IF(AND('Mapa final'!$Y$30="Muy Alta",'Mapa final'!$AA$30="Catastrófico"),CONCATENATE("R2C",'Mapa final'!$O$30),"")</f>
        <v/>
      </c>
      <c r="AI7" s="52" t="str">
        <f>IF(AND('Mapa final'!$Y$31="Muy Alta",'Mapa final'!$AA$31="Catastrófico"),CONCATENATE("R2C",'Mapa final'!$O$31),"")</f>
        <v/>
      </c>
      <c r="AJ7" s="52" t="str">
        <f>IF(AND('Mapa final'!$Y$32="Muy Alta",'Mapa final'!$AA$32="Catastrófico"),CONCATENATE("R2C",'Mapa final'!$O$32),"")</f>
        <v/>
      </c>
      <c r="AK7" s="52" t="e">
        <f>IF(AND('Mapa final'!#REF!="Muy Alta",'Mapa final'!#REF!="Catastrófico"),CONCATENATE("R2C",'Mapa final'!#REF!),"")</f>
        <v>#REF!</v>
      </c>
      <c r="AL7" s="52" t="e">
        <f>IF(AND('Mapa final'!#REF!="Muy Alta",'Mapa final'!#REF!="Catastrófico"),CONCATENATE("R2C",'Mapa final'!#REF!),"")</f>
        <v>#REF!</v>
      </c>
      <c r="AM7" s="53" t="e">
        <f>IF(AND('Mapa final'!#REF!="Muy Alta",'Mapa final'!#REF!="Catastrófico"),CONCATENATE("R2C",'Mapa final'!#REF!),"")</f>
        <v>#REF!</v>
      </c>
      <c r="AN7" s="79"/>
      <c r="AO7" s="433"/>
      <c r="AP7" s="434"/>
      <c r="AQ7" s="434"/>
      <c r="AR7" s="434"/>
      <c r="AS7" s="434"/>
      <c r="AT7" s="435"/>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row>
    <row r="8" spans="1:91" ht="15" customHeight="1" x14ac:dyDescent="0.25">
      <c r="A8" s="79"/>
      <c r="B8" s="328"/>
      <c r="C8" s="328"/>
      <c r="D8" s="329"/>
      <c r="E8" s="427"/>
      <c r="F8" s="426"/>
      <c r="G8" s="426"/>
      <c r="H8" s="426"/>
      <c r="I8" s="442"/>
      <c r="J8" s="48" t="str">
        <f>IF(AND('Mapa final'!$Y$33="Muy Alta",'Mapa final'!$AA$33="Leve"),CONCATENATE("R3C",'Mapa final'!$O$33),"")</f>
        <v/>
      </c>
      <c r="K8" s="49" t="str">
        <f>IF(AND('Mapa final'!$Y$34="Muy Alta",'Mapa final'!$AA$34="Leve"),CONCATENATE("R3C",'Mapa final'!$O$34),"")</f>
        <v/>
      </c>
      <c r="L8" s="49" t="str">
        <f>IF(AND('Mapa final'!$Y$35="Muy Alta",'Mapa final'!$AA$35="Leve"),CONCATENATE("R3C",'Mapa final'!$O$35),"")</f>
        <v/>
      </c>
      <c r="M8" s="49" t="str">
        <f>IF(AND('Mapa final'!$Y$36="Muy Alta",'Mapa final'!$AA$36="Leve"),CONCATENATE("R3C",'Mapa final'!$O$36),"")</f>
        <v/>
      </c>
      <c r="N8" s="49" t="e">
        <f>IF(AND('Mapa final'!#REF!="Muy Alta",'Mapa final'!#REF!="Leve"),CONCATENATE("R3C",'Mapa final'!#REF!),"")</f>
        <v>#REF!</v>
      </c>
      <c r="O8" s="50" t="e">
        <f>IF(AND('Mapa final'!#REF!="Muy Alta",'Mapa final'!#REF!="Leve"),CONCATENATE("R3C",'Mapa final'!#REF!),"")</f>
        <v>#REF!</v>
      </c>
      <c r="P8" s="48" t="str">
        <f>IF(AND('Mapa final'!$Y$33="Muy Alta",'Mapa final'!$AA$33="Menor"),CONCATENATE("R3C",'Mapa final'!$O$33),"")</f>
        <v/>
      </c>
      <c r="Q8" s="49" t="str">
        <f>IF(AND('Mapa final'!$Y$34="Muy Alta",'Mapa final'!$AA$34="Menor"),CONCATENATE("R3C",'Mapa final'!$O$34),"")</f>
        <v/>
      </c>
      <c r="R8" s="49" t="str">
        <f>IF(AND('Mapa final'!$Y$35="Muy Alta",'Mapa final'!$AA$35="Menor"),CONCATENATE("R3C",'Mapa final'!$O$35),"")</f>
        <v/>
      </c>
      <c r="S8" s="49" t="str">
        <f>IF(AND('Mapa final'!$Y$36="Muy Alta",'Mapa final'!$AA$36="Menor"),CONCATENATE("R3C",'Mapa final'!$O$36),"")</f>
        <v/>
      </c>
      <c r="T8" s="49" t="e">
        <f>IF(AND('Mapa final'!#REF!="Muy Alta",'Mapa final'!#REF!="Menor"),CONCATENATE("R3C",'Mapa final'!#REF!),"")</f>
        <v>#REF!</v>
      </c>
      <c r="U8" s="50" t="e">
        <f>IF(AND('Mapa final'!#REF!="Muy Alta",'Mapa final'!#REF!="Menor"),CONCATENATE("R3C",'Mapa final'!#REF!),"")</f>
        <v>#REF!</v>
      </c>
      <c r="V8" s="48" t="str">
        <f>IF(AND('Mapa final'!$Y$33="Muy Alta",'Mapa final'!$AA$33="Moderado"),CONCATENATE("R3C",'Mapa final'!$O$33),"")</f>
        <v/>
      </c>
      <c r="W8" s="49" t="str">
        <f>IF(AND('Mapa final'!$Y$34="Muy Alta",'Mapa final'!$AA$34="Moderado"),CONCATENATE("R3C",'Mapa final'!$O$34),"")</f>
        <v/>
      </c>
      <c r="X8" s="49" t="str">
        <f>IF(AND('Mapa final'!$Y$35="Muy Alta",'Mapa final'!$AA$35="Moderado"),CONCATENATE("R3C",'Mapa final'!$O$35),"")</f>
        <v/>
      </c>
      <c r="Y8" s="49" t="str">
        <f>IF(AND('Mapa final'!$Y$36="Muy Alta",'Mapa final'!$AA$36="Moderado"),CONCATENATE("R3C",'Mapa final'!$O$36),"")</f>
        <v/>
      </c>
      <c r="Z8" s="49" t="e">
        <f>IF(AND('Mapa final'!#REF!="Muy Alta",'Mapa final'!#REF!="Moderado"),CONCATENATE("R3C",'Mapa final'!#REF!),"")</f>
        <v>#REF!</v>
      </c>
      <c r="AA8" s="50" t="e">
        <f>IF(AND('Mapa final'!#REF!="Muy Alta",'Mapa final'!#REF!="Moderado"),CONCATENATE("R3C",'Mapa final'!#REF!),"")</f>
        <v>#REF!</v>
      </c>
      <c r="AB8" s="48" t="str">
        <f>IF(AND('Mapa final'!$Y$33="Muy Alta",'Mapa final'!$AA$33="Mayor"),CONCATENATE("R3C",'Mapa final'!$O$33),"")</f>
        <v/>
      </c>
      <c r="AC8" s="49" t="str">
        <f>IF(AND('Mapa final'!$Y$34="Muy Alta",'Mapa final'!$AA$34="Mayor"),CONCATENATE("R3C",'Mapa final'!$O$34),"")</f>
        <v/>
      </c>
      <c r="AD8" s="49" t="str">
        <f>IF(AND('Mapa final'!$Y$35="Muy Alta",'Mapa final'!$AA$35="Mayor"),CONCATENATE("R3C",'Mapa final'!$O$35),"")</f>
        <v/>
      </c>
      <c r="AE8" s="49" t="str">
        <f>IF(AND('Mapa final'!$Y$36="Muy Alta",'Mapa final'!$AA$36="Mayor"),CONCATENATE("R3C",'Mapa final'!$O$36),"")</f>
        <v/>
      </c>
      <c r="AF8" s="49" t="e">
        <f>IF(AND('Mapa final'!#REF!="Muy Alta",'Mapa final'!#REF!="Mayor"),CONCATENATE("R3C",'Mapa final'!#REF!),"")</f>
        <v>#REF!</v>
      </c>
      <c r="AG8" s="50" t="e">
        <f>IF(AND('Mapa final'!#REF!="Muy Alta",'Mapa final'!#REF!="Mayor"),CONCATENATE("R3C",'Mapa final'!#REF!),"")</f>
        <v>#REF!</v>
      </c>
      <c r="AH8" s="51" t="str">
        <f>IF(AND('Mapa final'!$Y$33="Muy Alta",'Mapa final'!$AA$33="Catastrófico"),CONCATENATE("R3C",'Mapa final'!$O$33),"")</f>
        <v/>
      </c>
      <c r="AI8" s="52" t="str">
        <f>IF(AND('Mapa final'!$Y$34="Muy Alta",'Mapa final'!$AA$34="Catastrófico"),CONCATENATE("R3C",'Mapa final'!$O$34),"")</f>
        <v/>
      </c>
      <c r="AJ8" s="52" t="str">
        <f>IF(AND('Mapa final'!$Y$35="Muy Alta",'Mapa final'!$AA$35="Catastrófico"),CONCATENATE("R3C",'Mapa final'!$O$35),"")</f>
        <v/>
      </c>
      <c r="AK8" s="52" t="str">
        <f>IF(AND('Mapa final'!$Y$36="Muy Alta",'Mapa final'!$AA$36="Catastrófico"),CONCATENATE("R3C",'Mapa final'!$O$36),"")</f>
        <v/>
      </c>
      <c r="AL8" s="52" t="e">
        <f>IF(AND('Mapa final'!#REF!="Muy Alta",'Mapa final'!#REF!="Catastrófico"),CONCATENATE("R3C",'Mapa final'!#REF!),"")</f>
        <v>#REF!</v>
      </c>
      <c r="AM8" s="53" t="e">
        <f>IF(AND('Mapa final'!#REF!="Muy Alta",'Mapa final'!#REF!="Catastrófico"),CONCATENATE("R3C",'Mapa final'!#REF!),"")</f>
        <v>#REF!</v>
      </c>
      <c r="AN8" s="79"/>
      <c r="AO8" s="433"/>
      <c r="AP8" s="434"/>
      <c r="AQ8" s="434"/>
      <c r="AR8" s="434"/>
      <c r="AS8" s="434"/>
      <c r="AT8" s="435"/>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row>
    <row r="9" spans="1:91" ht="15" customHeight="1" x14ac:dyDescent="0.25">
      <c r="A9" s="79"/>
      <c r="B9" s="328"/>
      <c r="C9" s="328"/>
      <c r="D9" s="329"/>
      <c r="E9" s="427"/>
      <c r="F9" s="426"/>
      <c r="G9" s="426"/>
      <c r="H9" s="426"/>
      <c r="I9" s="442"/>
      <c r="J9" s="48" t="str">
        <f>IF(AND('Mapa final'!$Y$37="Muy Alta",'Mapa final'!$AA$37="Leve"),CONCATENATE("R4C",'Mapa final'!$O$37),"")</f>
        <v/>
      </c>
      <c r="K9" s="49" t="str">
        <f>IF(AND('Mapa final'!$Y$38="Muy Alta",'Mapa final'!$AA$38="Leve"),CONCATENATE("R4C",'Mapa final'!$O$38),"")</f>
        <v/>
      </c>
      <c r="L9" s="49" t="str">
        <f>IF(AND('Mapa final'!$Y$39="Muy Alta",'Mapa final'!$AA$39="Leve"),CONCATENATE("R4C",'Mapa final'!$O$39),"")</f>
        <v/>
      </c>
      <c r="M9" s="49" t="str">
        <f>IF(AND('Mapa final'!$Y$40="Muy Alta",'Mapa final'!$AA$40="Leve"),CONCATENATE("R4C",'Mapa final'!$O$40),"")</f>
        <v/>
      </c>
      <c r="N9" s="49" t="e">
        <f>IF(AND('Mapa final'!#REF!="Muy Alta",'Mapa final'!#REF!="Leve"),CONCATENATE("R4C",'Mapa final'!#REF!),"")</f>
        <v>#REF!</v>
      </c>
      <c r="O9" s="50" t="e">
        <f>IF(AND('Mapa final'!#REF!="Muy Alta",'Mapa final'!#REF!="Leve"),CONCATENATE("R4C",'Mapa final'!#REF!),"")</f>
        <v>#REF!</v>
      </c>
      <c r="P9" s="48" t="str">
        <f>IF(AND('Mapa final'!$Y$37="Muy Alta",'Mapa final'!$AA$37="Menor"),CONCATENATE("R4C",'Mapa final'!$O$37),"")</f>
        <v/>
      </c>
      <c r="Q9" s="49" t="str">
        <f>IF(AND('Mapa final'!$Y$38="Muy Alta",'Mapa final'!$AA$38="Menor"),CONCATENATE("R4C",'Mapa final'!$O$38),"")</f>
        <v/>
      </c>
      <c r="R9" s="49" t="str">
        <f>IF(AND('Mapa final'!$Y$39="Muy Alta",'Mapa final'!$AA$39="Menor"),CONCATENATE("R4C",'Mapa final'!$O$39),"")</f>
        <v/>
      </c>
      <c r="S9" s="49" t="str">
        <f>IF(AND('Mapa final'!$Y$40="Muy Alta",'Mapa final'!$AA$40="Menor"),CONCATENATE("R4C",'Mapa final'!$O$40),"")</f>
        <v/>
      </c>
      <c r="T9" s="49" t="e">
        <f>IF(AND('Mapa final'!#REF!="Muy Alta",'Mapa final'!#REF!="Menor"),CONCATENATE("R4C",'Mapa final'!#REF!),"")</f>
        <v>#REF!</v>
      </c>
      <c r="U9" s="50" t="e">
        <f>IF(AND('Mapa final'!#REF!="Muy Alta",'Mapa final'!#REF!="Menor"),CONCATENATE("R4C",'Mapa final'!#REF!),"")</f>
        <v>#REF!</v>
      </c>
      <c r="V9" s="48" t="str">
        <f>IF(AND('Mapa final'!$Y$37="Muy Alta",'Mapa final'!$AA$37="Moderado"),CONCATENATE("R4C",'Mapa final'!$O$37),"")</f>
        <v/>
      </c>
      <c r="W9" s="49" t="str">
        <f>IF(AND('Mapa final'!$Y$38="Muy Alta",'Mapa final'!$AA$38="Moderado"),CONCATENATE("R4C",'Mapa final'!$O$38),"")</f>
        <v/>
      </c>
      <c r="X9" s="49" t="str">
        <f>IF(AND('Mapa final'!$Y$39="Muy Alta",'Mapa final'!$AA$39="Moderado"),CONCATENATE("R4C",'Mapa final'!$O$39),"")</f>
        <v/>
      </c>
      <c r="Y9" s="49" t="str">
        <f>IF(AND('Mapa final'!$Y$40="Muy Alta",'Mapa final'!$AA$40="Moderado"),CONCATENATE("R4C",'Mapa final'!$O$40),"")</f>
        <v/>
      </c>
      <c r="Z9" s="49" t="e">
        <f>IF(AND('Mapa final'!#REF!="Muy Alta",'Mapa final'!#REF!="Moderado"),CONCATENATE("R4C",'Mapa final'!#REF!),"")</f>
        <v>#REF!</v>
      </c>
      <c r="AA9" s="50" t="e">
        <f>IF(AND('Mapa final'!#REF!="Muy Alta",'Mapa final'!#REF!="Moderado"),CONCATENATE("R4C",'Mapa final'!#REF!),"")</f>
        <v>#REF!</v>
      </c>
      <c r="AB9" s="48" t="str">
        <f>IF(AND('Mapa final'!$Y$37="Muy Alta",'Mapa final'!$AA$37="Mayor"),CONCATENATE("R4C",'Mapa final'!$O$37),"")</f>
        <v/>
      </c>
      <c r="AC9" s="49" t="str">
        <f>IF(AND('Mapa final'!$Y$38="Muy Alta",'Mapa final'!$AA$38="Mayor"),CONCATENATE("R4C",'Mapa final'!$O$38),"")</f>
        <v/>
      </c>
      <c r="AD9" s="49" t="str">
        <f>IF(AND('Mapa final'!$Y$39="Muy Alta",'Mapa final'!$AA$39="Mayor"),CONCATENATE("R4C",'Mapa final'!$O$39),"")</f>
        <v/>
      </c>
      <c r="AE9" s="49" t="str">
        <f>IF(AND('Mapa final'!$Y$40="Muy Alta",'Mapa final'!$AA$40="Mayor"),CONCATENATE("R4C",'Mapa final'!$O$40),"")</f>
        <v/>
      </c>
      <c r="AF9" s="49" t="e">
        <f>IF(AND('Mapa final'!#REF!="Muy Alta",'Mapa final'!#REF!="Mayor"),CONCATENATE("R4C",'Mapa final'!#REF!),"")</f>
        <v>#REF!</v>
      </c>
      <c r="AG9" s="50" t="e">
        <f>IF(AND('Mapa final'!#REF!="Muy Alta",'Mapa final'!#REF!="Mayor"),CONCATENATE("R4C",'Mapa final'!#REF!),"")</f>
        <v>#REF!</v>
      </c>
      <c r="AH9" s="51" t="str">
        <f>IF(AND('Mapa final'!$Y$37="Muy Alta",'Mapa final'!$AA$37="Catastrófico"),CONCATENATE("R4C",'Mapa final'!$O$37),"")</f>
        <v/>
      </c>
      <c r="AI9" s="52" t="str">
        <f>IF(AND('Mapa final'!$Y$38="Muy Alta",'Mapa final'!$AA$38="Catastrófico"),CONCATENATE("R4C",'Mapa final'!$O$38),"")</f>
        <v/>
      </c>
      <c r="AJ9" s="52" t="str">
        <f>IF(AND('Mapa final'!$Y$39="Muy Alta",'Mapa final'!$AA$39="Catastrófico"),CONCATENATE("R4C",'Mapa final'!$O$39),"")</f>
        <v/>
      </c>
      <c r="AK9" s="52" t="str">
        <f>IF(AND('Mapa final'!$Y$40="Muy Alta",'Mapa final'!$AA$40="Catastrófico"),CONCATENATE("R4C",'Mapa final'!$O$40),"")</f>
        <v/>
      </c>
      <c r="AL9" s="52" t="e">
        <f>IF(AND('Mapa final'!#REF!="Muy Alta",'Mapa final'!#REF!="Catastrófico"),CONCATENATE("R4C",'Mapa final'!#REF!),"")</f>
        <v>#REF!</v>
      </c>
      <c r="AM9" s="53" t="e">
        <f>IF(AND('Mapa final'!#REF!="Muy Alta",'Mapa final'!#REF!="Catastrófico"),CONCATENATE("R4C",'Mapa final'!#REF!),"")</f>
        <v>#REF!</v>
      </c>
      <c r="AN9" s="79"/>
      <c r="AO9" s="433"/>
      <c r="AP9" s="434"/>
      <c r="AQ9" s="434"/>
      <c r="AR9" s="434"/>
      <c r="AS9" s="434"/>
      <c r="AT9" s="435"/>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row>
    <row r="10" spans="1:91" ht="15" customHeight="1" x14ac:dyDescent="0.25">
      <c r="A10" s="79"/>
      <c r="B10" s="328"/>
      <c r="C10" s="328"/>
      <c r="D10" s="329"/>
      <c r="E10" s="427"/>
      <c r="F10" s="426"/>
      <c r="G10" s="426"/>
      <c r="H10" s="426"/>
      <c r="I10" s="442"/>
      <c r="J10" s="48" t="e">
        <f>IF(AND('Mapa final'!#REF!="Muy Alta",'Mapa final'!#REF!="Leve"),CONCATENATE("R5C",'Mapa final'!#REF!),"")</f>
        <v>#REF!</v>
      </c>
      <c r="K10" s="49" t="e">
        <f>IF(AND('Mapa final'!#REF!="Muy Alta",'Mapa final'!#REF!="Leve"),CONCATENATE("R5C",'Mapa final'!#REF!),"")</f>
        <v>#REF!</v>
      </c>
      <c r="L10" s="49" t="e">
        <f>IF(AND('Mapa final'!#REF!="Muy Alta",'Mapa final'!#REF!="Leve"),CONCATENATE("R5C",'Mapa final'!#REF!),"")</f>
        <v>#REF!</v>
      </c>
      <c r="M10" s="49" t="e">
        <f>IF(AND('Mapa final'!#REF!="Muy Alta",'Mapa final'!#REF!="Leve"),CONCATENATE("R5C",'Mapa final'!#REF!),"")</f>
        <v>#REF!</v>
      </c>
      <c r="N10" s="49" t="e">
        <f>IF(AND('Mapa final'!#REF!="Muy Alta",'Mapa final'!#REF!="Leve"),CONCATENATE("R5C",'Mapa final'!#REF!),"")</f>
        <v>#REF!</v>
      </c>
      <c r="O10" s="50" t="e">
        <f>IF(AND('Mapa final'!#REF!="Muy Alta",'Mapa final'!#REF!="Leve"),CONCATENATE("R5C",'Mapa final'!#REF!),"")</f>
        <v>#REF!</v>
      </c>
      <c r="P10" s="48" t="e">
        <f>IF(AND('Mapa final'!#REF!="Muy Alta",'Mapa final'!#REF!="Menor"),CONCATENATE("R5C",'Mapa final'!#REF!),"")</f>
        <v>#REF!</v>
      </c>
      <c r="Q10" s="49" t="e">
        <f>IF(AND('Mapa final'!#REF!="Muy Alta",'Mapa final'!#REF!="Menor"),CONCATENATE("R5C",'Mapa final'!#REF!),"")</f>
        <v>#REF!</v>
      </c>
      <c r="R10" s="49" t="e">
        <f>IF(AND('Mapa final'!#REF!="Muy Alta",'Mapa final'!#REF!="Menor"),CONCATENATE("R5C",'Mapa final'!#REF!),"")</f>
        <v>#REF!</v>
      </c>
      <c r="S10" s="49" t="e">
        <f>IF(AND('Mapa final'!#REF!="Muy Alta",'Mapa final'!#REF!="Menor"),CONCATENATE("R5C",'Mapa final'!#REF!),"")</f>
        <v>#REF!</v>
      </c>
      <c r="T10" s="49" t="e">
        <f>IF(AND('Mapa final'!#REF!="Muy Alta",'Mapa final'!#REF!="Menor"),CONCATENATE("R5C",'Mapa final'!#REF!),"")</f>
        <v>#REF!</v>
      </c>
      <c r="U10" s="50" t="e">
        <f>IF(AND('Mapa final'!#REF!="Muy Alta",'Mapa final'!#REF!="Menor"),CONCATENATE("R5C",'Mapa final'!#REF!),"")</f>
        <v>#REF!</v>
      </c>
      <c r="V10" s="48" t="e">
        <f>IF(AND('Mapa final'!#REF!="Muy Alta",'Mapa final'!#REF!="Moderado"),CONCATENATE("R5C",'Mapa final'!#REF!),"")</f>
        <v>#REF!</v>
      </c>
      <c r="W10" s="49" t="e">
        <f>IF(AND('Mapa final'!#REF!="Muy Alta",'Mapa final'!#REF!="Moderado"),CONCATENATE("R5C",'Mapa final'!#REF!),"")</f>
        <v>#REF!</v>
      </c>
      <c r="X10" s="49" t="e">
        <f>IF(AND('Mapa final'!#REF!="Muy Alta",'Mapa final'!#REF!="Moderado"),CONCATENATE("R5C",'Mapa final'!#REF!),"")</f>
        <v>#REF!</v>
      </c>
      <c r="Y10" s="49" t="e">
        <f>IF(AND('Mapa final'!#REF!="Muy Alta",'Mapa final'!#REF!="Moderado"),CONCATENATE("R5C",'Mapa final'!#REF!),"")</f>
        <v>#REF!</v>
      </c>
      <c r="Z10" s="49" t="e">
        <f>IF(AND('Mapa final'!#REF!="Muy Alta",'Mapa final'!#REF!="Moderado"),CONCATENATE("R5C",'Mapa final'!#REF!),"")</f>
        <v>#REF!</v>
      </c>
      <c r="AA10" s="50" t="e">
        <f>IF(AND('Mapa final'!#REF!="Muy Alta",'Mapa final'!#REF!="Moderado"),CONCATENATE("R5C",'Mapa final'!#REF!),"")</f>
        <v>#REF!</v>
      </c>
      <c r="AB10" s="48" t="e">
        <f>IF(AND('Mapa final'!#REF!="Muy Alta",'Mapa final'!#REF!="Mayor"),CONCATENATE("R5C",'Mapa final'!#REF!),"")</f>
        <v>#REF!</v>
      </c>
      <c r="AC10" s="49" t="e">
        <f>IF(AND('Mapa final'!#REF!="Muy Alta",'Mapa final'!#REF!="Mayor"),CONCATENATE("R5C",'Mapa final'!#REF!),"")</f>
        <v>#REF!</v>
      </c>
      <c r="AD10" s="49" t="e">
        <f>IF(AND('Mapa final'!#REF!="Muy Alta",'Mapa final'!#REF!="Mayor"),CONCATENATE("R5C",'Mapa final'!#REF!),"")</f>
        <v>#REF!</v>
      </c>
      <c r="AE10" s="49" t="e">
        <f>IF(AND('Mapa final'!#REF!="Muy Alta",'Mapa final'!#REF!="Mayor"),CONCATENATE("R5C",'Mapa final'!#REF!),"")</f>
        <v>#REF!</v>
      </c>
      <c r="AF10" s="49" t="e">
        <f>IF(AND('Mapa final'!#REF!="Muy Alta",'Mapa final'!#REF!="Mayor"),CONCATENATE("R5C",'Mapa final'!#REF!),"")</f>
        <v>#REF!</v>
      </c>
      <c r="AG10" s="50" t="e">
        <f>IF(AND('Mapa final'!#REF!="Muy Alta",'Mapa final'!#REF!="Mayor"),CONCATENATE("R5C",'Mapa final'!#REF!),"")</f>
        <v>#REF!</v>
      </c>
      <c r="AH10" s="51" t="e">
        <f>IF(AND('Mapa final'!#REF!="Muy Alta",'Mapa final'!#REF!="Catastrófico"),CONCATENATE("R5C",'Mapa final'!#REF!),"")</f>
        <v>#REF!</v>
      </c>
      <c r="AI10" s="52" t="e">
        <f>IF(AND('Mapa final'!#REF!="Muy Alta",'Mapa final'!#REF!="Catastrófico"),CONCATENATE("R5C",'Mapa final'!#REF!),"")</f>
        <v>#REF!</v>
      </c>
      <c r="AJ10" s="52" t="e">
        <f>IF(AND('Mapa final'!#REF!="Muy Alta",'Mapa final'!#REF!="Catastrófico"),CONCATENATE("R5C",'Mapa final'!#REF!),"")</f>
        <v>#REF!</v>
      </c>
      <c r="AK10" s="52" t="e">
        <f>IF(AND('Mapa final'!#REF!="Muy Alta",'Mapa final'!#REF!="Catastrófico"),CONCATENATE("R5C",'Mapa final'!#REF!),"")</f>
        <v>#REF!</v>
      </c>
      <c r="AL10" s="52" t="e">
        <f>IF(AND('Mapa final'!#REF!="Muy Alta",'Mapa final'!#REF!="Catastrófico"),CONCATENATE("R5C",'Mapa final'!#REF!),"")</f>
        <v>#REF!</v>
      </c>
      <c r="AM10" s="53" t="e">
        <f>IF(AND('Mapa final'!#REF!="Muy Alta",'Mapa final'!#REF!="Catastrófico"),CONCATENATE("R5C",'Mapa final'!#REF!),"")</f>
        <v>#REF!</v>
      </c>
      <c r="AN10" s="79"/>
      <c r="AO10" s="433"/>
      <c r="AP10" s="434"/>
      <c r="AQ10" s="434"/>
      <c r="AR10" s="434"/>
      <c r="AS10" s="434"/>
      <c r="AT10" s="435"/>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row>
    <row r="11" spans="1:91" ht="15" customHeight="1" x14ac:dyDescent="0.25">
      <c r="A11" s="79"/>
      <c r="B11" s="328"/>
      <c r="C11" s="328"/>
      <c r="D11" s="329"/>
      <c r="E11" s="427"/>
      <c r="F11" s="426"/>
      <c r="G11" s="426"/>
      <c r="H11" s="426"/>
      <c r="I11" s="442"/>
      <c r="J11" s="48" t="e">
        <f>IF(AND('Mapa final'!#REF!="Muy Alta",'Mapa final'!#REF!="Leve"),CONCATENATE("R6C",'Mapa final'!#REF!),"")</f>
        <v>#REF!</v>
      </c>
      <c r="K11" s="49" t="e">
        <f>IF(AND('Mapa final'!#REF!="Muy Alta",'Mapa final'!#REF!="Leve"),CONCATENATE("R6C",'Mapa final'!#REF!),"")</f>
        <v>#REF!</v>
      </c>
      <c r="L11" s="49" t="e">
        <f>IF(AND('Mapa final'!#REF!="Muy Alta",'Mapa final'!#REF!="Leve"),CONCATENATE("R6C",'Mapa final'!#REF!),"")</f>
        <v>#REF!</v>
      </c>
      <c r="M11" s="49" t="e">
        <f>IF(AND('Mapa final'!#REF!="Muy Alta",'Mapa final'!#REF!="Leve"),CONCATENATE("R6C",'Mapa final'!#REF!),"")</f>
        <v>#REF!</v>
      </c>
      <c r="N11" s="49" t="e">
        <f>IF(AND('Mapa final'!#REF!="Muy Alta",'Mapa final'!#REF!="Leve"),CONCATENATE("R6C",'Mapa final'!#REF!),"")</f>
        <v>#REF!</v>
      </c>
      <c r="O11" s="50" t="e">
        <f>IF(AND('Mapa final'!#REF!="Muy Alta",'Mapa final'!#REF!="Leve"),CONCATENATE("R6C",'Mapa final'!#REF!),"")</f>
        <v>#REF!</v>
      </c>
      <c r="P11" s="48" t="e">
        <f>IF(AND('Mapa final'!#REF!="Muy Alta",'Mapa final'!#REF!="Menor"),CONCATENATE("R6C",'Mapa final'!#REF!),"")</f>
        <v>#REF!</v>
      </c>
      <c r="Q11" s="49" t="e">
        <f>IF(AND('Mapa final'!#REF!="Muy Alta",'Mapa final'!#REF!="Menor"),CONCATENATE("R6C",'Mapa final'!#REF!),"")</f>
        <v>#REF!</v>
      </c>
      <c r="R11" s="49" t="e">
        <f>IF(AND('Mapa final'!#REF!="Muy Alta",'Mapa final'!#REF!="Menor"),CONCATENATE("R6C",'Mapa final'!#REF!),"")</f>
        <v>#REF!</v>
      </c>
      <c r="S11" s="49" t="e">
        <f>IF(AND('Mapa final'!#REF!="Muy Alta",'Mapa final'!#REF!="Menor"),CONCATENATE("R6C",'Mapa final'!#REF!),"")</f>
        <v>#REF!</v>
      </c>
      <c r="T11" s="49" t="e">
        <f>IF(AND('Mapa final'!#REF!="Muy Alta",'Mapa final'!#REF!="Menor"),CONCATENATE("R6C",'Mapa final'!#REF!),"")</f>
        <v>#REF!</v>
      </c>
      <c r="U11" s="50" t="e">
        <f>IF(AND('Mapa final'!#REF!="Muy Alta",'Mapa final'!#REF!="Menor"),CONCATENATE("R6C",'Mapa final'!#REF!),"")</f>
        <v>#REF!</v>
      </c>
      <c r="V11" s="48" t="e">
        <f>IF(AND('Mapa final'!#REF!="Muy Alta",'Mapa final'!#REF!="Moderado"),CONCATENATE("R6C",'Mapa final'!#REF!),"")</f>
        <v>#REF!</v>
      </c>
      <c r="W11" s="49" t="e">
        <f>IF(AND('Mapa final'!#REF!="Muy Alta",'Mapa final'!#REF!="Moderado"),CONCATENATE("R6C",'Mapa final'!#REF!),"")</f>
        <v>#REF!</v>
      </c>
      <c r="X11" s="49" t="e">
        <f>IF(AND('Mapa final'!#REF!="Muy Alta",'Mapa final'!#REF!="Moderado"),CONCATENATE("R6C",'Mapa final'!#REF!),"")</f>
        <v>#REF!</v>
      </c>
      <c r="Y11" s="49" t="e">
        <f>IF(AND('Mapa final'!#REF!="Muy Alta",'Mapa final'!#REF!="Moderado"),CONCATENATE("R6C",'Mapa final'!#REF!),"")</f>
        <v>#REF!</v>
      </c>
      <c r="Z11" s="49" t="e">
        <f>IF(AND('Mapa final'!#REF!="Muy Alta",'Mapa final'!#REF!="Moderado"),CONCATENATE("R6C",'Mapa final'!#REF!),"")</f>
        <v>#REF!</v>
      </c>
      <c r="AA11" s="50" t="e">
        <f>IF(AND('Mapa final'!#REF!="Muy Alta",'Mapa final'!#REF!="Moderado"),CONCATENATE("R6C",'Mapa final'!#REF!),"")</f>
        <v>#REF!</v>
      </c>
      <c r="AB11" s="48" t="e">
        <f>IF(AND('Mapa final'!#REF!="Muy Alta",'Mapa final'!#REF!="Mayor"),CONCATENATE("R6C",'Mapa final'!#REF!),"")</f>
        <v>#REF!</v>
      </c>
      <c r="AC11" s="49" t="e">
        <f>IF(AND('Mapa final'!#REF!="Muy Alta",'Mapa final'!#REF!="Mayor"),CONCATENATE("R6C",'Mapa final'!#REF!),"")</f>
        <v>#REF!</v>
      </c>
      <c r="AD11" s="49" t="e">
        <f>IF(AND('Mapa final'!#REF!="Muy Alta",'Mapa final'!#REF!="Mayor"),CONCATENATE("R6C",'Mapa final'!#REF!),"")</f>
        <v>#REF!</v>
      </c>
      <c r="AE11" s="49" t="e">
        <f>IF(AND('Mapa final'!#REF!="Muy Alta",'Mapa final'!#REF!="Mayor"),CONCATENATE("R6C",'Mapa final'!#REF!),"")</f>
        <v>#REF!</v>
      </c>
      <c r="AF11" s="49" t="e">
        <f>IF(AND('Mapa final'!#REF!="Muy Alta",'Mapa final'!#REF!="Mayor"),CONCATENATE("R6C",'Mapa final'!#REF!),"")</f>
        <v>#REF!</v>
      </c>
      <c r="AG11" s="50" t="e">
        <f>IF(AND('Mapa final'!#REF!="Muy Alta",'Mapa final'!#REF!="Mayor"),CONCATENATE("R6C",'Mapa final'!#REF!),"")</f>
        <v>#REF!</v>
      </c>
      <c r="AH11" s="51" t="e">
        <f>IF(AND('Mapa final'!#REF!="Muy Alta",'Mapa final'!#REF!="Catastrófico"),CONCATENATE("R6C",'Mapa final'!#REF!),"")</f>
        <v>#REF!</v>
      </c>
      <c r="AI11" s="52" t="e">
        <f>IF(AND('Mapa final'!#REF!="Muy Alta",'Mapa final'!#REF!="Catastrófico"),CONCATENATE("R6C",'Mapa final'!#REF!),"")</f>
        <v>#REF!</v>
      </c>
      <c r="AJ11" s="52" t="e">
        <f>IF(AND('Mapa final'!#REF!="Muy Alta",'Mapa final'!#REF!="Catastrófico"),CONCATENATE("R6C",'Mapa final'!#REF!),"")</f>
        <v>#REF!</v>
      </c>
      <c r="AK11" s="52" t="e">
        <f>IF(AND('Mapa final'!#REF!="Muy Alta",'Mapa final'!#REF!="Catastrófico"),CONCATENATE("R6C",'Mapa final'!#REF!),"")</f>
        <v>#REF!</v>
      </c>
      <c r="AL11" s="52" t="e">
        <f>IF(AND('Mapa final'!#REF!="Muy Alta",'Mapa final'!#REF!="Catastrófico"),CONCATENATE("R6C",'Mapa final'!#REF!),"")</f>
        <v>#REF!</v>
      </c>
      <c r="AM11" s="53" t="e">
        <f>IF(AND('Mapa final'!#REF!="Muy Alta",'Mapa final'!#REF!="Catastrófico"),CONCATENATE("R6C",'Mapa final'!#REF!),"")</f>
        <v>#REF!</v>
      </c>
      <c r="AN11" s="79"/>
      <c r="AO11" s="433"/>
      <c r="AP11" s="434"/>
      <c r="AQ11" s="434"/>
      <c r="AR11" s="434"/>
      <c r="AS11" s="434"/>
      <c r="AT11" s="435"/>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row>
    <row r="12" spans="1:91" ht="15" customHeight="1" x14ac:dyDescent="0.25">
      <c r="A12" s="79"/>
      <c r="B12" s="328"/>
      <c r="C12" s="328"/>
      <c r="D12" s="329"/>
      <c r="E12" s="427"/>
      <c r="F12" s="426"/>
      <c r="G12" s="426"/>
      <c r="H12" s="426"/>
      <c r="I12" s="442"/>
      <c r="J12" s="48" t="e">
        <f>IF(AND('Mapa final'!#REF!="Muy Alta",'Mapa final'!#REF!="Leve"),CONCATENATE("R7C",'Mapa final'!#REF!),"")</f>
        <v>#REF!</v>
      </c>
      <c r="K12" s="49" t="e">
        <f>IF(AND('Mapa final'!#REF!="Muy Alta",'Mapa final'!#REF!="Leve"),CONCATENATE("R7C",'Mapa final'!#REF!),"")</f>
        <v>#REF!</v>
      </c>
      <c r="L12" s="49" t="e">
        <f>IF(AND('Mapa final'!#REF!="Muy Alta",'Mapa final'!#REF!="Leve"),CONCATENATE("R7C",'Mapa final'!#REF!),"")</f>
        <v>#REF!</v>
      </c>
      <c r="M12" s="49" t="e">
        <f>IF(AND('Mapa final'!#REF!="Muy Alta",'Mapa final'!#REF!="Leve"),CONCATENATE("R7C",'Mapa final'!#REF!),"")</f>
        <v>#REF!</v>
      </c>
      <c r="N12" s="49" t="e">
        <f>IF(AND('Mapa final'!#REF!="Muy Alta",'Mapa final'!#REF!="Leve"),CONCATENATE("R7C",'Mapa final'!#REF!),"")</f>
        <v>#REF!</v>
      </c>
      <c r="O12" s="50" t="e">
        <f>IF(AND('Mapa final'!#REF!="Muy Alta",'Mapa final'!#REF!="Leve"),CONCATENATE("R7C",'Mapa final'!#REF!),"")</f>
        <v>#REF!</v>
      </c>
      <c r="P12" s="48" t="e">
        <f>IF(AND('Mapa final'!#REF!="Muy Alta",'Mapa final'!#REF!="Menor"),CONCATENATE("R7C",'Mapa final'!#REF!),"")</f>
        <v>#REF!</v>
      </c>
      <c r="Q12" s="49" t="e">
        <f>IF(AND('Mapa final'!#REF!="Muy Alta",'Mapa final'!#REF!="Menor"),CONCATENATE("R7C",'Mapa final'!#REF!),"")</f>
        <v>#REF!</v>
      </c>
      <c r="R12" s="49" t="e">
        <f>IF(AND('Mapa final'!#REF!="Muy Alta",'Mapa final'!#REF!="Menor"),CONCATENATE("R7C",'Mapa final'!#REF!),"")</f>
        <v>#REF!</v>
      </c>
      <c r="S12" s="49" t="e">
        <f>IF(AND('Mapa final'!#REF!="Muy Alta",'Mapa final'!#REF!="Menor"),CONCATENATE("R7C",'Mapa final'!#REF!),"")</f>
        <v>#REF!</v>
      </c>
      <c r="T12" s="49" t="e">
        <f>IF(AND('Mapa final'!#REF!="Muy Alta",'Mapa final'!#REF!="Menor"),CONCATENATE("R7C",'Mapa final'!#REF!),"")</f>
        <v>#REF!</v>
      </c>
      <c r="U12" s="50" t="e">
        <f>IF(AND('Mapa final'!#REF!="Muy Alta",'Mapa final'!#REF!="Menor"),CONCATENATE("R7C",'Mapa final'!#REF!),"")</f>
        <v>#REF!</v>
      </c>
      <c r="V12" s="48" t="e">
        <f>IF(AND('Mapa final'!#REF!="Muy Alta",'Mapa final'!#REF!="Moderado"),CONCATENATE("R7C",'Mapa final'!#REF!),"")</f>
        <v>#REF!</v>
      </c>
      <c r="W12" s="49" t="e">
        <f>IF(AND('Mapa final'!#REF!="Muy Alta",'Mapa final'!#REF!="Moderado"),CONCATENATE("R7C",'Mapa final'!#REF!),"")</f>
        <v>#REF!</v>
      </c>
      <c r="X12" s="49" t="e">
        <f>IF(AND('Mapa final'!#REF!="Muy Alta",'Mapa final'!#REF!="Moderado"),CONCATENATE("R7C",'Mapa final'!#REF!),"")</f>
        <v>#REF!</v>
      </c>
      <c r="Y12" s="49" t="e">
        <f>IF(AND('Mapa final'!#REF!="Muy Alta",'Mapa final'!#REF!="Moderado"),CONCATENATE("R7C",'Mapa final'!#REF!),"")</f>
        <v>#REF!</v>
      </c>
      <c r="Z12" s="49" t="e">
        <f>IF(AND('Mapa final'!#REF!="Muy Alta",'Mapa final'!#REF!="Moderado"),CONCATENATE("R7C",'Mapa final'!#REF!),"")</f>
        <v>#REF!</v>
      </c>
      <c r="AA12" s="50" t="e">
        <f>IF(AND('Mapa final'!#REF!="Muy Alta",'Mapa final'!#REF!="Moderado"),CONCATENATE("R7C",'Mapa final'!#REF!),"")</f>
        <v>#REF!</v>
      </c>
      <c r="AB12" s="48" t="e">
        <f>IF(AND('Mapa final'!#REF!="Muy Alta",'Mapa final'!#REF!="Mayor"),CONCATENATE("R7C",'Mapa final'!#REF!),"")</f>
        <v>#REF!</v>
      </c>
      <c r="AC12" s="49" t="e">
        <f>IF(AND('Mapa final'!#REF!="Muy Alta",'Mapa final'!#REF!="Mayor"),CONCATENATE("R7C",'Mapa final'!#REF!),"")</f>
        <v>#REF!</v>
      </c>
      <c r="AD12" s="49" t="e">
        <f>IF(AND('Mapa final'!#REF!="Muy Alta",'Mapa final'!#REF!="Mayor"),CONCATENATE("R7C",'Mapa final'!#REF!),"")</f>
        <v>#REF!</v>
      </c>
      <c r="AE12" s="49" t="e">
        <f>IF(AND('Mapa final'!#REF!="Muy Alta",'Mapa final'!#REF!="Mayor"),CONCATENATE("R7C",'Mapa final'!#REF!),"")</f>
        <v>#REF!</v>
      </c>
      <c r="AF12" s="49" t="e">
        <f>IF(AND('Mapa final'!#REF!="Muy Alta",'Mapa final'!#REF!="Mayor"),CONCATENATE("R7C",'Mapa final'!#REF!),"")</f>
        <v>#REF!</v>
      </c>
      <c r="AG12" s="50" t="e">
        <f>IF(AND('Mapa final'!#REF!="Muy Alta",'Mapa final'!#REF!="Mayor"),CONCATENATE("R7C",'Mapa final'!#REF!),"")</f>
        <v>#REF!</v>
      </c>
      <c r="AH12" s="51" t="e">
        <f>IF(AND('Mapa final'!#REF!="Muy Alta",'Mapa final'!#REF!="Catastrófico"),CONCATENATE("R7C",'Mapa final'!#REF!),"")</f>
        <v>#REF!</v>
      </c>
      <c r="AI12" s="52" t="e">
        <f>IF(AND('Mapa final'!#REF!="Muy Alta",'Mapa final'!#REF!="Catastrófico"),CONCATENATE("R7C",'Mapa final'!#REF!),"")</f>
        <v>#REF!</v>
      </c>
      <c r="AJ12" s="52" t="e">
        <f>IF(AND('Mapa final'!#REF!="Muy Alta",'Mapa final'!#REF!="Catastrófico"),CONCATENATE("R7C",'Mapa final'!#REF!),"")</f>
        <v>#REF!</v>
      </c>
      <c r="AK12" s="52" t="e">
        <f>IF(AND('Mapa final'!#REF!="Muy Alta",'Mapa final'!#REF!="Catastrófico"),CONCATENATE("R7C",'Mapa final'!#REF!),"")</f>
        <v>#REF!</v>
      </c>
      <c r="AL12" s="52" t="e">
        <f>IF(AND('Mapa final'!#REF!="Muy Alta",'Mapa final'!#REF!="Catastrófico"),CONCATENATE("R7C",'Mapa final'!#REF!),"")</f>
        <v>#REF!</v>
      </c>
      <c r="AM12" s="53" t="e">
        <f>IF(AND('Mapa final'!#REF!="Muy Alta",'Mapa final'!#REF!="Catastrófico"),CONCATENATE("R7C",'Mapa final'!#REF!),"")</f>
        <v>#REF!</v>
      </c>
      <c r="AN12" s="79"/>
      <c r="AO12" s="433"/>
      <c r="AP12" s="434"/>
      <c r="AQ12" s="434"/>
      <c r="AR12" s="434"/>
      <c r="AS12" s="434"/>
      <c r="AT12" s="435"/>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row>
    <row r="13" spans="1:91" ht="15" customHeight="1" x14ac:dyDescent="0.25">
      <c r="A13" s="79"/>
      <c r="B13" s="328"/>
      <c r="C13" s="328"/>
      <c r="D13" s="329"/>
      <c r="E13" s="427"/>
      <c r="F13" s="426"/>
      <c r="G13" s="426"/>
      <c r="H13" s="426"/>
      <c r="I13" s="442"/>
      <c r="J13" s="48" t="str">
        <f>IF(AND('Mapa final'!$Y$41="Muy Alta",'Mapa final'!$AA$41="Leve"),CONCATENATE("R8C",'Mapa final'!$O$41),"")</f>
        <v/>
      </c>
      <c r="K13" s="49" t="str">
        <f>IF(AND('Mapa final'!$Y$42="Muy Alta",'Mapa final'!$AA$42="Leve"),CONCATENATE("R8C",'Mapa final'!$O$42),"")</f>
        <v/>
      </c>
      <c r="L13" s="49" t="str">
        <f>IF(AND('Mapa final'!$Y$43="Muy Alta",'Mapa final'!$AA$43="Leve"),CONCATENATE("R8C",'Mapa final'!$O$43),"")</f>
        <v/>
      </c>
      <c r="M13" s="49" t="str">
        <f>IF(AND('Mapa final'!$Y$44="Muy Alta",'Mapa final'!$AA$44="Leve"),CONCATENATE("R8C",'Mapa final'!$O$44),"")</f>
        <v/>
      </c>
      <c r="N13" s="49" t="str">
        <f>IF(AND('Mapa final'!$Y$45="Muy Alta",'Mapa final'!$AA$45="Leve"),CONCATENATE("R8C",'Mapa final'!$O$45),"")</f>
        <v/>
      </c>
      <c r="O13" s="50" t="str">
        <f>IF(AND('Mapa final'!$Y$46="Muy Alta",'Mapa final'!$AA$46="Leve"),CONCATENATE("R8C",'Mapa final'!$O$46),"")</f>
        <v/>
      </c>
      <c r="P13" s="48" t="str">
        <f>IF(AND('Mapa final'!$Y$41="Muy Alta",'Mapa final'!$AA$41="Menor"),CONCATENATE("R8C",'Mapa final'!$O$41),"")</f>
        <v/>
      </c>
      <c r="Q13" s="49" t="str">
        <f>IF(AND('Mapa final'!$Y$42="Muy Alta",'Mapa final'!$AA$42="Menor"),CONCATENATE("R8C",'Mapa final'!$O$42),"")</f>
        <v/>
      </c>
      <c r="R13" s="49" t="str">
        <f>IF(AND('Mapa final'!$Y$43="Muy Alta",'Mapa final'!$AA$43="Menor"),CONCATENATE("R8C",'Mapa final'!$O$43),"")</f>
        <v/>
      </c>
      <c r="S13" s="49" t="str">
        <f>IF(AND('Mapa final'!$Y$44="Muy Alta",'Mapa final'!$AA$44="Menor"),CONCATENATE("R8C",'Mapa final'!$O$44),"")</f>
        <v/>
      </c>
      <c r="T13" s="49" t="str">
        <f>IF(AND('Mapa final'!$Y$45="Muy Alta",'Mapa final'!$AA$45="Menor"),CONCATENATE("R8C",'Mapa final'!$O$45),"")</f>
        <v/>
      </c>
      <c r="U13" s="50" t="str">
        <f>IF(AND('Mapa final'!$Y$46="Muy Alta",'Mapa final'!$AA$46="Menor"),CONCATENATE("R8C",'Mapa final'!$O$46),"")</f>
        <v/>
      </c>
      <c r="V13" s="48" t="str">
        <f>IF(AND('Mapa final'!$Y$41="Muy Alta",'Mapa final'!$AA$41="Moderado"),CONCATENATE("R8C",'Mapa final'!$O$41),"")</f>
        <v/>
      </c>
      <c r="W13" s="49" t="str">
        <f>IF(AND('Mapa final'!$Y$42="Muy Alta",'Mapa final'!$AA$42="Moderado"),CONCATENATE("R8C",'Mapa final'!$O$42),"")</f>
        <v/>
      </c>
      <c r="X13" s="49" t="str">
        <f>IF(AND('Mapa final'!$Y$43="Muy Alta",'Mapa final'!$AA$43="Moderado"),CONCATENATE("R8C",'Mapa final'!$O$43),"")</f>
        <v/>
      </c>
      <c r="Y13" s="49" t="str">
        <f>IF(AND('Mapa final'!$Y$44="Muy Alta",'Mapa final'!$AA$44="Moderado"),CONCATENATE("R8C",'Mapa final'!$O$44),"")</f>
        <v/>
      </c>
      <c r="Z13" s="49" t="str">
        <f>IF(AND('Mapa final'!$Y$45="Muy Alta",'Mapa final'!$AA$45="Moderado"),CONCATENATE("R8C",'Mapa final'!$O$45),"")</f>
        <v/>
      </c>
      <c r="AA13" s="50" t="str">
        <f>IF(AND('Mapa final'!$Y$46="Muy Alta",'Mapa final'!$AA$46="Moderado"),CONCATENATE("R8C",'Mapa final'!$O$46),"")</f>
        <v/>
      </c>
      <c r="AB13" s="48" t="str">
        <f>IF(AND('Mapa final'!$Y$41="Muy Alta",'Mapa final'!$AA$41="Mayor"),CONCATENATE("R8C",'Mapa final'!$O$41),"")</f>
        <v/>
      </c>
      <c r="AC13" s="49" t="str">
        <f>IF(AND('Mapa final'!$Y$42="Muy Alta",'Mapa final'!$AA$42="Mayor"),CONCATENATE("R8C",'Mapa final'!$O$42),"")</f>
        <v/>
      </c>
      <c r="AD13" s="49" t="str">
        <f>IF(AND('Mapa final'!$Y$43="Muy Alta",'Mapa final'!$AA$43="Mayor"),CONCATENATE("R8C",'Mapa final'!$O$43),"")</f>
        <v/>
      </c>
      <c r="AE13" s="49" t="str">
        <f>IF(AND('Mapa final'!$Y$44="Muy Alta",'Mapa final'!$AA$44="Mayor"),CONCATENATE("R8C",'Mapa final'!$O$44),"")</f>
        <v/>
      </c>
      <c r="AF13" s="49" t="str">
        <f>IF(AND('Mapa final'!$Y$45="Muy Alta",'Mapa final'!$AA$45="Mayor"),CONCATENATE("R8C",'Mapa final'!$O$45),"")</f>
        <v/>
      </c>
      <c r="AG13" s="50" t="str">
        <f>IF(AND('Mapa final'!$Y$46="Muy Alta",'Mapa final'!$AA$46="Mayor"),CONCATENATE("R8C",'Mapa final'!$O$46),"")</f>
        <v/>
      </c>
      <c r="AH13" s="51" t="str">
        <f>IF(AND('Mapa final'!$Y$41="Muy Alta",'Mapa final'!$AA$41="Catastrófico"),CONCATENATE("R8C",'Mapa final'!$O$41),"")</f>
        <v/>
      </c>
      <c r="AI13" s="52" t="str">
        <f>IF(AND('Mapa final'!$Y$42="Muy Alta",'Mapa final'!$AA$42="Catastrófico"),CONCATENATE("R8C",'Mapa final'!$O$42),"")</f>
        <v/>
      </c>
      <c r="AJ13" s="52" t="str">
        <f>IF(AND('Mapa final'!$Y$43="Muy Alta",'Mapa final'!$AA$43="Catastrófico"),CONCATENATE("R8C",'Mapa final'!$O$43),"")</f>
        <v/>
      </c>
      <c r="AK13" s="52" t="str">
        <f>IF(AND('Mapa final'!$Y$44="Muy Alta",'Mapa final'!$AA$44="Catastrófico"),CONCATENATE("R8C",'Mapa final'!$O$44),"")</f>
        <v/>
      </c>
      <c r="AL13" s="52" t="str">
        <f>IF(AND('Mapa final'!$Y$45="Muy Alta",'Mapa final'!$AA$45="Catastrófico"),CONCATENATE("R8C",'Mapa final'!$O$45),"")</f>
        <v/>
      </c>
      <c r="AM13" s="53" t="str">
        <f>IF(AND('Mapa final'!$Y$46="Muy Alta",'Mapa final'!$AA$46="Catastrófico"),CONCATENATE("R8C",'Mapa final'!$O$46),"")</f>
        <v/>
      </c>
      <c r="AN13" s="79"/>
      <c r="AO13" s="433"/>
      <c r="AP13" s="434"/>
      <c r="AQ13" s="434"/>
      <c r="AR13" s="434"/>
      <c r="AS13" s="434"/>
      <c r="AT13" s="435"/>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row>
    <row r="14" spans="1:91" ht="15" customHeight="1" x14ac:dyDescent="0.25">
      <c r="A14" s="79"/>
      <c r="B14" s="328"/>
      <c r="C14" s="328"/>
      <c r="D14" s="329"/>
      <c r="E14" s="427"/>
      <c r="F14" s="426"/>
      <c r="G14" s="426"/>
      <c r="H14" s="426"/>
      <c r="I14" s="442"/>
      <c r="J14" s="48" t="str">
        <f>IF(AND('Mapa final'!$Y$47="Muy Alta",'Mapa final'!$AA$47="Leve"),CONCATENATE("R9C",'Mapa final'!$O$47),"")</f>
        <v/>
      </c>
      <c r="K14" s="49" t="str">
        <f>IF(AND('Mapa final'!$Y$48="Muy Alta",'Mapa final'!$AA$48="Leve"),CONCATENATE("R9C",'Mapa final'!$O$48),"")</f>
        <v/>
      </c>
      <c r="L14" s="49" t="str">
        <f>IF(AND('Mapa final'!$Y$49="Muy Alta",'Mapa final'!$AA$49="Leve"),CONCATENATE("R9C",'Mapa final'!$O$49),"")</f>
        <v/>
      </c>
      <c r="M14" s="49" t="str">
        <f>IF(AND('Mapa final'!$Y$50="Muy Alta",'Mapa final'!$AA$50="Leve"),CONCATENATE("R9C",'Mapa final'!$O$50),"")</f>
        <v/>
      </c>
      <c r="N14" s="49" t="str">
        <f>IF(AND('Mapa final'!$Y$51="Muy Alta",'Mapa final'!$AA$51="Leve"),CONCATENATE("R9C",'Mapa final'!$O$51),"")</f>
        <v/>
      </c>
      <c r="O14" s="50" t="str">
        <f>IF(AND('Mapa final'!$Y$52="Muy Alta",'Mapa final'!$AA$52="Leve"),CONCATENATE("R9C",'Mapa final'!$O$52),"")</f>
        <v/>
      </c>
      <c r="P14" s="48" t="str">
        <f>IF(AND('Mapa final'!$Y$47="Muy Alta",'Mapa final'!$AA$47="Menor"),CONCATENATE("R9C",'Mapa final'!$O$47),"")</f>
        <v/>
      </c>
      <c r="Q14" s="49" t="str">
        <f>IF(AND('Mapa final'!$Y$48="Muy Alta",'Mapa final'!$AA$48="Menor"),CONCATENATE("R9C",'Mapa final'!$O$48),"")</f>
        <v/>
      </c>
      <c r="R14" s="49" t="str">
        <f>IF(AND('Mapa final'!$Y$49="Muy Alta",'Mapa final'!$AA$49="Menor"),CONCATENATE("R9C",'Mapa final'!$O$49),"")</f>
        <v/>
      </c>
      <c r="S14" s="49" t="str">
        <f>IF(AND('Mapa final'!$Y$50="Muy Alta",'Mapa final'!$AA$50="Menor"),CONCATENATE("R9C",'Mapa final'!$O$50),"")</f>
        <v/>
      </c>
      <c r="T14" s="49" t="str">
        <f>IF(AND('Mapa final'!$Y$51="Muy Alta",'Mapa final'!$AA$51="Menor"),CONCATENATE("R9C",'Mapa final'!$O$51),"")</f>
        <v/>
      </c>
      <c r="U14" s="50" t="str">
        <f>IF(AND('Mapa final'!$Y$52="Muy Alta",'Mapa final'!$AA$52="Menor"),CONCATENATE("R9C",'Mapa final'!$O$52),"")</f>
        <v/>
      </c>
      <c r="V14" s="48" t="str">
        <f>IF(AND('Mapa final'!$Y$47="Muy Alta",'Mapa final'!$AA$47="Moderado"),CONCATENATE("R9C",'Mapa final'!$O$47),"")</f>
        <v/>
      </c>
      <c r="W14" s="49" t="str">
        <f>IF(AND('Mapa final'!$Y$48="Muy Alta",'Mapa final'!$AA$48="Moderado"),CONCATENATE("R9C",'Mapa final'!$O$48),"")</f>
        <v/>
      </c>
      <c r="X14" s="49" t="str">
        <f>IF(AND('Mapa final'!$Y$49="Muy Alta",'Mapa final'!$AA$49="Moderado"),CONCATENATE("R9C",'Mapa final'!$O$49),"")</f>
        <v/>
      </c>
      <c r="Y14" s="49" t="str">
        <f>IF(AND('Mapa final'!$Y$50="Muy Alta",'Mapa final'!$AA$50="Moderado"),CONCATENATE("R9C",'Mapa final'!$O$50),"")</f>
        <v/>
      </c>
      <c r="Z14" s="49" t="str">
        <f>IF(AND('Mapa final'!$Y$51="Muy Alta",'Mapa final'!$AA$51="Moderado"),CONCATENATE("R9C",'Mapa final'!$O$51),"")</f>
        <v/>
      </c>
      <c r="AA14" s="50" t="str">
        <f>IF(AND('Mapa final'!$Y$52="Muy Alta",'Mapa final'!$AA$52="Moderado"),CONCATENATE("R9C",'Mapa final'!$O$52),"")</f>
        <v/>
      </c>
      <c r="AB14" s="48" t="str">
        <f>IF(AND('Mapa final'!$Y$47="Muy Alta",'Mapa final'!$AA$47="Mayor"),CONCATENATE("R9C",'Mapa final'!$O$47),"")</f>
        <v/>
      </c>
      <c r="AC14" s="49" t="str">
        <f>IF(AND('Mapa final'!$Y$48="Muy Alta",'Mapa final'!$AA$48="Mayor"),CONCATENATE("R9C",'Mapa final'!$O$48),"")</f>
        <v/>
      </c>
      <c r="AD14" s="49" t="str">
        <f>IF(AND('Mapa final'!$Y$49="Muy Alta",'Mapa final'!$AA$49="Mayor"),CONCATENATE("R9C",'Mapa final'!$O$49),"")</f>
        <v/>
      </c>
      <c r="AE14" s="49" t="str">
        <f>IF(AND('Mapa final'!$Y$50="Muy Alta",'Mapa final'!$AA$50="Mayor"),CONCATENATE("R9C",'Mapa final'!$O$50),"")</f>
        <v/>
      </c>
      <c r="AF14" s="49" t="str">
        <f>IF(AND('Mapa final'!$Y$51="Muy Alta",'Mapa final'!$AA$51="Mayor"),CONCATENATE("R9C",'Mapa final'!$O$51),"")</f>
        <v/>
      </c>
      <c r="AG14" s="50" t="str">
        <f>IF(AND('Mapa final'!$Y$52="Muy Alta",'Mapa final'!$AA$52="Mayor"),CONCATENATE("R9C",'Mapa final'!$O$52),"")</f>
        <v/>
      </c>
      <c r="AH14" s="51" t="str">
        <f>IF(AND('Mapa final'!$Y$47="Muy Alta",'Mapa final'!$AA$47="Catastrófico"),CONCATENATE("R9C",'Mapa final'!$O$47),"")</f>
        <v/>
      </c>
      <c r="AI14" s="52" t="str">
        <f>IF(AND('Mapa final'!$Y$48="Muy Alta",'Mapa final'!$AA$48="Catastrófico"),CONCATENATE("R9C",'Mapa final'!$O$48),"")</f>
        <v/>
      </c>
      <c r="AJ14" s="52" t="str">
        <f>IF(AND('Mapa final'!$Y$49="Muy Alta",'Mapa final'!$AA$49="Catastrófico"),CONCATENATE("R9C",'Mapa final'!$O$49),"")</f>
        <v/>
      </c>
      <c r="AK14" s="52" t="str">
        <f>IF(AND('Mapa final'!$Y$50="Muy Alta",'Mapa final'!$AA$50="Catastrófico"),CONCATENATE("R9C",'Mapa final'!$O$50),"")</f>
        <v/>
      </c>
      <c r="AL14" s="52" t="str">
        <f>IF(AND('Mapa final'!$Y$51="Muy Alta",'Mapa final'!$AA$51="Catastrófico"),CONCATENATE("R9C",'Mapa final'!$O$51),"")</f>
        <v/>
      </c>
      <c r="AM14" s="53" t="str">
        <f>IF(AND('Mapa final'!$Y$52="Muy Alta",'Mapa final'!$AA$52="Catastrófico"),CONCATENATE("R9C",'Mapa final'!$O$52),"")</f>
        <v/>
      </c>
      <c r="AN14" s="79"/>
      <c r="AO14" s="433"/>
      <c r="AP14" s="434"/>
      <c r="AQ14" s="434"/>
      <c r="AR14" s="434"/>
      <c r="AS14" s="434"/>
      <c r="AT14" s="435"/>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row>
    <row r="15" spans="1:91" ht="15.75" customHeight="1" thickBot="1" x14ac:dyDescent="0.3">
      <c r="A15" s="79"/>
      <c r="B15" s="328"/>
      <c r="C15" s="328"/>
      <c r="D15" s="329"/>
      <c r="E15" s="428"/>
      <c r="F15" s="429"/>
      <c r="G15" s="429"/>
      <c r="H15" s="429"/>
      <c r="I15" s="443"/>
      <c r="J15" s="54" t="str">
        <f>IF(AND('Mapa final'!$Y$53="Muy Alta",'Mapa final'!$AA$53="Leve"),CONCATENATE("R10C",'Mapa final'!$O$53),"")</f>
        <v/>
      </c>
      <c r="K15" s="55" t="str">
        <f>IF(AND('Mapa final'!$Y$54="Muy Alta",'Mapa final'!$AA$54="Leve"),CONCATENATE("R10C",'Mapa final'!$O$54),"")</f>
        <v/>
      </c>
      <c r="L15" s="55" t="str">
        <f>IF(AND('Mapa final'!$Y$55="Muy Alta",'Mapa final'!$AA$55="Leve"),CONCATENATE("R10C",'Mapa final'!$O$55),"")</f>
        <v/>
      </c>
      <c r="M15" s="55" t="str">
        <f>IF(AND('Mapa final'!$Y$56="Muy Alta",'Mapa final'!$AA$56="Leve"),CONCATENATE("R10C",'Mapa final'!$O$56),"")</f>
        <v/>
      </c>
      <c r="N15" s="55" t="str">
        <f>IF(AND('Mapa final'!$Y$57="Muy Alta",'Mapa final'!$AA$57="Leve"),CONCATENATE("R10C",'Mapa final'!$O$57),"")</f>
        <v/>
      </c>
      <c r="O15" s="56" t="str">
        <f>IF(AND('Mapa final'!$Y$58="Muy Alta",'Mapa final'!$AA$58="Leve"),CONCATENATE("R10C",'Mapa final'!$O$58),"")</f>
        <v/>
      </c>
      <c r="P15" s="48" t="str">
        <f>IF(AND('Mapa final'!$Y$53="Muy Alta",'Mapa final'!$AA$53="Menor"),CONCATENATE("R10C",'Mapa final'!$O$53),"")</f>
        <v/>
      </c>
      <c r="Q15" s="49" t="str">
        <f>IF(AND('Mapa final'!$Y$54="Muy Alta",'Mapa final'!$AA$54="Menor"),CONCATENATE("R10C",'Mapa final'!$O$54),"")</f>
        <v/>
      </c>
      <c r="R15" s="49" t="str">
        <f>IF(AND('Mapa final'!$Y$55="Muy Alta",'Mapa final'!$AA$55="Menor"),CONCATENATE("R10C",'Mapa final'!$O$55),"")</f>
        <v/>
      </c>
      <c r="S15" s="49" t="str">
        <f>IF(AND('Mapa final'!$Y$56="Muy Alta",'Mapa final'!$AA$56="Menor"),CONCATENATE("R10C",'Mapa final'!$O$56),"")</f>
        <v/>
      </c>
      <c r="T15" s="49" t="str">
        <f>IF(AND('Mapa final'!$Y$57="Muy Alta",'Mapa final'!$AA$57="Menor"),CONCATENATE("R10C",'Mapa final'!$O$57),"")</f>
        <v/>
      </c>
      <c r="U15" s="50" t="str">
        <f>IF(AND('Mapa final'!$Y$58="Muy Alta",'Mapa final'!$AA$58="Menor"),CONCATENATE("R10C",'Mapa final'!$O$58),"")</f>
        <v/>
      </c>
      <c r="V15" s="54" t="str">
        <f>IF(AND('Mapa final'!$Y$53="Muy Alta",'Mapa final'!$AA$53="Moderado"),CONCATENATE("R10C",'Mapa final'!$O$53),"")</f>
        <v/>
      </c>
      <c r="W15" s="55" t="str">
        <f>IF(AND('Mapa final'!$Y$54="Muy Alta",'Mapa final'!$AA$54="Moderado"),CONCATENATE("R10C",'Mapa final'!$O$54),"")</f>
        <v/>
      </c>
      <c r="X15" s="55" t="str">
        <f>IF(AND('Mapa final'!$Y$55="Muy Alta",'Mapa final'!$AA$55="Moderado"),CONCATENATE("R10C",'Mapa final'!$O$55),"")</f>
        <v/>
      </c>
      <c r="Y15" s="55" t="str">
        <f>IF(AND('Mapa final'!$Y$56="Muy Alta",'Mapa final'!$AA$56="Moderado"),CONCATENATE("R10C",'Mapa final'!$O$56),"")</f>
        <v/>
      </c>
      <c r="Z15" s="55" t="str">
        <f>IF(AND('Mapa final'!$Y$57="Muy Alta",'Mapa final'!$AA$57="Moderado"),CONCATENATE("R10C",'Mapa final'!$O$57),"")</f>
        <v/>
      </c>
      <c r="AA15" s="56" t="str">
        <f>IF(AND('Mapa final'!$Y$58="Muy Alta",'Mapa final'!$AA$58="Moderado"),CONCATENATE("R10C",'Mapa final'!$O$58),"")</f>
        <v/>
      </c>
      <c r="AB15" s="48" t="str">
        <f>IF(AND('Mapa final'!$Y$53="Muy Alta",'Mapa final'!$AA$53="Mayor"),CONCATENATE("R10C",'Mapa final'!$O$53),"")</f>
        <v/>
      </c>
      <c r="AC15" s="49" t="str">
        <f>IF(AND('Mapa final'!$Y$54="Muy Alta",'Mapa final'!$AA$54="Mayor"),CONCATENATE("R10C",'Mapa final'!$O$54),"")</f>
        <v/>
      </c>
      <c r="AD15" s="49" t="str">
        <f>IF(AND('Mapa final'!$Y$55="Muy Alta",'Mapa final'!$AA$55="Mayor"),CONCATENATE("R10C",'Mapa final'!$O$55),"")</f>
        <v/>
      </c>
      <c r="AE15" s="49" t="str">
        <f>IF(AND('Mapa final'!$Y$56="Muy Alta",'Mapa final'!$AA$56="Mayor"),CONCATENATE("R10C",'Mapa final'!$O$56),"")</f>
        <v/>
      </c>
      <c r="AF15" s="49" t="str">
        <f>IF(AND('Mapa final'!$Y$57="Muy Alta",'Mapa final'!$AA$57="Mayor"),CONCATENATE("R10C",'Mapa final'!$O$57),"")</f>
        <v/>
      </c>
      <c r="AG15" s="50" t="str">
        <f>IF(AND('Mapa final'!$Y$58="Muy Alta",'Mapa final'!$AA$58="Mayor"),CONCATENATE("R10C",'Mapa final'!$O$58),"")</f>
        <v/>
      </c>
      <c r="AH15" s="57" t="str">
        <f>IF(AND('Mapa final'!$Y$53="Muy Alta",'Mapa final'!$AA$53="Catastrófico"),CONCATENATE("R10C",'Mapa final'!$O$53),"")</f>
        <v/>
      </c>
      <c r="AI15" s="58" t="str">
        <f>IF(AND('Mapa final'!$Y$54="Muy Alta",'Mapa final'!$AA$54="Catastrófico"),CONCATENATE("R10C",'Mapa final'!$O$54),"")</f>
        <v/>
      </c>
      <c r="AJ15" s="58" t="str">
        <f>IF(AND('Mapa final'!$Y$55="Muy Alta",'Mapa final'!$AA$55="Catastrófico"),CONCATENATE("R10C",'Mapa final'!$O$55),"")</f>
        <v/>
      </c>
      <c r="AK15" s="58" t="str">
        <f>IF(AND('Mapa final'!$Y$56="Muy Alta",'Mapa final'!$AA$56="Catastrófico"),CONCATENATE("R10C",'Mapa final'!$O$56),"")</f>
        <v/>
      </c>
      <c r="AL15" s="58" t="str">
        <f>IF(AND('Mapa final'!$Y$57="Muy Alta",'Mapa final'!$AA$57="Catastrófico"),CONCATENATE("R10C",'Mapa final'!$O$57),"")</f>
        <v/>
      </c>
      <c r="AM15" s="59" t="str">
        <f>IF(AND('Mapa final'!$Y$58="Muy Alta",'Mapa final'!$AA$58="Catastrófico"),CONCATENATE("R10C",'Mapa final'!$O$58),"")</f>
        <v/>
      </c>
      <c r="AN15" s="79"/>
      <c r="AO15" s="436"/>
      <c r="AP15" s="437"/>
      <c r="AQ15" s="437"/>
      <c r="AR15" s="437"/>
      <c r="AS15" s="437"/>
      <c r="AT15" s="438"/>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row>
    <row r="16" spans="1:91" ht="15" customHeight="1" x14ac:dyDescent="0.25">
      <c r="A16" s="79"/>
      <c r="B16" s="328"/>
      <c r="C16" s="328"/>
      <c r="D16" s="329"/>
      <c r="E16" s="423" t="s">
        <v>94</v>
      </c>
      <c r="F16" s="424"/>
      <c r="G16" s="424"/>
      <c r="H16" s="424"/>
      <c r="I16" s="424"/>
      <c r="J16" s="60" t="str">
        <f>IF(AND('Mapa final'!$Y$26="Alta",'Mapa final'!$AA$26="Leve"),CONCATENATE("R1C",'Mapa final'!$O$26),"")</f>
        <v/>
      </c>
      <c r="K16" s="61" t="str">
        <f>IF(AND('Mapa final'!$Y$27="Alta",'Mapa final'!$AA$27="Leve"),CONCATENATE("R1C",'Mapa final'!$O$27),"")</f>
        <v/>
      </c>
      <c r="L16" s="61" t="str">
        <f>IF(AND('Mapa final'!$Y$29="Alta",'Mapa final'!$AA$29="Leve"),CONCATENATE("R1C",'Mapa final'!$O$29),"")</f>
        <v/>
      </c>
      <c r="M16" s="61" t="e">
        <f>IF(AND('Mapa final'!#REF!="Alta",'Mapa final'!#REF!="Leve"),CONCATENATE("R1C",'Mapa final'!#REF!),"")</f>
        <v>#REF!</v>
      </c>
      <c r="N16" s="61" t="e">
        <f>IF(AND('Mapa final'!#REF!="Alta",'Mapa final'!#REF!="Leve"),CONCATENATE("R1C",'Mapa final'!#REF!),"")</f>
        <v>#REF!</v>
      </c>
      <c r="O16" s="62" t="e">
        <f>IF(AND('Mapa final'!#REF!="Alta",'Mapa final'!#REF!="Leve"),CONCATENATE("R1C",'Mapa final'!#REF!),"")</f>
        <v>#REF!</v>
      </c>
      <c r="P16" s="60" t="str">
        <f>IF(AND('Mapa final'!$Y$26="Alta",'Mapa final'!$AA$26="Menor"),CONCATENATE("R1C",'Mapa final'!$O$26),"")</f>
        <v/>
      </c>
      <c r="Q16" s="61" t="str">
        <f>IF(AND('Mapa final'!$Y$27="Alta",'Mapa final'!$AA$27="Menor"),CONCATENATE("R1C",'Mapa final'!$O$27),"")</f>
        <v/>
      </c>
      <c r="R16" s="61" t="str">
        <f>IF(AND('Mapa final'!$Y$29="Alta",'Mapa final'!$AA$29="Menor"),CONCATENATE("R1C",'Mapa final'!$O$29),"")</f>
        <v/>
      </c>
      <c r="S16" s="61" t="e">
        <f>IF(AND('Mapa final'!#REF!="Alta",'Mapa final'!#REF!="Menor"),CONCATENATE("R1C",'Mapa final'!#REF!),"")</f>
        <v>#REF!</v>
      </c>
      <c r="T16" s="61" t="e">
        <f>IF(AND('Mapa final'!#REF!="Alta",'Mapa final'!#REF!="Menor"),CONCATENATE("R1C",'Mapa final'!#REF!),"")</f>
        <v>#REF!</v>
      </c>
      <c r="U16" s="62" t="e">
        <f>IF(AND('Mapa final'!#REF!="Alta",'Mapa final'!#REF!="Menor"),CONCATENATE("R1C",'Mapa final'!#REF!),"")</f>
        <v>#REF!</v>
      </c>
      <c r="V16" s="42" t="str">
        <f>IF(AND('Mapa final'!$Y$26="Alta",'Mapa final'!$AA$26="Moderado"),CONCATENATE("R1C",'Mapa final'!$O$26),"")</f>
        <v/>
      </c>
      <c r="W16" s="43" t="str">
        <f>IF(AND('Mapa final'!$Y$27="Alta",'Mapa final'!$AA$27="Moderado"),CONCATENATE("R1C",'Mapa final'!$O$27),"")</f>
        <v/>
      </c>
      <c r="X16" s="43" t="str">
        <f>IF(AND('Mapa final'!$Y$29="Alta",'Mapa final'!$AA$29="Moderado"),CONCATENATE("R1C",'Mapa final'!$O$29),"")</f>
        <v/>
      </c>
      <c r="Y16" s="43" t="e">
        <f>IF(AND('Mapa final'!#REF!="Alta",'Mapa final'!#REF!="Moderado"),CONCATENATE("R1C",'Mapa final'!#REF!),"")</f>
        <v>#REF!</v>
      </c>
      <c r="Z16" s="43" t="e">
        <f>IF(AND('Mapa final'!#REF!="Alta",'Mapa final'!#REF!="Moderado"),CONCATENATE("R1C",'Mapa final'!#REF!),"")</f>
        <v>#REF!</v>
      </c>
      <c r="AA16" s="44" t="e">
        <f>IF(AND('Mapa final'!#REF!="Alta",'Mapa final'!#REF!="Moderado"),CONCATENATE("R1C",'Mapa final'!#REF!),"")</f>
        <v>#REF!</v>
      </c>
      <c r="AB16" s="42" t="str">
        <f>IF(AND('Mapa final'!$Y$26="Alta",'Mapa final'!$AA$26="Mayor"),CONCATENATE("R1C",'Mapa final'!$O$26),"")</f>
        <v/>
      </c>
      <c r="AC16" s="43" t="str">
        <f>IF(AND('Mapa final'!$Y$27="Alta",'Mapa final'!$AA$27="Mayor"),CONCATENATE("R1C",'Mapa final'!$O$27),"")</f>
        <v/>
      </c>
      <c r="AD16" s="43" t="str">
        <f>IF(AND('Mapa final'!$Y$29="Alta",'Mapa final'!$AA$29="Mayor"),CONCATENATE("R1C",'Mapa final'!$O$29),"")</f>
        <v/>
      </c>
      <c r="AE16" s="43" t="e">
        <f>IF(AND('Mapa final'!#REF!="Alta",'Mapa final'!#REF!="Mayor"),CONCATENATE("R1C",'Mapa final'!#REF!),"")</f>
        <v>#REF!</v>
      </c>
      <c r="AF16" s="43" t="e">
        <f>IF(AND('Mapa final'!#REF!="Alta",'Mapa final'!#REF!="Mayor"),CONCATENATE("R1C",'Mapa final'!#REF!),"")</f>
        <v>#REF!</v>
      </c>
      <c r="AG16" s="44" t="e">
        <f>IF(AND('Mapa final'!#REF!="Alta",'Mapa final'!#REF!="Mayor"),CONCATENATE("R1C",'Mapa final'!#REF!),"")</f>
        <v>#REF!</v>
      </c>
      <c r="AH16" s="45" t="str">
        <f>IF(AND('Mapa final'!$Y$26="Alta",'Mapa final'!$AA$26="Catastrófico"),CONCATENATE("R1C",'Mapa final'!$O$26),"")</f>
        <v/>
      </c>
      <c r="AI16" s="46" t="str">
        <f>IF(AND('Mapa final'!$Y$27="Alta",'Mapa final'!$AA$27="Catastrófico"),CONCATENATE("R1C",'Mapa final'!$O$27),"")</f>
        <v/>
      </c>
      <c r="AJ16" s="46" t="str">
        <f>IF(AND('Mapa final'!$Y$29="Alta",'Mapa final'!$AA$29="Catastrófico"),CONCATENATE("R1C",'Mapa final'!$O$29),"")</f>
        <v/>
      </c>
      <c r="AK16" s="46" t="e">
        <f>IF(AND('Mapa final'!#REF!="Alta",'Mapa final'!#REF!="Catastrófico"),CONCATENATE("R1C",'Mapa final'!#REF!),"")</f>
        <v>#REF!</v>
      </c>
      <c r="AL16" s="46" t="e">
        <f>IF(AND('Mapa final'!#REF!="Alta",'Mapa final'!#REF!="Catastrófico"),CONCATENATE("R1C",'Mapa final'!#REF!),"")</f>
        <v>#REF!</v>
      </c>
      <c r="AM16" s="47" t="e">
        <f>IF(AND('Mapa final'!#REF!="Alta",'Mapa final'!#REF!="Catastrófico"),CONCATENATE("R1C",'Mapa final'!#REF!),"")</f>
        <v>#REF!</v>
      </c>
      <c r="AN16" s="79"/>
      <c r="AO16" s="414" t="s">
        <v>95</v>
      </c>
      <c r="AP16" s="415"/>
      <c r="AQ16" s="415"/>
      <c r="AR16" s="415"/>
      <c r="AS16" s="415"/>
      <c r="AT16" s="416"/>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row>
    <row r="17" spans="1:76" ht="15" customHeight="1" x14ac:dyDescent="0.25">
      <c r="A17" s="79"/>
      <c r="B17" s="328"/>
      <c r="C17" s="328"/>
      <c r="D17" s="329"/>
      <c r="E17" s="425"/>
      <c r="F17" s="426"/>
      <c r="G17" s="426"/>
      <c r="H17" s="426"/>
      <c r="I17" s="426"/>
      <c r="J17" s="63" t="str">
        <f>IF(AND('Mapa final'!$Y$30="Alta",'Mapa final'!$AA$30="Leve"),CONCATENATE("R2C",'Mapa final'!$O$30),"")</f>
        <v/>
      </c>
      <c r="K17" s="64" t="str">
        <f>IF(AND('Mapa final'!$Y$31="Alta",'Mapa final'!$AA$31="Leve"),CONCATENATE("R2C",'Mapa final'!$O$31),"")</f>
        <v/>
      </c>
      <c r="L17" s="64" t="str">
        <f>IF(AND('Mapa final'!$Y$32="Alta",'Mapa final'!$AA$32="Leve"),CONCATENATE("R2C",'Mapa final'!$O$32),"")</f>
        <v/>
      </c>
      <c r="M17" s="64" t="e">
        <f>IF(AND('Mapa final'!#REF!="Alta",'Mapa final'!#REF!="Leve"),CONCATENATE("R2C",'Mapa final'!#REF!),"")</f>
        <v>#REF!</v>
      </c>
      <c r="N17" s="64" t="e">
        <f>IF(AND('Mapa final'!#REF!="Alta",'Mapa final'!#REF!="Leve"),CONCATENATE("R2C",'Mapa final'!#REF!),"")</f>
        <v>#REF!</v>
      </c>
      <c r="O17" s="65" t="e">
        <f>IF(AND('Mapa final'!#REF!="Alta",'Mapa final'!#REF!="Leve"),CONCATENATE("R2C",'Mapa final'!#REF!),"")</f>
        <v>#REF!</v>
      </c>
      <c r="P17" s="63" t="str">
        <f>IF(AND('Mapa final'!$Y$30="Alta",'Mapa final'!$AA$30="Menor"),CONCATENATE("R2C",'Mapa final'!$O$30),"")</f>
        <v/>
      </c>
      <c r="Q17" s="64" t="str">
        <f>IF(AND('Mapa final'!$Y$31="Alta",'Mapa final'!$AA$31="Menor"),CONCATENATE("R2C",'Mapa final'!$O$31),"")</f>
        <v/>
      </c>
      <c r="R17" s="64" t="str">
        <f>IF(AND('Mapa final'!$Y$32="Alta",'Mapa final'!$AA$32="Menor"),CONCATENATE("R2C",'Mapa final'!$O$32),"")</f>
        <v/>
      </c>
      <c r="S17" s="64" t="e">
        <f>IF(AND('Mapa final'!#REF!="Alta",'Mapa final'!#REF!="Menor"),CONCATENATE("R2C",'Mapa final'!#REF!),"")</f>
        <v>#REF!</v>
      </c>
      <c r="T17" s="64" t="e">
        <f>IF(AND('Mapa final'!#REF!="Alta",'Mapa final'!#REF!="Menor"),CONCATENATE("R2C",'Mapa final'!#REF!),"")</f>
        <v>#REF!</v>
      </c>
      <c r="U17" s="65" t="e">
        <f>IF(AND('Mapa final'!#REF!="Alta",'Mapa final'!#REF!="Menor"),CONCATENATE("R2C",'Mapa final'!#REF!),"")</f>
        <v>#REF!</v>
      </c>
      <c r="V17" s="48" t="str">
        <f>IF(AND('Mapa final'!$Y$30="Alta",'Mapa final'!$AA$30="Moderado"),CONCATENATE("R2C",'Mapa final'!$O$30),"")</f>
        <v/>
      </c>
      <c r="W17" s="49" t="str">
        <f>IF(AND('Mapa final'!$Y$31="Alta",'Mapa final'!$AA$31="Moderado"),CONCATENATE("R2C",'Mapa final'!$O$31),"")</f>
        <v/>
      </c>
      <c r="X17" s="49" t="str">
        <f>IF(AND('Mapa final'!$Y$32="Alta",'Mapa final'!$AA$32="Moderado"),CONCATENATE("R2C",'Mapa final'!$O$32),"")</f>
        <v/>
      </c>
      <c r="Y17" s="49" t="e">
        <f>IF(AND('Mapa final'!#REF!="Alta",'Mapa final'!#REF!="Moderado"),CONCATENATE("R2C",'Mapa final'!#REF!),"")</f>
        <v>#REF!</v>
      </c>
      <c r="Z17" s="49" t="e">
        <f>IF(AND('Mapa final'!#REF!="Alta",'Mapa final'!#REF!="Moderado"),CONCATENATE("R2C",'Mapa final'!#REF!),"")</f>
        <v>#REF!</v>
      </c>
      <c r="AA17" s="50" t="e">
        <f>IF(AND('Mapa final'!#REF!="Alta",'Mapa final'!#REF!="Moderado"),CONCATENATE("R2C",'Mapa final'!#REF!),"")</f>
        <v>#REF!</v>
      </c>
      <c r="AB17" s="48" t="str">
        <f>IF(AND('Mapa final'!$Y$30="Alta",'Mapa final'!$AA$30="Mayor"),CONCATENATE("R2C",'Mapa final'!$O$30),"")</f>
        <v/>
      </c>
      <c r="AC17" s="49" t="str">
        <f>IF(AND('Mapa final'!$Y$31="Alta",'Mapa final'!$AA$31="Mayor"),CONCATENATE("R2C",'Mapa final'!$O$31),"")</f>
        <v/>
      </c>
      <c r="AD17" s="49" t="str">
        <f>IF(AND('Mapa final'!$Y$32="Alta",'Mapa final'!$AA$32="Mayor"),CONCATENATE("R2C",'Mapa final'!$O$32),"")</f>
        <v/>
      </c>
      <c r="AE17" s="49" t="e">
        <f>IF(AND('Mapa final'!#REF!="Alta",'Mapa final'!#REF!="Mayor"),CONCATENATE("R2C",'Mapa final'!#REF!),"")</f>
        <v>#REF!</v>
      </c>
      <c r="AF17" s="49" t="e">
        <f>IF(AND('Mapa final'!#REF!="Alta",'Mapa final'!#REF!="Mayor"),CONCATENATE("R2C",'Mapa final'!#REF!),"")</f>
        <v>#REF!</v>
      </c>
      <c r="AG17" s="50" t="e">
        <f>IF(AND('Mapa final'!#REF!="Alta",'Mapa final'!#REF!="Mayor"),CONCATENATE("R2C",'Mapa final'!#REF!),"")</f>
        <v>#REF!</v>
      </c>
      <c r="AH17" s="51" t="str">
        <f>IF(AND('Mapa final'!$Y$30="Alta",'Mapa final'!$AA$30="Catastrófico"),CONCATENATE("R2C",'Mapa final'!$O$30),"")</f>
        <v/>
      </c>
      <c r="AI17" s="52" t="str">
        <f>IF(AND('Mapa final'!$Y$31="Alta",'Mapa final'!$AA$31="Catastrófico"),CONCATENATE("R2C",'Mapa final'!$O$31),"")</f>
        <v/>
      </c>
      <c r="AJ17" s="52" t="str">
        <f>IF(AND('Mapa final'!$Y$32="Alta",'Mapa final'!$AA$32="Catastrófico"),CONCATENATE("R2C",'Mapa final'!$O$32),"")</f>
        <v/>
      </c>
      <c r="AK17" s="52" t="e">
        <f>IF(AND('Mapa final'!#REF!="Alta",'Mapa final'!#REF!="Catastrófico"),CONCATENATE("R2C",'Mapa final'!#REF!),"")</f>
        <v>#REF!</v>
      </c>
      <c r="AL17" s="52" t="e">
        <f>IF(AND('Mapa final'!#REF!="Alta",'Mapa final'!#REF!="Catastrófico"),CONCATENATE("R2C",'Mapa final'!#REF!),"")</f>
        <v>#REF!</v>
      </c>
      <c r="AM17" s="53" t="e">
        <f>IF(AND('Mapa final'!#REF!="Alta",'Mapa final'!#REF!="Catastrófico"),CONCATENATE("R2C",'Mapa final'!#REF!),"")</f>
        <v>#REF!</v>
      </c>
      <c r="AN17" s="79"/>
      <c r="AO17" s="417"/>
      <c r="AP17" s="418"/>
      <c r="AQ17" s="418"/>
      <c r="AR17" s="418"/>
      <c r="AS17" s="418"/>
      <c r="AT17" s="41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row>
    <row r="18" spans="1:76" ht="15" customHeight="1" x14ac:dyDescent="0.25">
      <c r="A18" s="79"/>
      <c r="B18" s="328"/>
      <c r="C18" s="328"/>
      <c r="D18" s="329"/>
      <c r="E18" s="427"/>
      <c r="F18" s="426"/>
      <c r="G18" s="426"/>
      <c r="H18" s="426"/>
      <c r="I18" s="426"/>
      <c r="J18" s="63" t="str">
        <f>IF(AND('Mapa final'!$Y$33="Alta",'Mapa final'!$AA$33="Leve"),CONCATENATE("R3C",'Mapa final'!$O$33),"")</f>
        <v/>
      </c>
      <c r="K18" s="64" t="str">
        <f>IF(AND('Mapa final'!$Y$34="Alta",'Mapa final'!$AA$34="Leve"),CONCATENATE("R3C",'Mapa final'!$O$34),"")</f>
        <v/>
      </c>
      <c r="L18" s="64" t="str">
        <f>IF(AND('Mapa final'!$Y$35="Alta",'Mapa final'!$AA$35="Leve"),CONCATENATE("R3C",'Mapa final'!$O$35),"")</f>
        <v/>
      </c>
      <c r="M18" s="64" t="str">
        <f>IF(AND('Mapa final'!$Y$36="Alta",'Mapa final'!$AA$36="Leve"),CONCATENATE("R3C",'Mapa final'!$O$36),"")</f>
        <v/>
      </c>
      <c r="N18" s="64" t="e">
        <f>IF(AND('Mapa final'!#REF!="Alta",'Mapa final'!#REF!="Leve"),CONCATENATE("R3C",'Mapa final'!#REF!),"")</f>
        <v>#REF!</v>
      </c>
      <c r="O18" s="65" t="e">
        <f>IF(AND('Mapa final'!#REF!="Alta",'Mapa final'!#REF!="Leve"),CONCATENATE("R3C",'Mapa final'!#REF!),"")</f>
        <v>#REF!</v>
      </c>
      <c r="P18" s="63" t="str">
        <f>IF(AND('Mapa final'!$Y$33="Alta",'Mapa final'!$AA$33="Menor"),CONCATENATE("R3C",'Mapa final'!$O$33),"")</f>
        <v/>
      </c>
      <c r="Q18" s="64" t="str">
        <f>IF(AND('Mapa final'!$Y$34="Alta",'Mapa final'!$AA$34="Menor"),CONCATENATE("R3C",'Mapa final'!$O$34),"")</f>
        <v/>
      </c>
      <c r="R18" s="64" t="str">
        <f>IF(AND('Mapa final'!$Y$35="Alta",'Mapa final'!$AA$35="Menor"),CONCATENATE("R3C",'Mapa final'!$O$35),"")</f>
        <v/>
      </c>
      <c r="S18" s="64" t="str">
        <f>IF(AND('Mapa final'!$Y$36="Alta",'Mapa final'!$AA$36="Menor"),CONCATENATE("R3C",'Mapa final'!$O$36),"")</f>
        <v/>
      </c>
      <c r="T18" s="64" t="e">
        <f>IF(AND('Mapa final'!#REF!="Alta",'Mapa final'!#REF!="Menor"),CONCATENATE("R3C",'Mapa final'!#REF!),"")</f>
        <v>#REF!</v>
      </c>
      <c r="U18" s="65" t="e">
        <f>IF(AND('Mapa final'!#REF!="Alta",'Mapa final'!#REF!="Menor"),CONCATENATE("R3C",'Mapa final'!#REF!),"")</f>
        <v>#REF!</v>
      </c>
      <c r="V18" s="48" t="str">
        <f>IF(AND('Mapa final'!$Y$33="Alta",'Mapa final'!$AA$33="Moderado"),CONCATENATE("R3C",'Mapa final'!$O$33),"")</f>
        <v/>
      </c>
      <c r="W18" s="49" t="str">
        <f>IF(AND('Mapa final'!$Y$34="Alta",'Mapa final'!$AA$34="Moderado"),CONCATENATE("R3C",'Mapa final'!$O$34),"")</f>
        <v/>
      </c>
      <c r="X18" s="49" t="str">
        <f>IF(AND('Mapa final'!$Y$35="Alta",'Mapa final'!$AA$35="Moderado"),CONCATENATE("R3C",'Mapa final'!$O$35),"")</f>
        <v/>
      </c>
      <c r="Y18" s="49" t="str">
        <f>IF(AND('Mapa final'!$Y$36="Alta",'Mapa final'!$AA$36="Moderado"),CONCATENATE("R3C",'Mapa final'!$O$36),"")</f>
        <v/>
      </c>
      <c r="Z18" s="49" t="e">
        <f>IF(AND('Mapa final'!#REF!="Alta",'Mapa final'!#REF!="Moderado"),CONCATENATE("R3C",'Mapa final'!#REF!),"")</f>
        <v>#REF!</v>
      </c>
      <c r="AA18" s="50" t="e">
        <f>IF(AND('Mapa final'!#REF!="Alta",'Mapa final'!#REF!="Moderado"),CONCATENATE("R3C",'Mapa final'!#REF!),"")</f>
        <v>#REF!</v>
      </c>
      <c r="AB18" s="48" t="str">
        <f>IF(AND('Mapa final'!$Y$33="Alta",'Mapa final'!$AA$33="Mayor"),CONCATENATE("R3C",'Mapa final'!$O$33),"")</f>
        <v/>
      </c>
      <c r="AC18" s="49" t="str">
        <f>IF(AND('Mapa final'!$Y$34="Alta",'Mapa final'!$AA$34="Mayor"),CONCATENATE("R3C",'Mapa final'!$O$34),"")</f>
        <v/>
      </c>
      <c r="AD18" s="49" t="str">
        <f>IF(AND('Mapa final'!$Y$35="Alta",'Mapa final'!$AA$35="Mayor"),CONCATENATE("R3C",'Mapa final'!$O$35),"")</f>
        <v/>
      </c>
      <c r="AE18" s="49" t="str">
        <f>IF(AND('Mapa final'!$Y$36="Alta",'Mapa final'!$AA$36="Mayor"),CONCATENATE("R3C",'Mapa final'!$O$36),"")</f>
        <v/>
      </c>
      <c r="AF18" s="49" t="e">
        <f>IF(AND('Mapa final'!#REF!="Alta",'Mapa final'!#REF!="Mayor"),CONCATENATE("R3C",'Mapa final'!#REF!),"")</f>
        <v>#REF!</v>
      </c>
      <c r="AG18" s="50" t="e">
        <f>IF(AND('Mapa final'!#REF!="Alta",'Mapa final'!#REF!="Mayor"),CONCATENATE("R3C",'Mapa final'!#REF!),"")</f>
        <v>#REF!</v>
      </c>
      <c r="AH18" s="51" t="str">
        <f>IF(AND('Mapa final'!$Y$33="Alta",'Mapa final'!$AA$33="Catastrófico"),CONCATENATE("R3C",'Mapa final'!$O$33),"")</f>
        <v/>
      </c>
      <c r="AI18" s="52" t="str">
        <f>IF(AND('Mapa final'!$Y$34="Alta",'Mapa final'!$AA$34="Catastrófico"),CONCATENATE("R3C",'Mapa final'!$O$34),"")</f>
        <v/>
      </c>
      <c r="AJ18" s="52" t="str">
        <f>IF(AND('Mapa final'!$Y$35="Alta",'Mapa final'!$AA$35="Catastrófico"),CONCATENATE("R3C",'Mapa final'!$O$35),"")</f>
        <v/>
      </c>
      <c r="AK18" s="52" t="str">
        <f>IF(AND('Mapa final'!$Y$36="Alta",'Mapa final'!$AA$36="Catastrófico"),CONCATENATE("R3C",'Mapa final'!$O$36),"")</f>
        <v/>
      </c>
      <c r="AL18" s="52" t="e">
        <f>IF(AND('Mapa final'!#REF!="Alta",'Mapa final'!#REF!="Catastrófico"),CONCATENATE("R3C",'Mapa final'!#REF!),"")</f>
        <v>#REF!</v>
      </c>
      <c r="AM18" s="53" t="e">
        <f>IF(AND('Mapa final'!#REF!="Alta",'Mapa final'!#REF!="Catastrófico"),CONCATENATE("R3C",'Mapa final'!#REF!),"")</f>
        <v>#REF!</v>
      </c>
      <c r="AN18" s="79"/>
      <c r="AO18" s="417"/>
      <c r="AP18" s="418"/>
      <c r="AQ18" s="418"/>
      <c r="AR18" s="418"/>
      <c r="AS18" s="418"/>
      <c r="AT18" s="41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row>
    <row r="19" spans="1:76" ht="15" customHeight="1" x14ac:dyDescent="0.25">
      <c r="A19" s="79"/>
      <c r="B19" s="328"/>
      <c r="C19" s="328"/>
      <c r="D19" s="329"/>
      <c r="E19" s="427"/>
      <c r="F19" s="426"/>
      <c r="G19" s="426"/>
      <c r="H19" s="426"/>
      <c r="I19" s="426"/>
      <c r="J19" s="63" t="str">
        <f>IF(AND('Mapa final'!$Y$37="Alta",'Mapa final'!$AA$37="Leve"),CONCATENATE("R4C",'Mapa final'!$O$37),"")</f>
        <v/>
      </c>
      <c r="K19" s="64" t="str">
        <f>IF(AND('Mapa final'!$Y$38="Alta",'Mapa final'!$AA$38="Leve"),CONCATENATE("R4C",'Mapa final'!$O$38),"")</f>
        <v/>
      </c>
      <c r="L19" s="64" t="str">
        <f>IF(AND('Mapa final'!$Y$39="Alta",'Mapa final'!$AA$39="Leve"),CONCATENATE("R4C",'Mapa final'!$O$39),"")</f>
        <v/>
      </c>
      <c r="M19" s="64" t="str">
        <f>IF(AND('Mapa final'!$Y$40="Alta",'Mapa final'!$AA$40="Leve"),CONCATENATE("R4C",'Mapa final'!$O$40),"")</f>
        <v/>
      </c>
      <c r="N19" s="64" t="e">
        <f>IF(AND('Mapa final'!#REF!="Alta",'Mapa final'!#REF!="Leve"),CONCATENATE("R4C",'Mapa final'!#REF!),"")</f>
        <v>#REF!</v>
      </c>
      <c r="O19" s="65" t="e">
        <f>IF(AND('Mapa final'!#REF!="Alta",'Mapa final'!#REF!="Leve"),CONCATENATE("R4C",'Mapa final'!#REF!),"")</f>
        <v>#REF!</v>
      </c>
      <c r="P19" s="63" t="str">
        <f>IF(AND('Mapa final'!$Y$37="Alta",'Mapa final'!$AA$37="Menor"),CONCATENATE("R4C",'Mapa final'!$O$37),"")</f>
        <v/>
      </c>
      <c r="Q19" s="64" t="str">
        <f>IF(AND('Mapa final'!$Y$38="Alta",'Mapa final'!$AA$38="Menor"),CONCATENATE("R4C",'Mapa final'!$O$38),"")</f>
        <v/>
      </c>
      <c r="R19" s="64" t="str">
        <f>IF(AND('Mapa final'!$Y$39="Alta",'Mapa final'!$AA$39="Menor"),CONCATENATE("R4C",'Mapa final'!$O$39),"")</f>
        <v/>
      </c>
      <c r="S19" s="64" t="str">
        <f>IF(AND('Mapa final'!$Y$40="Alta",'Mapa final'!$AA$40="Menor"),CONCATENATE("R4C",'Mapa final'!$O$40),"")</f>
        <v/>
      </c>
      <c r="T19" s="64" t="e">
        <f>IF(AND('Mapa final'!#REF!="Alta",'Mapa final'!#REF!="Menor"),CONCATENATE("R4C",'Mapa final'!#REF!),"")</f>
        <v>#REF!</v>
      </c>
      <c r="U19" s="65" t="e">
        <f>IF(AND('Mapa final'!#REF!="Alta",'Mapa final'!#REF!="Menor"),CONCATENATE("R4C",'Mapa final'!#REF!),"")</f>
        <v>#REF!</v>
      </c>
      <c r="V19" s="48" t="str">
        <f>IF(AND('Mapa final'!$Y$37="Alta",'Mapa final'!$AA$37="Moderado"),CONCATENATE("R4C",'Mapa final'!$O$37),"")</f>
        <v/>
      </c>
      <c r="W19" s="49" t="str">
        <f>IF(AND('Mapa final'!$Y$38="Alta",'Mapa final'!$AA$38="Moderado"),CONCATENATE("R4C",'Mapa final'!$O$38),"")</f>
        <v/>
      </c>
      <c r="X19" s="49" t="str">
        <f>IF(AND('Mapa final'!$Y$39="Alta",'Mapa final'!$AA$39="Moderado"),CONCATENATE("R4C",'Mapa final'!$O$39),"")</f>
        <v/>
      </c>
      <c r="Y19" s="49" t="str">
        <f>IF(AND('Mapa final'!$Y$40="Alta",'Mapa final'!$AA$40="Moderado"),CONCATENATE("R4C",'Mapa final'!$O$40),"")</f>
        <v/>
      </c>
      <c r="Z19" s="49" t="e">
        <f>IF(AND('Mapa final'!#REF!="Alta",'Mapa final'!#REF!="Moderado"),CONCATENATE("R4C",'Mapa final'!#REF!),"")</f>
        <v>#REF!</v>
      </c>
      <c r="AA19" s="50" t="e">
        <f>IF(AND('Mapa final'!#REF!="Alta",'Mapa final'!#REF!="Moderado"),CONCATENATE("R4C",'Mapa final'!#REF!),"")</f>
        <v>#REF!</v>
      </c>
      <c r="AB19" s="48" t="str">
        <f>IF(AND('Mapa final'!$Y$37="Alta",'Mapa final'!$AA$37="Mayor"),CONCATENATE("R4C",'Mapa final'!$O$37),"")</f>
        <v/>
      </c>
      <c r="AC19" s="49" t="str">
        <f>IF(AND('Mapa final'!$Y$38="Alta",'Mapa final'!$AA$38="Mayor"),CONCATENATE("R4C",'Mapa final'!$O$38),"")</f>
        <v/>
      </c>
      <c r="AD19" s="49" t="str">
        <f>IF(AND('Mapa final'!$Y$39="Alta",'Mapa final'!$AA$39="Mayor"),CONCATENATE("R4C",'Mapa final'!$O$39),"")</f>
        <v/>
      </c>
      <c r="AE19" s="49" t="str">
        <f>IF(AND('Mapa final'!$Y$40="Alta",'Mapa final'!$AA$40="Mayor"),CONCATENATE("R4C",'Mapa final'!$O$40),"")</f>
        <v/>
      </c>
      <c r="AF19" s="49" t="e">
        <f>IF(AND('Mapa final'!#REF!="Alta",'Mapa final'!#REF!="Mayor"),CONCATENATE("R4C",'Mapa final'!#REF!),"")</f>
        <v>#REF!</v>
      </c>
      <c r="AG19" s="50" t="e">
        <f>IF(AND('Mapa final'!#REF!="Alta",'Mapa final'!#REF!="Mayor"),CONCATENATE("R4C",'Mapa final'!#REF!),"")</f>
        <v>#REF!</v>
      </c>
      <c r="AH19" s="51" t="str">
        <f>IF(AND('Mapa final'!$Y$37="Alta",'Mapa final'!$AA$37="Catastrófico"),CONCATENATE("R4C",'Mapa final'!$O$37),"")</f>
        <v/>
      </c>
      <c r="AI19" s="52" t="str">
        <f>IF(AND('Mapa final'!$Y$38="Alta",'Mapa final'!$AA$38="Catastrófico"),CONCATENATE("R4C",'Mapa final'!$O$38),"")</f>
        <v/>
      </c>
      <c r="AJ19" s="52" t="str">
        <f>IF(AND('Mapa final'!$Y$39="Alta",'Mapa final'!$AA$39="Catastrófico"),CONCATENATE("R4C",'Mapa final'!$O$39),"")</f>
        <v/>
      </c>
      <c r="AK19" s="52" t="str">
        <f>IF(AND('Mapa final'!$Y$40="Alta",'Mapa final'!$AA$40="Catastrófico"),CONCATENATE("R4C",'Mapa final'!$O$40),"")</f>
        <v/>
      </c>
      <c r="AL19" s="52" t="e">
        <f>IF(AND('Mapa final'!#REF!="Alta",'Mapa final'!#REF!="Catastrófico"),CONCATENATE("R4C",'Mapa final'!#REF!),"")</f>
        <v>#REF!</v>
      </c>
      <c r="AM19" s="53" t="e">
        <f>IF(AND('Mapa final'!#REF!="Alta",'Mapa final'!#REF!="Catastrófico"),CONCATENATE("R4C",'Mapa final'!#REF!),"")</f>
        <v>#REF!</v>
      </c>
      <c r="AN19" s="79"/>
      <c r="AO19" s="417"/>
      <c r="AP19" s="418"/>
      <c r="AQ19" s="418"/>
      <c r="AR19" s="418"/>
      <c r="AS19" s="418"/>
      <c r="AT19" s="41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row>
    <row r="20" spans="1:76" ht="15" customHeight="1" x14ac:dyDescent="0.25">
      <c r="A20" s="79"/>
      <c r="B20" s="328"/>
      <c r="C20" s="328"/>
      <c r="D20" s="329"/>
      <c r="E20" s="427"/>
      <c r="F20" s="426"/>
      <c r="G20" s="426"/>
      <c r="H20" s="426"/>
      <c r="I20" s="426"/>
      <c r="J20" s="63" t="e">
        <f>IF(AND('Mapa final'!#REF!="Alta",'Mapa final'!#REF!="Leve"),CONCATENATE("R5C",'Mapa final'!#REF!),"")</f>
        <v>#REF!</v>
      </c>
      <c r="K20" s="64" t="e">
        <f>IF(AND('Mapa final'!#REF!="Alta",'Mapa final'!#REF!="Leve"),CONCATENATE("R5C",'Mapa final'!#REF!),"")</f>
        <v>#REF!</v>
      </c>
      <c r="L20" s="64" t="e">
        <f>IF(AND('Mapa final'!#REF!="Alta",'Mapa final'!#REF!="Leve"),CONCATENATE("R5C",'Mapa final'!#REF!),"")</f>
        <v>#REF!</v>
      </c>
      <c r="M20" s="64" t="e">
        <f>IF(AND('Mapa final'!#REF!="Alta",'Mapa final'!#REF!="Leve"),CONCATENATE("R5C",'Mapa final'!#REF!),"")</f>
        <v>#REF!</v>
      </c>
      <c r="N20" s="64" t="e">
        <f>IF(AND('Mapa final'!#REF!="Alta",'Mapa final'!#REF!="Leve"),CONCATENATE("R5C",'Mapa final'!#REF!),"")</f>
        <v>#REF!</v>
      </c>
      <c r="O20" s="65" t="e">
        <f>IF(AND('Mapa final'!#REF!="Alta",'Mapa final'!#REF!="Leve"),CONCATENATE("R5C",'Mapa final'!#REF!),"")</f>
        <v>#REF!</v>
      </c>
      <c r="P20" s="63" t="e">
        <f>IF(AND('Mapa final'!#REF!="Alta",'Mapa final'!#REF!="Menor"),CONCATENATE("R5C",'Mapa final'!#REF!),"")</f>
        <v>#REF!</v>
      </c>
      <c r="Q20" s="64" t="e">
        <f>IF(AND('Mapa final'!#REF!="Alta",'Mapa final'!#REF!="Menor"),CONCATENATE("R5C",'Mapa final'!#REF!),"")</f>
        <v>#REF!</v>
      </c>
      <c r="R20" s="64" t="e">
        <f>IF(AND('Mapa final'!#REF!="Alta",'Mapa final'!#REF!="Menor"),CONCATENATE("R5C",'Mapa final'!#REF!),"")</f>
        <v>#REF!</v>
      </c>
      <c r="S20" s="64" t="e">
        <f>IF(AND('Mapa final'!#REF!="Alta",'Mapa final'!#REF!="Menor"),CONCATENATE("R5C",'Mapa final'!#REF!),"")</f>
        <v>#REF!</v>
      </c>
      <c r="T20" s="64" t="e">
        <f>IF(AND('Mapa final'!#REF!="Alta",'Mapa final'!#REF!="Menor"),CONCATENATE("R5C",'Mapa final'!#REF!),"")</f>
        <v>#REF!</v>
      </c>
      <c r="U20" s="65" t="e">
        <f>IF(AND('Mapa final'!#REF!="Alta",'Mapa final'!#REF!="Menor"),CONCATENATE("R5C",'Mapa final'!#REF!),"")</f>
        <v>#REF!</v>
      </c>
      <c r="V20" s="48" t="e">
        <f>IF(AND('Mapa final'!#REF!="Alta",'Mapa final'!#REF!="Moderado"),CONCATENATE("R5C",'Mapa final'!#REF!),"")</f>
        <v>#REF!</v>
      </c>
      <c r="W20" s="49" t="e">
        <f>IF(AND('Mapa final'!#REF!="Alta",'Mapa final'!#REF!="Moderado"),CONCATENATE("R5C",'Mapa final'!#REF!),"")</f>
        <v>#REF!</v>
      </c>
      <c r="X20" s="49" t="e">
        <f>IF(AND('Mapa final'!#REF!="Alta",'Mapa final'!#REF!="Moderado"),CONCATENATE("R5C",'Mapa final'!#REF!),"")</f>
        <v>#REF!</v>
      </c>
      <c r="Y20" s="49" t="e">
        <f>IF(AND('Mapa final'!#REF!="Alta",'Mapa final'!#REF!="Moderado"),CONCATENATE("R5C",'Mapa final'!#REF!),"")</f>
        <v>#REF!</v>
      </c>
      <c r="Z20" s="49" t="e">
        <f>IF(AND('Mapa final'!#REF!="Alta",'Mapa final'!#REF!="Moderado"),CONCATENATE("R5C",'Mapa final'!#REF!),"")</f>
        <v>#REF!</v>
      </c>
      <c r="AA20" s="50" t="e">
        <f>IF(AND('Mapa final'!#REF!="Alta",'Mapa final'!#REF!="Moderado"),CONCATENATE("R5C",'Mapa final'!#REF!),"")</f>
        <v>#REF!</v>
      </c>
      <c r="AB20" s="48" t="e">
        <f>IF(AND('Mapa final'!#REF!="Alta",'Mapa final'!#REF!="Mayor"),CONCATENATE("R5C",'Mapa final'!#REF!),"")</f>
        <v>#REF!</v>
      </c>
      <c r="AC20" s="49" t="e">
        <f>IF(AND('Mapa final'!#REF!="Alta",'Mapa final'!#REF!="Mayor"),CONCATENATE("R5C",'Mapa final'!#REF!),"")</f>
        <v>#REF!</v>
      </c>
      <c r="AD20" s="49" t="e">
        <f>IF(AND('Mapa final'!#REF!="Alta",'Mapa final'!#REF!="Mayor"),CONCATENATE("R5C",'Mapa final'!#REF!),"")</f>
        <v>#REF!</v>
      </c>
      <c r="AE20" s="49" t="e">
        <f>IF(AND('Mapa final'!#REF!="Alta",'Mapa final'!#REF!="Mayor"),CONCATENATE("R5C",'Mapa final'!#REF!),"")</f>
        <v>#REF!</v>
      </c>
      <c r="AF20" s="49" t="e">
        <f>IF(AND('Mapa final'!#REF!="Alta",'Mapa final'!#REF!="Mayor"),CONCATENATE("R5C",'Mapa final'!#REF!),"")</f>
        <v>#REF!</v>
      </c>
      <c r="AG20" s="50" t="e">
        <f>IF(AND('Mapa final'!#REF!="Alta",'Mapa final'!#REF!="Mayor"),CONCATENATE("R5C",'Mapa final'!#REF!),"")</f>
        <v>#REF!</v>
      </c>
      <c r="AH20" s="51" t="e">
        <f>IF(AND('Mapa final'!#REF!="Alta",'Mapa final'!#REF!="Catastrófico"),CONCATENATE("R5C",'Mapa final'!#REF!),"")</f>
        <v>#REF!</v>
      </c>
      <c r="AI20" s="52" t="e">
        <f>IF(AND('Mapa final'!#REF!="Alta",'Mapa final'!#REF!="Catastrófico"),CONCATENATE("R5C",'Mapa final'!#REF!),"")</f>
        <v>#REF!</v>
      </c>
      <c r="AJ20" s="52" t="e">
        <f>IF(AND('Mapa final'!#REF!="Alta",'Mapa final'!#REF!="Catastrófico"),CONCATENATE("R5C",'Mapa final'!#REF!),"")</f>
        <v>#REF!</v>
      </c>
      <c r="AK20" s="52" t="e">
        <f>IF(AND('Mapa final'!#REF!="Alta",'Mapa final'!#REF!="Catastrófico"),CONCATENATE("R5C",'Mapa final'!#REF!),"")</f>
        <v>#REF!</v>
      </c>
      <c r="AL20" s="52" t="e">
        <f>IF(AND('Mapa final'!#REF!="Alta",'Mapa final'!#REF!="Catastrófico"),CONCATENATE("R5C",'Mapa final'!#REF!),"")</f>
        <v>#REF!</v>
      </c>
      <c r="AM20" s="53" t="e">
        <f>IF(AND('Mapa final'!#REF!="Alta",'Mapa final'!#REF!="Catastrófico"),CONCATENATE("R5C",'Mapa final'!#REF!),"")</f>
        <v>#REF!</v>
      </c>
      <c r="AN20" s="79"/>
      <c r="AO20" s="417"/>
      <c r="AP20" s="418"/>
      <c r="AQ20" s="418"/>
      <c r="AR20" s="418"/>
      <c r="AS20" s="418"/>
      <c r="AT20" s="41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row>
    <row r="21" spans="1:76" ht="15" customHeight="1" x14ac:dyDescent="0.25">
      <c r="A21" s="79"/>
      <c r="B21" s="328"/>
      <c r="C21" s="328"/>
      <c r="D21" s="329"/>
      <c r="E21" s="427"/>
      <c r="F21" s="426"/>
      <c r="G21" s="426"/>
      <c r="H21" s="426"/>
      <c r="I21" s="426"/>
      <c r="J21" s="63" t="e">
        <f>IF(AND('Mapa final'!#REF!="Alta",'Mapa final'!#REF!="Leve"),CONCATENATE("R6C",'Mapa final'!#REF!),"")</f>
        <v>#REF!</v>
      </c>
      <c r="K21" s="64" t="e">
        <f>IF(AND('Mapa final'!#REF!="Alta",'Mapa final'!#REF!="Leve"),CONCATENATE("R6C",'Mapa final'!#REF!),"")</f>
        <v>#REF!</v>
      </c>
      <c r="L21" s="64" t="e">
        <f>IF(AND('Mapa final'!#REF!="Alta",'Mapa final'!#REF!="Leve"),CONCATENATE("R6C",'Mapa final'!#REF!),"")</f>
        <v>#REF!</v>
      </c>
      <c r="M21" s="64" t="e">
        <f>IF(AND('Mapa final'!#REF!="Alta",'Mapa final'!#REF!="Leve"),CONCATENATE("R6C",'Mapa final'!#REF!),"")</f>
        <v>#REF!</v>
      </c>
      <c r="N21" s="64" t="e">
        <f>IF(AND('Mapa final'!#REF!="Alta",'Mapa final'!#REF!="Leve"),CONCATENATE("R6C",'Mapa final'!#REF!),"")</f>
        <v>#REF!</v>
      </c>
      <c r="O21" s="65" t="e">
        <f>IF(AND('Mapa final'!#REF!="Alta",'Mapa final'!#REF!="Leve"),CONCATENATE("R6C",'Mapa final'!#REF!),"")</f>
        <v>#REF!</v>
      </c>
      <c r="P21" s="63" t="e">
        <f>IF(AND('Mapa final'!#REF!="Alta",'Mapa final'!#REF!="Menor"),CONCATENATE("R6C",'Mapa final'!#REF!),"")</f>
        <v>#REF!</v>
      </c>
      <c r="Q21" s="64" t="e">
        <f>IF(AND('Mapa final'!#REF!="Alta",'Mapa final'!#REF!="Menor"),CONCATENATE("R6C",'Mapa final'!#REF!),"")</f>
        <v>#REF!</v>
      </c>
      <c r="R21" s="64" t="e">
        <f>IF(AND('Mapa final'!#REF!="Alta",'Mapa final'!#REF!="Menor"),CONCATENATE("R6C",'Mapa final'!#REF!),"")</f>
        <v>#REF!</v>
      </c>
      <c r="S21" s="64" t="e">
        <f>IF(AND('Mapa final'!#REF!="Alta",'Mapa final'!#REF!="Menor"),CONCATENATE("R6C",'Mapa final'!#REF!),"")</f>
        <v>#REF!</v>
      </c>
      <c r="T21" s="64" t="e">
        <f>IF(AND('Mapa final'!#REF!="Alta",'Mapa final'!#REF!="Menor"),CONCATENATE("R6C",'Mapa final'!#REF!),"")</f>
        <v>#REF!</v>
      </c>
      <c r="U21" s="65" t="e">
        <f>IF(AND('Mapa final'!#REF!="Alta",'Mapa final'!#REF!="Menor"),CONCATENATE("R6C",'Mapa final'!#REF!),"")</f>
        <v>#REF!</v>
      </c>
      <c r="V21" s="48" t="e">
        <f>IF(AND('Mapa final'!#REF!="Alta",'Mapa final'!#REF!="Moderado"),CONCATENATE("R6C",'Mapa final'!#REF!),"")</f>
        <v>#REF!</v>
      </c>
      <c r="W21" s="49" t="e">
        <f>IF(AND('Mapa final'!#REF!="Alta",'Mapa final'!#REF!="Moderado"),CONCATENATE("R6C",'Mapa final'!#REF!),"")</f>
        <v>#REF!</v>
      </c>
      <c r="X21" s="49" t="e">
        <f>IF(AND('Mapa final'!#REF!="Alta",'Mapa final'!#REF!="Moderado"),CONCATENATE("R6C",'Mapa final'!#REF!),"")</f>
        <v>#REF!</v>
      </c>
      <c r="Y21" s="49" t="e">
        <f>IF(AND('Mapa final'!#REF!="Alta",'Mapa final'!#REF!="Moderado"),CONCATENATE("R6C",'Mapa final'!#REF!),"")</f>
        <v>#REF!</v>
      </c>
      <c r="Z21" s="49" t="e">
        <f>IF(AND('Mapa final'!#REF!="Alta",'Mapa final'!#REF!="Moderado"),CONCATENATE("R6C",'Mapa final'!#REF!),"")</f>
        <v>#REF!</v>
      </c>
      <c r="AA21" s="50" t="e">
        <f>IF(AND('Mapa final'!#REF!="Alta",'Mapa final'!#REF!="Moderado"),CONCATENATE("R6C",'Mapa final'!#REF!),"")</f>
        <v>#REF!</v>
      </c>
      <c r="AB21" s="48" t="e">
        <f>IF(AND('Mapa final'!#REF!="Alta",'Mapa final'!#REF!="Mayor"),CONCATENATE("R6C",'Mapa final'!#REF!),"")</f>
        <v>#REF!</v>
      </c>
      <c r="AC21" s="49" t="e">
        <f>IF(AND('Mapa final'!#REF!="Alta",'Mapa final'!#REF!="Mayor"),CONCATENATE("R6C",'Mapa final'!#REF!),"")</f>
        <v>#REF!</v>
      </c>
      <c r="AD21" s="49" t="e">
        <f>IF(AND('Mapa final'!#REF!="Alta",'Mapa final'!#REF!="Mayor"),CONCATENATE("R6C",'Mapa final'!#REF!),"")</f>
        <v>#REF!</v>
      </c>
      <c r="AE21" s="49" t="e">
        <f>IF(AND('Mapa final'!#REF!="Alta",'Mapa final'!#REF!="Mayor"),CONCATENATE("R6C",'Mapa final'!#REF!),"")</f>
        <v>#REF!</v>
      </c>
      <c r="AF21" s="49" t="e">
        <f>IF(AND('Mapa final'!#REF!="Alta",'Mapa final'!#REF!="Mayor"),CONCATENATE("R6C",'Mapa final'!#REF!),"")</f>
        <v>#REF!</v>
      </c>
      <c r="AG21" s="50" t="e">
        <f>IF(AND('Mapa final'!#REF!="Alta",'Mapa final'!#REF!="Mayor"),CONCATENATE("R6C",'Mapa final'!#REF!),"")</f>
        <v>#REF!</v>
      </c>
      <c r="AH21" s="51" t="e">
        <f>IF(AND('Mapa final'!#REF!="Alta",'Mapa final'!#REF!="Catastrófico"),CONCATENATE("R6C",'Mapa final'!#REF!),"")</f>
        <v>#REF!</v>
      </c>
      <c r="AI21" s="52" t="e">
        <f>IF(AND('Mapa final'!#REF!="Alta",'Mapa final'!#REF!="Catastrófico"),CONCATENATE("R6C",'Mapa final'!#REF!),"")</f>
        <v>#REF!</v>
      </c>
      <c r="AJ21" s="52" t="e">
        <f>IF(AND('Mapa final'!#REF!="Alta",'Mapa final'!#REF!="Catastrófico"),CONCATENATE("R6C",'Mapa final'!#REF!),"")</f>
        <v>#REF!</v>
      </c>
      <c r="AK21" s="52" t="e">
        <f>IF(AND('Mapa final'!#REF!="Alta",'Mapa final'!#REF!="Catastrófico"),CONCATENATE("R6C",'Mapa final'!#REF!),"")</f>
        <v>#REF!</v>
      </c>
      <c r="AL21" s="52" t="e">
        <f>IF(AND('Mapa final'!#REF!="Alta",'Mapa final'!#REF!="Catastrófico"),CONCATENATE("R6C",'Mapa final'!#REF!),"")</f>
        <v>#REF!</v>
      </c>
      <c r="AM21" s="53" t="e">
        <f>IF(AND('Mapa final'!#REF!="Alta",'Mapa final'!#REF!="Catastrófico"),CONCATENATE("R6C",'Mapa final'!#REF!),"")</f>
        <v>#REF!</v>
      </c>
      <c r="AN21" s="79"/>
      <c r="AO21" s="417"/>
      <c r="AP21" s="418"/>
      <c r="AQ21" s="418"/>
      <c r="AR21" s="418"/>
      <c r="AS21" s="418"/>
      <c r="AT21" s="41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row>
    <row r="22" spans="1:76" ht="15" customHeight="1" x14ac:dyDescent="0.25">
      <c r="A22" s="79"/>
      <c r="B22" s="328"/>
      <c r="C22" s="328"/>
      <c r="D22" s="329"/>
      <c r="E22" s="427"/>
      <c r="F22" s="426"/>
      <c r="G22" s="426"/>
      <c r="H22" s="426"/>
      <c r="I22" s="426"/>
      <c r="J22" s="63" t="e">
        <f>IF(AND('Mapa final'!#REF!="Alta",'Mapa final'!#REF!="Leve"),CONCATENATE("R7C",'Mapa final'!#REF!),"")</f>
        <v>#REF!</v>
      </c>
      <c r="K22" s="64" t="e">
        <f>IF(AND('Mapa final'!#REF!="Alta",'Mapa final'!#REF!="Leve"),CONCATENATE("R7C",'Mapa final'!#REF!),"")</f>
        <v>#REF!</v>
      </c>
      <c r="L22" s="64" t="e">
        <f>IF(AND('Mapa final'!#REF!="Alta",'Mapa final'!#REF!="Leve"),CONCATENATE("R7C",'Mapa final'!#REF!),"")</f>
        <v>#REF!</v>
      </c>
      <c r="M22" s="64" t="e">
        <f>IF(AND('Mapa final'!#REF!="Alta",'Mapa final'!#REF!="Leve"),CONCATENATE("R7C",'Mapa final'!#REF!),"")</f>
        <v>#REF!</v>
      </c>
      <c r="N22" s="64" t="e">
        <f>IF(AND('Mapa final'!#REF!="Alta",'Mapa final'!#REF!="Leve"),CONCATENATE("R7C",'Mapa final'!#REF!),"")</f>
        <v>#REF!</v>
      </c>
      <c r="O22" s="65" t="e">
        <f>IF(AND('Mapa final'!#REF!="Alta",'Mapa final'!#REF!="Leve"),CONCATENATE("R7C",'Mapa final'!#REF!),"")</f>
        <v>#REF!</v>
      </c>
      <c r="P22" s="63" t="e">
        <f>IF(AND('Mapa final'!#REF!="Alta",'Mapa final'!#REF!="Menor"),CONCATENATE("R7C",'Mapa final'!#REF!),"")</f>
        <v>#REF!</v>
      </c>
      <c r="Q22" s="64" t="e">
        <f>IF(AND('Mapa final'!#REF!="Alta",'Mapa final'!#REF!="Menor"),CONCATENATE("R7C",'Mapa final'!#REF!),"")</f>
        <v>#REF!</v>
      </c>
      <c r="R22" s="64" t="e">
        <f>IF(AND('Mapa final'!#REF!="Alta",'Mapa final'!#REF!="Menor"),CONCATENATE("R7C",'Mapa final'!#REF!),"")</f>
        <v>#REF!</v>
      </c>
      <c r="S22" s="64" t="e">
        <f>IF(AND('Mapa final'!#REF!="Alta",'Mapa final'!#REF!="Menor"),CONCATENATE("R7C",'Mapa final'!#REF!),"")</f>
        <v>#REF!</v>
      </c>
      <c r="T22" s="64" t="e">
        <f>IF(AND('Mapa final'!#REF!="Alta",'Mapa final'!#REF!="Menor"),CONCATENATE("R7C",'Mapa final'!#REF!),"")</f>
        <v>#REF!</v>
      </c>
      <c r="U22" s="65" t="e">
        <f>IF(AND('Mapa final'!#REF!="Alta",'Mapa final'!#REF!="Menor"),CONCATENATE("R7C",'Mapa final'!#REF!),"")</f>
        <v>#REF!</v>
      </c>
      <c r="V22" s="48" t="e">
        <f>IF(AND('Mapa final'!#REF!="Alta",'Mapa final'!#REF!="Moderado"),CONCATENATE("R7C",'Mapa final'!#REF!),"")</f>
        <v>#REF!</v>
      </c>
      <c r="W22" s="49" t="e">
        <f>IF(AND('Mapa final'!#REF!="Alta",'Mapa final'!#REF!="Moderado"),CONCATENATE("R7C",'Mapa final'!#REF!),"")</f>
        <v>#REF!</v>
      </c>
      <c r="X22" s="49" t="e">
        <f>IF(AND('Mapa final'!#REF!="Alta",'Mapa final'!#REF!="Moderado"),CONCATENATE("R7C",'Mapa final'!#REF!),"")</f>
        <v>#REF!</v>
      </c>
      <c r="Y22" s="49" t="e">
        <f>IF(AND('Mapa final'!#REF!="Alta",'Mapa final'!#REF!="Moderado"),CONCATENATE("R7C",'Mapa final'!#REF!),"")</f>
        <v>#REF!</v>
      </c>
      <c r="Z22" s="49" t="e">
        <f>IF(AND('Mapa final'!#REF!="Alta",'Mapa final'!#REF!="Moderado"),CONCATENATE("R7C",'Mapa final'!#REF!),"")</f>
        <v>#REF!</v>
      </c>
      <c r="AA22" s="50" t="e">
        <f>IF(AND('Mapa final'!#REF!="Alta",'Mapa final'!#REF!="Moderado"),CONCATENATE("R7C",'Mapa final'!#REF!),"")</f>
        <v>#REF!</v>
      </c>
      <c r="AB22" s="48" t="e">
        <f>IF(AND('Mapa final'!#REF!="Alta",'Mapa final'!#REF!="Mayor"),CONCATENATE("R7C",'Mapa final'!#REF!),"")</f>
        <v>#REF!</v>
      </c>
      <c r="AC22" s="49" t="e">
        <f>IF(AND('Mapa final'!#REF!="Alta",'Mapa final'!#REF!="Mayor"),CONCATENATE("R7C",'Mapa final'!#REF!),"")</f>
        <v>#REF!</v>
      </c>
      <c r="AD22" s="49" t="e">
        <f>IF(AND('Mapa final'!#REF!="Alta",'Mapa final'!#REF!="Mayor"),CONCATENATE("R7C",'Mapa final'!#REF!),"")</f>
        <v>#REF!</v>
      </c>
      <c r="AE22" s="49" t="e">
        <f>IF(AND('Mapa final'!#REF!="Alta",'Mapa final'!#REF!="Mayor"),CONCATENATE("R7C",'Mapa final'!#REF!),"")</f>
        <v>#REF!</v>
      </c>
      <c r="AF22" s="49" t="e">
        <f>IF(AND('Mapa final'!#REF!="Alta",'Mapa final'!#REF!="Mayor"),CONCATENATE("R7C",'Mapa final'!#REF!),"")</f>
        <v>#REF!</v>
      </c>
      <c r="AG22" s="50" t="e">
        <f>IF(AND('Mapa final'!#REF!="Alta",'Mapa final'!#REF!="Mayor"),CONCATENATE("R7C",'Mapa final'!#REF!),"")</f>
        <v>#REF!</v>
      </c>
      <c r="AH22" s="51" t="e">
        <f>IF(AND('Mapa final'!#REF!="Alta",'Mapa final'!#REF!="Catastrófico"),CONCATENATE("R7C",'Mapa final'!#REF!),"")</f>
        <v>#REF!</v>
      </c>
      <c r="AI22" s="52" t="e">
        <f>IF(AND('Mapa final'!#REF!="Alta",'Mapa final'!#REF!="Catastrófico"),CONCATENATE("R7C",'Mapa final'!#REF!),"")</f>
        <v>#REF!</v>
      </c>
      <c r="AJ22" s="52" t="e">
        <f>IF(AND('Mapa final'!#REF!="Alta",'Mapa final'!#REF!="Catastrófico"),CONCATENATE("R7C",'Mapa final'!#REF!),"")</f>
        <v>#REF!</v>
      </c>
      <c r="AK22" s="52" t="e">
        <f>IF(AND('Mapa final'!#REF!="Alta",'Mapa final'!#REF!="Catastrófico"),CONCATENATE("R7C",'Mapa final'!#REF!),"")</f>
        <v>#REF!</v>
      </c>
      <c r="AL22" s="52" t="e">
        <f>IF(AND('Mapa final'!#REF!="Alta",'Mapa final'!#REF!="Catastrófico"),CONCATENATE("R7C",'Mapa final'!#REF!),"")</f>
        <v>#REF!</v>
      </c>
      <c r="AM22" s="53" t="e">
        <f>IF(AND('Mapa final'!#REF!="Alta",'Mapa final'!#REF!="Catastrófico"),CONCATENATE("R7C",'Mapa final'!#REF!),"")</f>
        <v>#REF!</v>
      </c>
      <c r="AN22" s="79"/>
      <c r="AO22" s="417"/>
      <c r="AP22" s="418"/>
      <c r="AQ22" s="418"/>
      <c r="AR22" s="418"/>
      <c r="AS22" s="418"/>
      <c r="AT22" s="41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row>
    <row r="23" spans="1:76" ht="15" customHeight="1" x14ac:dyDescent="0.25">
      <c r="A23" s="79"/>
      <c r="B23" s="328"/>
      <c r="C23" s="328"/>
      <c r="D23" s="329"/>
      <c r="E23" s="427"/>
      <c r="F23" s="426"/>
      <c r="G23" s="426"/>
      <c r="H23" s="426"/>
      <c r="I23" s="426"/>
      <c r="J23" s="63" t="str">
        <f>IF(AND('Mapa final'!$Y$41="Alta",'Mapa final'!$AA$41="Leve"),CONCATENATE("R8C",'Mapa final'!$O$41),"")</f>
        <v/>
      </c>
      <c r="K23" s="64" t="str">
        <f>IF(AND('Mapa final'!$Y$42="Alta",'Mapa final'!$AA$42="Leve"),CONCATENATE("R8C",'Mapa final'!$O$42),"")</f>
        <v/>
      </c>
      <c r="L23" s="64" t="str">
        <f>IF(AND('Mapa final'!$Y$43="Alta",'Mapa final'!$AA$43="Leve"),CONCATENATE("R8C",'Mapa final'!$O$43),"")</f>
        <v/>
      </c>
      <c r="M23" s="64" t="str">
        <f>IF(AND('Mapa final'!$Y$44="Alta",'Mapa final'!$AA$44="Leve"),CONCATENATE("R8C",'Mapa final'!$O$44),"")</f>
        <v/>
      </c>
      <c r="N23" s="64" t="str">
        <f>IF(AND('Mapa final'!$Y$45="Alta",'Mapa final'!$AA$45="Leve"),CONCATENATE("R8C",'Mapa final'!$O$45),"")</f>
        <v/>
      </c>
      <c r="O23" s="65" t="str">
        <f>IF(AND('Mapa final'!$Y$46="Alta",'Mapa final'!$AA$46="Leve"),CONCATENATE("R8C",'Mapa final'!$O$46),"")</f>
        <v/>
      </c>
      <c r="P23" s="63" t="str">
        <f>IF(AND('Mapa final'!$Y$41="Alta",'Mapa final'!$AA$41="Menor"),CONCATENATE("R8C",'Mapa final'!$O$41),"")</f>
        <v/>
      </c>
      <c r="Q23" s="64" t="str">
        <f>IF(AND('Mapa final'!$Y$42="Alta",'Mapa final'!$AA$42="Menor"),CONCATENATE("R8C",'Mapa final'!$O$42),"")</f>
        <v/>
      </c>
      <c r="R23" s="64" t="str">
        <f>IF(AND('Mapa final'!$Y$43="Alta",'Mapa final'!$AA$43="Menor"),CONCATENATE("R8C",'Mapa final'!$O$43),"")</f>
        <v/>
      </c>
      <c r="S23" s="64" t="str">
        <f>IF(AND('Mapa final'!$Y$44="Alta",'Mapa final'!$AA$44="Menor"),CONCATENATE("R8C",'Mapa final'!$O$44),"")</f>
        <v/>
      </c>
      <c r="T23" s="64" t="str">
        <f>IF(AND('Mapa final'!$Y$45="Alta",'Mapa final'!$AA$45="Menor"),CONCATENATE("R8C",'Mapa final'!$O$45),"")</f>
        <v/>
      </c>
      <c r="U23" s="65" t="str">
        <f>IF(AND('Mapa final'!$Y$46="Alta",'Mapa final'!$AA$46="Menor"),CONCATENATE("R8C",'Mapa final'!$O$46),"")</f>
        <v/>
      </c>
      <c r="V23" s="48" t="str">
        <f>IF(AND('Mapa final'!$Y$41="Alta",'Mapa final'!$AA$41="Moderado"),CONCATENATE("R8C",'Mapa final'!$O$41),"")</f>
        <v/>
      </c>
      <c r="W23" s="49" t="str">
        <f>IF(AND('Mapa final'!$Y$42="Alta",'Mapa final'!$AA$42="Moderado"),CONCATENATE("R8C",'Mapa final'!$O$42),"")</f>
        <v/>
      </c>
      <c r="X23" s="49" t="str">
        <f>IF(AND('Mapa final'!$Y$43="Alta",'Mapa final'!$AA$43="Moderado"),CONCATENATE("R8C",'Mapa final'!$O$43),"")</f>
        <v/>
      </c>
      <c r="Y23" s="49" t="str">
        <f>IF(AND('Mapa final'!$Y$44="Alta",'Mapa final'!$AA$44="Moderado"),CONCATENATE("R8C",'Mapa final'!$O$44),"")</f>
        <v/>
      </c>
      <c r="Z23" s="49" t="str">
        <f>IF(AND('Mapa final'!$Y$45="Alta",'Mapa final'!$AA$45="Moderado"),CONCATENATE("R8C",'Mapa final'!$O$45),"")</f>
        <v/>
      </c>
      <c r="AA23" s="50" t="str">
        <f>IF(AND('Mapa final'!$Y$46="Alta",'Mapa final'!$AA$46="Moderado"),CONCATENATE("R8C",'Mapa final'!$O$46),"")</f>
        <v/>
      </c>
      <c r="AB23" s="48" t="str">
        <f>IF(AND('Mapa final'!$Y$41="Alta",'Mapa final'!$AA$41="Mayor"),CONCATENATE("R8C",'Mapa final'!$O$41),"")</f>
        <v/>
      </c>
      <c r="AC23" s="49" t="str">
        <f>IF(AND('Mapa final'!$Y$42="Alta",'Mapa final'!$AA$42="Mayor"),CONCATENATE("R8C",'Mapa final'!$O$42),"")</f>
        <v/>
      </c>
      <c r="AD23" s="49" t="str">
        <f>IF(AND('Mapa final'!$Y$43="Alta",'Mapa final'!$AA$43="Mayor"),CONCATENATE("R8C",'Mapa final'!$O$43),"")</f>
        <v/>
      </c>
      <c r="AE23" s="49" t="str">
        <f>IF(AND('Mapa final'!$Y$44="Alta",'Mapa final'!$AA$44="Mayor"),CONCATENATE("R8C",'Mapa final'!$O$44),"")</f>
        <v/>
      </c>
      <c r="AF23" s="49" t="str">
        <f>IF(AND('Mapa final'!$Y$45="Alta",'Mapa final'!$AA$45="Mayor"),CONCATENATE("R8C",'Mapa final'!$O$45),"")</f>
        <v/>
      </c>
      <c r="AG23" s="50" t="str">
        <f>IF(AND('Mapa final'!$Y$46="Alta",'Mapa final'!$AA$46="Mayor"),CONCATENATE("R8C",'Mapa final'!$O$46),"")</f>
        <v/>
      </c>
      <c r="AH23" s="51" t="str">
        <f>IF(AND('Mapa final'!$Y$41="Alta",'Mapa final'!$AA$41="Catastrófico"),CONCATENATE("R8C",'Mapa final'!$O$41),"")</f>
        <v/>
      </c>
      <c r="AI23" s="52" t="str">
        <f>IF(AND('Mapa final'!$Y$42="Alta",'Mapa final'!$AA$42="Catastrófico"),CONCATENATE("R8C",'Mapa final'!$O$42),"")</f>
        <v/>
      </c>
      <c r="AJ23" s="52" t="str">
        <f>IF(AND('Mapa final'!$Y$43="Alta",'Mapa final'!$AA$43="Catastrófico"),CONCATENATE("R8C",'Mapa final'!$O$43),"")</f>
        <v/>
      </c>
      <c r="AK23" s="52" t="str">
        <f>IF(AND('Mapa final'!$Y$44="Alta",'Mapa final'!$AA$44="Catastrófico"),CONCATENATE("R8C",'Mapa final'!$O$44),"")</f>
        <v/>
      </c>
      <c r="AL23" s="52" t="str">
        <f>IF(AND('Mapa final'!$Y$45="Alta",'Mapa final'!$AA$45="Catastrófico"),CONCATENATE("R8C",'Mapa final'!$O$45),"")</f>
        <v/>
      </c>
      <c r="AM23" s="53" t="str">
        <f>IF(AND('Mapa final'!$Y$46="Alta",'Mapa final'!$AA$46="Catastrófico"),CONCATENATE("R8C",'Mapa final'!$O$46),"")</f>
        <v/>
      </c>
      <c r="AN23" s="79"/>
      <c r="AO23" s="417"/>
      <c r="AP23" s="418"/>
      <c r="AQ23" s="418"/>
      <c r="AR23" s="418"/>
      <c r="AS23" s="418"/>
      <c r="AT23" s="41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row>
    <row r="24" spans="1:76" ht="15" customHeight="1" x14ac:dyDescent="0.25">
      <c r="A24" s="79"/>
      <c r="B24" s="328"/>
      <c r="C24" s="328"/>
      <c r="D24" s="329"/>
      <c r="E24" s="427"/>
      <c r="F24" s="426"/>
      <c r="G24" s="426"/>
      <c r="H24" s="426"/>
      <c r="I24" s="426"/>
      <c r="J24" s="63" t="str">
        <f>IF(AND('Mapa final'!$Y$47="Alta",'Mapa final'!$AA$47="Leve"),CONCATENATE("R9C",'Mapa final'!$O$47),"")</f>
        <v/>
      </c>
      <c r="K24" s="64" t="str">
        <f>IF(AND('Mapa final'!$Y$48="Alta",'Mapa final'!$AA$48="Leve"),CONCATENATE("R9C",'Mapa final'!$O$48),"")</f>
        <v/>
      </c>
      <c r="L24" s="64" t="str">
        <f>IF(AND('Mapa final'!$Y$49="Alta",'Mapa final'!$AA$49="Leve"),CONCATENATE("R9C",'Mapa final'!$O$49),"")</f>
        <v/>
      </c>
      <c r="M24" s="64" t="str">
        <f>IF(AND('Mapa final'!$Y$50="Alta",'Mapa final'!$AA$50="Leve"),CONCATENATE("R9C",'Mapa final'!$O$50),"")</f>
        <v/>
      </c>
      <c r="N24" s="64" t="str">
        <f>IF(AND('Mapa final'!$Y$51="Alta",'Mapa final'!$AA$51="Leve"),CONCATENATE("R9C",'Mapa final'!$O$51),"")</f>
        <v/>
      </c>
      <c r="O24" s="65" t="str">
        <f>IF(AND('Mapa final'!$Y$52="Alta",'Mapa final'!$AA$52="Leve"),CONCATENATE("R9C",'Mapa final'!$O$52),"")</f>
        <v/>
      </c>
      <c r="P24" s="63" t="str">
        <f>IF(AND('Mapa final'!$Y$47="Alta",'Mapa final'!$AA$47="Menor"),CONCATENATE("R9C",'Mapa final'!$O$47),"")</f>
        <v/>
      </c>
      <c r="Q24" s="64" t="str">
        <f>IF(AND('Mapa final'!$Y$48="Alta",'Mapa final'!$AA$48="Menor"),CONCATENATE("R9C",'Mapa final'!$O$48),"")</f>
        <v/>
      </c>
      <c r="R24" s="64" t="str">
        <f>IF(AND('Mapa final'!$Y$49="Alta",'Mapa final'!$AA$49="Menor"),CONCATENATE("R9C",'Mapa final'!$O$49),"")</f>
        <v/>
      </c>
      <c r="S24" s="64" t="str">
        <f>IF(AND('Mapa final'!$Y$50="Alta",'Mapa final'!$AA$50="Menor"),CONCATENATE("R9C",'Mapa final'!$O$50),"")</f>
        <v/>
      </c>
      <c r="T24" s="64" t="str">
        <f>IF(AND('Mapa final'!$Y$51="Alta",'Mapa final'!$AA$51="Menor"),CONCATENATE("R9C",'Mapa final'!$O$51),"")</f>
        <v/>
      </c>
      <c r="U24" s="65" t="str">
        <f>IF(AND('Mapa final'!$Y$52="Alta",'Mapa final'!$AA$52="Menor"),CONCATENATE("R9C",'Mapa final'!$O$52),"")</f>
        <v/>
      </c>
      <c r="V24" s="48" t="str">
        <f>IF(AND('Mapa final'!$Y$47="Alta",'Mapa final'!$AA$47="Moderado"),CONCATENATE("R9C",'Mapa final'!$O$47),"")</f>
        <v/>
      </c>
      <c r="W24" s="49" t="str">
        <f>IF(AND('Mapa final'!$Y$48="Alta",'Mapa final'!$AA$48="Moderado"),CONCATENATE("R9C",'Mapa final'!$O$48),"")</f>
        <v/>
      </c>
      <c r="X24" s="49" t="str">
        <f>IF(AND('Mapa final'!$Y$49="Alta",'Mapa final'!$AA$49="Moderado"),CONCATENATE("R9C",'Mapa final'!$O$49),"")</f>
        <v/>
      </c>
      <c r="Y24" s="49" t="str">
        <f>IF(AND('Mapa final'!$Y$50="Alta",'Mapa final'!$AA$50="Moderado"),CONCATENATE("R9C",'Mapa final'!$O$50),"")</f>
        <v/>
      </c>
      <c r="Z24" s="49" t="str">
        <f>IF(AND('Mapa final'!$Y$51="Alta",'Mapa final'!$AA$51="Moderado"),CONCATENATE("R9C",'Mapa final'!$O$51),"")</f>
        <v/>
      </c>
      <c r="AA24" s="50" t="str">
        <f>IF(AND('Mapa final'!$Y$52="Alta",'Mapa final'!$AA$52="Moderado"),CONCATENATE("R9C",'Mapa final'!$O$52),"")</f>
        <v/>
      </c>
      <c r="AB24" s="48" t="str">
        <f>IF(AND('Mapa final'!$Y$47="Alta",'Mapa final'!$AA$47="Mayor"),CONCATENATE("R9C",'Mapa final'!$O$47),"")</f>
        <v/>
      </c>
      <c r="AC24" s="49" t="str">
        <f>IF(AND('Mapa final'!$Y$48="Alta",'Mapa final'!$AA$48="Mayor"),CONCATENATE("R9C",'Mapa final'!$O$48),"")</f>
        <v/>
      </c>
      <c r="AD24" s="49" t="str">
        <f>IF(AND('Mapa final'!$Y$49="Alta",'Mapa final'!$AA$49="Mayor"),CONCATENATE("R9C",'Mapa final'!$O$49),"")</f>
        <v/>
      </c>
      <c r="AE24" s="49" t="str">
        <f>IF(AND('Mapa final'!$Y$50="Alta",'Mapa final'!$AA$50="Mayor"),CONCATENATE("R9C",'Mapa final'!$O$50),"")</f>
        <v/>
      </c>
      <c r="AF24" s="49" t="str">
        <f>IF(AND('Mapa final'!$Y$51="Alta",'Mapa final'!$AA$51="Mayor"),CONCATENATE("R9C",'Mapa final'!$O$51),"")</f>
        <v/>
      </c>
      <c r="AG24" s="50" t="str">
        <f>IF(AND('Mapa final'!$Y$52="Alta",'Mapa final'!$AA$52="Mayor"),CONCATENATE("R9C",'Mapa final'!$O$52),"")</f>
        <v/>
      </c>
      <c r="AH24" s="51" t="str">
        <f>IF(AND('Mapa final'!$Y$47="Alta",'Mapa final'!$AA$47="Catastrófico"),CONCATENATE("R9C",'Mapa final'!$O$47),"")</f>
        <v/>
      </c>
      <c r="AI24" s="52" t="str">
        <f>IF(AND('Mapa final'!$Y$48="Alta",'Mapa final'!$AA$48="Catastrófico"),CONCATENATE("R9C",'Mapa final'!$O$48),"")</f>
        <v/>
      </c>
      <c r="AJ24" s="52" t="str">
        <f>IF(AND('Mapa final'!$Y$49="Alta",'Mapa final'!$AA$49="Catastrófico"),CONCATENATE("R9C",'Mapa final'!$O$49),"")</f>
        <v/>
      </c>
      <c r="AK24" s="52" t="str">
        <f>IF(AND('Mapa final'!$Y$50="Alta",'Mapa final'!$AA$50="Catastrófico"),CONCATENATE("R9C",'Mapa final'!$O$50),"")</f>
        <v/>
      </c>
      <c r="AL24" s="52" t="str">
        <f>IF(AND('Mapa final'!$Y$51="Alta",'Mapa final'!$AA$51="Catastrófico"),CONCATENATE("R9C",'Mapa final'!$O$51),"")</f>
        <v/>
      </c>
      <c r="AM24" s="53" t="str">
        <f>IF(AND('Mapa final'!$Y$52="Alta",'Mapa final'!$AA$52="Catastrófico"),CONCATENATE("R9C",'Mapa final'!$O$52),"")</f>
        <v/>
      </c>
      <c r="AN24" s="79"/>
      <c r="AO24" s="417"/>
      <c r="AP24" s="418"/>
      <c r="AQ24" s="418"/>
      <c r="AR24" s="418"/>
      <c r="AS24" s="418"/>
      <c r="AT24" s="41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row>
    <row r="25" spans="1:76" ht="15.75" customHeight="1" thickBot="1" x14ac:dyDescent="0.3">
      <c r="A25" s="79"/>
      <c r="B25" s="328"/>
      <c r="C25" s="328"/>
      <c r="D25" s="329"/>
      <c r="E25" s="428"/>
      <c r="F25" s="429"/>
      <c r="G25" s="429"/>
      <c r="H25" s="429"/>
      <c r="I25" s="429"/>
      <c r="J25" s="66" t="str">
        <f>IF(AND('Mapa final'!$Y$53="Alta",'Mapa final'!$AA$53="Leve"),CONCATENATE("R10C",'Mapa final'!$O$53),"")</f>
        <v/>
      </c>
      <c r="K25" s="67" t="str">
        <f>IF(AND('Mapa final'!$Y$54="Alta",'Mapa final'!$AA$54="Leve"),CONCATENATE("R10C",'Mapa final'!$O$54),"")</f>
        <v/>
      </c>
      <c r="L25" s="67" t="str">
        <f>IF(AND('Mapa final'!$Y$55="Alta",'Mapa final'!$AA$55="Leve"),CONCATENATE("R10C",'Mapa final'!$O$55),"")</f>
        <v/>
      </c>
      <c r="M25" s="67" t="str">
        <f>IF(AND('Mapa final'!$Y$56="Alta",'Mapa final'!$AA$56="Leve"),CONCATENATE("R10C",'Mapa final'!$O$56),"")</f>
        <v/>
      </c>
      <c r="N25" s="67" t="str">
        <f>IF(AND('Mapa final'!$Y$57="Alta",'Mapa final'!$AA$57="Leve"),CONCATENATE("R10C",'Mapa final'!$O$57),"")</f>
        <v/>
      </c>
      <c r="O25" s="68" t="str">
        <f>IF(AND('Mapa final'!$Y$58="Alta",'Mapa final'!$AA$58="Leve"),CONCATENATE("R10C",'Mapa final'!$O$58),"")</f>
        <v/>
      </c>
      <c r="P25" s="66" t="str">
        <f>IF(AND('Mapa final'!$Y$53="Alta",'Mapa final'!$AA$53="Menor"),CONCATENATE("R10C",'Mapa final'!$O$53),"")</f>
        <v/>
      </c>
      <c r="Q25" s="67" t="str">
        <f>IF(AND('Mapa final'!$Y$54="Alta",'Mapa final'!$AA$54="Menor"),CONCATENATE("R10C",'Mapa final'!$O$54),"")</f>
        <v/>
      </c>
      <c r="R25" s="67" t="str">
        <f>IF(AND('Mapa final'!$Y$55="Alta",'Mapa final'!$AA$55="Menor"),CONCATENATE("R10C",'Mapa final'!$O$55),"")</f>
        <v/>
      </c>
      <c r="S25" s="67" t="str">
        <f>IF(AND('Mapa final'!$Y$56="Alta",'Mapa final'!$AA$56="Menor"),CONCATENATE("R10C",'Mapa final'!$O$56),"")</f>
        <v/>
      </c>
      <c r="T25" s="67" t="str">
        <f>IF(AND('Mapa final'!$Y$57="Alta",'Mapa final'!$AA$57="Menor"),CONCATENATE("R10C",'Mapa final'!$O$57),"")</f>
        <v/>
      </c>
      <c r="U25" s="68" t="str">
        <f>IF(AND('Mapa final'!$Y$58="Alta",'Mapa final'!$AA$58="Menor"),CONCATENATE("R10C",'Mapa final'!$O$58),"")</f>
        <v/>
      </c>
      <c r="V25" s="54" t="str">
        <f>IF(AND('Mapa final'!$Y$53="Alta",'Mapa final'!$AA$53="Moderado"),CONCATENATE("R10C",'Mapa final'!$O$53),"")</f>
        <v/>
      </c>
      <c r="W25" s="55" t="str">
        <f>IF(AND('Mapa final'!$Y$54="Alta",'Mapa final'!$AA$54="Moderado"),CONCATENATE("R10C",'Mapa final'!$O$54),"")</f>
        <v/>
      </c>
      <c r="X25" s="55" t="str">
        <f>IF(AND('Mapa final'!$Y$55="Alta",'Mapa final'!$AA$55="Moderado"),CONCATENATE("R10C",'Mapa final'!$O$55),"")</f>
        <v/>
      </c>
      <c r="Y25" s="55" t="str">
        <f>IF(AND('Mapa final'!$Y$56="Alta",'Mapa final'!$AA$56="Moderado"),CONCATENATE("R10C",'Mapa final'!$O$56),"")</f>
        <v/>
      </c>
      <c r="Z25" s="55" t="str">
        <f>IF(AND('Mapa final'!$Y$57="Alta",'Mapa final'!$AA$57="Moderado"),CONCATENATE("R10C",'Mapa final'!$O$57),"")</f>
        <v/>
      </c>
      <c r="AA25" s="56" t="str">
        <f>IF(AND('Mapa final'!$Y$58="Alta",'Mapa final'!$AA$58="Moderado"),CONCATENATE("R10C",'Mapa final'!$O$58),"")</f>
        <v/>
      </c>
      <c r="AB25" s="54" t="str">
        <f>IF(AND('Mapa final'!$Y$53="Alta",'Mapa final'!$AA$53="Mayor"),CONCATENATE("R10C",'Mapa final'!$O$53),"")</f>
        <v/>
      </c>
      <c r="AC25" s="55" t="str">
        <f>IF(AND('Mapa final'!$Y$54="Alta",'Mapa final'!$AA$54="Mayor"),CONCATENATE("R10C",'Mapa final'!$O$54),"")</f>
        <v/>
      </c>
      <c r="AD25" s="55" t="str">
        <f>IF(AND('Mapa final'!$Y$55="Alta",'Mapa final'!$AA$55="Mayor"),CONCATENATE("R10C",'Mapa final'!$O$55),"")</f>
        <v/>
      </c>
      <c r="AE25" s="55" t="str">
        <f>IF(AND('Mapa final'!$Y$56="Alta",'Mapa final'!$AA$56="Mayor"),CONCATENATE("R10C",'Mapa final'!$O$56),"")</f>
        <v/>
      </c>
      <c r="AF25" s="55" t="str">
        <f>IF(AND('Mapa final'!$Y$57="Alta",'Mapa final'!$AA$57="Mayor"),CONCATENATE("R10C",'Mapa final'!$O$57),"")</f>
        <v/>
      </c>
      <c r="AG25" s="56" t="str">
        <f>IF(AND('Mapa final'!$Y$58="Alta",'Mapa final'!$AA$58="Mayor"),CONCATENATE("R10C",'Mapa final'!$O$58),"")</f>
        <v/>
      </c>
      <c r="AH25" s="57" t="str">
        <f>IF(AND('Mapa final'!$Y$53="Alta",'Mapa final'!$AA$53="Catastrófico"),CONCATENATE("R10C",'Mapa final'!$O$53),"")</f>
        <v/>
      </c>
      <c r="AI25" s="58" t="str">
        <f>IF(AND('Mapa final'!$Y$54="Alta",'Mapa final'!$AA$54="Catastrófico"),CONCATENATE("R10C",'Mapa final'!$O$54),"")</f>
        <v/>
      </c>
      <c r="AJ25" s="58" t="str">
        <f>IF(AND('Mapa final'!$Y$55="Alta",'Mapa final'!$AA$55="Catastrófico"),CONCATENATE("R10C",'Mapa final'!$O$55),"")</f>
        <v/>
      </c>
      <c r="AK25" s="58" t="str">
        <f>IF(AND('Mapa final'!$Y$56="Alta",'Mapa final'!$AA$56="Catastrófico"),CONCATENATE("R10C",'Mapa final'!$O$56),"")</f>
        <v/>
      </c>
      <c r="AL25" s="58" t="str">
        <f>IF(AND('Mapa final'!$Y$57="Alta",'Mapa final'!$AA$57="Catastrófico"),CONCATENATE("R10C",'Mapa final'!$O$57),"")</f>
        <v/>
      </c>
      <c r="AM25" s="59" t="str">
        <f>IF(AND('Mapa final'!$Y$58="Alta",'Mapa final'!$AA$58="Catastrófico"),CONCATENATE("R10C",'Mapa final'!$O$58),"")</f>
        <v/>
      </c>
      <c r="AN25" s="79"/>
      <c r="AO25" s="420"/>
      <c r="AP25" s="421"/>
      <c r="AQ25" s="421"/>
      <c r="AR25" s="421"/>
      <c r="AS25" s="421"/>
      <c r="AT25" s="422"/>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row>
    <row r="26" spans="1:76" ht="15" customHeight="1" x14ac:dyDescent="0.25">
      <c r="A26" s="79"/>
      <c r="B26" s="328"/>
      <c r="C26" s="328"/>
      <c r="D26" s="329"/>
      <c r="E26" s="423" t="s">
        <v>96</v>
      </c>
      <c r="F26" s="424"/>
      <c r="G26" s="424"/>
      <c r="H26" s="424"/>
      <c r="I26" s="441"/>
      <c r="J26" s="60" t="str">
        <f>IF(AND('Mapa final'!$Y$26="Media",'Mapa final'!$AA$26="Leve"),CONCATENATE("R1C",'Mapa final'!$O$26),"")</f>
        <v/>
      </c>
      <c r="K26" s="61" t="str">
        <f>IF(AND('Mapa final'!$Y$27="Media",'Mapa final'!$AA$27="Leve"),CONCATENATE("R1C",'Mapa final'!$O$27),"")</f>
        <v/>
      </c>
      <c r="L26" s="61" t="str">
        <f>IF(AND('Mapa final'!$Y$29="Media",'Mapa final'!$AA$29="Leve"),CONCATENATE("R1C",'Mapa final'!$O$29),"")</f>
        <v/>
      </c>
      <c r="M26" s="61" t="e">
        <f>IF(AND('Mapa final'!#REF!="Media",'Mapa final'!#REF!="Leve"),CONCATENATE("R1C",'Mapa final'!#REF!),"")</f>
        <v>#REF!</v>
      </c>
      <c r="N26" s="61" t="e">
        <f>IF(AND('Mapa final'!#REF!="Media",'Mapa final'!#REF!="Leve"),CONCATENATE("R1C",'Mapa final'!#REF!),"")</f>
        <v>#REF!</v>
      </c>
      <c r="O26" s="62" t="e">
        <f>IF(AND('Mapa final'!#REF!="Media",'Mapa final'!#REF!="Leve"),CONCATENATE("R1C",'Mapa final'!#REF!),"")</f>
        <v>#REF!</v>
      </c>
      <c r="P26" s="60" t="str">
        <f>IF(AND('Mapa final'!$Y$26="Media",'Mapa final'!$AA$26="Menor"),CONCATENATE("R1C",'Mapa final'!$O$26),"")</f>
        <v/>
      </c>
      <c r="Q26" s="61" t="str">
        <f>IF(AND('Mapa final'!$Y$27="Media",'Mapa final'!$AA$27="Menor"),CONCATENATE("R1C",'Mapa final'!$O$27),"")</f>
        <v/>
      </c>
      <c r="R26" s="61" t="str">
        <f>IF(AND('Mapa final'!$Y$29="Media",'Mapa final'!$AA$29="Menor"),CONCATENATE("R1C",'Mapa final'!$O$29),"")</f>
        <v/>
      </c>
      <c r="S26" s="61" t="e">
        <f>IF(AND('Mapa final'!#REF!="Media",'Mapa final'!#REF!="Menor"),CONCATENATE("R1C",'Mapa final'!#REF!),"")</f>
        <v>#REF!</v>
      </c>
      <c r="T26" s="61" t="e">
        <f>IF(AND('Mapa final'!#REF!="Media",'Mapa final'!#REF!="Menor"),CONCATENATE("R1C",'Mapa final'!#REF!),"")</f>
        <v>#REF!</v>
      </c>
      <c r="U26" s="62" t="e">
        <f>IF(AND('Mapa final'!#REF!="Media",'Mapa final'!#REF!="Menor"),CONCATENATE("R1C",'Mapa final'!#REF!),"")</f>
        <v>#REF!</v>
      </c>
      <c r="V26" s="60" t="str">
        <f>IF(AND('Mapa final'!$Y$26="Media",'Mapa final'!$AA$26="Moderado"),CONCATENATE("R1C",'Mapa final'!$O$26),"")</f>
        <v>R1C1</v>
      </c>
      <c r="W26" s="61" t="str">
        <f>IF(AND('Mapa final'!$Y$27="Media",'Mapa final'!$AA$27="Moderado"),CONCATENATE("R1C",'Mapa final'!$O$27),"")</f>
        <v/>
      </c>
      <c r="X26" s="61" t="str">
        <f>IF(AND('Mapa final'!$Y$29="Media",'Mapa final'!$AA$29="Moderado"),CONCATENATE("R1C",'Mapa final'!$O$29),"")</f>
        <v/>
      </c>
      <c r="Y26" s="61" t="e">
        <f>IF(AND('Mapa final'!#REF!="Media",'Mapa final'!#REF!="Moderado"),CONCATENATE("R1C",'Mapa final'!#REF!),"")</f>
        <v>#REF!</v>
      </c>
      <c r="Z26" s="61" t="e">
        <f>IF(AND('Mapa final'!#REF!="Media",'Mapa final'!#REF!="Moderado"),CONCATENATE("R1C",'Mapa final'!#REF!),"")</f>
        <v>#REF!</v>
      </c>
      <c r="AA26" s="62" t="e">
        <f>IF(AND('Mapa final'!#REF!="Media",'Mapa final'!#REF!="Moderado"),CONCATENATE("R1C",'Mapa final'!#REF!),"")</f>
        <v>#REF!</v>
      </c>
      <c r="AB26" s="42" t="str">
        <f>IF(AND('Mapa final'!$Y$26="Media",'Mapa final'!$AA$26="Mayor"),CONCATENATE("R1C",'Mapa final'!$O$26),"")</f>
        <v/>
      </c>
      <c r="AC26" s="43" t="str">
        <f>IF(AND('Mapa final'!$Y$27="Media",'Mapa final'!$AA$27="Mayor"),CONCATENATE("R1C",'Mapa final'!$O$27),"")</f>
        <v/>
      </c>
      <c r="AD26" s="43" t="str">
        <f>IF(AND('Mapa final'!$Y$29="Media",'Mapa final'!$AA$29="Mayor"),CONCATENATE("R1C",'Mapa final'!$O$29),"")</f>
        <v/>
      </c>
      <c r="AE26" s="43" t="e">
        <f>IF(AND('Mapa final'!#REF!="Media",'Mapa final'!#REF!="Mayor"),CONCATENATE("R1C",'Mapa final'!#REF!),"")</f>
        <v>#REF!</v>
      </c>
      <c r="AF26" s="43" t="e">
        <f>IF(AND('Mapa final'!#REF!="Media",'Mapa final'!#REF!="Mayor"),CONCATENATE("R1C",'Mapa final'!#REF!),"")</f>
        <v>#REF!</v>
      </c>
      <c r="AG26" s="44" t="e">
        <f>IF(AND('Mapa final'!#REF!="Media",'Mapa final'!#REF!="Mayor"),CONCATENATE("R1C",'Mapa final'!#REF!),"")</f>
        <v>#REF!</v>
      </c>
      <c r="AH26" s="45" t="str">
        <f>IF(AND('Mapa final'!$Y$26="Media",'Mapa final'!$AA$26="Catastrófico"),CONCATENATE("R1C",'Mapa final'!$O$26),"")</f>
        <v/>
      </c>
      <c r="AI26" s="46" t="str">
        <f>IF(AND('Mapa final'!$Y$27="Media",'Mapa final'!$AA$27="Catastrófico"),CONCATENATE("R1C",'Mapa final'!$O$27),"")</f>
        <v/>
      </c>
      <c r="AJ26" s="46" t="str">
        <f>IF(AND('Mapa final'!$Y$29="Media",'Mapa final'!$AA$29="Catastrófico"),CONCATENATE("R1C",'Mapa final'!$O$29),"")</f>
        <v/>
      </c>
      <c r="AK26" s="46" t="e">
        <f>IF(AND('Mapa final'!#REF!="Media",'Mapa final'!#REF!="Catastrófico"),CONCATENATE("R1C",'Mapa final'!#REF!),"")</f>
        <v>#REF!</v>
      </c>
      <c r="AL26" s="46" t="e">
        <f>IF(AND('Mapa final'!#REF!="Media",'Mapa final'!#REF!="Catastrófico"),CONCATENATE("R1C",'Mapa final'!#REF!),"")</f>
        <v>#REF!</v>
      </c>
      <c r="AM26" s="47" t="e">
        <f>IF(AND('Mapa final'!#REF!="Media",'Mapa final'!#REF!="Catastrófico"),CONCATENATE("R1C",'Mapa final'!#REF!),"")</f>
        <v>#REF!</v>
      </c>
      <c r="AN26" s="79"/>
      <c r="AO26" s="453" t="s">
        <v>97</v>
      </c>
      <c r="AP26" s="454"/>
      <c r="AQ26" s="454"/>
      <c r="AR26" s="454"/>
      <c r="AS26" s="454"/>
      <c r="AT26" s="455"/>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row>
    <row r="27" spans="1:76" ht="15" customHeight="1" x14ac:dyDescent="0.25">
      <c r="A27" s="79"/>
      <c r="B27" s="328"/>
      <c r="C27" s="328"/>
      <c r="D27" s="329"/>
      <c r="E27" s="425"/>
      <c r="F27" s="426"/>
      <c r="G27" s="426"/>
      <c r="H27" s="426"/>
      <c r="I27" s="442"/>
      <c r="J27" s="63" t="str">
        <f>IF(AND('Mapa final'!$Y$30="Media",'Mapa final'!$AA$30="Leve"),CONCATENATE("R2C",'Mapa final'!$O$30),"")</f>
        <v/>
      </c>
      <c r="K27" s="64" t="str">
        <f>IF(AND('Mapa final'!$Y$31="Media",'Mapa final'!$AA$31="Leve"),CONCATENATE("R2C",'Mapa final'!$O$31),"")</f>
        <v/>
      </c>
      <c r="L27" s="64" t="str">
        <f>IF(AND('Mapa final'!$Y$32="Media",'Mapa final'!$AA$32="Leve"),CONCATENATE("R2C",'Mapa final'!$O$32),"")</f>
        <v/>
      </c>
      <c r="M27" s="64" t="e">
        <f>IF(AND('Mapa final'!#REF!="Media",'Mapa final'!#REF!="Leve"),CONCATENATE("R2C",'Mapa final'!#REF!),"")</f>
        <v>#REF!</v>
      </c>
      <c r="N27" s="64" t="e">
        <f>IF(AND('Mapa final'!#REF!="Media",'Mapa final'!#REF!="Leve"),CONCATENATE("R2C",'Mapa final'!#REF!),"")</f>
        <v>#REF!</v>
      </c>
      <c r="O27" s="65" t="e">
        <f>IF(AND('Mapa final'!#REF!="Media",'Mapa final'!#REF!="Leve"),CONCATENATE("R2C",'Mapa final'!#REF!),"")</f>
        <v>#REF!</v>
      </c>
      <c r="P27" s="63" t="str">
        <f>IF(AND('Mapa final'!$Y$30="Media",'Mapa final'!$AA$30="Menor"),CONCATENATE("R2C",'Mapa final'!$O$30),"")</f>
        <v/>
      </c>
      <c r="Q27" s="64" t="str">
        <f>IF(AND('Mapa final'!$Y$31="Media",'Mapa final'!$AA$31="Menor"),CONCATENATE("R2C",'Mapa final'!$O$31),"")</f>
        <v/>
      </c>
      <c r="R27" s="64" t="str">
        <f>IF(AND('Mapa final'!$Y$32="Media",'Mapa final'!$AA$32="Menor"),CONCATENATE("R2C",'Mapa final'!$O$32),"")</f>
        <v/>
      </c>
      <c r="S27" s="64" t="e">
        <f>IF(AND('Mapa final'!#REF!="Media",'Mapa final'!#REF!="Menor"),CONCATENATE("R2C",'Mapa final'!#REF!),"")</f>
        <v>#REF!</v>
      </c>
      <c r="T27" s="64" t="e">
        <f>IF(AND('Mapa final'!#REF!="Media",'Mapa final'!#REF!="Menor"),CONCATENATE("R2C",'Mapa final'!#REF!),"")</f>
        <v>#REF!</v>
      </c>
      <c r="U27" s="65" t="e">
        <f>IF(AND('Mapa final'!#REF!="Media",'Mapa final'!#REF!="Menor"),CONCATENATE("R2C",'Mapa final'!#REF!),"")</f>
        <v>#REF!</v>
      </c>
      <c r="V27" s="63" t="str">
        <f>IF(AND('Mapa final'!$Y$30="Media",'Mapa final'!$AA$30="Moderado"),CONCATENATE("R2C",'Mapa final'!$O$30),"")</f>
        <v/>
      </c>
      <c r="W27" s="64" t="str">
        <f>IF(AND('Mapa final'!$Y$31="Media",'Mapa final'!$AA$31="Moderado"),CONCATENATE("R2C",'Mapa final'!$O$31),"")</f>
        <v/>
      </c>
      <c r="X27" s="64" t="str">
        <f>IF(AND('Mapa final'!$Y$32="Media",'Mapa final'!$AA$32="Moderado"),CONCATENATE("R2C",'Mapa final'!$O$32),"")</f>
        <v/>
      </c>
      <c r="Y27" s="64" t="e">
        <f>IF(AND('Mapa final'!#REF!="Media",'Mapa final'!#REF!="Moderado"),CONCATENATE("R2C",'Mapa final'!#REF!),"")</f>
        <v>#REF!</v>
      </c>
      <c r="Z27" s="64" t="e">
        <f>IF(AND('Mapa final'!#REF!="Media",'Mapa final'!#REF!="Moderado"),CONCATENATE("R2C",'Mapa final'!#REF!),"")</f>
        <v>#REF!</v>
      </c>
      <c r="AA27" s="65" t="e">
        <f>IF(AND('Mapa final'!#REF!="Media",'Mapa final'!#REF!="Moderado"),CONCATENATE("R2C",'Mapa final'!#REF!),"")</f>
        <v>#REF!</v>
      </c>
      <c r="AB27" s="48" t="str">
        <f>IF(AND('Mapa final'!$Y$30="Media",'Mapa final'!$AA$30="Mayor"),CONCATENATE("R2C",'Mapa final'!$O$30),"")</f>
        <v/>
      </c>
      <c r="AC27" s="49" t="str">
        <f>IF(AND('Mapa final'!$Y$31="Media",'Mapa final'!$AA$31="Mayor"),CONCATENATE("R2C",'Mapa final'!$O$31),"")</f>
        <v/>
      </c>
      <c r="AD27" s="49" t="str">
        <f>IF(AND('Mapa final'!$Y$32="Media",'Mapa final'!$AA$32="Mayor"),CONCATENATE("R2C",'Mapa final'!$O$32),"")</f>
        <v/>
      </c>
      <c r="AE27" s="49" t="e">
        <f>IF(AND('Mapa final'!#REF!="Media",'Mapa final'!#REF!="Mayor"),CONCATENATE("R2C",'Mapa final'!#REF!),"")</f>
        <v>#REF!</v>
      </c>
      <c r="AF27" s="49" t="e">
        <f>IF(AND('Mapa final'!#REF!="Media",'Mapa final'!#REF!="Mayor"),CONCATENATE("R2C",'Mapa final'!#REF!),"")</f>
        <v>#REF!</v>
      </c>
      <c r="AG27" s="50" t="e">
        <f>IF(AND('Mapa final'!#REF!="Media",'Mapa final'!#REF!="Mayor"),CONCATENATE("R2C",'Mapa final'!#REF!),"")</f>
        <v>#REF!</v>
      </c>
      <c r="AH27" s="51" t="str">
        <f>IF(AND('Mapa final'!$Y$30="Media",'Mapa final'!$AA$30="Catastrófico"),CONCATENATE("R2C",'Mapa final'!$O$30),"")</f>
        <v/>
      </c>
      <c r="AI27" s="52" t="str">
        <f>IF(AND('Mapa final'!$Y$31="Media",'Mapa final'!$AA$31="Catastrófico"),CONCATENATE("R2C",'Mapa final'!$O$31),"")</f>
        <v/>
      </c>
      <c r="AJ27" s="52" t="str">
        <f>IF(AND('Mapa final'!$Y$32="Media",'Mapa final'!$AA$32="Catastrófico"),CONCATENATE("R2C",'Mapa final'!$O$32),"")</f>
        <v/>
      </c>
      <c r="AK27" s="52" t="e">
        <f>IF(AND('Mapa final'!#REF!="Media",'Mapa final'!#REF!="Catastrófico"),CONCATENATE("R2C",'Mapa final'!#REF!),"")</f>
        <v>#REF!</v>
      </c>
      <c r="AL27" s="52" t="e">
        <f>IF(AND('Mapa final'!#REF!="Media",'Mapa final'!#REF!="Catastrófico"),CONCATENATE("R2C",'Mapa final'!#REF!),"")</f>
        <v>#REF!</v>
      </c>
      <c r="AM27" s="53" t="e">
        <f>IF(AND('Mapa final'!#REF!="Media",'Mapa final'!#REF!="Catastrófico"),CONCATENATE("R2C",'Mapa final'!#REF!),"")</f>
        <v>#REF!</v>
      </c>
      <c r="AN27" s="79"/>
      <c r="AO27" s="456"/>
      <c r="AP27" s="457"/>
      <c r="AQ27" s="457"/>
      <c r="AR27" s="457"/>
      <c r="AS27" s="457"/>
      <c r="AT27" s="458"/>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row>
    <row r="28" spans="1:76" ht="15" customHeight="1" x14ac:dyDescent="0.25">
      <c r="A28" s="79"/>
      <c r="B28" s="328"/>
      <c r="C28" s="328"/>
      <c r="D28" s="329"/>
      <c r="E28" s="427"/>
      <c r="F28" s="426"/>
      <c r="G28" s="426"/>
      <c r="H28" s="426"/>
      <c r="I28" s="442"/>
      <c r="J28" s="63" t="str">
        <f>IF(AND('Mapa final'!$Y$33="Media",'Mapa final'!$AA$33="Leve"),CONCATENATE("R3C",'Mapa final'!$O$33),"")</f>
        <v/>
      </c>
      <c r="K28" s="64" t="str">
        <f>IF(AND('Mapa final'!$Y$34="Media",'Mapa final'!$AA$34="Leve"),CONCATENATE("R3C",'Mapa final'!$O$34),"")</f>
        <v/>
      </c>
      <c r="L28" s="64" t="str">
        <f>IF(AND('Mapa final'!$Y$35="Media",'Mapa final'!$AA$35="Leve"),CONCATENATE("R3C",'Mapa final'!$O$35),"")</f>
        <v/>
      </c>
      <c r="M28" s="64" t="str">
        <f>IF(AND('Mapa final'!$Y$36="Media",'Mapa final'!$AA$36="Leve"),CONCATENATE("R3C",'Mapa final'!$O$36),"")</f>
        <v/>
      </c>
      <c r="N28" s="64" t="e">
        <f>IF(AND('Mapa final'!#REF!="Media",'Mapa final'!#REF!="Leve"),CONCATENATE("R3C",'Mapa final'!#REF!),"")</f>
        <v>#REF!</v>
      </c>
      <c r="O28" s="65" t="e">
        <f>IF(AND('Mapa final'!#REF!="Media",'Mapa final'!#REF!="Leve"),CONCATENATE("R3C",'Mapa final'!#REF!),"")</f>
        <v>#REF!</v>
      </c>
      <c r="P28" s="63" t="str">
        <f>IF(AND('Mapa final'!$Y$33="Media",'Mapa final'!$AA$33="Menor"),CONCATENATE("R3C",'Mapa final'!$O$33),"")</f>
        <v/>
      </c>
      <c r="Q28" s="64" t="str">
        <f>IF(AND('Mapa final'!$Y$34="Media",'Mapa final'!$AA$34="Menor"),CONCATENATE("R3C",'Mapa final'!$O$34),"")</f>
        <v/>
      </c>
      <c r="R28" s="64" t="str">
        <f>IF(AND('Mapa final'!$Y$35="Media",'Mapa final'!$AA$35="Menor"),CONCATENATE("R3C",'Mapa final'!$O$35),"")</f>
        <v/>
      </c>
      <c r="S28" s="64" t="str">
        <f>IF(AND('Mapa final'!$Y$36="Media",'Mapa final'!$AA$36="Menor"),CONCATENATE("R3C",'Mapa final'!$O$36),"")</f>
        <v/>
      </c>
      <c r="T28" s="64" t="e">
        <f>IF(AND('Mapa final'!#REF!="Media",'Mapa final'!#REF!="Menor"),CONCATENATE("R3C",'Mapa final'!#REF!),"")</f>
        <v>#REF!</v>
      </c>
      <c r="U28" s="65" t="e">
        <f>IF(AND('Mapa final'!#REF!="Media",'Mapa final'!#REF!="Menor"),CONCATENATE("R3C",'Mapa final'!#REF!),"")</f>
        <v>#REF!</v>
      </c>
      <c r="V28" s="63" t="str">
        <f>IF(AND('Mapa final'!$Y$33="Media",'Mapa final'!$AA$33="Moderado"),CONCATENATE("R3C",'Mapa final'!$O$33),"")</f>
        <v>R3C1</v>
      </c>
      <c r="W28" s="64" t="str">
        <f>IF(AND('Mapa final'!$Y$34="Media",'Mapa final'!$AA$34="Moderado"),CONCATENATE("R3C",'Mapa final'!$O$34),"")</f>
        <v/>
      </c>
      <c r="X28" s="64" t="str">
        <f>IF(AND('Mapa final'!$Y$35="Media",'Mapa final'!$AA$35="Moderado"),CONCATENATE("R3C",'Mapa final'!$O$35),"")</f>
        <v/>
      </c>
      <c r="Y28" s="64" t="str">
        <f>IF(AND('Mapa final'!$Y$36="Media",'Mapa final'!$AA$36="Moderado"),CONCATENATE("R3C",'Mapa final'!$O$36),"")</f>
        <v/>
      </c>
      <c r="Z28" s="64" t="e">
        <f>IF(AND('Mapa final'!#REF!="Media",'Mapa final'!#REF!="Moderado"),CONCATENATE("R3C",'Mapa final'!#REF!),"")</f>
        <v>#REF!</v>
      </c>
      <c r="AA28" s="65" t="e">
        <f>IF(AND('Mapa final'!#REF!="Media",'Mapa final'!#REF!="Moderado"),CONCATENATE("R3C",'Mapa final'!#REF!),"")</f>
        <v>#REF!</v>
      </c>
      <c r="AB28" s="48" t="str">
        <f>IF(AND('Mapa final'!$Y$33="Media",'Mapa final'!$AA$33="Mayor"),CONCATENATE("R3C",'Mapa final'!$O$33),"")</f>
        <v/>
      </c>
      <c r="AC28" s="49" t="str">
        <f>IF(AND('Mapa final'!$Y$34="Media",'Mapa final'!$AA$34="Mayor"),CONCATENATE("R3C",'Mapa final'!$O$34),"")</f>
        <v/>
      </c>
      <c r="AD28" s="49" t="str">
        <f>IF(AND('Mapa final'!$Y$35="Media",'Mapa final'!$AA$35="Mayor"),CONCATENATE("R3C",'Mapa final'!$O$35),"")</f>
        <v/>
      </c>
      <c r="AE28" s="49" t="str">
        <f>IF(AND('Mapa final'!$Y$36="Media",'Mapa final'!$AA$36="Mayor"),CONCATENATE("R3C",'Mapa final'!$O$36),"")</f>
        <v/>
      </c>
      <c r="AF28" s="49" t="e">
        <f>IF(AND('Mapa final'!#REF!="Media",'Mapa final'!#REF!="Mayor"),CONCATENATE("R3C",'Mapa final'!#REF!),"")</f>
        <v>#REF!</v>
      </c>
      <c r="AG28" s="50" t="e">
        <f>IF(AND('Mapa final'!#REF!="Media",'Mapa final'!#REF!="Mayor"),CONCATENATE("R3C",'Mapa final'!#REF!),"")</f>
        <v>#REF!</v>
      </c>
      <c r="AH28" s="51" t="str">
        <f>IF(AND('Mapa final'!$Y$33="Media",'Mapa final'!$AA$33="Catastrófico"),CONCATENATE("R3C",'Mapa final'!$O$33),"")</f>
        <v/>
      </c>
      <c r="AI28" s="52" t="str">
        <f>IF(AND('Mapa final'!$Y$34="Media",'Mapa final'!$AA$34="Catastrófico"),CONCATENATE("R3C",'Mapa final'!$O$34),"")</f>
        <v/>
      </c>
      <c r="AJ28" s="52" t="str">
        <f>IF(AND('Mapa final'!$Y$35="Media",'Mapa final'!$AA$35="Catastrófico"),CONCATENATE("R3C",'Mapa final'!$O$35),"")</f>
        <v/>
      </c>
      <c r="AK28" s="52" t="str">
        <f>IF(AND('Mapa final'!$Y$36="Media",'Mapa final'!$AA$36="Catastrófico"),CONCATENATE("R3C",'Mapa final'!$O$36),"")</f>
        <v/>
      </c>
      <c r="AL28" s="52" t="e">
        <f>IF(AND('Mapa final'!#REF!="Media",'Mapa final'!#REF!="Catastrófico"),CONCATENATE("R3C",'Mapa final'!#REF!),"")</f>
        <v>#REF!</v>
      </c>
      <c r="AM28" s="53" t="e">
        <f>IF(AND('Mapa final'!#REF!="Media",'Mapa final'!#REF!="Catastrófico"),CONCATENATE("R3C",'Mapa final'!#REF!),"")</f>
        <v>#REF!</v>
      </c>
      <c r="AN28" s="79"/>
      <c r="AO28" s="456"/>
      <c r="AP28" s="457"/>
      <c r="AQ28" s="457"/>
      <c r="AR28" s="457"/>
      <c r="AS28" s="457"/>
      <c r="AT28" s="458"/>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row>
    <row r="29" spans="1:76" ht="15" customHeight="1" x14ac:dyDescent="0.25">
      <c r="A29" s="79"/>
      <c r="B29" s="328"/>
      <c r="C29" s="328"/>
      <c r="D29" s="329"/>
      <c r="E29" s="427"/>
      <c r="F29" s="426"/>
      <c r="G29" s="426"/>
      <c r="H29" s="426"/>
      <c r="I29" s="442"/>
      <c r="J29" s="63" t="str">
        <f>IF(AND('Mapa final'!$Y$37="Media",'Mapa final'!$AA$37="Leve"),CONCATENATE("R4C",'Mapa final'!$O$37),"")</f>
        <v/>
      </c>
      <c r="K29" s="64" t="str">
        <f>IF(AND('Mapa final'!$Y$38="Media",'Mapa final'!$AA$38="Leve"),CONCATENATE("R4C",'Mapa final'!$O$38),"")</f>
        <v/>
      </c>
      <c r="L29" s="64" t="str">
        <f>IF(AND('Mapa final'!$Y$39="Media",'Mapa final'!$AA$39="Leve"),CONCATENATE("R4C",'Mapa final'!$O$39),"")</f>
        <v/>
      </c>
      <c r="M29" s="64" t="str">
        <f>IF(AND('Mapa final'!$Y$40="Media",'Mapa final'!$AA$40="Leve"),CONCATENATE("R4C",'Mapa final'!$O$40),"")</f>
        <v/>
      </c>
      <c r="N29" s="64" t="e">
        <f>IF(AND('Mapa final'!#REF!="Media",'Mapa final'!#REF!="Leve"),CONCATENATE("R4C",'Mapa final'!#REF!),"")</f>
        <v>#REF!</v>
      </c>
      <c r="O29" s="65" t="e">
        <f>IF(AND('Mapa final'!#REF!="Media",'Mapa final'!#REF!="Leve"),CONCATENATE("R4C",'Mapa final'!#REF!),"")</f>
        <v>#REF!</v>
      </c>
      <c r="P29" s="63" t="str">
        <f>IF(AND('Mapa final'!$Y$37="Media",'Mapa final'!$AA$37="Menor"),CONCATENATE("R4C",'Mapa final'!$O$37),"")</f>
        <v/>
      </c>
      <c r="Q29" s="64" t="str">
        <f>IF(AND('Mapa final'!$Y$38="Media",'Mapa final'!$AA$38="Menor"),CONCATENATE("R4C",'Mapa final'!$O$38),"")</f>
        <v/>
      </c>
      <c r="R29" s="64" t="str">
        <f>IF(AND('Mapa final'!$Y$39="Media",'Mapa final'!$AA$39="Menor"),CONCATENATE("R4C",'Mapa final'!$O$39),"")</f>
        <v/>
      </c>
      <c r="S29" s="64" t="str">
        <f>IF(AND('Mapa final'!$Y$40="Media",'Mapa final'!$AA$40="Menor"),CONCATENATE("R4C",'Mapa final'!$O$40),"")</f>
        <v/>
      </c>
      <c r="T29" s="64" t="e">
        <f>IF(AND('Mapa final'!#REF!="Media",'Mapa final'!#REF!="Menor"),CONCATENATE("R4C",'Mapa final'!#REF!),"")</f>
        <v>#REF!</v>
      </c>
      <c r="U29" s="65" t="e">
        <f>IF(AND('Mapa final'!#REF!="Media",'Mapa final'!#REF!="Menor"),CONCATENATE("R4C",'Mapa final'!#REF!),"")</f>
        <v>#REF!</v>
      </c>
      <c r="V29" s="63" t="str">
        <f>IF(AND('Mapa final'!$Y$37="Media",'Mapa final'!$AA$37="Moderado"),CONCATENATE("R4C",'Mapa final'!$O$37),"")</f>
        <v/>
      </c>
      <c r="W29" s="64" t="str">
        <f>IF(AND('Mapa final'!$Y$38="Media",'Mapa final'!$AA$38="Moderado"),CONCATENATE("R4C",'Mapa final'!$O$38),"")</f>
        <v/>
      </c>
      <c r="X29" s="64" t="str">
        <f>IF(AND('Mapa final'!$Y$39="Media",'Mapa final'!$AA$39="Moderado"),CONCATENATE("R4C",'Mapa final'!$O$39),"")</f>
        <v/>
      </c>
      <c r="Y29" s="64" t="str">
        <f>IF(AND('Mapa final'!$Y$40="Media",'Mapa final'!$AA$40="Moderado"),CONCATENATE("R4C",'Mapa final'!$O$40),"")</f>
        <v/>
      </c>
      <c r="Z29" s="64" t="e">
        <f>IF(AND('Mapa final'!#REF!="Media",'Mapa final'!#REF!="Moderado"),CONCATENATE("R4C",'Mapa final'!#REF!),"")</f>
        <v>#REF!</v>
      </c>
      <c r="AA29" s="65" t="e">
        <f>IF(AND('Mapa final'!#REF!="Media",'Mapa final'!#REF!="Moderado"),CONCATENATE("R4C",'Mapa final'!#REF!),"")</f>
        <v>#REF!</v>
      </c>
      <c r="AB29" s="48" t="str">
        <f>IF(AND('Mapa final'!$Y$37="Media",'Mapa final'!$AA$37="Mayor"),CONCATENATE("R4C",'Mapa final'!$O$37),"")</f>
        <v/>
      </c>
      <c r="AC29" s="49" t="str">
        <f>IF(AND('Mapa final'!$Y$38="Media",'Mapa final'!$AA$38="Mayor"),CONCATENATE("R4C",'Mapa final'!$O$38),"")</f>
        <v/>
      </c>
      <c r="AD29" s="49" t="str">
        <f>IF(AND('Mapa final'!$Y$39="Media",'Mapa final'!$AA$39="Mayor"),CONCATENATE("R4C",'Mapa final'!$O$39),"")</f>
        <v/>
      </c>
      <c r="AE29" s="49" t="str">
        <f>IF(AND('Mapa final'!$Y$40="Media",'Mapa final'!$AA$40="Mayor"),CONCATENATE("R4C",'Mapa final'!$O$40),"")</f>
        <v/>
      </c>
      <c r="AF29" s="49" t="e">
        <f>IF(AND('Mapa final'!#REF!="Media",'Mapa final'!#REF!="Mayor"),CONCATENATE("R4C",'Mapa final'!#REF!),"")</f>
        <v>#REF!</v>
      </c>
      <c r="AG29" s="50" t="e">
        <f>IF(AND('Mapa final'!#REF!="Media",'Mapa final'!#REF!="Mayor"),CONCATENATE("R4C",'Mapa final'!#REF!),"")</f>
        <v>#REF!</v>
      </c>
      <c r="AH29" s="51" t="str">
        <f>IF(AND('Mapa final'!$Y$37="Media",'Mapa final'!$AA$37="Catastrófico"),CONCATENATE("R4C",'Mapa final'!$O$37),"")</f>
        <v/>
      </c>
      <c r="AI29" s="52" t="str">
        <f>IF(AND('Mapa final'!$Y$38="Media",'Mapa final'!$AA$38="Catastrófico"),CONCATENATE("R4C",'Mapa final'!$O$38),"")</f>
        <v/>
      </c>
      <c r="AJ29" s="52" t="str">
        <f>IF(AND('Mapa final'!$Y$39="Media",'Mapa final'!$AA$39="Catastrófico"),CONCATENATE("R4C",'Mapa final'!$O$39),"")</f>
        <v/>
      </c>
      <c r="AK29" s="52" t="str">
        <f>IF(AND('Mapa final'!$Y$40="Media",'Mapa final'!$AA$40="Catastrófico"),CONCATENATE("R4C",'Mapa final'!$O$40),"")</f>
        <v/>
      </c>
      <c r="AL29" s="52" t="e">
        <f>IF(AND('Mapa final'!#REF!="Media",'Mapa final'!#REF!="Catastrófico"),CONCATENATE("R4C",'Mapa final'!#REF!),"")</f>
        <v>#REF!</v>
      </c>
      <c r="AM29" s="53" t="e">
        <f>IF(AND('Mapa final'!#REF!="Media",'Mapa final'!#REF!="Catastrófico"),CONCATENATE("R4C",'Mapa final'!#REF!),"")</f>
        <v>#REF!</v>
      </c>
      <c r="AN29" s="79"/>
      <c r="AO29" s="456"/>
      <c r="AP29" s="457"/>
      <c r="AQ29" s="457"/>
      <c r="AR29" s="457"/>
      <c r="AS29" s="457"/>
      <c r="AT29" s="458"/>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row>
    <row r="30" spans="1:76" ht="15" customHeight="1" x14ac:dyDescent="0.25">
      <c r="A30" s="79"/>
      <c r="B30" s="328"/>
      <c r="C30" s="328"/>
      <c r="D30" s="329"/>
      <c r="E30" s="427"/>
      <c r="F30" s="426"/>
      <c r="G30" s="426"/>
      <c r="H30" s="426"/>
      <c r="I30" s="442"/>
      <c r="J30" s="63" t="e">
        <f>IF(AND('Mapa final'!#REF!="Media",'Mapa final'!#REF!="Leve"),CONCATENATE("R5C",'Mapa final'!#REF!),"")</f>
        <v>#REF!</v>
      </c>
      <c r="K30" s="64" t="e">
        <f>IF(AND('Mapa final'!#REF!="Media",'Mapa final'!#REF!="Leve"),CONCATENATE("R5C",'Mapa final'!#REF!),"")</f>
        <v>#REF!</v>
      </c>
      <c r="L30" s="64" t="e">
        <f>IF(AND('Mapa final'!#REF!="Media",'Mapa final'!#REF!="Leve"),CONCATENATE("R5C",'Mapa final'!#REF!),"")</f>
        <v>#REF!</v>
      </c>
      <c r="M30" s="64" t="e">
        <f>IF(AND('Mapa final'!#REF!="Media",'Mapa final'!#REF!="Leve"),CONCATENATE("R5C",'Mapa final'!#REF!),"")</f>
        <v>#REF!</v>
      </c>
      <c r="N30" s="64" t="e">
        <f>IF(AND('Mapa final'!#REF!="Media",'Mapa final'!#REF!="Leve"),CONCATENATE("R5C",'Mapa final'!#REF!),"")</f>
        <v>#REF!</v>
      </c>
      <c r="O30" s="65" t="e">
        <f>IF(AND('Mapa final'!#REF!="Media",'Mapa final'!#REF!="Leve"),CONCATENATE("R5C",'Mapa final'!#REF!),"")</f>
        <v>#REF!</v>
      </c>
      <c r="P30" s="63" t="e">
        <f>IF(AND('Mapa final'!#REF!="Media",'Mapa final'!#REF!="Menor"),CONCATENATE("R5C",'Mapa final'!#REF!),"")</f>
        <v>#REF!</v>
      </c>
      <c r="Q30" s="64" t="e">
        <f>IF(AND('Mapa final'!#REF!="Media",'Mapa final'!#REF!="Menor"),CONCATENATE("R5C",'Mapa final'!#REF!),"")</f>
        <v>#REF!</v>
      </c>
      <c r="R30" s="64" t="e">
        <f>IF(AND('Mapa final'!#REF!="Media",'Mapa final'!#REF!="Menor"),CONCATENATE("R5C",'Mapa final'!#REF!),"")</f>
        <v>#REF!</v>
      </c>
      <c r="S30" s="64" t="e">
        <f>IF(AND('Mapa final'!#REF!="Media",'Mapa final'!#REF!="Menor"),CONCATENATE("R5C",'Mapa final'!#REF!),"")</f>
        <v>#REF!</v>
      </c>
      <c r="T30" s="64" t="e">
        <f>IF(AND('Mapa final'!#REF!="Media",'Mapa final'!#REF!="Menor"),CONCATENATE("R5C",'Mapa final'!#REF!),"")</f>
        <v>#REF!</v>
      </c>
      <c r="U30" s="65" t="e">
        <f>IF(AND('Mapa final'!#REF!="Media",'Mapa final'!#REF!="Menor"),CONCATENATE("R5C",'Mapa final'!#REF!),"")</f>
        <v>#REF!</v>
      </c>
      <c r="V30" s="63" t="e">
        <f>IF(AND('Mapa final'!#REF!="Media",'Mapa final'!#REF!="Moderado"),CONCATENATE("R5C",'Mapa final'!#REF!),"")</f>
        <v>#REF!</v>
      </c>
      <c r="W30" s="64" t="e">
        <f>IF(AND('Mapa final'!#REF!="Media",'Mapa final'!#REF!="Moderado"),CONCATENATE("R5C",'Mapa final'!#REF!),"")</f>
        <v>#REF!</v>
      </c>
      <c r="X30" s="64" t="e">
        <f>IF(AND('Mapa final'!#REF!="Media",'Mapa final'!#REF!="Moderado"),CONCATENATE("R5C",'Mapa final'!#REF!),"")</f>
        <v>#REF!</v>
      </c>
      <c r="Y30" s="64" t="e">
        <f>IF(AND('Mapa final'!#REF!="Media",'Mapa final'!#REF!="Moderado"),CONCATENATE("R5C",'Mapa final'!#REF!),"")</f>
        <v>#REF!</v>
      </c>
      <c r="Z30" s="64" t="e">
        <f>IF(AND('Mapa final'!#REF!="Media",'Mapa final'!#REF!="Moderado"),CONCATENATE("R5C",'Mapa final'!#REF!),"")</f>
        <v>#REF!</v>
      </c>
      <c r="AA30" s="65" t="e">
        <f>IF(AND('Mapa final'!#REF!="Media",'Mapa final'!#REF!="Moderado"),CONCATENATE("R5C",'Mapa final'!#REF!),"")</f>
        <v>#REF!</v>
      </c>
      <c r="AB30" s="48" t="e">
        <f>IF(AND('Mapa final'!#REF!="Media",'Mapa final'!#REF!="Mayor"),CONCATENATE("R5C",'Mapa final'!#REF!),"")</f>
        <v>#REF!</v>
      </c>
      <c r="AC30" s="49" t="e">
        <f>IF(AND('Mapa final'!#REF!="Media",'Mapa final'!#REF!="Mayor"),CONCATENATE("R5C",'Mapa final'!#REF!),"")</f>
        <v>#REF!</v>
      </c>
      <c r="AD30" s="49" t="e">
        <f>IF(AND('Mapa final'!#REF!="Media",'Mapa final'!#REF!="Mayor"),CONCATENATE("R5C",'Mapa final'!#REF!),"")</f>
        <v>#REF!</v>
      </c>
      <c r="AE30" s="49" t="e">
        <f>IF(AND('Mapa final'!#REF!="Media",'Mapa final'!#REF!="Mayor"),CONCATENATE("R5C",'Mapa final'!#REF!),"")</f>
        <v>#REF!</v>
      </c>
      <c r="AF30" s="49" t="e">
        <f>IF(AND('Mapa final'!#REF!="Media",'Mapa final'!#REF!="Mayor"),CONCATENATE("R5C",'Mapa final'!#REF!),"")</f>
        <v>#REF!</v>
      </c>
      <c r="AG30" s="50" t="e">
        <f>IF(AND('Mapa final'!#REF!="Media",'Mapa final'!#REF!="Mayor"),CONCATENATE("R5C",'Mapa final'!#REF!),"")</f>
        <v>#REF!</v>
      </c>
      <c r="AH30" s="51" t="e">
        <f>IF(AND('Mapa final'!#REF!="Media",'Mapa final'!#REF!="Catastrófico"),CONCATENATE("R5C",'Mapa final'!#REF!),"")</f>
        <v>#REF!</v>
      </c>
      <c r="AI30" s="52" t="e">
        <f>IF(AND('Mapa final'!#REF!="Media",'Mapa final'!#REF!="Catastrófico"),CONCATENATE("R5C",'Mapa final'!#REF!),"")</f>
        <v>#REF!</v>
      </c>
      <c r="AJ30" s="52" t="e">
        <f>IF(AND('Mapa final'!#REF!="Media",'Mapa final'!#REF!="Catastrófico"),CONCATENATE("R5C",'Mapa final'!#REF!),"")</f>
        <v>#REF!</v>
      </c>
      <c r="AK30" s="52" t="e">
        <f>IF(AND('Mapa final'!#REF!="Media",'Mapa final'!#REF!="Catastrófico"),CONCATENATE("R5C",'Mapa final'!#REF!),"")</f>
        <v>#REF!</v>
      </c>
      <c r="AL30" s="52" t="e">
        <f>IF(AND('Mapa final'!#REF!="Media",'Mapa final'!#REF!="Catastrófico"),CONCATENATE("R5C",'Mapa final'!#REF!),"")</f>
        <v>#REF!</v>
      </c>
      <c r="AM30" s="53" t="e">
        <f>IF(AND('Mapa final'!#REF!="Media",'Mapa final'!#REF!="Catastrófico"),CONCATENATE("R5C",'Mapa final'!#REF!),"")</f>
        <v>#REF!</v>
      </c>
      <c r="AN30" s="79"/>
      <c r="AO30" s="456"/>
      <c r="AP30" s="457"/>
      <c r="AQ30" s="457"/>
      <c r="AR30" s="457"/>
      <c r="AS30" s="457"/>
      <c r="AT30" s="458"/>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row>
    <row r="31" spans="1:76" ht="15" customHeight="1" x14ac:dyDescent="0.25">
      <c r="A31" s="79"/>
      <c r="B31" s="328"/>
      <c r="C31" s="328"/>
      <c r="D31" s="329"/>
      <c r="E31" s="427"/>
      <c r="F31" s="426"/>
      <c r="G31" s="426"/>
      <c r="H31" s="426"/>
      <c r="I31" s="442"/>
      <c r="J31" s="63" t="e">
        <f>IF(AND('Mapa final'!#REF!="Media",'Mapa final'!#REF!="Leve"),CONCATENATE("R6C",'Mapa final'!#REF!),"")</f>
        <v>#REF!</v>
      </c>
      <c r="K31" s="64" t="e">
        <f>IF(AND('Mapa final'!#REF!="Media",'Mapa final'!#REF!="Leve"),CONCATENATE("R6C",'Mapa final'!#REF!),"")</f>
        <v>#REF!</v>
      </c>
      <c r="L31" s="64" t="e">
        <f>IF(AND('Mapa final'!#REF!="Media",'Mapa final'!#REF!="Leve"),CONCATENATE("R6C",'Mapa final'!#REF!),"")</f>
        <v>#REF!</v>
      </c>
      <c r="M31" s="64" t="e">
        <f>IF(AND('Mapa final'!#REF!="Media",'Mapa final'!#REF!="Leve"),CONCATENATE("R6C",'Mapa final'!#REF!),"")</f>
        <v>#REF!</v>
      </c>
      <c r="N31" s="64" t="e">
        <f>IF(AND('Mapa final'!#REF!="Media",'Mapa final'!#REF!="Leve"),CONCATENATE("R6C",'Mapa final'!#REF!),"")</f>
        <v>#REF!</v>
      </c>
      <c r="O31" s="65" t="e">
        <f>IF(AND('Mapa final'!#REF!="Media",'Mapa final'!#REF!="Leve"),CONCATENATE("R6C",'Mapa final'!#REF!),"")</f>
        <v>#REF!</v>
      </c>
      <c r="P31" s="63" t="e">
        <f>IF(AND('Mapa final'!#REF!="Media",'Mapa final'!#REF!="Menor"),CONCATENATE("R6C",'Mapa final'!#REF!),"")</f>
        <v>#REF!</v>
      </c>
      <c r="Q31" s="64" t="e">
        <f>IF(AND('Mapa final'!#REF!="Media",'Mapa final'!#REF!="Menor"),CONCATENATE("R6C",'Mapa final'!#REF!),"")</f>
        <v>#REF!</v>
      </c>
      <c r="R31" s="64" t="e">
        <f>IF(AND('Mapa final'!#REF!="Media",'Mapa final'!#REF!="Menor"),CONCATENATE("R6C",'Mapa final'!#REF!),"")</f>
        <v>#REF!</v>
      </c>
      <c r="S31" s="64" t="e">
        <f>IF(AND('Mapa final'!#REF!="Media",'Mapa final'!#REF!="Menor"),CONCATENATE("R6C",'Mapa final'!#REF!),"")</f>
        <v>#REF!</v>
      </c>
      <c r="T31" s="64" t="e">
        <f>IF(AND('Mapa final'!#REF!="Media",'Mapa final'!#REF!="Menor"),CONCATENATE("R6C",'Mapa final'!#REF!),"")</f>
        <v>#REF!</v>
      </c>
      <c r="U31" s="65" t="e">
        <f>IF(AND('Mapa final'!#REF!="Media",'Mapa final'!#REF!="Menor"),CONCATENATE("R6C",'Mapa final'!#REF!),"")</f>
        <v>#REF!</v>
      </c>
      <c r="V31" s="63" t="e">
        <f>IF(AND('Mapa final'!#REF!="Media",'Mapa final'!#REF!="Moderado"),CONCATENATE("R6C",'Mapa final'!#REF!),"")</f>
        <v>#REF!</v>
      </c>
      <c r="W31" s="64" t="e">
        <f>IF(AND('Mapa final'!#REF!="Media",'Mapa final'!#REF!="Moderado"),CONCATENATE("R6C",'Mapa final'!#REF!),"")</f>
        <v>#REF!</v>
      </c>
      <c r="X31" s="64" t="e">
        <f>IF(AND('Mapa final'!#REF!="Media",'Mapa final'!#REF!="Moderado"),CONCATENATE("R6C",'Mapa final'!#REF!),"")</f>
        <v>#REF!</v>
      </c>
      <c r="Y31" s="64" t="e">
        <f>IF(AND('Mapa final'!#REF!="Media",'Mapa final'!#REF!="Moderado"),CONCATENATE("R6C",'Mapa final'!#REF!),"")</f>
        <v>#REF!</v>
      </c>
      <c r="Z31" s="64" t="e">
        <f>IF(AND('Mapa final'!#REF!="Media",'Mapa final'!#REF!="Moderado"),CONCATENATE("R6C",'Mapa final'!#REF!),"")</f>
        <v>#REF!</v>
      </c>
      <c r="AA31" s="65" t="e">
        <f>IF(AND('Mapa final'!#REF!="Media",'Mapa final'!#REF!="Moderado"),CONCATENATE("R6C",'Mapa final'!#REF!),"")</f>
        <v>#REF!</v>
      </c>
      <c r="AB31" s="48" t="e">
        <f>IF(AND('Mapa final'!#REF!="Media",'Mapa final'!#REF!="Mayor"),CONCATENATE("R6C",'Mapa final'!#REF!),"")</f>
        <v>#REF!</v>
      </c>
      <c r="AC31" s="49" t="e">
        <f>IF(AND('Mapa final'!#REF!="Media",'Mapa final'!#REF!="Mayor"),CONCATENATE("R6C",'Mapa final'!#REF!),"")</f>
        <v>#REF!</v>
      </c>
      <c r="AD31" s="49" t="e">
        <f>IF(AND('Mapa final'!#REF!="Media",'Mapa final'!#REF!="Mayor"),CONCATENATE("R6C",'Mapa final'!#REF!),"")</f>
        <v>#REF!</v>
      </c>
      <c r="AE31" s="49" t="e">
        <f>IF(AND('Mapa final'!#REF!="Media",'Mapa final'!#REF!="Mayor"),CONCATENATE("R6C",'Mapa final'!#REF!),"")</f>
        <v>#REF!</v>
      </c>
      <c r="AF31" s="49" t="e">
        <f>IF(AND('Mapa final'!#REF!="Media",'Mapa final'!#REF!="Mayor"),CONCATENATE("R6C",'Mapa final'!#REF!),"")</f>
        <v>#REF!</v>
      </c>
      <c r="AG31" s="50" t="e">
        <f>IF(AND('Mapa final'!#REF!="Media",'Mapa final'!#REF!="Mayor"),CONCATENATE("R6C",'Mapa final'!#REF!),"")</f>
        <v>#REF!</v>
      </c>
      <c r="AH31" s="51" t="e">
        <f>IF(AND('Mapa final'!#REF!="Media",'Mapa final'!#REF!="Catastrófico"),CONCATENATE("R6C",'Mapa final'!#REF!),"")</f>
        <v>#REF!</v>
      </c>
      <c r="AI31" s="52" t="e">
        <f>IF(AND('Mapa final'!#REF!="Media",'Mapa final'!#REF!="Catastrófico"),CONCATENATE("R6C",'Mapa final'!#REF!),"")</f>
        <v>#REF!</v>
      </c>
      <c r="AJ31" s="52" t="e">
        <f>IF(AND('Mapa final'!#REF!="Media",'Mapa final'!#REF!="Catastrófico"),CONCATENATE("R6C",'Mapa final'!#REF!),"")</f>
        <v>#REF!</v>
      </c>
      <c r="AK31" s="52" t="e">
        <f>IF(AND('Mapa final'!#REF!="Media",'Mapa final'!#REF!="Catastrófico"),CONCATENATE("R6C",'Mapa final'!#REF!),"")</f>
        <v>#REF!</v>
      </c>
      <c r="AL31" s="52" t="e">
        <f>IF(AND('Mapa final'!#REF!="Media",'Mapa final'!#REF!="Catastrófico"),CONCATENATE("R6C",'Mapa final'!#REF!),"")</f>
        <v>#REF!</v>
      </c>
      <c r="AM31" s="53" t="e">
        <f>IF(AND('Mapa final'!#REF!="Media",'Mapa final'!#REF!="Catastrófico"),CONCATENATE("R6C",'Mapa final'!#REF!),"")</f>
        <v>#REF!</v>
      </c>
      <c r="AN31" s="79"/>
      <c r="AO31" s="456"/>
      <c r="AP31" s="457"/>
      <c r="AQ31" s="457"/>
      <c r="AR31" s="457"/>
      <c r="AS31" s="457"/>
      <c r="AT31" s="458"/>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row>
    <row r="32" spans="1:76" ht="15" customHeight="1" x14ac:dyDescent="0.25">
      <c r="A32" s="79"/>
      <c r="B32" s="328"/>
      <c r="C32" s="328"/>
      <c r="D32" s="329"/>
      <c r="E32" s="427"/>
      <c r="F32" s="426"/>
      <c r="G32" s="426"/>
      <c r="H32" s="426"/>
      <c r="I32" s="442"/>
      <c r="J32" s="63" t="e">
        <f>IF(AND('Mapa final'!#REF!="Media",'Mapa final'!#REF!="Leve"),CONCATENATE("R7C",'Mapa final'!#REF!),"")</f>
        <v>#REF!</v>
      </c>
      <c r="K32" s="64" t="e">
        <f>IF(AND('Mapa final'!#REF!="Media",'Mapa final'!#REF!="Leve"),CONCATENATE("R7C",'Mapa final'!#REF!),"")</f>
        <v>#REF!</v>
      </c>
      <c r="L32" s="64" t="e">
        <f>IF(AND('Mapa final'!#REF!="Media",'Mapa final'!#REF!="Leve"),CONCATENATE("R7C",'Mapa final'!#REF!),"")</f>
        <v>#REF!</v>
      </c>
      <c r="M32" s="64" t="e">
        <f>IF(AND('Mapa final'!#REF!="Media",'Mapa final'!#REF!="Leve"),CONCATENATE("R7C",'Mapa final'!#REF!),"")</f>
        <v>#REF!</v>
      </c>
      <c r="N32" s="64" t="e">
        <f>IF(AND('Mapa final'!#REF!="Media",'Mapa final'!#REF!="Leve"),CONCATENATE("R7C",'Mapa final'!#REF!),"")</f>
        <v>#REF!</v>
      </c>
      <c r="O32" s="65" t="e">
        <f>IF(AND('Mapa final'!#REF!="Media",'Mapa final'!#REF!="Leve"),CONCATENATE("R7C",'Mapa final'!#REF!),"")</f>
        <v>#REF!</v>
      </c>
      <c r="P32" s="63" t="e">
        <f>IF(AND('Mapa final'!#REF!="Media",'Mapa final'!#REF!="Menor"),CONCATENATE("R7C",'Mapa final'!#REF!),"")</f>
        <v>#REF!</v>
      </c>
      <c r="Q32" s="64" t="e">
        <f>IF(AND('Mapa final'!#REF!="Media",'Mapa final'!#REF!="Menor"),CONCATENATE("R7C",'Mapa final'!#REF!),"")</f>
        <v>#REF!</v>
      </c>
      <c r="R32" s="64" t="e">
        <f>IF(AND('Mapa final'!#REF!="Media",'Mapa final'!#REF!="Menor"),CONCATENATE("R7C",'Mapa final'!#REF!),"")</f>
        <v>#REF!</v>
      </c>
      <c r="S32" s="64" t="e">
        <f>IF(AND('Mapa final'!#REF!="Media",'Mapa final'!#REF!="Menor"),CONCATENATE("R7C",'Mapa final'!#REF!),"")</f>
        <v>#REF!</v>
      </c>
      <c r="T32" s="64" t="e">
        <f>IF(AND('Mapa final'!#REF!="Media",'Mapa final'!#REF!="Menor"),CONCATENATE("R7C",'Mapa final'!#REF!),"")</f>
        <v>#REF!</v>
      </c>
      <c r="U32" s="65" t="e">
        <f>IF(AND('Mapa final'!#REF!="Media",'Mapa final'!#REF!="Menor"),CONCATENATE("R7C",'Mapa final'!#REF!),"")</f>
        <v>#REF!</v>
      </c>
      <c r="V32" s="63" t="e">
        <f>IF(AND('Mapa final'!#REF!="Media",'Mapa final'!#REF!="Moderado"),CONCATENATE("R7C",'Mapa final'!#REF!),"")</f>
        <v>#REF!</v>
      </c>
      <c r="W32" s="64" t="e">
        <f>IF(AND('Mapa final'!#REF!="Media",'Mapa final'!#REF!="Moderado"),CONCATENATE("R7C",'Mapa final'!#REF!),"")</f>
        <v>#REF!</v>
      </c>
      <c r="X32" s="64" t="e">
        <f>IF(AND('Mapa final'!#REF!="Media",'Mapa final'!#REF!="Moderado"),CONCATENATE("R7C",'Mapa final'!#REF!),"")</f>
        <v>#REF!</v>
      </c>
      <c r="Y32" s="64" t="e">
        <f>IF(AND('Mapa final'!#REF!="Media",'Mapa final'!#REF!="Moderado"),CONCATENATE("R7C",'Mapa final'!#REF!),"")</f>
        <v>#REF!</v>
      </c>
      <c r="Z32" s="64" t="e">
        <f>IF(AND('Mapa final'!#REF!="Media",'Mapa final'!#REF!="Moderado"),CONCATENATE("R7C",'Mapa final'!#REF!),"")</f>
        <v>#REF!</v>
      </c>
      <c r="AA32" s="65" t="e">
        <f>IF(AND('Mapa final'!#REF!="Media",'Mapa final'!#REF!="Moderado"),CONCATENATE("R7C",'Mapa final'!#REF!),"")</f>
        <v>#REF!</v>
      </c>
      <c r="AB32" s="48" t="e">
        <f>IF(AND('Mapa final'!#REF!="Media",'Mapa final'!#REF!="Mayor"),CONCATENATE("R7C",'Mapa final'!#REF!),"")</f>
        <v>#REF!</v>
      </c>
      <c r="AC32" s="49" t="e">
        <f>IF(AND('Mapa final'!#REF!="Media",'Mapa final'!#REF!="Mayor"),CONCATENATE("R7C",'Mapa final'!#REF!),"")</f>
        <v>#REF!</v>
      </c>
      <c r="AD32" s="49" t="e">
        <f>IF(AND('Mapa final'!#REF!="Media",'Mapa final'!#REF!="Mayor"),CONCATENATE("R7C",'Mapa final'!#REF!),"")</f>
        <v>#REF!</v>
      </c>
      <c r="AE32" s="49" t="e">
        <f>IF(AND('Mapa final'!#REF!="Media",'Mapa final'!#REF!="Mayor"),CONCATENATE("R7C",'Mapa final'!#REF!),"")</f>
        <v>#REF!</v>
      </c>
      <c r="AF32" s="49" t="e">
        <f>IF(AND('Mapa final'!#REF!="Media",'Mapa final'!#REF!="Mayor"),CONCATENATE("R7C",'Mapa final'!#REF!),"")</f>
        <v>#REF!</v>
      </c>
      <c r="AG32" s="50" t="e">
        <f>IF(AND('Mapa final'!#REF!="Media",'Mapa final'!#REF!="Mayor"),CONCATENATE("R7C",'Mapa final'!#REF!),"")</f>
        <v>#REF!</v>
      </c>
      <c r="AH32" s="51" t="e">
        <f>IF(AND('Mapa final'!#REF!="Media",'Mapa final'!#REF!="Catastrófico"),CONCATENATE("R7C",'Mapa final'!#REF!),"")</f>
        <v>#REF!</v>
      </c>
      <c r="AI32" s="52" t="e">
        <f>IF(AND('Mapa final'!#REF!="Media",'Mapa final'!#REF!="Catastrófico"),CONCATENATE("R7C",'Mapa final'!#REF!),"")</f>
        <v>#REF!</v>
      </c>
      <c r="AJ32" s="52" t="e">
        <f>IF(AND('Mapa final'!#REF!="Media",'Mapa final'!#REF!="Catastrófico"),CONCATENATE("R7C",'Mapa final'!#REF!),"")</f>
        <v>#REF!</v>
      </c>
      <c r="AK32" s="52" t="e">
        <f>IF(AND('Mapa final'!#REF!="Media",'Mapa final'!#REF!="Catastrófico"),CONCATENATE("R7C",'Mapa final'!#REF!),"")</f>
        <v>#REF!</v>
      </c>
      <c r="AL32" s="52" t="e">
        <f>IF(AND('Mapa final'!#REF!="Media",'Mapa final'!#REF!="Catastrófico"),CONCATENATE("R7C",'Mapa final'!#REF!),"")</f>
        <v>#REF!</v>
      </c>
      <c r="AM32" s="53" t="e">
        <f>IF(AND('Mapa final'!#REF!="Media",'Mapa final'!#REF!="Catastrófico"),CONCATENATE("R7C",'Mapa final'!#REF!),"")</f>
        <v>#REF!</v>
      </c>
      <c r="AN32" s="79"/>
      <c r="AO32" s="456"/>
      <c r="AP32" s="457"/>
      <c r="AQ32" s="457"/>
      <c r="AR32" s="457"/>
      <c r="AS32" s="457"/>
      <c r="AT32" s="458"/>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row>
    <row r="33" spans="1:80" ht="15" customHeight="1" x14ac:dyDescent="0.25">
      <c r="A33" s="79"/>
      <c r="B33" s="328"/>
      <c r="C33" s="328"/>
      <c r="D33" s="329"/>
      <c r="E33" s="427"/>
      <c r="F33" s="426"/>
      <c r="G33" s="426"/>
      <c r="H33" s="426"/>
      <c r="I33" s="442"/>
      <c r="J33" s="63" t="str">
        <f>IF(AND('Mapa final'!$Y$41="Media",'Mapa final'!$AA$41="Leve"),CONCATENATE("R8C",'Mapa final'!$O$41),"")</f>
        <v/>
      </c>
      <c r="K33" s="64" t="str">
        <f>IF(AND('Mapa final'!$Y$42="Media",'Mapa final'!$AA$42="Leve"),CONCATENATE("R8C",'Mapa final'!$O$42),"")</f>
        <v/>
      </c>
      <c r="L33" s="64" t="str">
        <f>IF(AND('Mapa final'!$Y$43="Media",'Mapa final'!$AA$43="Leve"),CONCATENATE("R8C",'Mapa final'!$O$43),"")</f>
        <v/>
      </c>
      <c r="M33" s="64" t="str">
        <f>IF(AND('Mapa final'!$Y$44="Media",'Mapa final'!$AA$44="Leve"),CONCATENATE("R8C",'Mapa final'!$O$44),"")</f>
        <v/>
      </c>
      <c r="N33" s="64" t="str">
        <f>IF(AND('Mapa final'!$Y$45="Media",'Mapa final'!$AA$45="Leve"),CONCATENATE("R8C",'Mapa final'!$O$45),"")</f>
        <v/>
      </c>
      <c r="O33" s="65" t="str">
        <f>IF(AND('Mapa final'!$Y$46="Media",'Mapa final'!$AA$46="Leve"),CONCATENATE("R8C",'Mapa final'!$O$46),"")</f>
        <v/>
      </c>
      <c r="P33" s="63" t="str">
        <f>IF(AND('Mapa final'!$Y$41="Media",'Mapa final'!$AA$41="Menor"),CONCATENATE("R8C",'Mapa final'!$O$41),"")</f>
        <v/>
      </c>
      <c r="Q33" s="64" t="str">
        <f>IF(AND('Mapa final'!$Y$42="Media",'Mapa final'!$AA$42="Menor"),CONCATENATE("R8C",'Mapa final'!$O$42),"")</f>
        <v/>
      </c>
      <c r="R33" s="64" t="str">
        <f>IF(AND('Mapa final'!$Y$43="Media",'Mapa final'!$AA$43="Menor"),CONCATENATE("R8C",'Mapa final'!$O$43),"")</f>
        <v/>
      </c>
      <c r="S33" s="64" t="str">
        <f>IF(AND('Mapa final'!$Y$44="Media",'Mapa final'!$AA$44="Menor"),CONCATENATE("R8C",'Mapa final'!$O$44),"")</f>
        <v/>
      </c>
      <c r="T33" s="64" t="str">
        <f>IF(AND('Mapa final'!$Y$45="Media",'Mapa final'!$AA$45="Menor"),CONCATENATE("R8C",'Mapa final'!$O$45),"")</f>
        <v/>
      </c>
      <c r="U33" s="65" t="str">
        <f>IF(AND('Mapa final'!$Y$46="Media",'Mapa final'!$AA$46="Menor"),CONCATENATE("R8C",'Mapa final'!$O$46),"")</f>
        <v/>
      </c>
      <c r="V33" s="63" t="str">
        <f>IF(AND('Mapa final'!$Y$41="Media",'Mapa final'!$AA$41="Moderado"),CONCATENATE("R8C",'Mapa final'!$O$41),"")</f>
        <v/>
      </c>
      <c r="W33" s="64" t="str">
        <f>IF(AND('Mapa final'!$Y$42="Media",'Mapa final'!$AA$42="Moderado"),CONCATENATE("R8C",'Mapa final'!$O$42),"")</f>
        <v/>
      </c>
      <c r="X33" s="64" t="str">
        <f>IF(AND('Mapa final'!$Y$43="Media",'Mapa final'!$AA$43="Moderado"),CONCATENATE("R8C",'Mapa final'!$O$43),"")</f>
        <v/>
      </c>
      <c r="Y33" s="64" t="str">
        <f>IF(AND('Mapa final'!$Y$44="Media",'Mapa final'!$AA$44="Moderado"),CONCATENATE("R8C",'Mapa final'!$O$44),"")</f>
        <v/>
      </c>
      <c r="Z33" s="64" t="str">
        <f>IF(AND('Mapa final'!$Y$45="Media",'Mapa final'!$AA$45="Moderado"),CONCATENATE("R8C",'Mapa final'!$O$45),"")</f>
        <v/>
      </c>
      <c r="AA33" s="65" t="str">
        <f>IF(AND('Mapa final'!$Y$46="Media",'Mapa final'!$AA$46="Moderado"),CONCATENATE("R8C",'Mapa final'!$O$46),"")</f>
        <v/>
      </c>
      <c r="AB33" s="48" t="str">
        <f>IF(AND('Mapa final'!$Y$41="Media",'Mapa final'!$AA$41="Mayor"),CONCATENATE("R8C",'Mapa final'!$O$41),"")</f>
        <v/>
      </c>
      <c r="AC33" s="49" t="str">
        <f>IF(AND('Mapa final'!$Y$42="Media",'Mapa final'!$AA$42="Mayor"),CONCATENATE("R8C",'Mapa final'!$O$42),"")</f>
        <v/>
      </c>
      <c r="AD33" s="49" t="str">
        <f>IF(AND('Mapa final'!$Y$43="Media",'Mapa final'!$AA$43="Mayor"),CONCATENATE("R8C",'Mapa final'!$O$43),"")</f>
        <v/>
      </c>
      <c r="AE33" s="49" t="str">
        <f>IF(AND('Mapa final'!$Y$44="Media",'Mapa final'!$AA$44="Mayor"),CONCATENATE("R8C",'Mapa final'!$O$44),"")</f>
        <v/>
      </c>
      <c r="AF33" s="49" t="str">
        <f>IF(AND('Mapa final'!$Y$45="Media",'Mapa final'!$AA$45="Mayor"),CONCATENATE("R8C",'Mapa final'!$O$45),"")</f>
        <v/>
      </c>
      <c r="AG33" s="50" t="str">
        <f>IF(AND('Mapa final'!$Y$46="Media",'Mapa final'!$AA$46="Mayor"),CONCATENATE("R8C",'Mapa final'!$O$46),"")</f>
        <v/>
      </c>
      <c r="AH33" s="51" t="str">
        <f>IF(AND('Mapa final'!$Y$41="Media",'Mapa final'!$AA$41="Catastrófico"),CONCATENATE("R8C",'Mapa final'!$O$41),"")</f>
        <v/>
      </c>
      <c r="AI33" s="52" t="str">
        <f>IF(AND('Mapa final'!$Y$42="Media",'Mapa final'!$AA$42="Catastrófico"),CONCATENATE("R8C",'Mapa final'!$O$42),"")</f>
        <v/>
      </c>
      <c r="AJ33" s="52" t="str">
        <f>IF(AND('Mapa final'!$Y$43="Media",'Mapa final'!$AA$43="Catastrófico"),CONCATENATE("R8C",'Mapa final'!$O$43),"")</f>
        <v/>
      </c>
      <c r="AK33" s="52" t="str">
        <f>IF(AND('Mapa final'!$Y$44="Media",'Mapa final'!$AA$44="Catastrófico"),CONCATENATE("R8C",'Mapa final'!$O$44),"")</f>
        <v/>
      </c>
      <c r="AL33" s="52" t="str">
        <f>IF(AND('Mapa final'!$Y$45="Media",'Mapa final'!$AA$45="Catastrófico"),CONCATENATE("R8C",'Mapa final'!$O$45),"")</f>
        <v/>
      </c>
      <c r="AM33" s="53" t="str">
        <f>IF(AND('Mapa final'!$Y$46="Media",'Mapa final'!$AA$46="Catastrófico"),CONCATENATE("R8C",'Mapa final'!$O$46),"")</f>
        <v/>
      </c>
      <c r="AN33" s="79"/>
      <c r="AO33" s="456"/>
      <c r="AP33" s="457"/>
      <c r="AQ33" s="457"/>
      <c r="AR33" s="457"/>
      <c r="AS33" s="457"/>
      <c r="AT33" s="458"/>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row>
    <row r="34" spans="1:80" ht="15" customHeight="1" x14ac:dyDescent="0.25">
      <c r="A34" s="79"/>
      <c r="B34" s="328"/>
      <c r="C34" s="328"/>
      <c r="D34" s="329"/>
      <c r="E34" s="427"/>
      <c r="F34" s="426"/>
      <c r="G34" s="426"/>
      <c r="H34" s="426"/>
      <c r="I34" s="442"/>
      <c r="J34" s="63" t="str">
        <f>IF(AND('Mapa final'!$Y$47="Media",'Mapa final'!$AA$47="Leve"),CONCATENATE("R9C",'Mapa final'!$O$47),"")</f>
        <v/>
      </c>
      <c r="K34" s="64" t="str">
        <f>IF(AND('Mapa final'!$Y$48="Media",'Mapa final'!$AA$48="Leve"),CONCATENATE("R9C",'Mapa final'!$O$48),"")</f>
        <v/>
      </c>
      <c r="L34" s="64" t="str">
        <f>IF(AND('Mapa final'!$Y$49="Media",'Mapa final'!$AA$49="Leve"),CONCATENATE("R9C",'Mapa final'!$O$49),"")</f>
        <v/>
      </c>
      <c r="M34" s="64" t="str">
        <f>IF(AND('Mapa final'!$Y$50="Media",'Mapa final'!$AA$50="Leve"),CONCATENATE("R9C",'Mapa final'!$O$50),"")</f>
        <v/>
      </c>
      <c r="N34" s="64" t="str">
        <f>IF(AND('Mapa final'!$Y$51="Media",'Mapa final'!$AA$51="Leve"),CONCATENATE("R9C",'Mapa final'!$O$51),"")</f>
        <v/>
      </c>
      <c r="O34" s="65" t="str">
        <f>IF(AND('Mapa final'!$Y$52="Media",'Mapa final'!$AA$52="Leve"),CONCATENATE("R9C",'Mapa final'!$O$52),"")</f>
        <v/>
      </c>
      <c r="P34" s="63" t="str">
        <f>IF(AND('Mapa final'!$Y$47="Media",'Mapa final'!$AA$47="Menor"),CONCATENATE("R9C",'Mapa final'!$O$47),"")</f>
        <v/>
      </c>
      <c r="Q34" s="64" t="str">
        <f>IF(AND('Mapa final'!$Y$48="Media",'Mapa final'!$AA$48="Menor"),CONCATENATE("R9C",'Mapa final'!$O$48),"")</f>
        <v/>
      </c>
      <c r="R34" s="64" t="str">
        <f>IF(AND('Mapa final'!$Y$49="Media",'Mapa final'!$AA$49="Menor"),CONCATENATE("R9C",'Mapa final'!$O$49),"")</f>
        <v/>
      </c>
      <c r="S34" s="64" t="str">
        <f>IF(AND('Mapa final'!$Y$50="Media",'Mapa final'!$AA$50="Menor"),CONCATENATE("R9C",'Mapa final'!$O$50),"")</f>
        <v/>
      </c>
      <c r="T34" s="64" t="str">
        <f>IF(AND('Mapa final'!$Y$51="Media",'Mapa final'!$AA$51="Menor"),CONCATENATE("R9C",'Mapa final'!$O$51),"")</f>
        <v/>
      </c>
      <c r="U34" s="65" t="str">
        <f>IF(AND('Mapa final'!$Y$52="Media",'Mapa final'!$AA$52="Menor"),CONCATENATE("R9C",'Mapa final'!$O$52),"")</f>
        <v/>
      </c>
      <c r="V34" s="63" t="str">
        <f>IF(AND('Mapa final'!$Y$47="Media",'Mapa final'!$AA$47="Moderado"),CONCATENATE("R9C",'Mapa final'!$O$47),"")</f>
        <v/>
      </c>
      <c r="W34" s="64" t="str">
        <f>IF(AND('Mapa final'!$Y$48="Media",'Mapa final'!$AA$48="Moderado"),CONCATENATE("R9C",'Mapa final'!$O$48),"")</f>
        <v/>
      </c>
      <c r="X34" s="64" t="str">
        <f>IF(AND('Mapa final'!$Y$49="Media",'Mapa final'!$AA$49="Moderado"),CONCATENATE("R9C",'Mapa final'!$O$49),"")</f>
        <v/>
      </c>
      <c r="Y34" s="64" t="str">
        <f>IF(AND('Mapa final'!$Y$50="Media",'Mapa final'!$AA$50="Moderado"),CONCATENATE("R9C",'Mapa final'!$O$50),"")</f>
        <v/>
      </c>
      <c r="Z34" s="64" t="str">
        <f>IF(AND('Mapa final'!$Y$51="Media",'Mapa final'!$AA$51="Moderado"),CONCATENATE("R9C",'Mapa final'!$O$51),"")</f>
        <v/>
      </c>
      <c r="AA34" s="65" t="str">
        <f>IF(AND('Mapa final'!$Y$52="Media",'Mapa final'!$AA$52="Moderado"),CONCATENATE("R9C",'Mapa final'!$O$52),"")</f>
        <v/>
      </c>
      <c r="AB34" s="48" t="str">
        <f>IF(AND('Mapa final'!$Y$47="Media",'Mapa final'!$AA$47="Mayor"),CONCATENATE("R9C",'Mapa final'!$O$47),"")</f>
        <v/>
      </c>
      <c r="AC34" s="49" t="str">
        <f>IF(AND('Mapa final'!$Y$48="Media",'Mapa final'!$AA$48="Mayor"),CONCATENATE("R9C",'Mapa final'!$O$48),"")</f>
        <v/>
      </c>
      <c r="AD34" s="49" t="str">
        <f>IF(AND('Mapa final'!$Y$49="Media",'Mapa final'!$AA$49="Mayor"),CONCATENATE("R9C",'Mapa final'!$O$49),"")</f>
        <v/>
      </c>
      <c r="AE34" s="49" t="str">
        <f>IF(AND('Mapa final'!$Y$50="Media",'Mapa final'!$AA$50="Mayor"),CONCATENATE("R9C",'Mapa final'!$O$50),"")</f>
        <v/>
      </c>
      <c r="AF34" s="49" t="str">
        <f>IF(AND('Mapa final'!$Y$51="Media",'Mapa final'!$AA$51="Mayor"),CONCATENATE("R9C",'Mapa final'!$O$51),"")</f>
        <v/>
      </c>
      <c r="AG34" s="50" t="str">
        <f>IF(AND('Mapa final'!$Y$52="Media",'Mapa final'!$AA$52="Mayor"),CONCATENATE("R9C",'Mapa final'!$O$52),"")</f>
        <v/>
      </c>
      <c r="AH34" s="51" t="str">
        <f>IF(AND('Mapa final'!$Y$47="Media",'Mapa final'!$AA$47="Catastrófico"),CONCATENATE("R9C",'Mapa final'!$O$47),"")</f>
        <v/>
      </c>
      <c r="AI34" s="52" t="str">
        <f>IF(AND('Mapa final'!$Y$48="Media",'Mapa final'!$AA$48="Catastrófico"),CONCATENATE("R9C",'Mapa final'!$O$48),"")</f>
        <v/>
      </c>
      <c r="AJ34" s="52" t="str">
        <f>IF(AND('Mapa final'!$Y$49="Media",'Mapa final'!$AA$49="Catastrófico"),CONCATENATE("R9C",'Mapa final'!$O$49),"")</f>
        <v/>
      </c>
      <c r="AK34" s="52" t="str">
        <f>IF(AND('Mapa final'!$Y$50="Media",'Mapa final'!$AA$50="Catastrófico"),CONCATENATE("R9C",'Mapa final'!$O$50),"")</f>
        <v/>
      </c>
      <c r="AL34" s="52" t="str">
        <f>IF(AND('Mapa final'!$Y$51="Media",'Mapa final'!$AA$51="Catastrófico"),CONCATENATE("R9C",'Mapa final'!$O$51),"")</f>
        <v/>
      </c>
      <c r="AM34" s="53" t="str">
        <f>IF(AND('Mapa final'!$Y$52="Media",'Mapa final'!$AA$52="Catastrófico"),CONCATENATE("R9C",'Mapa final'!$O$52),"")</f>
        <v/>
      </c>
      <c r="AN34" s="79"/>
      <c r="AO34" s="456"/>
      <c r="AP34" s="457"/>
      <c r="AQ34" s="457"/>
      <c r="AR34" s="457"/>
      <c r="AS34" s="457"/>
      <c r="AT34" s="458"/>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row>
    <row r="35" spans="1:80" ht="15.75" customHeight="1" thickBot="1" x14ac:dyDescent="0.3">
      <c r="A35" s="79"/>
      <c r="B35" s="328"/>
      <c r="C35" s="328"/>
      <c r="D35" s="329"/>
      <c r="E35" s="428"/>
      <c r="F35" s="429"/>
      <c r="G35" s="429"/>
      <c r="H35" s="429"/>
      <c r="I35" s="443"/>
      <c r="J35" s="63" t="str">
        <f>IF(AND('Mapa final'!$Y$53="Media",'Mapa final'!$AA$53="Leve"),CONCATENATE("R10C",'Mapa final'!$O$53),"")</f>
        <v/>
      </c>
      <c r="K35" s="64" t="str">
        <f>IF(AND('Mapa final'!$Y$54="Media",'Mapa final'!$AA$54="Leve"),CONCATENATE("R10C",'Mapa final'!$O$54),"")</f>
        <v/>
      </c>
      <c r="L35" s="64" t="str">
        <f>IF(AND('Mapa final'!$Y$55="Media",'Mapa final'!$AA$55="Leve"),CONCATENATE("R10C",'Mapa final'!$O$55),"")</f>
        <v/>
      </c>
      <c r="M35" s="64" t="str">
        <f>IF(AND('Mapa final'!$Y$56="Media",'Mapa final'!$AA$56="Leve"),CONCATENATE("R10C",'Mapa final'!$O$56),"")</f>
        <v/>
      </c>
      <c r="N35" s="64" t="str">
        <f>IF(AND('Mapa final'!$Y$57="Media",'Mapa final'!$AA$57="Leve"),CONCATENATE("R10C",'Mapa final'!$O$57),"")</f>
        <v/>
      </c>
      <c r="O35" s="65" t="str">
        <f>IF(AND('Mapa final'!$Y$58="Media",'Mapa final'!$AA$58="Leve"),CONCATENATE("R10C",'Mapa final'!$O$58),"")</f>
        <v/>
      </c>
      <c r="P35" s="63" t="str">
        <f>IF(AND('Mapa final'!$Y$53="Media",'Mapa final'!$AA$53="Menor"),CONCATENATE("R10C",'Mapa final'!$O$53),"")</f>
        <v/>
      </c>
      <c r="Q35" s="64" t="str">
        <f>IF(AND('Mapa final'!$Y$54="Media",'Mapa final'!$AA$54="Menor"),CONCATENATE("R10C",'Mapa final'!$O$54),"")</f>
        <v/>
      </c>
      <c r="R35" s="64" t="str">
        <f>IF(AND('Mapa final'!$Y$55="Media",'Mapa final'!$AA$55="Menor"),CONCATENATE("R10C",'Mapa final'!$O$55),"")</f>
        <v/>
      </c>
      <c r="S35" s="64" t="str">
        <f>IF(AND('Mapa final'!$Y$56="Media",'Mapa final'!$AA$56="Menor"),CONCATENATE("R10C",'Mapa final'!$O$56),"")</f>
        <v/>
      </c>
      <c r="T35" s="64" t="str">
        <f>IF(AND('Mapa final'!$Y$57="Media",'Mapa final'!$AA$57="Menor"),CONCATENATE("R10C",'Mapa final'!$O$57),"")</f>
        <v/>
      </c>
      <c r="U35" s="65" t="str">
        <f>IF(AND('Mapa final'!$Y$58="Media",'Mapa final'!$AA$58="Menor"),CONCATENATE("R10C",'Mapa final'!$O$58),"")</f>
        <v/>
      </c>
      <c r="V35" s="63" t="str">
        <f>IF(AND('Mapa final'!$Y$53="Media",'Mapa final'!$AA$53="Moderado"),CONCATENATE("R10C",'Mapa final'!$O$53),"")</f>
        <v/>
      </c>
      <c r="W35" s="64" t="str">
        <f>IF(AND('Mapa final'!$Y$54="Media",'Mapa final'!$AA$54="Moderado"),CONCATENATE("R10C",'Mapa final'!$O$54),"")</f>
        <v/>
      </c>
      <c r="X35" s="64" t="str">
        <f>IF(AND('Mapa final'!$Y$55="Media",'Mapa final'!$AA$55="Moderado"),CONCATENATE("R10C",'Mapa final'!$O$55),"")</f>
        <v/>
      </c>
      <c r="Y35" s="64" t="str">
        <f>IF(AND('Mapa final'!$Y$56="Media",'Mapa final'!$AA$56="Moderado"),CONCATENATE("R10C",'Mapa final'!$O$56),"")</f>
        <v/>
      </c>
      <c r="Z35" s="64" t="str">
        <f>IF(AND('Mapa final'!$Y$57="Media",'Mapa final'!$AA$57="Moderado"),CONCATENATE("R10C",'Mapa final'!$O$57),"")</f>
        <v/>
      </c>
      <c r="AA35" s="65" t="str">
        <f>IF(AND('Mapa final'!$Y$58="Media",'Mapa final'!$AA$58="Moderado"),CONCATENATE("R10C",'Mapa final'!$O$58),"")</f>
        <v/>
      </c>
      <c r="AB35" s="54" t="str">
        <f>IF(AND('Mapa final'!$Y$53="Media",'Mapa final'!$AA$53="Mayor"),CONCATENATE("R10C",'Mapa final'!$O$53),"")</f>
        <v/>
      </c>
      <c r="AC35" s="55" t="str">
        <f>IF(AND('Mapa final'!$Y$54="Media",'Mapa final'!$AA$54="Mayor"),CONCATENATE("R10C",'Mapa final'!$O$54),"")</f>
        <v/>
      </c>
      <c r="AD35" s="55" t="str">
        <f>IF(AND('Mapa final'!$Y$55="Media",'Mapa final'!$AA$55="Mayor"),CONCATENATE("R10C",'Mapa final'!$O$55),"")</f>
        <v/>
      </c>
      <c r="AE35" s="55" t="str">
        <f>IF(AND('Mapa final'!$Y$56="Media",'Mapa final'!$AA$56="Mayor"),CONCATENATE("R10C",'Mapa final'!$O$56),"")</f>
        <v/>
      </c>
      <c r="AF35" s="55" t="str">
        <f>IF(AND('Mapa final'!$Y$57="Media",'Mapa final'!$AA$57="Mayor"),CONCATENATE("R10C",'Mapa final'!$O$57),"")</f>
        <v/>
      </c>
      <c r="AG35" s="56" t="str">
        <f>IF(AND('Mapa final'!$Y$58="Media",'Mapa final'!$AA$58="Mayor"),CONCATENATE("R10C",'Mapa final'!$O$58),"")</f>
        <v/>
      </c>
      <c r="AH35" s="57" t="str">
        <f>IF(AND('Mapa final'!$Y$53="Media",'Mapa final'!$AA$53="Catastrófico"),CONCATENATE("R10C",'Mapa final'!$O$53),"")</f>
        <v/>
      </c>
      <c r="AI35" s="58" t="str">
        <f>IF(AND('Mapa final'!$Y$54="Media",'Mapa final'!$AA$54="Catastrófico"),CONCATENATE("R10C",'Mapa final'!$O$54),"")</f>
        <v/>
      </c>
      <c r="AJ35" s="58" t="str">
        <f>IF(AND('Mapa final'!$Y$55="Media",'Mapa final'!$AA$55="Catastrófico"),CONCATENATE("R10C",'Mapa final'!$O$55),"")</f>
        <v/>
      </c>
      <c r="AK35" s="58" t="str">
        <f>IF(AND('Mapa final'!$Y$56="Media",'Mapa final'!$AA$56="Catastrófico"),CONCATENATE("R10C",'Mapa final'!$O$56),"")</f>
        <v/>
      </c>
      <c r="AL35" s="58" t="str">
        <f>IF(AND('Mapa final'!$Y$57="Media",'Mapa final'!$AA$57="Catastrófico"),CONCATENATE("R10C",'Mapa final'!$O$57),"")</f>
        <v/>
      </c>
      <c r="AM35" s="59" t="str">
        <f>IF(AND('Mapa final'!$Y$58="Media",'Mapa final'!$AA$58="Catastrófico"),CONCATENATE("R10C",'Mapa final'!$O$58),"")</f>
        <v/>
      </c>
      <c r="AN35" s="79"/>
      <c r="AO35" s="459"/>
      <c r="AP35" s="460"/>
      <c r="AQ35" s="460"/>
      <c r="AR35" s="460"/>
      <c r="AS35" s="460"/>
      <c r="AT35" s="461"/>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row>
    <row r="36" spans="1:80" ht="15" customHeight="1" x14ac:dyDescent="0.25">
      <c r="A36" s="79"/>
      <c r="B36" s="328"/>
      <c r="C36" s="328"/>
      <c r="D36" s="329"/>
      <c r="E36" s="423" t="s">
        <v>98</v>
      </c>
      <c r="F36" s="424"/>
      <c r="G36" s="424"/>
      <c r="H36" s="424"/>
      <c r="I36" s="424"/>
      <c r="J36" s="69" t="str">
        <f>IF(AND('Mapa final'!$Y$26="Baja",'Mapa final'!$AA$26="Leve"),CONCATENATE("R1C",'Mapa final'!$O$26),"")</f>
        <v/>
      </c>
      <c r="K36" s="70" t="str">
        <f>IF(AND('Mapa final'!$Y$27="Baja",'Mapa final'!$AA$27="Leve"),CONCATENATE("R1C",'Mapa final'!$O$27),"")</f>
        <v/>
      </c>
      <c r="L36" s="70" t="str">
        <f>IF(AND('Mapa final'!$Y$29="Baja",'Mapa final'!$AA$29="Leve"),CONCATENATE("R1C",'Mapa final'!$O$29),"")</f>
        <v/>
      </c>
      <c r="M36" s="70" t="e">
        <f>IF(AND('Mapa final'!#REF!="Baja",'Mapa final'!#REF!="Leve"),CONCATENATE("R1C",'Mapa final'!#REF!),"")</f>
        <v>#REF!</v>
      </c>
      <c r="N36" s="70" t="e">
        <f>IF(AND('Mapa final'!#REF!="Baja",'Mapa final'!#REF!="Leve"),CONCATENATE("R1C",'Mapa final'!#REF!),"")</f>
        <v>#REF!</v>
      </c>
      <c r="O36" s="71" t="e">
        <f>IF(AND('Mapa final'!#REF!="Baja",'Mapa final'!#REF!="Leve"),CONCATENATE("R1C",'Mapa final'!#REF!),"")</f>
        <v>#REF!</v>
      </c>
      <c r="P36" s="60" t="str">
        <f>IF(AND('Mapa final'!$Y$26="Baja",'Mapa final'!$AA$26="Menor"),CONCATENATE("R1C",'Mapa final'!$O$26),"")</f>
        <v/>
      </c>
      <c r="Q36" s="61" t="str">
        <f>IF(AND('Mapa final'!$Y$27="Baja",'Mapa final'!$AA$27="Menor"),CONCATENATE("R1C",'Mapa final'!$O$27),"")</f>
        <v/>
      </c>
      <c r="R36" s="61" t="str">
        <f>IF(AND('Mapa final'!$Y$29="Baja",'Mapa final'!$AA$29="Menor"),CONCATENATE("R1C",'Mapa final'!$O$29),"")</f>
        <v/>
      </c>
      <c r="S36" s="61" t="e">
        <f>IF(AND('Mapa final'!#REF!="Baja",'Mapa final'!#REF!="Menor"),CONCATENATE("R1C",'Mapa final'!#REF!),"")</f>
        <v>#REF!</v>
      </c>
      <c r="T36" s="61" t="e">
        <f>IF(AND('Mapa final'!#REF!="Baja",'Mapa final'!#REF!="Menor"),CONCATENATE("R1C",'Mapa final'!#REF!),"")</f>
        <v>#REF!</v>
      </c>
      <c r="U36" s="62" t="e">
        <f>IF(AND('Mapa final'!#REF!="Baja",'Mapa final'!#REF!="Menor"),CONCATENATE("R1C",'Mapa final'!#REF!),"")</f>
        <v>#REF!</v>
      </c>
      <c r="V36" s="60" t="str">
        <f>IF(AND('Mapa final'!$Y$26="Baja",'Mapa final'!$AA$26="Moderado"),CONCATENATE("R1C",'Mapa final'!$O$26),"")</f>
        <v/>
      </c>
      <c r="W36" s="61" t="str">
        <f>IF(AND('Mapa final'!$Y$27="Baja",'Mapa final'!$AA$27="Moderado"),CONCATENATE("R1C",'Mapa final'!$O$27),"")</f>
        <v>R1C2</v>
      </c>
      <c r="X36" s="61" t="str">
        <f>IF(AND('Mapa final'!$Y$29="Baja",'Mapa final'!$AA$29="Moderado"),CONCATENATE("R1C",'Mapa final'!$O$29),"")</f>
        <v>R1C4</v>
      </c>
      <c r="Y36" s="61" t="e">
        <f>IF(AND('Mapa final'!#REF!="Baja",'Mapa final'!#REF!="Moderado"),CONCATENATE("R1C",'Mapa final'!#REF!),"")</f>
        <v>#REF!</v>
      </c>
      <c r="Z36" s="61" t="e">
        <f>IF(AND('Mapa final'!#REF!="Baja",'Mapa final'!#REF!="Moderado"),CONCATENATE("R1C",'Mapa final'!#REF!),"")</f>
        <v>#REF!</v>
      </c>
      <c r="AA36" s="62" t="e">
        <f>IF(AND('Mapa final'!#REF!="Baja",'Mapa final'!#REF!="Moderado"),CONCATENATE("R1C",'Mapa final'!#REF!),"")</f>
        <v>#REF!</v>
      </c>
      <c r="AB36" s="42" t="str">
        <f>IF(AND('Mapa final'!$Y$26="Baja",'Mapa final'!$AA$26="Mayor"),CONCATENATE("R1C",'Mapa final'!$O$26),"")</f>
        <v/>
      </c>
      <c r="AC36" s="43" t="str">
        <f>IF(AND('Mapa final'!$Y$27="Baja",'Mapa final'!$AA$27="Mayor"),CONCATENATE("R1C",'Mapa final'!$O$27),"")</f>
        <v/>
      </c>
      <c r="AD36" s="43" t="str">
        <f>IF(AND('Mapa final'!$Y$29="Baja",'Mapa final'!$AA$29="Mayor"),CONCATENATE("R1C",'Mapa final'!$O$29),"")</f>
        <v/>
      </c>
      <c r="AE36" s="43" t="e">
        <f>IF(AND('Mapa final'!#REF!="Baja",'Mapa final'!#REF!="Mayor"),CONCATENATE("R1C",'Mapa final'!#REF!),"")</f>
        <v>#REF!</v>
      </c>
      <c r="AF36" s="43" t="e">
        <f>IF(AND('Mapa final'!#REF!="Baja",'Mapa final'!#REF!="Mayor"),CONCATENATE("R1C",'Mapa final'!#REF!),"")</f>
        <v>#REF!</v>
      </c>
      <c r="AG36" s="44" t="e">
        <f>IF(AND('Mapa final'!#REF!="Baja",'Mapa final'!#REF!="Mayor"),CONCATENATE("R1C",'Mapa final'!#REF!),"")</f>
        <v>#REF!</v>
      </c>
      <c r="AH36" s="45" t="str">
        <f>IF(AND('Mapa final'!$Y$26="Baja",'Mapa final'!$AA$26="Catastrófico"),CONCATENATE("R1C",'Mapa final'!$O$26),"")</f>
        <v/>
      </c>
      <c r="AI36" s="46" t="str">
        <f>IF(AND('Mapa final'!$Y$27="Baja",'Mapa final'!$AA$27="Catastrófico"),CONCATENATE("R1C",'Mapa final'!$O$27),"")</f>
        <v/>
      </c>
      <c r="AJ36" s="46" t="str">
        <f>IF(AND('Mapa final'!$Y$29="Baja",'Mapa final'!$AA$29="Catastrófico"),CONCATENATE("R1C",'Mapa final'!$O$29),"")</f>
        <v/>
      </c>
      <c r="AK36" s="46" t="e">
        <f>IF(AND('Mapa final'!#REF!="Baja",'Mapa final'!#REF!="Catastrófico"),CONCATENATE("R1C",'Mapa final'!#REF!),"")</f>
        <v>#REF!</v>
      </c>
      <c r="AL36" s="46" t="e">
        <f>IF(AND('Mapa final'!#REF!="Baja",'Mapa final'!#REF!="Catastrófico"),CONCATENATE("R1C",'Mapa final'!#REF!),"")</f>
        <v>#REF!</v>
      </c>
      <c r="AM36" s="47" t="e">
        <f>IF(AND('Mapa final'!#REF!="Baja",'Mapa final'!#REF!="Catastrófico"),CONCATENATE("R1C",'Mapa final'!#REF!),"")</f>
        <v>#REF!</v>
      </c>
      <c r="AN36" s="79"/>
      <c r="AO36" s="444" t="s">
        <v>99</v>
      </c>
      <c r="AP36" s="445"/>
      <c r="AQ36" s="445"/>
      <c r="AR36" s="445"/>
      <c r="AS36" s="445"/>
      <c r="AT36" s="446"/>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row>
    <row r="37" spans="1:80" ht="15" customHeight="1" x14ac:dyDescent="0.25">
      <c r="A37" s="79"/>
      <c r="B37" s="328"/>
      <c r="C37" s="328"/>
      <c r="D37" s="329"/>
      <c r="E37" s="425"/>
      <c r="F37" s="426"/>
      <c r="G37" s="426"/>
      <c r="H37" s="426"/>
      <c r="I37" s="426"/>
      <c r="J37" s="72" t="str">
        <f>IF(AND('Mapa final'!$Y$30="Baja",'Mapa final'!$AA$30="Leve"),CONCATENATE("R2C",'Mapa final'!$O$30),"")</f>
        <v/>
      </c>
      <c r="K37" s="73" t="str">
        <f>IF(AND('Mapa final'!$Y$31="Baja",'Mapa final'!$AA$31="Leve"),CONCATENATE("R2C",'Mapa final'!$O$31),"")</f>
        <v/>
      </c>
      <c r="L37" s="73" t="str">
        <f>IF(AND('Mapa final'!$Y$32="Baja",'Mapa final'!$AA$32="Leve"),CONCATENATE("R2C",'Mapa final'!$O$32),"")</f>
        <v/>
      </c>
      <c r="M37" s="73" t="e">
        <f>IF(AND('Mapa final'!#REF!="Baja",'Mapa final'!#REF!="Leve"),CONCATENATE("R2C",'Mapa final'!#REF!),"")</f>
        <v>#REF!</v>
      </c>
      <c r="N37" s="73" t="e">
        <f>IF(AND('Mapa final'!#REF!="Baja",'Mapa final'!#REF!="Leve"),CONCATENATE("R2C",'Mapa final'!#REF!),"")</f>
        <v>#REF!</v>
      </c>
      <c r="O37" s="74" t="e">
        <f>IF(AND('Mapa final'!#REF!="Baja",'Mapa final'!#REF!="Leve"),CONCATENATE("R2C",'Mapa final'!#REF!),"")</f>
        <v>#REF!</v>
      </c>
      <c r="P37" s="63" t="str">
        <f>IF(AND('Mapa final'!$Y$30="Baja",'Mapa final'!$AA$30="Menor"),CONCATENATE("R2C",'Mapa final'!$O$30),"")</f>
        <v/>
      </c>
      <c r="Q37" s="64" t="str">
        <f>IF(AND('Mapa final'!$Y$31="Baja",'Mapa final'!$AA$31="Menor"),CONCATENATE("R2C",'Mapa final'!$O$31),"")</f>
        <v/>
      </c>
      <c r="R37" s="64" t="str">
        <f>IF(AND('Mapa final'!$Y$32="Baja",'Mapa final'!$AA$32="Menor"),CONCATENATE("R2C",'Mapa final'!$O$32),"")</f>
        <v/>
      </c>
      <c r="S37" s="64" t="e">
        <f>IF(AND('Mapa final'!#REF!="Baja",'Mapa final'!#REF!="Menor"),CONCATENATE("R2C",'Mapa final'!#REF!),"")</f>
        <v>#REF!</v>
      </c>
      <c r="T37" s="64" t="e">
        <f>IF(AND('Mapa final'!#REF!="Baja",'Mapa final'!#REF!="Menor"),CONCATENATE("R2C",'Mapa final'!#REF!),"")</f>
        <v>#REF!</v>
      </c>
      <c r="U37" s="65" t="e">
        <f>IF(AND('Mapa final'!#REF!="Baja",'Mapa final'!#REF!="Menor"),CONCATENATE("R2C",'Mapa final'!#REF!),"")</f>
        <v>#REF!</v>
      </c>
      <c r="V37" s="63" t="str">
        <f>IF(AND('Mapa final'!$Y$30="Baja",'Mapa final'!$AA$30="Moderado"),CONCATENATE("R2C",'Mapa final'!$O$30),"")</f>
        <v/>
      </c>
      <c r="W37" s="64" t="str">
        <f>IF(AND('Mapa final'!$Y$31="Baja",'Mapa final'!$AA$31="Moderado"),CONCATENATE("R2C",'Mapa final'!$O$31),"")</f>
        <v/>
      </c>
      <c r="X37" s="64" t="str">
        <f>IF(AND('Mapa final'!$Y$32="Baja",'Mapa final'!$AA$32="Moderado"),CONCATENATE("R2C",'Mapa final'!$O$32),"")</f>
        <v/>
      </c>
      <c r="Y37" s="64" t="e">
        <f>IF(AND('Mapa final'!#REF!="Baja",'Mapa final'!#REF!="Moderado"),CONCATENATE("R2C",'Mapa final'!#REF!),"")</f>
        <v>#REF!</v>
      </c>
      <c r="Z37" s="64" t="e">
        <f>IF(AND('Mapa final'!#REF!="Baja",'Mapa final'!#REF!="Moderado"),CONCATENATE("R2C",'Mapa final'!#REF!),"")</f>
        <v>#REF!</v>
      </c>
      <c r="AA37" s="65" t="e">
        <f>IF(AND('Mapa final'!#REF!="Baja",'Mapa final'!#REF!="Moderado"),CONCATENATE("R2C",'Mapa final'!#REF!),"")</f>
        <v>#REF!</v>
      </c>
      <c r="AB37" s="48" t="str">
        <f>IF(AND('Mapa final'!$Y$30="Baja",'Mapa final'!$AA$30="Mayor"),CONCATENATE("R2C",'Mapa final'!$O$30),"")</f>
        <v/>
      </c>
      <c r="AC37" s="49" t="str">
        <f>IF(AND('Mapa final'!$Y$31="Baja",'Mapa final'!$AA$31="Mayor"),CONCATENATE("R2C",'Mapa final'!$O$31),"")</f>
        <v/>
      </c>
      <c r="AD37" s="49" t="str">
        <f>IF(AND('Mapa final'!$Y$32="Baja",'Mapa final'!$AA$32="Mayor"),CONCATENATE("R2C",'Mapa final'!$O$32),"")</f>
        <v/>
      </c>
      <c r="AE37" s="49" t="e">
        <f>IF(AND('Mapa final'!#REF!="Baja",'Mapa final'!#REF!="Mayor"),CONCATENATE("R2C",'Mapa final'!#REF!),"")</f>
        <v>#REF!</v>
      </c>
      <c r="AF37" s="49" t="e">
        <f>IF(AND('Mapa final'!#REF!="Baja",'Mapa final'!#REF!="Mayor"),CONCATENATE("R2C",'Mapa final'!#REF!),"")</f>
        <v>#REF!</v>
      </c>
      <c r="AG37" s="50" t="e">
        <f>IF(AND('Mapa final'!#REF!="Baja",'Mapa final'!#REF!="Mayor"),CONCATENATE("R2C",'Mapa final'!#REF!),"")</f>
        <v>#REF!</v>
      </c>
      <c r="AH37" s="51" t="str">
        <f>IF(AND('Mapa final'!$Y$30="Baja",'Mapa final'!$AA$30="Catastrófico"),CONCATENATE("R2C",'Mapa final'!$O$30),"")</f>
        <v/>
      </c>
      <c r="AI37" s="52" t="str">
        <f>IF(AND('Mapa final'!$Y$31="Baja",'Mapa final'!$AA$31="Catastrófico"),CONCATENATE("R2C",'Mapa final'!$O$31),"")</f>
        <v/>
      </c>
      <c r="AJ37" s="52" t="str">
        <f>IF(AND('Mapa final'!$Y$32="Baja",'Mapa final'!$AA$32="Catastrófico"),CONCATENATE("R2C",'Mapa final'!$O$32),"")</f>
        <v/>
      </c>
      <c r="AK37" s="52" t="e">
        <f>IF(AND('Mapa final'!#REF!="Baja",'Mapa final'!#REF!="Catastrófico"),CONCATENATE("R2C",'Mapa final'!#REF!),"")</f>
        <v>#REF!</v>
      </c>
      <c r="AL37" s="52" t="e">
        <f>IF(AND('Mapa final'!#REF!="Baja",'Mapa final'!#REF!="Catastrófico"),CONCATENATE("R2C",'Mapa final'!#REF!),"")</f>
        <v>#REF!</v>
      </c>
      <c r="AM37" s="53" t="e">
        <f>IF(AND('Mapa final'!#REF!="Baja",'Mapa final'!#REF!="Catastrófico"),CONCATENATE("R2C",'Mapa final'!#REF!),"")</f>
        <v>#REF!</v>
      </c>
      <c r="AN37" s="79"/>
      <c r="AO37" s="447"/>
      <c r="AP37" s="448"/>
      <c r="AQ37" s="448"/>
      <c r="AR37" s="448"/>
      <c r="AS37" s="448"/>
      <c r="AT37" s="44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row>
    <row r="38" spans="1:80" ht="15" customHeight="1" x14ac:dyDescent="0.25">
      <c r="A38" s="79"/>
      <c r="B38" s="328"/>
      <c r="C38" s="328"/>
      <c r="D38" s="329"/>
      <c r="E38" s="427"/>
      <c r="F38" s="426"/>
      <c r="G38" s="426"/>
      <c r="H38" s="426"/>
      <c r="I38" s="426"/>
      <c r="J38" s="72" t="str">
        <f>IF(AND('Mapa final'!$Y$33="Baja",'Mapa final'!$AA$33="Leve"),CONCATENATE("R3C",'Mapa final'!$O$33),"")</f>
        <v/>
      </c>
      <c r="K38" s="73" t="str">
        <f>IF(AND('Mapa final'!$Y$34="Baja",'Mapa final'!$AA$34="Leve"),CONCATENATE("R3C",'Mapa final'!$O$34),"")</f>
        <v/>
      </c>
      <c r="L38" s="73" t="str">
        <f>IF(AND('Mapa final'!$Y$35="Baja",'Mapa final'!$AA$35="Leve"),CONCATENATE("R3C",'Mapa final'!$O$35),"")</f>
        <v/>
      </c>
      <c r="M38" s="73" t="str">
        <f>IF(AND('Mapa final'!$Y$36="Baja",'Mapa final'!$AA$36="Leve"),CONCATENATE("R3C",'Mapa final'!$O$36),"")</f>
        <v/>
      </c>
      <c r="N38" s="73" t="e">
        <f>IF(AND('Mapa final'!#REF!="Baja",'Mapa final'!#REF!="Leve"),CONCATENATE("R3C",'Mapa final'!#REF!),"")</f>
        <v>#REF!</v>
      </c>
      <c r="O38" s="74" t="e">
        <f>IF(AND('Mapa final'!#REF!="Baja",'Mapa final'!#REF!="Leve"),CONCATENATE("R3C",'Mapa final'!#REF!),"")</f>
        <v>#REF!</v>
      </c>
      <c r="P38" s="63" t="str">
        <f>IF(AND('Mapa final'!$Y$33="Baja",'Mapa final'!$AA$33="Menor"),CONCATENATE("R3C",'Mapa final'!$O$33),"")</f>
        <v/>
      </c>
      <c r="Q38" s="64" t="str">
        <f>IF(AND('Mapa final'!$Y$34="Baja",'Mapa final'!$AA$34="Menor"),CONCATENATE("R3C",'Mapa final'!$O$34),"")</f>
        <v/>
      </c>
      <c r="R38" s="64" t="str">
        <f>IF(AND('Mapa final'!$Y$35="Baja",'Mapa final'!$AA$35="Menor"),CONCATENATE("R3C",'Mapa final'!$O$35),"")</f>
        <v/>
      </c>
      <c r="S38" s="64" t="str">
        <f>IF(AND('Mapa final'!$Y$36="Baja",'Mapa final'!$AA$36="Menor"),CONCATENATE("R3C",'Mapa final'!$O$36),"")</f>
        <v/>
      </c>
      <c r="T38" s="64" t="e">
        <f>IF(AND('Mapa final'!#REF!="Baja",'Mapa final'!#REF!="Menor"),CONCATENATE("R3C",'Mapa final'!#REF!),"")</f>
        <v>#REF!</v>
      </c>
      <c r="U38" s="65" t="e">
        <f>IF(AND('Mapa final'!#REF!="Baja",'Mapa final'!#REF!="Menor"),CONCATENATE("R3C",'Mapa final'!#REF!),"")</f>
        <v>#REF!</v>
      </c>
      <c r="V38" s="63" t="str">
        <f>IF(AND('Mapa final'!$Y$33="Baja",'Mapa final'!$AA$33="Moderado"),CONCATENATE("R3C",'Mapa final'!$O$33),"")</f>
        <v/>
      </c>
      <c r="W38" s="64" t="str">
        <f>IF(AND('Mapa final'!$Y$34="Baja",'Mapa final'!$AA$34="Moderado"),CONCATENATE("R3C",'Mapa final'!$O$34),"")</f>
        <v>R3C2</v>
      </c>
      <c r="X38" s="64" t="str">
        <f>IF(AND('Mapa final'!$Y$35="Baja",'Mapa final'!$AA$35="Moderado"),CONCATENATE("R3C",'Mapa final'!$O$35),"")</f>
        <v/>
      </c>
      <c r="Y38" s="64" t="str">
        <f>IF(AND('Mapa final'!$Y$36="Baja",'Mapa final'!$AA$36="Moderado"),CONCATENATE("R3C",'Mapa final'!$O$36),"")</f>
        <v/>
      </c>
      <c r="Z38" s="64" t="e">
        <f>IF(AND('Mapa final'!#REF!="Baja",'Mapa final'!#REF!="Moderado"),CONCATENATE("R3C",'Mapa final'!#REF!),"")</f>
        <v>#REF!</v>
      </c>
      <c r="AA38" s="65" t="e">
        <f>IF(AND('Mapa final'!#REF!="Baja",'Mapa final'!#REF!="Moderado"),CONCATENATE("R3C",'Mapa final'!#REF!),"")</f>
        <v>#REF!</v>
      </c>
      <c r="AB38" s="48" t="str">
        <f>IF(AND('Mapa final'!$Y$33="Baja",'Mapa final'!$AA$33="Mayor"),CONCATENATE("R3C",'Mapa final'!$O$33),"")</f>
        <v/>
      </c>
      <c r="AC38" s="49" t="str">
        <f>IF(AND('Mapa final'!$Y$34="Baja",'Mapa final'!$AA$34="Mayor"),CONCATENATE("R3C",'Mapa final'!$O$34),"")</f>
        <v/>
      </c>
      <c r="AD38" s="49" t="str">
        <f>IF(AND('Mapa final'!$Y$35="Baja",'Mapa final'!$AA$35="Mayor"),CONCATENATE("R3C",'Mapa final'!$O$35),"")</f>
        <v/>
      </c>
      <c r="AE38" s="49" t="str">
        <f>IF(AND('Mapa final'!$Y$36="Baja",'Mapa final'!$AA$36="Mayor"),CONCATENATE("R3C",'Mapa final'!$O$36),"")</f>
        <v/>
      </c>
      <c r="AF38" s="49" t="e">
        <f>IF(AND('Mapa final'!#REF!="Baja",'Mapa final'!#REF!="Mayor"),CONCATENATE("R3C",'Mapa final'!#REF!),"")</f>
        <v>#REF!</v>
      </c>
      <c r="AG38" s="50" t="e">
        <f>IF(AND('Mapa final'!#REF!="Baja",'Mapa final'!#REF!="Mayor"),CONCATENATE("R3C",'Mapa final'!#REF!),"")</f>
        <v>#REF!</v>
      </c>
      <c r="AH38" s="51" t="str">
        <f>IF(AND('Mapa final'!$Y$33="Baja",'Mapa final'!$AA$33="Catastrófico"),CONCATENATE("R3C",'Mapa final'!$O$33),"")</f>
        <v/>
      </c>
      <c r="AI38" s="52" t="str">
        <f>IF(AND('Mapa final'!$Y$34="Baja",'Mapa final'!$AA$34="Catastrófico"),CONCATENATE("R3C",'Mapa final'!$O$34),"")</f>
        <v/>
      </c>
      <c r="AJ38" s="52" t="str">
        <f>IF(AND('Mapa final'!$Y$35="Baja",'Mapa final'!$AA$35="Catastrófico"),CONCATENATE("R3C",'Mapa final'!$O$35),"")</f>
        <v/>
      </c>
      <c r="AK38" s="52" t="str">
        <f>IF(AND('Mapa final'!$Y$36="Baja",'Mapa final'!$AA$36="Catastrófico"),CONCATENATE("R3C",'Mapa final'!$O$36),"")</f>
        <v/>
      </c>
      <c r="AL38" s="52" t="e">
        <f>IF(AND('Mapa final'!#REF!="Baja",'Mapa final'!#REF!="Catastrófico"),CONCATENATE("R3C",'Mapa final'!#REF!),"")</f>
        <v>#REF!</v>
      </c>
      <c r="AM38" s="53" t="e">
        <f>IF(AND('Mapa final'!#REF!="Baja",'Mapa final'!#REF!="Catastrófico"),CONCATENATE("R3C",'Mapa final'!#REF!),"")</f>
        <v>#REF!</v>
      </c>
      <c r="AN38" s="79"/>
      <c r="AO38" s="447"/>
      <c r="AP38" s="448"/>
      <c r="AQ38" s="448"/>
      <c r="AR38" s="448"/>
      <c r="AS38" s="448"/>
      <c r="AT38" s="44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row>
    <row r="39" spans="1:80" ht="15" customHeight="1" x14ac:dyDescent="0.25">
      <c r="A39" s="79"/>
      <c r="B39" s="328"/>
      <c r="C39" s="328"/>
      <c r="D39" s="329"/>
      <c r="E39" s="427"/>
      <c r="F39" s="426"/>
      <c r="G39" s="426"/>
      <c r="H39" s="426"/>
      <c r="I39" s="426"/>
      <c r="J39" s="72" t="str">
        <f>IF(AND('Mapa final'!$Y$37="Baja",'Mapa final'!$AA$37="Leve"),CONCATENATE("R4C",'Mapa final'!$O$37),"")</f>
        <v/>
      </c>
      <c r="K39" s="73" t="str">
        <f>IF(AND('Mapa final'!$Y$38="Baja",'Mapa final'!$AA$38="Leve"),CONCATENATE("R4C",'Mapa final'!$O$38),"")</f>
        <v/>
      </c>
      <c r="L39" s="73" t="str">
        <f>IF(AND('Mapa final'!$Y$39="Baja",'Mapa final'!$AA$39="Leve"),CONCATENATE("R4C",'Mapa final'!$O$39),"")</f>
        <v/>
      </c>
      <c r="M39" s="73" t="str">
        <f>IF(AND('Mapa final'!$Y$40="Baja",'Mapa final'!$AA$40="Leve"),CONCATENATE("R4C",'Mapa final'!$O$40),"")</f>
        <v/>
      </c>
      <c r="N39" s="73" t="e">
        <f>IF(AND('Mapa final'!#REF!="Baja",'Mapa final'!#REF!="Leve"),CONCATENATE("R4C",'Mapa final'!#REF!),"")</f>
        <v>#REF!</v>
      </c>
      <c r="O39" s="74" t="e">
        <f>IF(AND('Mapa final'!#REF!="Baja",'Mapa final'!#REF!="Leve"),CONCATENATE("R4C",'Mapa final'!#REF!),"")</f>
        <v>#REF!</v>
      </c>
      <c r="P39" s="63" t="str">
        <f>IF(AND('Mapa final'!$Y$37="Baja",'Mapa final'!$AA$37="Menor"),CONCATENATE("R4C",'Mapa final'!$O$37),"")</f>
        <v/>
      </c>
      <c r="Q39" s="64" t="str">
        <f>IF(AND('Mapa final'!$Y$38="Baja",'Mapa final'!$AA$38="Menor"),CONCATENATE("R4C",'Mapa final'!$O$38),"")</f>
        <v/>
      </c>
      <c r="R39" s="64" t="str">
        <f>IF(AND('Mapa final'!$Y$39="Baja",'Mapa final'!$AA$39="Menor"),CONCATENATE("R4C",'Mapa final'!$O$39),"")</f>
        <v/>
      </c>
      <c r="S39" s="64" t="str">
        <f>IF(AND('Mapa final'!$Y$40="Baja",'Mapa final'!$AA$40="Menor"),CONCATENATE("R4C",'Mapa final'!$O$40),"")</f>
        <v/>
      </c>
      <c r="T39" s="64" t="e">
        <f>IF(AND('Mapa final'!#REF!="Baja",'Mapa final'!#REF!="Menor"),CONCATENATE("R4C",'Mapa final'!#REF!),"")</f>
        <v>#REF!</v>
      </c>
      <c r="U39" s="65" t="e">
        <f>IF(AND('Mapa final'!#REF!="Baja",'Mapa final'!#REF!="Menor"),CONCATENATE("R4C",'Mapa final'!#REF!),"")</f>
        <v>#REF!</v>
      </c>
      <c r="V39" s="63" t="str">
        <f>IF(AND('Mapa final'!$Y$37="Baja",'Mapa final'!$AA$37="Moderado"),CONCATENATE("R4C",'Mapa final'!$O$37),"")</f>
        <v/>
      </c>
      <c r="W39" s="64" t="str">
        <f>IF(AND('Mapa final'!$Y$38="Baja",'Mapa final'!$AA$38="Moderado"),CONCATENATE("R4C",'Mapa final'!$O$38),"")</f>
        <v/>
      </c>
      <c r="X39" s="64" t="str">
        <f>IF(AND('Mapa final'!$Y$39="Baja",'Mapa final'!$AA$39="Moderado"),CONCATENATE("R4C",'Mapa final'!$O$39),"")</f>
        <v/>
      </c>
      <c r="Y39" s="64" t="str">
        <f>IF(AND('Mapa final'!$Y$40="Baja",'Mapa final'!$AA$40="Moderado"),CONCATENATE("R4C",'Mapa final'!$O$40),"")</f>
        <v/>
      </c>
      <c r="Z39" s="64" t="e">
        <f>IF(AND('Mapa final'!#REF!="Baja",'Mapa final'!#REF!="Moderado"),CONCATENATE("R4C",'Mapa final'!#REF!),"")</f>
        <v>#REF!</v>
      </c>
      <c r="AA39" s="65" t="e">
        <f>IF(AND('Mapa final'!#REF!="Baja",'Mapa final'!#REF!="Moderado"),CONCATENATE("R4C",'Mapa final'!#REF!),"")</f>
        <v>#REF!</v>
      </c>
      <c r="AB39" s="48" t="str">
        <f>IF(AND('Mapa final'!$Y$37="Baja",'Mapa final'!$AA$37="Mayor"),CONCATENATE("R4C",'Mapa final'!$O$37),"")</f>
        <v/>
      </c>
      <c r="AC39" s="49" t="str">
        <f>IF(AND('Mapa final'!$Y$38="Baja",'Mapa final'!$AA$38="Mayor"),CONCATENATE("R4C",'Mapa final'!$O$38),"")</f>
        <v/>
      </c>
      <c r="AD39" s="49" t="str">
        <f>IF(AND('Mapa final'!$Y$39="Baja",'Mapa final'!$AA$39="Mayor"),CONCATENATE("R4C",'Mapa final'!$O$39),"")</f>
        <v/>
      </c>
      <c r="AE39" s="49" t="str">
        <f>IF(AND('Mapa final'!$Y$40="Baja",'Mapa final'!$AA$40="Mayor"),CONCATENATE("R4C",'Mapa final'!$O$40),"")</f>
        <v/>
      </c>
      <c r="AF39" s="49" t="e">
        <f>IF(AND('Mapa final'!#REF!="Baja",'Mapa final'!#REF!="Mayor"),CONCATENATE("R4C",'Mapa final'!#REF!),"")</f>
        <v>#REF!</v>
      </c>
      <c r="AG39" s="50" t="e">
        <f>IF(AND('Mapa final'!#REF!="Baja",'Mapa final'!#REF!="Mayor"),CONCATENATE("R4C",'Mapa final'!#REF!),"")</f>
        <v>#REF!</v>
      </c>
      <c r="AH39" s="51" t="str">
        <f>IF(AND('Mapa final'!$Y$37="Baja",'Mapa final'!$AA$37="Catastrófico"),CONCATENATE("R4C",'Mapa final'!$O$37),"")</f>
        <v/>
      </c>
      <c r="AI39" s="52" t="str">
        <f>IF(AND('Mapa final'!$Y$38="Baja",'Mapa final'!$AA$38="Catastrófico"),CONCATENATE("R4C",'Mapa final'!$O$38),"")</f>
        <v/>
      </c>
      <c r="AJ39" s="52" t="str">
        <f>IF(AND('Mapa final'!$Y$39="Baja",'Mapa final'!$AA$39="Catastrófico"),CONCATENATE("R4C",'Mapa final'!$O$39),"")</f>
        <v/>
      </c>
      <c r="AK39" s="52" t="str">
        <f>IF(AND('Mapa final'!$Y$40="Baja",'Mapa final'!$AA$40="Catastrófico"),CONCATENATE("R4C",'Mapa final'!$O$40),"")</f>
        <v/>
      </c>
      <c r="AL39" s="52" t="e">
        <f>IF(AND('Mapa final'!#REF!="Baja",'Mapa final'!#REF!="Catastrófico"),CONCATENATE("R4C",'Mapa final'!#REF!),"")</f>
        <v>#REF!</v>
      </c>
      <c r="AM39" s="53" t="e">
        <f>IF(AND('Mapa final'!#REF!="Baja",'Mapa final'!#REF!="Catastrófico"),CONCATENATE("R4C",'Mapa final'!#REF!),"")</f>
        <v>#REF!</v>
      </c>
      <c r="AN39" s="79"/>
      <c r="AO39" s="447"/>
      <c r="AP39" s="448"/>
      <c r="AQ39" s="448"/>
      <c r="AR39" s="448"/>
      <c r="AS39" s="448"/>
      <c r="AT39" s="44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row>
    <row r="40" spans="1:80" ht="15" customHeight="1" x14ac:dyDescent="0.25">
      <c r="A40" s="79"/>
      <c r="B40" s="328"/>
      <c r="C40" s="328"/>
      <c r="D40" s="329"/>
      <c r="E40" s="427"/>
      <c r="F40" s="426"/>
      <c r="G40" s="426"/>
      <c r="H40" s="426"/>
      <c r="I40" s="426"/>
      <c r="J40" s="72" t="e">
        <f>IF(AND('Mapa final'!#REF!="Baja",'Mapa final'!#REF!="Leve"),CONCATENATE("R5C",'Mapa final'!#REF!),"")</f>
        <v>#REF!</v>
      </c>
      <c r="K40" s="73" t="e">
        <f>IF(AND('Mapa final'!#REF!="Baja",'Mapa final'!#REF!="Leve"),CONCATENATE("R5C",'Mapa final'!#REF!),"")</f>
        <v>#REF!</v>
      </c>
      <c r="L40" s="73" t="e">
        <f>IF(AND('Mapa final'!#REF!="Baja",'Mapa final'!#REF!="Leve"),CONCATENATE("R5C",'Mapa final'!#REF!),"")</f>
        <v>#REF!</v>
      </c>
      <c r="M40" s="73" t="e">
        <f>IF(AND('Mapa final'!#REF!="Baja",'Mapa final'!#REF!="Leve"),CONCATENATE("R5C",'Mapa final'!#REF!),"")</f>
        <v>#REF!</v>
      </c>
      <c r="N40" s="73" t="e">
        <f>IF(AND('Mapa final'!#REF!="Baja",'Mapa final'!#REF!="Leve"),CONCATENATE("R5C",'Mapa final'!#REF!),"")</f>
        <v>#REF!</v>
      </c>
      <c r="O40" s="74" t="e">
        <f>IF(AND('Mapa final'!#REF!="Baja",'Mapa final'!#REF!="Leve"),CONCATENATE("R5C",'Mapa final'!#REF!),"")</f>
        <v>#REF!</v>
      </c>
      <c r="P40" s="63" t="e">
        <f>IF(AND('Mapa final'!#REF!="Baja",'Mapa final'!#REF!="Menor"),CONCATENATE("R5C",'Mapa final'!#REF!),"")</f>
        <v>#REF!</v>
      </c>
      <c r="Q40" s="64" t="e">
        <f>IF(AND('Mapa final'!#REF!="Baja",'Mapa final'!#REF!="Menor"),CONCATENATE("R5C",'Mapa final'!#REF!),"")</f>
        <v>#REF!</v>
      </c>
      <c r="R40" s="64" t="e">
        <f>IF(AND('Mapa final'!#REF!="Baja",'Mapa final'!#REF!="Menor"),CONCATENATE("R5C",'Mapa final'!#REF!),"")</f>
        <v>#REF!</v>
      </c>
      <c r="S40" s="64" t="e">
        <f>IF(AND('Mapa final'!#REF!="Baja",'Mapa final'!#REF!="Menor"),CONCATENATE("R5C",'Mapa final'!#REF!),"")</f>
        <v>#REF!</v>
      </c>
      <c r="T40" s="64" t="e">
        <f>IF(AND('Mapa final'!#REF!="Baja",'Mapa final'!#REF!="Menor"),CONCATENATE("R5C",'Mapa final'!#REF!),"")</f>
        <v>#REF!</v>
      </c>
      <c r="U40" s="65" t="e">
        <f>IF(AND('Mapa final'!#REF!="Baja",'Mapa final'!#REF!="Menor"),CONCATENATE("R5C",'Mapa final'!#REF!),"")</f>
        <v>#REF!</v>
      </c>
      <c r="V40" s="63" t="e">
        <f>IF(AND('Mapa final'!#REF!="Baja",'Mapa final'!#REF!="Moderado"),CONCATENATE("R5C",'Mapa final'!#REF!),"")</f>
        <v>#REF!</v>
      </c>
      <c r="W40" s="64" t="e">
        <f>IF(AND('Mapa final'!#REF!="Baja",'Mapa final'!#REF!="Moderado"),CONCATENATE("R5C",'Mapa final'!#REF!),"")</f>
        <v>#REF!</v>
      </c>
      <c r="X40" s="64" t="e">
        <f>IF(AND('Mapa final'!#REF!="Baja",'Mapa final'!#REF!="Moderado"),CONCATENATE("R5C",'Mapa final'!#REF!),"")</f>
        <v>#REF!</v>
      </c>
      <c r="Y40" s="64" t="e">
        <f>IF(AND('Mapa final'!#REF!="Baja",'Mapa final'!#REF!="Moderado"),CONCATENATE("R5C",'Mapa final'!#REF!),"")</f>
        <v>#REF!</v>
      </c>
      <c r="Z40" s="64" t="e">
        <f>IF(AND('Mapa final'!#REF!="Baja",'Mapa final'!#REF!="Moderado"),CONCATENATE("R5C",'Mapa final'!#REF!),"")</f>
        <v>#REF!</v>
      </c>
      <c r="AA40" s="65" t="e">
        <f>IF(AND('Mapa final'!#REF!="Baja",'Mapa final'!#REF!="Moderado"),CONCATENATE("R5C",'Mapa final'!#REF!),"")</f>
        <v>#REF!</v>
      </c>
      <c r="AB40" s="48" t="e">
        <f>IF(AND('Mapa final'!#REF!="Baja",'Mapa final'!#REF!="Mayor"),CONCATENATE("R5C",'Mapa final'!#REF!),"")</f>
        <v>#REF!</v>
      </c>
      <c r="AC40" s="49" t="e">
        <f>IF(AND('Mapa final'!#REF!="Baja",'Mapa final'!#REF!="Mayor"),CONCATENATE("R5C",'Mapa final'!#REF!),"")</f>
        <v>#REF!</v>
      </c>
      <c r="AD40" s="49" t="e">
        <f>IF(AND('Mapa final'!#REF!="Baja",'Mapa final'!#REF!="Mayor"),CONCATENATE("R5C",'Mapa final'!#REF!),"")</f>
        <v>#REF!</v>
      </c>
      <c r="AE40" s="49" t="e">
        <f>IF(AND('Mapa final'!#REF!="Baja",'Mapa final'!#REF!="Mayor"),CONCATENATE("R5C",'Mapa final'!#REF!),"")</f>
        <v>#REF!</v>
      </c>
      <c r="AF40" s="49" t="e">
        <f>IF(AND('Mapa final'!#REF!="Baja",'Mapa final'!#REF!="Mayor"),CONCATENATE("R5C",'Mapa final'!#REF!),"")</f>
        <v>#REF!</v>
      </c>
      <c r="AG40" s="50" t="e">
        <f>IF(AND('Mapa final'!#REF!="Baja",'Mapa final'!#REF!="Mayor"),CONCATENATE("R5C",'Mapa final'!#REF!),"")</f>
        <v>#REF!</v>
      </c>
      <c r="AH40" s="51" t="e">
        <f>IF(AND('Mapa final'!#REF!="Baja",'Mapa final'!#REF!="Catastrófico"),CONCATENATE("R5C",'Mapa final'!#REF!),"")</f>
        <v>#REF!</v>
      </c>
      <c r="AI40" s="52" t="e">
        <f>IF(AND('Mapa final'!#REF!="Baja",'Mapa final'!#REF!="Catastrófico"),CONCATENATE("R5C",'Mapa final'!#REF!),"")</f>
        <v>#REF!</v>
      </c>
      <c r="AJ40" s="52" t="e">
        <f>IF(AND('Mapa final'!#REF!="Baja",'Mapa final'!#REF!="Catastrófico"),CONCATENATE("R5C",'Mapa final'!#REF!),"")</f>
        <v>#REF!</v>
      </c>
      <c r="AK40" s="52" t="e">
        <f>IF(AND('Mapa final'!#REF!="Baja",'Mapa final'!#REF!="Catastrófico"),CONCATENATE("R5C",'Mapa final'!#REF!),"")</f>
        <v>#REF!</v>
      </c>
      <c r="AL40" s="52" t="e">
        <f>IF(AND('Mapa final'!#REF!="Baja",'Mapa final'!#REF!="Catastrófico"),CONCATENATE("R5C",'Mapa final'!#REF!),"")</f>
        <v>#REF!</v>
      </c>
      <c r="AM40" s="53" t="e">
        <f>IF(AND('Mapa final'!#REF!="Baja",'Mapa final'!#REF!="Catastrófico"),CONCATENATE("R5C",'Mapa final'!#REF!),"")</f>
        <v>#REF!</v>
      </c>
      <c r="AN40" s="79"/>
      <c r="AO40" s="447"/>
      <c r="AP40" s="448"/>
      <c r="AQ40" s="448"/>
      <c r="AR40" s="448"/>
      <c r="AS40" s="448"/>
      <c r="AT40" s="44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row>
    <row r="41" spans="1:80" ht="15" customHeight="1" x14ac:dyDescent="0.25">
      <c r="A41" s="79"/>
      <c r="B41" s="328"/>
      <c r="C41" s="328"/>
      <c r="D41" s="329"/>
      <c r="E41" s="427"/>
      <c r="F41" s="426"/>
      <c r="G41" s="426"/>
      <c r="H41" s="426"/>
      <c r="I41" s="426"/>
      <c r="J41" s="72" t="e">
        <f>IF(AND('Mapa final'!#REF!="Baja",'Mapa final'!#REF!="Leve"),CONCATENATE("R6C",'Mapa final'!#REF!),"")</f>
        <v>#REF!</v>
      </c>
      <c r="K41" s="73" t="e">
        <f>IF(AND('Mapa final'!#REF!="Baja",'Mapa final'!#REF!="Leve"),CONCATENATE("R6C",'Mapa final'!#REF!),"")</f>
        <v>#REF!</v>
      </c>
      <c r="L41" s="73" t="e">
        <f>IF(AND('Mapa final'!#REF!="Baja",'Mapa final'!#REF!="Leve"),CONCATENATE("R6C",'Mapa final'!#REF!),"")</f>
        <v>#REF!</v>
      </c>
      <c r="M41" s="73" t="e">
        <f>IF(AND('Mapa final'!#REF!="Baja",'Mapa final'!#REF!="Leve"),CONCATENATE("R6C",'Mapa final'!#REF!),"")</f>
        <v>#REF!</v>
      </c>
      <c r="N41" s="73" t="e">
        <f>IF(AND('Mapa final'!#REF!="Baja",'Mapa final'!#REF!="Leve"),CONCATENATE("R6C",'Mapa final'!#REF!),"")</f>
        <v>#REF!</v>
      </c>
      <c r="O41" s="74" t="e">
        <f>IF(AND('Mapa final'!#REF!="Baja",'Mapa final'!#REF!="Leve"),CONCATENATE("R6C",'Mapa final'!#REF!),"")</f>
        <v>#REF!</v>
      </c>
      <c r="P41" s="63" t="e">
        <f>IF(AND('Mapa final'!#REF!="Baja",'Mapa final'!#REF!="Menor"),CONCATENATE("R6C",'Mapa final'!#REF!),"")</f>
        <v>#REF!</v>
      </c>
      <c r="Q41" s="64" t="e">
        <f>IF(AND('Mapa final'!#REF!="Baja",'Mapa final'!#REF!="Menor"),CONCATENATE("R6C",'Mapa final'!#REF!),"")</f>
        <v>#REF!</v>
      </c>
      <c r="R41" s="64" t="e">
        <f>IF(AND('Mapa final'!#REF!="Baja",'Mapa final'!#REF!="Menor"),CONCATENATE("R6C",'Mapa final'!#REF!),"")</f>
        <v>#REF!</v>
      </c>
      <c r="S41" s="64" t="e">
        <f>IF(AND('Mapa final'!#REF!="Baja",'Mapa final'!#REF!="Menor"),CONCATENATE("R6C",'Mapa final'!#REF!),"")</f>
        <v>#REF!</v>
      </c>
      <c r="T41" s="64" t="e">
        <f>IF(AND('Mapa final'!#REF!="Baja",'Mapa final'!#REF!="Menor"),CONCATENATE("R6C",'Mapa final'!#REF!),"")</f>
        <v>#REF!</v>
      </c>
      <c r="U41" s="65" t="e">
        <f>IF(AND('Mapa final'!#REF!="Baja",'Mapa final'!#REF!="Menor"),CONCATENATE("R6C",'Mapa final'!#REF!),"")</f>
        <v>#REF!</v>
      </c>
      <c r="V41" s="63" t="e">
        <f>IF(AND('Mapa final'!#REF!="Baja",'Mapa final'!#REF!="Moderado"),CONCATENATE("R6C",'Mapa final'!#REF!),"")</f>
        <v>#REF!</v>
      </c>
      <c r="W41" s="64" t="e">
        <f>IF(AND('Mapa final'!#REF!="Baja",'Mapa final'!#REF!="Moderado"),CONCATENATE("R6C",'Mapa final'!#REF!),"")</f>
        <v>#REF!</v>
      </c>
      <c r="X41" s="64" t="e">
        <f>IF(AND('Mapa final'!#REF!="Baja",'Mapa final'!#REF!="Moderado"),CONCATENATE("R6C",'Mapa final'!#REF!),"")</f>
        <v>#REF!</v>
      </c>
      <c r="Y41" s="64" t="e">
        <f>IF(AND('Mapa final'!#REF!="Baja",'Mapa final'!#REF!="Moderado"),CONCATENATE("R6C",'Mapa final'!#REF!),"")</f>
        <v>#REF!</v>
      </c>
      <c r="Z41" s="64" t="e">
        <f>IF(AND('Mapa final'!#REF!="Baja",'Mapa final'!#REF!="Moderado"),CONCATENATE("R6C",'Mapa final'!#REF!),"")</f>
        <v>#REF!</v>
      </c>
      <c r="AA41" s="65" t="e">
        <f>IF(AND('Mapa final'!#REF!="Baja",'Mapa final'!#REF!="Moderado"),CONCATENATE("R6C",'Mapa final'!#REF!),"")</f>
        <v>#REF!</v>
      </c>
      <c r="AB41" s="48" t="e">
        <f>IF(AND('Mapa final'!#REF!="Baja",'Mapa final'!#REF!="Mayor"),CONCATENATE("R6C",'Mapa final'!#REF!),"")</f>
        <v>#REF!</v>
      </c>
      <c r="AC41" s="49" t="e">
        <f>IF(AND('Mapa final'!#REF!="Baja",'Mapa final'!#REF!="Mayor"),CONCATENATE("R6C",'Mapa final'!#REF!),"")</f>
        <v>#REF!</v>
      </c>
      <c r="AD41" s="49" t="e">
        <f>IF(AND('Mapa final'!#REF!="Baja",'Mapa final'!#REF!="Mayor"),CONCATENATE("R6C",'Mapa final'!#REF!),"")</f>
        <v>#REF!</v>
      </c>
      <c r="AE41" s="49" t="e">
        <f>IF(AND('Mapa final'!#REF!="Baja",'Mapa final'!#REF!="Mayor"),CONCATENATE("R6C",'Mapa final'!#REF!),"")</f>
        <v>#REF!</v>
      </c>
      <c r="AF41" s="49" t="e">
        <f>IF(AND('Mapa final'!#REF!="Baja",'Mapa final'!#REF!="Mayor"),CONCATENATE("R6C",'Mapa final'!#REF!),"")</f>
        <v>#REF!</v>
      </c>
      <c r="AG41" s="50" t="e">
        <f>IF(AND('Mapa final'!#REF!="Baja",'Mapa final'!#REF!="Mayor"),CONCATENATE("R6C",'Mapa final'!#REF!),"")</f>
        <v>#REF!</v>
      </c>
      <c r="AH41" s="51" t="e">
        <f>IF(AND('Mapa final'!#REF!="Baja",'Mapa final'!#REF!="Catastrófico"),CONCATENATE("R6C",'Mapa final'!#REF!),"")</f>
        <v>#REF!</v>
      </c>
      <c r="AI41" s="52" t="e">
        <f>IF(AND('Mapa final'!#REF!="Baja",'Mapa final'!#REF!="Catastrófico"),CONCATENATE("R6C",'Mapa final'!#REF!),"")</f>
        <v>#REF!</v>
      </c>
      <c r="AJ41" s="52" t="e">
        <f>IF(AND('Mapa final'!#REF!="Baja",'Mapa final'!#REF!="Catastrófico"),CONCATENATE("R6C",'Mapa final'!#REF!),"")</f>
        <v>#REF!</v>
      </c>
      <c r="AK41" s="52" t="e">
        <f>IF(AND('Mapa final'!#REF!="Baja",'Mapa final'!#REF!="Catastrófico"),CONCATENATE("R6C",'Mapa final'!#REF!),"")</f>
        <v>#REF!</v>
      </c>
      <c r="AL41" s="52" t="e">
        <f>IF(AND('Mapa final'!#REF!="Baja",'Mapa final'!#REF!="Catastrófico"),CONCATENATE("R6C",'Mapa final'!#REF!),"")</f>
        <v>#REF!</v>
      </c>
      <c r="AM41" s="53" t="e">
        <f>IF(AND('Mapa final'!#REF!="Baja",'Mapa final'!#REF!="Catastrófico"),CONCATENATE("R6C",'Mapa final'!#REF!),"")</f>
        <v>#REF!</v>
      </c>
      <c r="AN41" s="79"/>
      <c r="AO41" s="447"/>
      <c r="AP41" s="448"/>
      <c r="AQ41" s="448"/>
      <c r="AR41" s="448"/>
      <c r="AS41" s="448"/>
      <c r="AT41" s="44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row>
    <row r="42" spans="1:80" ht="15" customHeight="1" x14ac:dyDescent="0.25">
      <c r="A42" s="79"/>
      <c r="B42" s="328"/>
      <c r="C42" s="328"/>
      <c r="D42" s="329"/>
      <c r="E42" s="427"/>
      <c r="F42" s="426"/>
      <c r="G42" s="426"/>
      <c r="H42" s="426"/>
      <c r="I42" s="426"/>
      <c r="J42" s="72" t="e">
        <f>IF(AND('Mapa final'!#REF!="Baja",'Mapa final'!#REF!="Leve"),CONCATENATE("R7C",'Mapa final'!#REF!),"")</f>
        <v>#REF!</v>
      </c>
      <c r="K42" s="73" t="e">
        <f>IF(AND('Mapa final'!#REF!="Baja",'Mapa final'!#REF!="Leve"),CONCATENATE("R7C",'Mapa final'!#REF!),"")</f>
        <v>#REF!</v>
      </c>
      <c r="L42" s="73" t="e">
        <f>IF(AND('Mapa final'!#REF!="Baja",'Mapa final'!#REF!="Leve"),CONCATENATE("R7C",'Mapa final'!#REF!),"")</f>
        <v>#REF!</v>
      </c>
      <c r="M42" s="73" t="e">
        <f>IF(AND('Mapa final'!#REF!="Baja",'Mapa final'!#REF!="Leve"),CONCATENATE("R7C",'Mapa final'!#REF!),"")</f>
        <v>#REF!</v>
      </c>
      <c r="N42" s="73" t="e">
        <f>IF(AND('Mapa final'!#REF!="Baja",'Mapa final'!#REF!="Leve"),CONCATENATE("R7C",'Mapa final'!#REF!),"")</f>
        <v>#REF!</v>
      </c>
      <c r="O42" s="74" t="e">
        <f>IF(AND('Mapa final'!#REF!="Baja",'Mapa final'!#REF!="Leve"),CONCATENATE("R7C",'Mapa final'!#REF!),"")</f>
        <v>#REF!</v>
      </c>
      <c r="P42" s="63" t="e">
        <f>IF(AND('Mapa final'!#REF!="Baja",'Mapa final'!#REF!="Menor"),CONCATENATE("R7C",'Mapa final'!#REF!),"")</f>
        <v>#REF!</v>
      </c>
      <c r="Q42" s="64" t="e">
        <f>IF(AND('Mapa final'!#REF!="Baja",'Mapa final'!#REF!="Menor"),CONCATENATE("R7C",'Mapa final'!#REF!),"")</f>
        <v>#REF!</v>
      </c>
      <c r="R42" s="64" t="e">
        <f>IF(AND('Mapa final'!#REF!="Baja",'Mapa final'!#REF!="Menor"),CONCATENATE("R7C",'Mapa final'!#REF!),"")</f>
        <v>#REF!</v>
      </c>
      <c r="S42" s="64" t="e">
        <f>IF(AND('Mapa final'!#REF!="Baja",'Mapa final'!#REF!="Menor"),CONCATENATE("R7C",'Mapa final'!#REF!),"")</f>
        <v>#REF!</v>
      </c>
      <c r="T42" s="64" t="e">
        <f>IF(AND('Mapa final'!#REF!="Baja",'Mapa final'!#REF!="Menor"),CONCATENATE("R7C",'Mapa final'!#REF!),"")</f>
        <v>#REF!</v>
      </c>
      <c r="U42" s="65" t="e">
        <f>IF(AND('Mapa final'!#REF!="Baja",'Mapa final'!#REF!="Menor"),CONCATENATE("R7C",'Mapa final'!#REF!),"")</f>
        <v>#REF!</v>
      </c>
      <c r="V42" s="63" t="e">
        <f>IF(AND('Mapa final'!#REF!="Baja",'Mapa final'!#REF!="Moderado"),CONCATENATE("R7C",'Mapa final'!#REF!),"")</f>
        <v>#REF!</v>
      </c>
      <c r="W42" s="64" t="e">
        <f>IF(AND('Mapa final'!#REF!="Baja",'Mapa final'!#REF!="Moderado"),CONCATENATE("R7C",'Mapa final'!#REF!),"")</f>
        <v>#REF!</v>
      </c>
      <c r="X42" s="64" t="e">
        <f>IF(AND('Mapa final'!#REF!="Baja",'Mapa final'!#REF!="Moderado"),CONCATENATE("R7C",'Mapa final'!#REF!),"")</f>
        <v>#REF!</v>
      </c>
      <c r="Y42" s="64" t="e">
        <f>IF(AND('Mapa final'!#REF!="Baja",'Mapa final'!#REF!="Moderado"),CONCATENATE("R7C",'Mapa final'!#REF!),"")</f>
        <v>#REF!</v>
      </c>
      <c r="Z42" s="64" t="e">
        <f>IF(AND('Mapa final'!#REF!="Baja",'Mapa final'!#REF!="Moderado"),CONCATENATE("R7C",'Mapa final'!#REF!),"")</f>
        <v>#REF!</v>
      </c>
      <c r="AA42" s="65" t="e">
        <f>IF(AND('Mapa final'!#REF!="Baja",'Mapa final'!#REF!="Moderado"),CONCATENATE("R7C",'Mapa final'!#REF!),"")</f>
        <v>#REF!</v>
      </c>
      <c r="AB42" s="48" t="e">
        <f>IF(AND('Mapa final'!#REF!="Baja",'Mapa final'!#REF!="Mayor"),CONCATENATE("R7C",'Mapa final'!#REF!),"")</f>
        <v>#REF!</v>
      </c>
      <c r="AC42" s="49" t="e">
        <f>IF(AND('Mapa final'!#REF!="Baja",'Mapa final'!#REF!="Mayor"),CONCATENATE("R7C",'Mapa final'!#REF!),"")</f>
        <v>#REF!</v>
      </c>
      <c r="AD42" s="49" t="e">
        <f>IF(AND('Mapa final'!#REF!="Baja",'Mapa final'!#REF!="Mayor"),CONCATENATE("R7C",'Mapa final'!#REF!),"")</f>
        <v>#REF!</v>
      </c>
      <c r="AE42" s="49" t="e">
        <f>IF(AND('Mapa final'!#REF!="Baja",'Mapa final'!#REF!="Mayor"),CONCATENATE("R7C",'Mapa final'!#REF!),"")</f>
        <v>#REF!</v>
      </c>
      <c r="AF42" s="49" t="e">
        <f>IF(AND('Mapa final'!#REF!="Baja",'Mapa final'!#REF!="Mayor"),CONCATENATE("R7C",'Mapa final'!#REF!),"")</f>
        <v>#REF!</v>
      </c>
      <c r="AG42" s="50" t="e">
        <f>IF(AND('Mapa final'!#REF!="Baja",'Mapa final'!#REF!="Mayor"),CONCATENATE("R7C",'Mapa final'!#REF!),"")</f>
        <v>#REF!</v>
      </c>
      <c r="AH42" s="51" t="e">
        <f>IF(AND('Mapa final'!#REF!="Baja",'Mapa final'!#REF!="Catastrófico"),CONCATENATE("R7C",'Mapa final'!#REF!),"")</f>
        <v>#REF!</v>
      </c>
      <c r="AI42" s="52" t="e">
        <f>IF(AND('Mapa final'!#REF!="Baja",'Mapa final'!#REF!="Catastrófico"),CONCATENATE("R7C",'Mapa final'!#REF!),"")</f>
        <v>#REF!</v>
      </c>
      <c r="AJ42" s="52" t="e">
        <f>IF(AND('Mapa final'!#REF!="Baja",'Mapa final'!#REF!="Catastrófico"),CONCATENATE("R7C",'Mapa final'!#REF!),"")</f>
        <v>#REF!</v>
      </c>
      <c r="AK42" s="52" t="e">
        <f>IF(AND('Mapa final'!#REF!="Baja",'Mapa final'!#REF!="Catastrófico"),CONCATENATE("R7C",'Mapa final'!#REF!),"")</f>
        <v>#REF!</v>
      </c>
      <c r="AL42" s="52" t="e">
        <f>IF(AND('Mapa final'!#REF!="Baja",'Mapa final'!#REF!="Catastrófico"),CONCATENATE("R7C",'Mapa final'!#REF!),"")</f>
        <v>#REF!</v>
      </c>
      <c r="AM42" s="53" t="e">
        <f>IF(AND('Mapa final'!#REF!="Baja",'Mapa final'!#REF!="Catastrófico"),CONCATENATE("R7C",'Mapa final'!#REF!),"")</f>
        <v>#REF!</v>
      </c>
      <c r="AN42" s="79"/>
      <c r="AO42" s="447"/>
      <c r="AP42" s="448"/>
      <c r="AQ42" s="448"/>
      <c r="AR42" s="448"/>
      <c r="AS42" s="448"/>
      <c r="AT42" s="44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row>
    <row r="43" spans="1:80" ht="15" customHeight="1" x14ac:dyDescent="0.25">
      <c r="A43" s="79"/>
      <c r="B43" s="328"/>
      <c r="C43" s="328"/>
      <c r="D43" s="329"/>
      <c r="E43" s="427"/>
      <c r="F43" s="426"/>
      <c r="G43" s="426"/>
      <c r="H43" s="426"/>
      <c r="I43" s="426"/>
      <c r="J43" s="72" t="str">
        <f>IF(AND('Mapa final'!$Y$41="Baja",'Mapa final'!$AA$41="Leve"),CONCATENATE("R8C",'Mapa final'!$O$41),"")</f>
        <v/>
      </c>
      <c r="K43" s="73" t="str">
        <f>IF(AND('Mapa final'!$Y$42="Baja",'Mapa final'!$AA$42="Leve"),CONCATENATE("R8C",'Mapa final'!$O$42),"")</f>
        <v/>
      </c>
      <c r="L43" s="73" t="str">
        <f>IF(AND('Mapa final'!$Y$43="Baja",'Mapa final'!$AA$43="Leve"),CONCATENATE("R8C",'Mapa final'!$O$43),"")</f>
        <v/>
      </c>
      <c r="M43" s="73" t="str">
        <f>IF(AND('Mapa final'!$Y$44="Baja",'Mapa final'!$AA$44="Leve"),CONCATENATE("R8C",'Mapa final'!$O$44),"")</f>
        <v/>
      </c>
      <c r="N43" s="73" t="str">
        <f>IF(AND('Mapa final'!$Y$45="Baja",'Mapa final'!$AA$45="Leve"),CONCATENATE("R8C",'Mapa final'!$O$45),"")</f>
        <v/>
      </c>
      <c r="O43" s="74" t="str">
        <f>IF(AND('Mapa final'!$Y$46="Baja",'Mapa final'!$AA$46="Leve"),CONCATENATE("R8C",'Mapa final'!$O$46),"")</f>
        <v/>
      </c>
      <c r="P43" s="63" t="str">
        <f>IF(AND('Mapa final'!$Y$41="Baja",'Mapa final'!$AA$41="Menor"),CONCATENATE("R8C",'Mapa final'!$O$41),"")</f>
        <v/>
      </c>
      <c r="Q43" s="64" t="str">
        <f>IF(AND('Mapa final'!$Y$42="Baja",'Mapa final'!$AA$42="Menor"),CONCATENATE("R8C",'Mapa final'!$O$42),"")</f>
        <v/>
      </c>
      <c r="R43" s="64" t="str">
        <f>IF(AND('Mapa final'!$Y$43="Baja",'Mapa final'!$AA$43="Menor"),CONCATENATE("R8C",'Mapa final'!$O$43),"")</f>
        <v/>
      </c>
      <c r="S43" s="64" t="str">
        <f>IF(AND('Mapa final'!$Y$44="Baja",'Mapa final'!$AA$44="Menor"),CONCATENATE("R8C",'Mapa final'!$O$44),"")</f>
        <v/>
      </c>
      <c r="T43" s="64" t="str">
        <f>IF(AND('Mapa final'!$Y$45="Baja",'Mapa final'!$AA$45="Menor"),CONCATENATE("R8C",'Mapa final'!$O$45),"")</f>
        <v/>
      </c>
      <c r="U43" s="65" t="str">
        <f>IF(AND('Mapa final'!$Y$46="Baja",'Mapa final'!$AA$46="Menor"),CONCATENATE("R8C",'Mapa final'!$O$46),"")</f>
        <v/>
      </c>
      <c r="V43" s="63" t="str">
        <f>IF(AND('Mapa final'!$Y$41="Baja",'Mapa final'!$AA$41="Moderado"),CONCATENATE("R8C",'Mapa final'!$O$41),"")</f>
        <v/>
      </c>
      <c r="W43" s="64" t="str">
        <f>IF(AND('Mapa final'!$Y$42="Baja",'Mapa final'!$AA$42="Moderado"),CONCATENATE("R8C",'Mapa final'!$O$42),"")</f>
        <v/>
      </c>
      <c r="X43" s="64" t="str">
        <f>IF(AND('Mapa final'!$Y$43="Baja",'Mapa final'!$AA$43="Moderado"),CONCATENATE("R8C",'Mapa final'!$O$43),"")</f>
        <v/>
      </c>
      <c r="Y43" s="64" t="str">
        <f>IF(AND('Mapa final'!$Y$44="Baja",'Mapa final'!$AA$44="Moderado"),CONCATENATE("R8C",'Mapa final'!$O$44),"")</f>
        <v/>
      </c>
      <c r="Z43" s="64" t="str">
        <f>IF(AND('Mapa final'!$Y$45="Baja",'Mapa final'!$AA$45="Moderado"),CONCATENATE("R8C",'Mapa final'!$O$45),"")</f>
        <v/>
      </c>
      <c r="AA43" s="65" t="str">
        <f>IF(AND('Mapa final'!$Y$46="Baja",'Mapa final'!$AA$46="Moderado"),CONCATENATE("R8C",'Mapa final'!$O$46),"")</f>
        <v/>
      </c>
      <c r="AB43" s="48" t="str">
        <f>IF(AND('Mapa final'!$Y$41="Baja",'Mapa final'!$AA$41="Mayor"),CONCATENATE("R8C",'Mapa final'!$O$41),"")</f>
        <v/>
      </c>
      <c r="AC43" s="49" t="str">
        <f>IF(AND('Mapa final'!$Y$42="Baja",'Mapa final'!$AA$42="Mayor"),CONCATENATE("R8C",'Mapa final'!$O$42),"")</f>
        <v/>
      </c>
      <c r="AD43" s="49" t="str">
        <f>IF(AND('Mapa final'!$Y$43="Baja",'Mapa final'!$AA$43="Mayor"),CONCATENATE("R8C",'Mapa final'!$O$43),"")</f>
        <v/>
      </c>
      <c r="AE43" s="49" t="str">
        <f>IF(AND('Mapa final'!$Y$44="Baja",'Mapa final'!$AA$44="Mayor"),CONCATENATE("R8C",'Mapa final'!$O$44),"")</f>
        <v/>
      </c>
      <c r="AF43" s="49" t="str">
        <f>IF(AND('Mapa final'!$Y$45="Baja",'Mapa final'!$AA$45="Mayor"),CONCATENATE("R8C",'Mapa final'!$O$45),"")</f>
        <v/>
      </c>
      <c r="AG43" s="50" t="str">
        <f>IF(AND('Mapa final'!$Y$46="Baja",'Mapa final'!$AA$46="Mayor"),CONCATENATE("R8C",'Mapa final'!$O$46),"")</f>
        <v/>
      </c>
      <c r="AH43" s="51" t="str">
        <f>IF(AND('Mapa final'!$Y$41="Baja",'Mapa final'!$AA$41="Catastrófico"),CONCATENATE("R8C",'Mapa final'!$O$41),"")</f>
        <v/>
      </c>
      <c r="AI43" s="52" t="str">
        <f>IF(AND('Mapa final'!$Y$42="Baja",'Mapa final'!$AA$42="Catastrófico"),CONCATENATE("R8C",'Mapa final'!$O$42),"")</f>
        <v/>
      </c>
      <c r="AJ43" s="52" t="str">
        <f>IF(AND('Mapa final'!$Y$43="Baja",'Mapa final'!$AA$43="Catastrófico"),CONCATENATE("R8C",'Mapa final'!$O$43),"")</f>
        <v/>
      </c>
      <c r="AK43" s="52" t="str">
        <f>IF(AND('Mapa final'!$Y$44="Baja",'Mapa final'!$AA$44="Catastrófico"),CONCATENATE("R8C",'Mapa final'!$O$44),"")</f>
        <v/>
      </c>
      <c r="AL43" s="52" t="str">
        <f>IF(AND('Mapa final'!$Y$45="Baja",'Mapa final'!$AA$45="Catastrófico"),CONCATENATE("R8C",'Mapa final'!$O$45),"")</f>
        <v/>
      </c>
      <c r="AM43" s="53" t="str">
        <f>IF(AND('Mapa final'!$Y$46="Baja",'Mapa final'!$AA$46="Catastrófico"),CONCATENATE("R8C",'Mapa final'!$O$46),"")</f>
        <v/>
      </c>
      <c r="AN43" s="79"/>
      <c r="AO43" s="447"/>
      <c r="AP43" s="448"/>
      <c r="AQ43" s="448"/>
      <c r="AR43" s="448"/>
      <c r="AS43" s="448"/>
      <c r="AT43" s="44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row>
    <row r="44" spans="1:80" ht="15" customHeight="1" x14ac:dyDescent="0.25">
      <c r="A44" s="79"/>
      <c r="B44" s="328"/>
      <c r="C44" s="328"/>
      <c r="D44" s="329"/>
      <c r="E44" s="427"/>
      <c r="F44" s="426"/>
      <c r="G44" s="426"/>
      <c r="H44" s="426"/>
      <c r="I44" s="426"/>
      <c r="J44" s="72" t="str">
        <f>IF(AND('Mapa final'!$Y$47="Baja",'Mapa final'!$AA$47="Leve"),CONCATENATE("R9C",'Mapa final'!$O$47),"")</f>
        <v/>
      </c>
      <c r="K44" s="73" t="str">
        <f>IF(AND('Mapa final'!$Y$48="Baja",'Mapa final'!$AA$48="Leve"),CONCATENATE("R9C",'Mapa final'!$O$48),"")</f>
        <v/>
      </c>
      <c r="L44" s="73" t="str">
        <f>IF(AND('Mapa final'!$Y$49="Baja",'Mapa final'!$AA$49="Leve"),CONCATENATE("R9C",'Mapa final'!$O$49),"")</f>
        <v/>
      </c>
      <c r="M44" s="73" t="str">
        <f>IF(AND('Mapa final'!$Y$50="Baja",'Mapa final'!$AA$50="Leve"),CONCATENATE("R9C",'Mapa final'!$O$50),"")</f>
        <v/>
      </c>
      <c r="N44" s="73" t="str">
        <f>IF(AND('Mapa final'!$Y$51="Baja",'Mapa final'!$AA$51="Leve"),CONCATENATE("R9C",'Mapa final'!$O$51),"")</f>
        <v/>
      </c>
      <c r="O44" s="74" t="str">
        <f>IF(AND('Mapa final'!$Y$52="Baja",'Mapa final'!$AA$52="Leve"),CONCATENATE("R9C",'Mapa final'!$O$52),"")</f>
        <v/>
      </c>
      <c r="P44" s="63" t="str">
        <f>IF(AND('Mapa final'!$Y$47="Baja",'Mapa final'!$AA$47="Menor"),CONCATENATE("R9C",'Mapa final'!$O$47),"")</f>
        <v/>
      </c>
      <c r="Q44" s="64" t="str">
        <f>IF(AND('Mapa final'!$Y$48="Baja",'Mapa final'!$AA$48="Menor"),CONCATENATE("R9C",'Mapa final'!$O$48),"")</f>
        <v/>
      </c>
      <c r="R44" s="64" t="str">
        <f>IF(AND('Mapa final'!$Y$49="Baja",'Mapa final'!$AA$49="Menor"),CONCATENATE("R9C",'Mapa final'!$O$49),"")</f>
        <v/>
      </c>
      <c r="S44" s="64" t="str">
        <f>IF(AND('Mapa final'!$Y$50="Baja",'Mapa final'!$AA$50="Menor"),CONCATENATE("R9C",'Mapa final'!$O$50),"")</f>
        <v/>
      </c>
      <c r="T44" s="64" t="str">
        <f>IF(AND('Mapa final'!$Y$51="Baja",'Mapa final'!$AA$51="Menor"),CONCATENATE("R9C",'Mapa final'!$O$51),"")</f>
        <v/>
      </c>
      <c r="U44" s="65" t="str">
        <f>IF(AND('Mapa final'!$Y$52="Baja",'Mapa final'!$AA$52="Menor"),CONCATENATE("R9C",'Mapa final'!$O$52),"")</f>
        <v/>
      </c>
      <c r="V44" s="63" t="str">
        <f>IF(AND('Mapa final'!$Y$47="Baja",'Mapa final'!$AA$47="Moderado"),CONCATENATE("R9C",'Mapa final'!$O$47),"")</f>
        <v/>
      </c>
      <c r="W44" s="64" t="str">
        <f>IF(AND('Mapa final'!$Y$48="Baja",'Mapa final'!$AA$48="Moderado"),CONCATENATE("R9C",'Mapa final'!$O$48),"")</f>
        <v/>
      </c>
      <c r="X44" s="64" t="str">
        <f>IF(AND('Mapa final'!$Y$49="Baja",'Mapa final'!$AA$49="Moderado"),CONCATENATE("R9C",'Mapa final'!$O$49),"")</f>
        <v/>
      </c>
      <c r="Y44" s="64" t="str">
        <f>IF(AND('Mapa final'!$Y$50="Baja",'Mapa final'!$AA$50="Moderado"),CONCATENATE("R9C",'Mapa final'!$O$50),"")</f>
        <v/>
      </c>
      <c r="Z44" s="64" t="str">
        <f>IF(AND('Mapa final'!$Y$51="Baja",'Mapa final'!$AA$51="Moderado"),CONCATENATE("R9C",'Mapa final'!$O$51),"")</f>
        <v/>
      </c>
      <c r="AA44" s="65" t="str">
        <f>IF(AND('Mapa final'!$Y$52="Baja",'Mapa final'!$AA$52="Moderado"),CONCATENATE("R9C",'Mapa final'!$O$52),"")</f>
        <v/>
      </c>
      <c r="AB44" s="48" t="str">
        <f>IF(AND('Mapa final'!$Y$47="Baja",'Mapa final'!$AA$47="Mayor"),CONCATENATE("R9C",'Mapa final'!$O$47),"")</f>
        <v/>
      </c>
      <c r="AC44" s="49" t="str">
        <f>IF(AND('Mapa final'!$Y$48="Baja",'Mapa final'!$AA$48="Mayor"),CONCATENATE("R9C",'Mapa final'!$O$48),"")</f>
        <v/>
      </c>
      <c r="AD44" s="49" t="str">
        <f>IF(AND('Mapa final'!$Y$49="Baja",'Mapa final'!$AA$49="Mayor"),CONCATENATE("R9C",'Mapa final'!$O$49),"")</f>
        <v/>
      </c>
      <c r="AE44" s="49" t="str">
        <f>IF(AND('Mapa final'!$Y$50="Baja",'Mapa final'!$AA$50="Mayor"),CONCATENATE("R9C",'Mapa final'!$O$50),"")</f>
        <v/>
      </c>
      <c r="AF44" s="49" t="str">
        <f>IF(AND('Mapa final'!$Y$51="Baja",'Mapa final'!$AA$51="Mayor"),CONCATENATE("R9C",'Mapa final'!$O$51),"")</f>
        <v/>
      </c>
      <c r="AG44" s="50" t="str">
        <f>IF(AND('Mapa final'!$Y$52="Baja",'Mapa final'!$AA$52="Mayor"),CONCATENATE("R9C",'Mapa final'!$O$52),"")</f>
        <v/>
      </c>
      <c r="AH44" s="51" t="str">
        <f>IF(AND('Mapa final'!$Y$47="Baja",'Mapa final'!$AA$47="Catastrófico"),CONCATENATE("R9C",'Mapa final'!$O$47),"")</f>
        <v/>
      </c>
      <c r="AI44" s="52" t="str">
        <f>IF(AND('Mapa final'!$Y$48="Baja",'Mapa final'!$AA$48="Catastrófico"),CONCATENATE("R9C",'Mapa final'!$O$48),"")</f>
        <v/>
      </c>
      <c r="AJ44" s="52" t="str">
        <f>IF(AND('Mapa final'!$Y$49="Baja",'Mapa final'!$AA$49="Catastrófico"),CONCATENATE("R9C",'Mapa final'!$O$49),"")</f>
        <v/>
      </c>
      <c r="AK44" s="52" t="str">
        <f>IF(AND('Mapa final'!$Y$50="Baja",'Mapa final'!$AA$50="Catastrófico"),CONCATENATE("R9C",'Mapa final'!$O$50),"")</f>
        <v/>
      </c>
      <c r="AL44" s="52" t="str">
        <f>IF(AND('Mapa final'!$Y$51="Baja",'Mapa final'!$AA$51="Catastrófico"),CONCATENATE("R9C",'Mapa final'!$O$51),"")</f>
        <v/>
      </c>
      <c r="AM44" s="53" t="str">
        <f>IF(AND('Mapa final'!$Y$52="Baja",'Mapa final'!$AA$52="Catastrófico"),CONCATENATE("R9C",'Mapa final'!$O$52),"")</f>
        <v/>
      </c>
      <c r="AN44" s="79"/>
      <c r="AO44" s="447"/>
      <c r="AP44" s="448"/>
      <c r="AQ44" s="448"/>
      <c r="AR44" s="448"/>
      <c r="AS44" s="448"/>
      <c r="AT44" s="44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row>
    <row r="45" spans="1:80" ht="15.75" customHeight="1" thickBot="1" x14ac:dyDescent="0.3">
      <c r="A45" s="79"/>
      <c r="B45" s="328"/>
      <c r="C45" s="328"/>
      <c r="D45" s="329"/>
      <c r="E45" s="428"/>
      <c r="F45" s="429"/>
      <c r="G45" s="429"/>
      <c r="H45" s="429"/>
      <c r="I45" s="429"/>
      <c r="J45" s="75" t="str">
        <f>IF(AND('Mapa final'!$Y$53="Baja",'Mapa final'!$AA$53="Leve"),CONCATENATE("R10C",'Mapa final'!$O$53),"")</f>
        <v/>
      </c>
      <c r="K45" s="76" t="str">
        <f>IF(AND('Mapa final'!$Y$54="Baja",'Mapa final'!$AA$54="Leve"),CONCATENATE("R10C",'Mapa final'!$O$54),"")</f>
        <v/>
      </c>
      <c r="L45" s="76" t="str">
        <f>IF(AND('Mapa final'!$Y$55="Baja",'Mapa final'!$AA$55="Leve"),CONCATENATE("R10C",'Mapa final'!$O$55),"")</f>
        <v/>
      </c>
      <c r="M45" s="76" t="str">
        <f>IF(AND('Mapa final'!$Y$56="Baja",'Mapa final'!$AA$56="Leve"),CONCATENATE("R10C",'Mapa final'!$O$56),"")</f>
        <v/>
      </c>
      <c r="N45" s="76" t="str">
        <f>IF(AND('Mapa final'!$Y$57="Baja",'Mapa final'!$AA$57="Leve"),CONCATENATE("R10C",'Mapa final'!$O$57),"")</f>
        <v/>
      </c>
      <c r="O45" s="77" t="str">
        <f>IF(AND('Mapa final'!$Y$58="Baja",'Mapa final'!$AA$58="Leve"),CONCATENATE("R10C",'Mapa final'!$O$58),"")</f>
        <v/>
      </c>
      <c r="P45" s="63" t="str">
        <f>IF(AND('Mapa final'!$Y$53="Baja",'Mapa final'!$AA$53="Menor"),CONCATENATE("R10C",'Mapa final'!$O$53),"")</f>
        <v/>
      </c>
      <c r="Q45" s="64" t="str">
        <f>IF(AND('Mapa final'!$Y$54="Baja",'Mapa final'!$AA$54="Menor"),CONCATENATE("R10C",'Mapa final'!$O$54),"")</f>
        <v/>
      </c>
      <c r="R45" s="64" t="str">
        <f>IF(AND('Mapa final'!$Y$55="Baja",'Mapa final'!$AA$55="Menor"),CONCATENATE("R10C",'Mapa final'!$O$55),"")</f>
        <v/>
      </c>
      <c r="S45" s="64" t="str">
        <f>IF(AND('Mapa final'!$Y$56="Baja",'Mapa final'!$AA$56="Menor"),CONCATENATE("R10C",'Mapa final'!$O$56),"")</f>
        <v/>
      </c>
      <c r="T45" s="64" t="str">
        <f>IF(AND('Mapa final'!$Y$57="Baja",'Mapa final'!$AA$57="Menor"),CONCATENATE("R10C",'Mapa final'!$O$57),"")</f>
        <v/>
      </c>
      <c r="U45" s="65" t="str">
        <f>IF(AND('Mapa final'!$Y$58="Baja",'Mapa final'!$AA$58="Menor"),CONCATENATE("R10C",'Mapa final'!$O$58),"")</f>
        <v/>
      </c>
      <c r="V45" s="66" t="str">
        <f>IF(AND('Mapa final'!$Y$53="Baja",'Mapa final'!$AA$53="Moderado"),CONCATENATE("R10C",'Mapa final'!$O$53),"")</f>
        <v/>
      </c>
      <c r="W45" s="67" t="str">
        <f>IF(AND('Mapa final'!$Y$54="Baja",'Mapa final'!$AA$54="Moderado"),CONCATENATE("R10C",'Mapa final'!$O$54),"")</f>
        <v/>
      </c>
      <c r="X45" s="67" t="str">
        <f>IF(AND('Mapa final'!$Y$55="Baja",'Mapa final'!$AA$55="Moderado"),CONCATENATE("R10C",'Mapa final'!$O$55),"")</f>
        <v/>
      </c>
      <c r="Y45" s="67" t="str">
        <f>IF(AND('Mapa final'!$Y$56="Baja",'Mapa final'!$AA$56="Moderado"),CONCATENATE("R10C",'Mapa final'!$O$56),"")</f>
        <v/>
      </c>
      <c r="Z45" s="67" t="str">
        <f>IF(AND('Mapa final'!$Y$57="Baja",'Mapa final'!$AA$57="Moderado"),CONCATENATE("R10C",'Mapa final'!$O$57),"")</f>
        <v/>
      </c>
      <c r="AA45" s="68" t="str">
        <f>IF(AND('Mapa final'!$Y$58="Baja",'Mapa final'!$AA$58="Moderado"),CONCATENATE("R10C",'Mapa final'!$O$58),"")</f>
        <v/>
      </c>
      <c r="AB45" s="54" t="str">
        <f>IF(AND('Mapa final'!$Y$53="Baja",'Mapa final'!$AA$53="Mayor"),CONCATENATE("R10C",'Mapa final'!$O$53),"")</f>
        <v/>
      </c>
      <c r="AC45" s="55" t="str">
        <f>IF(AND('Mapa final'!$Y$54="Baja",'Mapa final'!$AA$54="Mayor"),CONCATENATE("R10C",'Mapa final'!$O$54),"")</f>
        <v/>
      </c>
      <c r="AD45" s="55" t="str">
        <f>IF(AND('Mapa final'!$Y$55="Baja",'Mapa final'!$AA$55="Mayor"),CONCATENATE("R10C",'Mapa final'!$O$55),"")</f>
        <v/>
      </c>
      <c r="AE45" s="55" t="str">
        <f>IF(AND('Mapa final'!$Y$56="Baja",'Mapa final'!$AA$56="Mayor"),CONCATENATE("R10C",'Mapa final'!$O$56),"")</f>
        <v/>
      </c>
      <c r="AF45" s="55" t="str">
        <f>IF(AND('Mapa final'!$Y$57="Baja",'Mapa final'!$AA$57="Mayor"),CONCATENATE("R10C",'Mapa final'!$O$57),"")</f>
        <v/>
      </c>
      <c r="AG45" s="56" t="str">
        <f>IF(AND('Mapa final'!$Y$58="Baja",'Mapa final'!$AA$58="Mayor"),CONCATENATE("R10C",'Mapa final'!$O$58),"")</f>
        <v/>
      </c>
      <c r="AH45" s="57" t="str">
        <f>IF(AND('Mapa final'!$Y$53="Baja",'Mapa final'!$AA$53="Catastrófico"),CONCATENATE("R10C",'Mapa final'!$O$53),"")</f>
        <v/>
      </c>
      <c r="AI45" s="58" t="str">
        <f>IF(AND('Mapa final'!$Y$54="Baja",'Mapa final'!$AA$54="Catastrófico"),CONCATENATE("R10C",'Mapa final'!$O$54),"")</f>
        <v/>
      </c>
      <c r="AJ45" s="58" t="str">
        <f>IF(AND('Mapa final'!$Y$55="Baja",'Mapa final'!$AA$55="Catastrófico"),CONCATENATE("R10C",'Mapa final'!$O$55),"")</f>
        <v/>
      </c>
      <c r="AK45" s="58" t="str">
        <f>IF(AND('Mapa final'!$Y$56="Baja",'Mapa final'!$AA$56="Catastrófico"),CONCATENATE("R10C",'Mapa final'!$O$56),"")</f>
        <v/>
      </c>
      <c r="AL45" s="58" t="str">
        <f>IF(AND('Mapa final'!$Y$57="Baja",'Mapa final'!$AA$57="Catastrófico"),CONCATENATE("R10C",'Mapa final'!$O$57),"")</f>
        <v/>
      </c>
      <c r="AM45" s="59" t="str">
        <f>IF(AND('Mapa final'!$Y$58="Baja",'Mapa final'!$AA$58="Catastrófico"),CONCATENATE("R10C",'Mapa final'!$O$58),"")</f>
        <v/>
      </c>
      <c r="AN45" s="79"/>
      <c r="AO45" s="450"/>
      <c r="AP45" s="451"/>
      <c r="AQ45" s="451"/>
      <c r="AR45" s="451"/>
      <c r="AS45" s="451"/>
      <c r="AT45" s="452"/>
    </row>
    <row r="46" spans="1:80" ht="46.5" customHeight="1" x14ac:dyDescent="0.35">
      <c r="A46" s="79"/>
      <c r="B46" s="328"/>
      <c r="C46" s="328"/>
      <c r="D46" s="329"/>
      <c r="E46" s="423" t="s">
        <v>100</v>
      </c>
      <c r="F46" s="424"/>
      <c r="G46" s="424"/>
      <c r="H46" s="424"/>
      <c r="I46" s="441"/>
      <c r="J46" s="69" t="str">
        <f>IF(AND('Mapa final'!$Y$26="Muy Baja",'Mapa final'!$AA$26="Leve"),CONCATENATE("R1C",'Mapa final'!$O$26),"")</f>
        <v/>
      </c>
      <c r="K46" s="70" t="str">
        <f>IF(AND('Mapa final'!$Y$27="Muy Baja",'Mapa final'!$AA$27="Leve"),CONCATENATE("R1C",'Mapa final'!$O$27),"")</f>
        <v/>
      </c>
      <c r="L46" s="70" t="str">
        <f>IF(AND('Mapa final'!$Y$29="Muy Baja",'Mapa final'!$AA$29="Leve"),CONCATENATE("R1C",'Mapa final'!$O$29),"")</f>
        <v/>
      </c>
      <c r="M46" s="70" t="e">
        <f>IF(AND('Mapa final'!#REF!="Muy Baja",'Mapa final'!#REF!="Leve"),CONCATENATE("R1C",'Mapa final'!#REF!),"")</f>
        <v>#REF!</v>
      </c>
      <c r="N46" s="70" t="e">
        <f>IF(AND('Mapa final'!#REF!="Muy Baja",'Mapa final'!#REF!="Leve"),CONCATENATE("R1C",'Mapa final'!#REF!),"")</f>
        <v>#REF!</v>
      </c>
      <c r="O46" s="71" t="e">
        <f>IF(AND('Mapa final'!#REF!="Muy Baja",'Mapa final'!#REF!="Leve"),CONCATENATE("R1C",'Mapa final'!#REF!),"")</f>
        <v>#REF!</v>
      </c>
      <c r="P46" s="69" t="str">
        <f>IF(AND('Mapa final'!$Y$26="Muy Baja",'Mapa final'!$AA$26="Menor"),CONCATENATE("R1C",'Mapa final'!$O$26),"")</f>
        <v/>
      </c>
      <c r="Q46" s="70" t="str">
        <f>IF(AND('Mapa final'!$Y$27="Muy Baja",'Mapa final'!$AA$27="Menor"),CONCATENATE("R1C",'Mapa final'!$O$27),"")</f>
        <v/>
      </c>
      <c r="R46" s="70" t="str">
        <f>IF(AND('Mapa final'!$Y$29="Muy Baja",'Mapa final'!$AA$29="Menor"),CONCATENATE("R1C",'Mapa final'!$O$29),"")</f>
        <v/>
      </c>
      <c r="S46" s="70" t="e">
        <f>IF(AND('Mapa final'!#REF!="Muy Baja",'Mapa final'!#REF!="Menor"),CONCATENATE("R1C",'Mapa final'!#REF!),"")</f>
        <v>#REF!</v>
      </c>
      <c r="T46" s="70" t="e">
        <f>IF(AND('Mapa final'!#REF!="Muy Baja",'Mapa final'!#REF!="Menor"),CONCATENATE("R1C",'Mapa final'!#REF!),"")</f>
        <v>#REF!</v>
      </c>
      <c r="U46" s="71" t="e">
        <f>IF(AND('Mapa final'!#REF!="Muy Baja",'Mapa final'!#REF!="Menor"),CONCATENATE("R1C",'Mapa final'!#REF!),"")</f>
        <v>#REF!</v>
      </c>
      <c r="V46" s="60" t="str">
        <f>IF(AND('Mapa final'!$Y$26="Muy Baja",'Mapa final'!$AA$26="Moderado"),CONCATENATE("R1C",'Mapa final'!$O$26),"")</f>
        <v/>
      </c>
      <c r="W46" s="78" t="str">
        <f>IF(AND('Mapa final'!$Y$27="Muy Baja",'Mapa final'!$AA$27="Moderado"),CONCATENATE("R1C",'Mapa final'!$O$27),"")</f>
        <v/>
      </c>
      <c r="X46" s="61" t="str">
        <f>IF(AND('Mapa final'!$Y$29="Muy Baja",'Mapa final'!$AA$29="Moderado"),CONCATENATE("R1C",'Mapa final'!$O$29),"")</f>
        <v/>
      </c>
      <c r="Y46" s="61" t="e">
        <f>IF(AND('Mapa final'!#REF!="Muy Baja",'Mapa final'!#REF!="Moderado"),CONCATENATE("R1C",'Mapa final'!#REF!),"")</f>
        <v>#REF!</v>
      </c>
      <c r="Z46" s="61" t="e">
        <f>IF(AND('Mapa final'!#REF!="Muy Baja",'Mapa final'!#REF!="Moderado"),CONCATENATE("R1C",'Mapa final'!#REF!),"")</f>
        <v>#REF!</v>
      </c>
      <c r="AA46" s="62" t="e">
        <f>IF(AND('Mapa final'!#REF!="Muy Baja",'Mapa final'!#REF!="Moderado"),CONCATENATE("R1C",'Mapa final'!#REF!),"")</f>
        <v>#REF!</v>
      </c>
      <c r="AB46" s="42" t="str">
        <f>IF(AND('Mapa final'!$Y$26="Muy Baja",'Mapa final'!$AA$26="Mayor"),CONCATENATE("R1C",'Mapa final'!$O$26),"")</f>
        <v/>
      </c>
      <c r="AC46" s="43" t="str">
        <f>IF(AND('Mapa final'!$Y$27="Muy Baja",'Mapa final'!$AA$27="Mayor"),CONCATENATE("R1C",'Mapa final'!$O$27),"")</f>
        <v/>
      </c>
      <c r="AD46" s="43" t="str">
        <f>IF(AND('Mapa final'!$Y$29="Muy Baja",'Mapa final'!$AA$29="Mayor"),CONCATENATE("R1C",'Mapa final'!$O$29),"")</f>
        <v/>
      </c>
      <c r="AE46" s="43" t="e">
        <f>IF(AND('Mapa final'!#REF!="Muy Baja",'Mapa final'!#REF!="Mayor"),CONCATENATE("R1C",'Mapa final'!#REF!),"")</f>
        <v>#REF!</v>
      </c>
      <c r="AF46" s="43" t="e">
        <f>IF(AND('Mapa final'!#REF!="Muy Baja",'Mapa final'!#REF!="Mayor"),CONCATENATE("R1C",'Mapa final'!#REF!),"")</f>
        <v>#REF!</v>
      </c>
      <c r="AG46" s="44" t="e">
        <f>IF(AND('Mapa final'!#REF!="Muy Baja",'Mapa final'!#REF!="Mayor"),CONCATENATE("R1C",'Mapa final'!#REF!),"")</f>
        <v>#REF!</v>
      </c>
      <c r="AH46" s="45" t="str">
        <f>IF(AND('Mapa final'!$Y$26="Muy Baja",'Mapa final'!$AA$26="Catastrófico"),CONCATENATE("R1C",'Mapa final'!$O$26),"")</f>
        <v/>
      </c>
      <c r="AI46" s="46" t="str">
        <f>IF(AND('Mapa final'!$Y$27="Muy Baja",'Mapa final'!$AA$27="Catastrófico"),CONCATENATE("R1C",'Mapa final'!$O$27),"")</f>
        <v/>
      </c>
      <c r="AJ46" s="46" t="str">
        <f>IF(AND('Mapa final'!$Y$29="Muy Baja",'Mapa final'!$AA$29="Catastrófico"),CONCATENATE("R1C",'Mapa final'!$O$29),"")</f>
        <v/>
      </c>
      <c r="AK46" s="46" t="e">
        <f>IF(AND('Mapa final'!#REF!="Muy Baja",'Mapa final'!#REF!="Catastrófico"),CONCATENATE("R1C",'Mapa final'!#REF!),"")</f>
        <v>#REF!</v>
      </c>
      <c r="AL46" s="46" t="e">
        <f>IF(AND('Mapa final'!#REF!="Muy Baja",'Mapa final'!#REF!="Catastrófico"),CONCATENATE("R1C",'Mapa final'!#REF!),"")</f>
        <v>#REF!</v>
      </c>
      <c r="AM46" s="47" t="e">
        <f>IF(AND('Mapa final'!#REF!="Muy Baja",'Mapa final'!#REF!="Catastrófico"),CONCATENATE("R1C",'Mapa final'!#REF!),"")</f>
        <v>#REF!</v>
      </c>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row>
    <row r="47" spans="1:80" ht="46.5" customHeight="1" x14ac:dyDescent="0.25">
      <c r="A47" s="79"/>
      <c r="B47" s="328"/>
      <c r="C47" s="328"/>
      <c r="D47" s="329"/>
      <c r="E47" s="425"/>
      <c r="F47" s="426"/>
      <c r="G47" s="426"/>
      <c r="H47" s="426"/>
      <c r="I47" s="442"/>
      <c r="J47" s="72" t="str">
        <f>IF(AND('Mapa final'!$Y$30="Muy Baja",'Mapa final'!$AA$30="Leve"),CONCATENATE("R2C",'Mapa final'!$O$30),"")</f>
        <v/>
      </c>
      <c r="K47" s="73" t="str">
        <f>IF(AND('Mapa final'!$Y$31="Muy Baja",'Mapa final'!$AA$31="Leve"),CONCATENATE("R2C",'Mapa final'!$O$31),"")</f>
        <v/>
      </c>
      <c r="L47" s="73" t="str">
        <f>IF(AND('Mapa final'!$Y$32="Muy Baja",'Mapa final'!$AA$32="Leve"),CONCATENATE("R2C",'Mapa final'!$O$32),"")</f>
        <v/>
      </c>
      <c r="M47" s="73" t="e">
        <f>IF(AND('Mapa final'!#REF!="Muy Baja",'Mapa final'!#REF!="Leve"),CONCATENATE("R2C",'Mapa final'!#REF!),"")</f>
        <v>#REF!</v>
      </c>
      <c r="N47" s="73" t="e">
        <f>IF(AND('Mapa final'!#REF!="Muy Baja",'Mapa final'!#REF!="Leve"),CONCATENATE("R2C",'Mapa final'!#REF!),"")</f>
        <v>#REF!</v>
      </c>
      <c r="O47" s="74" t="e">
        <f>IF(AND('Mapa final'!#REF!="Muy Baja",'Mapa final'!#REF!="Leve"),CONCATENATE("R2C",'Mapa final'!#REF!),"")</f>
        <v>#REF!</v>
      </c>
      <c r="P47" s="72" t="str">
        <f>IF(AND('Mapa final'!$Y$30="Muy Baja",'Mapa final'!$AA$30="Menor"),CONCATENATE("R2C",'Mapa final'!$O$30),"")</f>
        <v/>
      </c>
      <c r="Q47" s="73" t="str">
        <f>IF(AND('Mapa final'!$Y$31="Muy Baja",'Mapa final'!$AA$31="Menor"),CONCATENATE("R2C",'Mapa final'!$O$31),"")</f>
        <v/>
      </c>
      <c r="R47" s="73" t="str">
        <f>IF(AND('Mapa final'!$Y$32="Muy Baja",'Mapa final'!$AA$32="Menor"),CONCATENATE("R2C",'Mapa final'!$O$32),"")</f>
        <v/>
      </c>
      <c r="S47" s="73" t="e">
        <f>IF(AND('Mapa final'!#REF!="Muy Baja",'Mapa final'!#REF!="Menor"),CONCATENATE("R2C",'Mapa final'!#REF!),"")</f>
        <v>#REF!</v>
      </c>
      <c r="T47" s="73" t="e">
        <f>IF(AND('Mapa final'!#REF!="Muy Baja",'Mapa final'!#REF!="Menor"),CONCATENATE("R2C",'Mapa final'!#REF!),"")</f>
        <v>#REF!</v>
      </c>
      <c r="U47" s="74" t="e">
        <f>IF(AND('Mapa final'!#REF!="Muy Baja",'Mapa final'!#REF!="Menor"),CONCATENATE("R2C",'Mapa final'!#REF!),"")</f>
        <v>#REF!</v>
      </c>
      <c r="V47" s="63" t="str">
        <f>IF(AND('Mapa final'!$Y$30="Muy Baja",'Mapa final'!$AA$30="Moderado"),CONCATENATE("R2C",'Mapa final'!$O$30),"")</f>
        <v>R2C1</v>
      </c>
      <c r="W47" s="64" t="str">
        <f>IF(AND('Mapa final'!$Y$31="Muy Baja",'Mapa final'!$AA$31="Moderado"),CONCATENATE("R2C",'Mapa final'!$O$31),"")</f>
        <v>R2C2</v>
      </c>
      <c r="X47" s="64" t="str">
        <f>IF(AND('Mapa final'!$Y$32="Muy Baja",'Mapa final'!$AA$32="Moderado"),CONCATENATE("R2C",'Mapa final'!$O$32),"")</f>
        <v>R2C3</v>
      </c>
      <c r="Y47" s="64" t="e">
        <f>IF(AND('Mapa final'!#REF!="Muy Baja",'Mapa final'!#REF!="Moderado"),CONCATENATE("R2C",'Mapa final'!#REF!),"")</f>
        <v>#REF!</v>
      </c>
      <c r="Z47" s="64" t="e">
        <f>IF(AND('Mapa final'!#REF!="Muy Baja",'Mapa final'!#REF!="Moderado"),CONCATENATE("R2C",'Mapa final'!#REF!),"")</f>
        <v>#REF!</v>
      </c>
      <c r="AA47" s="65" t="e">
        <f>IF(AND('Mapa final'!#REF!="Muy Baja",'Mapa final'!#REF!="Moderado"),CONCATENATE("R2C",'Mapa final'!#REF!),"")</f>
        <v>#REF!</v>
      </c>
      <c r="AB47" s="48" t="str">
        <f>IF(AND('Mapa final'!$Y$30="Muy Baja",'Mapa final'!$AA$30="Mayor"),CONCATENATE("R2C",'Mapa final'!$O$30),"")</f>
        <v/>
      </c>
      <c r="AC47" s="49" t="str">
        <f>IF(AND('Mapa final'!$Y$31="Muy Baja",'Mapa final'!$AA$31="Mayor"),CONCATENATE("R2C",'Mapa final'!$O$31),"")</f>
        <v/>
      </c>
      <c r="AD47" s="49" t="str">
        <f>IF(AND('Mapa final'!$Y$32="Muy Baja",'Mapa final'!$AA$32="Mayor"),CONCATENATE("R2C",'Mapa final'!$O$32),"")</f>
        <v/>
      </c>
      <c r="AE47" s="49" t="e">
        <f>IF(AND('Mapa final'!#REF!="Muy Baja",'Mapa final'!#REF!="Mayor"),CONCATENATE("R2C",'Mapa final'!#REF!),"")</f>
        <v>#REF!</v>
      </c>
      <c r="AF47" s="49" t="e">
        <f>IF(AND('Mapa final'!#REF!="Muy Baja",'Mapa final'!#REF!="Mayor"),CONCATENATE("R2C",'Mapa final'!#REF!),"")</f>
        <v>#REF!</v>
      </c>
      <c r="AG47" s="50" t="e">
        <f>IF(AND('Mapa final'!#REF!="Muy Baja",'Mapa final'!#REF!="Mayor"),CONCATENATE("R2C",'Mapa final'!#REF!),"")</f>
        <v>#REF!</v>
      </c>
      <c r="AH47" s="51" t="str">
        <f>IF(AND('Mapa final'!$Y$30="Muy Baja",'Mapa final'!$AA$30="Catastrófico"),CONCATENATE("R2C",'Mapa final'!$O$30),"")</f>
        <v/>
      </c>
      <c r="AI47" s="52" t="str">
        <f>IF(AND('Mapa final'!$Y$31="Muy Baja",'Mapa final'!$AA$31="Catastrófico"),CONCATENATE("R2C",'Mapa final'!$O$31),"")</f>
        <v/>
      </c>
      <c r="AJ47" s="52" t="str">
        <f>IF(AND('Mapa final'!$Y$32="Muy Baja",'Mapa final'!$AA$32="Catastrófico"),CONCATENATE("R2C",'Mapa final'!$O$32),"")</f>
        <v/>
      </c>
      <c r="AK47" s="52" t="e">
        <f>IF(AND('Mapa final'!#REF!="Muy Baja",'Mapa final'!#REF!="Catastrófico"),CONCATENATE("R2C",'Mapa final'!#REF!),"")</f>
        <v>#REF!</v>
      </c>
      <c r="AL47" s="52" t="e">
        <f>IF(AND('Mapa final'!#REF!="Muy Baja",'Mapa final'!#REF!="Catastrófico"),CONCATENATE("R2C",'Mapa final'!#REF!),"")</f>
        <v>#REF!</v>
      </c>
      <c r="AM47" s="53" t="e">
        <f>IF(AND('Mapa final'!#REF!="Muy Baja",'Mapa final'!#REF!="Catastrófico"),CONCATENATE("R2C",'Mapa final'!#REF!),"")</f>
        <v>#REF!</v>
      </c>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row>
    <row r="48" spans="1:80" ht="15" customHeight="1" x14ac:dyDescent="0.25">
      <c r="A48" s="79"/>
      <c r="B48" s="328"/>
      <c r="C48" s="328"/>
      <c r="D48" s="329"/>
      <c r="E48" s="425"/>
      <c r="F48" s="426"/>
      <c r="G48" s="426"/>
      <c r="H48" s="426"/>
      <c r="I48" s="442"/>
      <c r="J48" s="72" t="str">
        <f>IF(AND('Mapa final'!$Y$33="Muy Baja",'Mapa final'!$AA$33="Leve"),CONCATENATE("R3C",'Mapa final'!$O$33),"")</f>
        <v/>
      </c>
      <c r="K48" s="73" t="str">
        <f>IF(AND('Mapa final'!$Y$34="Muy Baja",'Mapa final'!$AA$34="Leve"),CONCATENATE("R3C",'Mapa final'!$O$34),"")</f>
        <v/>
      </c>
      <c r="L48" s="73" t="str">
        <f>IF(AND('Mapa final'!$Y$35="Muy Baja",'Mapa final'!$AA$35="Leve"),CONCATENATE("R3C",'Mapa final'!$O$35),"")</f>
        <v/>
      </c>
      <c r="M48" s="73" t="str">
        <f>IF(AND('Mapa final'!$Y$36="Muy Baja",'Mapa final'!$AA$36="Leve"),CONCATENATE("R3C",'Mapa final'!$O$36),"")</f>
        <v/>
      </c>
      <c r="N48" s="73" t="e">
        <f>IF(AND('Mapa final'!#REF!="Muy Baja",'Mapa final'!#REF!="Leve"),CONCATENATE("R3C",'Mapa final'!#REF!),"")</f>
        <v>#REF!</v>
      </c>
      <c r="O48" s="74" t="e">
        <f>IF(AND('Mapa final'!#REF!="Muy Baja",'Mapa final'!#REF!="Leve"),CONCATENATE("R3C",'Mapa final'!#REF!),"")</f>
        <v>#REF!</v>
      </c>
      <c r="P48" s="72" t="str">
        <f>IF(AND('Mapa final'!$Y$33="Muy Baja",'Mapa final'!$AA$33="Menor"),CONCATENATE("R3C",'Mapa final'!$O$33),"")</f>
        <v/>
      </c>
      <c r="Q48" s="73" t="str">
        <f>IF(AND('Mapa final'!$Y$34="Muy Baja",'Mapa final'!$AA$34="Menor"),CONCATENATE("R3C",'Mapa final'!$O$34),"")</f>
        <v/>
      </c>
      <c r="R48" s="73" t="str">
        <f>IF(AND('Mapa final'!$Y$35="Muy Baja",'Mapa final'!$AA$35="Menor"),CONCATENATE("R3C",'Mapa final'!$O$35),"")</f>
        <v/>
      </c>
      <c r="S48" s="73" t="str">
        <f>IF(AND('Mapa final'!$Y$36="Muy Baja",'Mapa final'!$AA$36="Menor"),CONCATENATE("R3C",'Mapa final'!$O$36),"")</f>
        <v/>
      </c>
      <c r="T48" s="73" t="e">
        <f>IF(AND('Mapa final'!#REF!="Muy Baja",'Mapa final'!#REF!="Menor"),CONCATENATE("R3C",'Mapa final'!#REF!),"")</f>
        <v>#REF!</v>
      </c>
      <c r="U48" s="74" t="e">
        <f>IF(AND('Mapa final'!#REF!="Muy Baja",'Mapa final'!#REF!="Menor"),CONCATENATE("R3C",'Mapa final'!#REF!),"")</f>
        <v>#REF!</v>
      </c>
      <c r="V48" s="63" t="str">
        <f>IF(AND('Mapa final'!$Y$33="Muy Baja",'Mapa final'!$AA$33="Moderado"),CONCATENATE("R3C",'Mapa final'!$O$33),"")</f>
        <v/>
      </c>
      <c r="W48" s="64" t="str">
        <f>IF(AND('Mapa final'!$Y$34="Muy Baja",'Mapa final'!$AA$34="Moderado"),CONCATENATE("R3C",'Mapa final'!$O$34),"")</f>
        <v/>
      </c>
      <c r="X48" s="64" t="str">
        <f>IF(AND('Mapa final'!$Y$35="Muy Baja",'Mapa final'!$AA$35="Moderado"),CONCATENATE("R3C",'Mapa final'!$O$35),"")</f>
        <v>R3C3</v>
      </c>
      <c r="Y48" s="64" t="str">
        <f>IF(AND('Mapa final'!$Y$36="Muy Baja",'Mapa final'!$AA$36="Moderado"),CONCATENATE("R3C",'Mapa final'!$O$36),"")</f>
        <v>R3C4</v>
      </c>
      <c r="Z48" s="64" t="e">
        <f>IF(AND('Mapa final'!#REF!="Muy Baja",'Mapa final'!#REF!="Moderado"),CONCATENATE("R3C",'Mapa final'!#REF!),"")</f>
        <v>#REF!</v>
      </c>
      <c r="AA48" s="65" t="e">
        <f>IF(AND('Mapa final'!#REF!="Muy Baja",'Mapa final'!#REF!="Moderado"),CONCATENATE("R3C",'Mapa final'!#REF!),"")</f>
        <v>#REF!</v>
      </c>
      <c r="AB48" s="48" t="str">
        <f>IF(AND('Mapa final'!$Y$33="Muy Baja",'Mapa final'!$AA$33="Mayor"),CONCATENATE("R3C",'Mapa final'!$O$33),"")</f>
        <v/>
      </c>
      <c r="AC48" s="49" t="str">
        <f>IF(AND('Mapa final'!$Y$34="Muy Baja",'Mapa final'!$AA$34="Mayor"),CONCATENATE("R3C",'Mapa final'!$O$34),"")</f>
        <v/>
      </c>
      <c r="AD48" s="49" t="str">
        <f>IF(AND('Mapa final'!$Y$35="Muy Baja",'Mapa final'!$AA$35="Mayor"),CONCATENATE("R3C",'Mapa final'!$O$35),"")</f>
        <v/>
      </c>
      <c r="AE48" s="49" t="str">
        <f>IF(AND('Mapa final'!$Y$36="Muy Baja",'Mapa final'!$AA$36="Mayor"),CONCATENATE("R3C",'Mapa final'!$O$36),"")</f>
        <v/>
      </c>
      <c r="AF48" s="49" t="e">
        <f>IF(AND('Mapa final'!#REF!="Muy Baja",'Mapa final'!#REF!="Mayor"),CONCATENATE("R3C",'Mapa final'!#REF!),"")</f>
        <v>#REF!</v>
      </c>
      <c r="AG48" s="50" t="e">
        <f>IF(AND('Mapa final'!#REF!="Muy Baja",'Mapa final'!#REF!="Mayor"),CONCATENATE("R3C",'Mapa final'!#REF!),"")</f>
        <v>#REF!</v>
      </c>
      <c r="AH48" s="51" t="str">
        <f>IF(AND('Mapa final'!$Y$33="Muy Baja",'Mapa final'!$AA$33="Catastrófico"),CONCATENATE("R3C",'Mapa final'!$O$33),"")</f>
        <v/>
      </c>
      <c r="AI48" s="52" t="str">
        <f>IF(AND('Mapa final'!$Y$34="Muy Baja",'Mapa final'!$AA$34="Catastrófico"),CONCATENATE("R3C",'Mapa final'!$O$34),"")</f>
        <v/>
      </c>
      <c r="AJ48" s="52" t="str">
        <f>IF(AND('Mapa final'!$Y$35="Muy Baja",'Mapa final'!$AA$35="Catastrófico"),CONCATENATE("R3C",'Mapa final'!$O$35),"")</f>
        <v/>
      </c>
      <c r="AK48" s="52" t="str">
        <f>IF(AND('Mapa final'!$Y$36="Muy Baja",'Mapa final'!$AA$36="Catastrófico"),CONCATENATE("R3C",'Mapa final'!$O$36),"")</f>
        <v/>
      </c>
      <c r="AL48" s="52" t="e">
        <f>IF(AND('Mapa final'!#REF!="Muy Baja",'Mapa final'!#REF!="Catastrófico"),CONCATENATE("R3C",'Mapa final'!#REF!),"")</f>
        <v>#REF!</v>
      </c>
      <c r="AM48" s="53" t="e">
        <f>IF(AND('Mapa final'!#REF!="Muy Baja",'Mapa final'!#REF!="Catastrófico"),CONCATENATE("R3C",'Mapa final'!#REF!),"")</f>
        <v>#REF!</v>
      </c>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row>
    <row r="49" spans="1:80" ht="15" customHeight="1" x14ac:dyDescent="0.25">
      <c r="A49" s="79"/>
      <c r="B49" s="328"/>
      <c r="C49" s="328"/>
      <c r="D49" s="329"/>
      <c r="E49" s="427"/>
      <c r="F49" s="426"/>
      <c r="G49" s="426"/>
      <c r="H49" s="426"/>
      <c r="I49" s="442"/>
      <c r="J49" s="72" t="str">
        <f>IF(AND('Mapa final'!$Y$37="Muy Baja",'Mapa final'!$AA$37="Leve"),CONCATENATE("R4C",'Mapa final'!$O$37),"")</f>
        <v/>
      </c>
      <c r="K49" s="73" t="str">
        <f>IF(AND('Mapa final'!$Y$38="Muy Baja",'Mapa final'!$AA$38="Leve"),CONCATENATE("R4C",'Mapa final'!$O$38),"")</f>
        <v/>
      </c>
      <c r="L49" s="73" t="str">
        <f>IF(AND('Mapa final'!$Y$39="Muy Baja",'Mapa final'!$AA$39="Leve"),CONCATENATE("R4C",'Mapa final'!$O$39),"")</f>
        <v/>
      </c>
      <c r="M49" s="73" t="str">
        <f>IF(AND('Mapa final'!$Y$40="Muy Baja",'Mapa final'!$AA$40="Leve"),CONCATENATE("R4C",'Mapa final'!$O$40),"")</f>
        <v/>
      </c>
      <c r="N49" s="73" t="e">
        <f>IF(AND('Mapa final'!#REF!="Muy Baja",'Mapa final'!#REF!="Leve"),CONCATENATE("R4C",'Mapa final'!#REF!),"")</f>
        <v>#REF!</v>
      </c>
      <c r="O49" s="74" t="e">
        <f>IF(AND('Mapa final'!#REF!="Muy Baja",'Mapa final'!#REF!="Leve"),CONCATENATE("R4C",'Mapa final'!#REF!),"")</f>
        <v>#REF!</v>
      </c>
      <c r="P49" s="72" t="str">
        <f>IF(AND('Mapa final'!$Y$37="Muy Baja",'Mapa final'!$AA$37="Menor"),CONCATENATE("R4C",'Mapa final'!$O$37),"")</f>
        <v/>
      </c>
      <c r="Q49" s="73" t="str">
        <f>IF(AND('Mapa final'!$Y$38="Muy Baja",'Mapa final'!$AA$38="Menor"),CONCATENATE("R4C",'Mapa final'!$O$38),"")</f>
        <v/>
      </c>
      <c r="R49" s="73" t="str">
        <f>IF(AND('Mapa final'!$Y$39="Muy Baja",'Mapa final'!$AA$39="Menor"),CONCATENATE("R4C",'Mapa final'!$O$39),"")</f>
        <v/>
      </c>
      <c r="S49" s="73" t="str">
        <f>IF(AND('Mapa final'!$Y$40="Muy Baja",'Mapa final'!$AA$40="Menor"),CONCATENATE("R4C",'Mapa final'!$O$40),"")</f>
        <v/>
      </c>
      <c r="T49" s="73" t="e">
        <f>IF(AND('Mapa final'!#REF!="Muy Baja",'Mapa final'!#REF!="Menor"),CONCATENATE("R4C",'Mapa final'!#REF!),"")</f>
        <v>#REF!</v>
      </c>
      <c r="U49" s="74" t="e">
        <f>IF(AND('Mapa final'!#REF!="Muy Baja",'Mapa final'!#REF!="Menor"),CONCATENATE("R4C",'Mapa final'!#REF!),"")</f>
        <v>#REF!</v>
      </c>
      <c r="V49" s="63" t="str">
        <f>IF(AND('Mapa final'!$Y$37="Muy Baja",'Mapa final'!$AA$37="Moderado"),CONCATENATE("R4C",'Mapa final'!$O$37),"")</f>
        <v>R4C1</v>
      </c>
      <c r="W49" s="64" t="str">
        <f>IF(AND('Mapa final'!$Y$38="Muy Baja",'Mapa final'!$AA$38="Moderado"),CONCATENATE("R4C",'Mapa final'!$O$38),"")</f>
        <v>R4C2</v>
      </c>
      <c r="X49" s="64" t="str">
        <f>IF(AND('Mapa final'!$Y$39="Muy Baja",'Mapa final'!$AA$39="Moderado"),CONCATENATE("R4C",'Mapa final'!$O$39),"")</f>
        <v>R4C3</v>
      </c>
      <c r="Y49" s="64" t="str">
        <f>IF(AND('Mapa final'!$Y$40="Muy Baja",'Mapa final'!$AA$40="Moderado"),CONCATENATE("R4C",'Mapa final'!$O$40),"")</f>
        <v>R4C4</v>
      </c>
      <c r="Z49" s="64" t="e">
        <f>IF(AND('Mapa final'!#REF!="Muy Baja",'Mapa final'!#REF!="Moderado"),CONCATENATE("R4C",'Mapa final'!#REF!),"")</f>
        <v>#REF!</v>
      </c>
      <c r="AA49" s="65" t="e">
        <f>IF(AND('Mapa final'!#REF!="Muy Baja",'Mapa final'!#REF!="Moderado"),CONCATENATE("R4C",'Mapa final'!#REF!),"")</f>
        <v>#REF!</v>
      </c>
      <c r="AB49" s="48" t="str">
        <f>IF(AND('Mapa final'!$Y$37="Muy Baja",'Mapa final'!$AA$37="Mayor"),CONCATENATE("R4C",'Mapa final'!$O$37),"")</f>
        <v/>
      </c>
      <c r="AC49" s="49" t="str">
        <f>IF(AND('Mapa final'!$Y$38="Muy Baja",'Mapa final'!$AA$38="Mayor"),CONCATENATE("R4C",'Mapa final'!$O$38),"")</f>
        <v/>
      </c>
      <c r="AD49" s="49" t="str">
        <f>IF(AND('Mapa final'!$Y$39="Muy Baja",'Mapa final'!$AA$39="Mayor"),CONCATENATE("R4C",'Mapa final'!$O$39),"")</f>
        <v/>
      </c>
      <c r="AE49" s="49" t="str">
        <f>IF(AND('Mapa final'!$Y$40="Muy Baja",'Mapa final'!$AA$40="Mayor"),CONCATENATE("R4C",'Mapa final'!$O$40),"")</f>
        <v/>
      </c>
      <c r="AF49" s="49" t="e">
        <f>IF(AND('Mapa final'!#REF!="Muy Baja",'Mapa final'!#REF!="Mayor"),CONCATENATE("R4C",'Mapa final'!#REF!),"")</f>
        <v>#REF!</v>
      </c>
      <c r="AG49" s="50" t="e">
        <f>IF(AND('Mapa final'!#REF!="Muy Baja",'Mapa final'!#REF!="Mayor"),CONCATENATE("R4C",'Mapa final'!#REF!),"")</f>
        <v>#REF!</v>
      </c>
      <c r="AH49" s="51" t="str">
        <f>IF(AND('Mapa final'!$Y$37="Muy Baja",'Mapa final'!$AA$37="Catastrófico"),CONCATENATE("R4C",'Mapa final'!$O$37),"")</f>
        <v/>
      </c>
      <c r="AI49" s="52" t="str">
        <f>IF(AND('Mapa final'!$Y$38="Muy Baja",'Mapa final'!$AA$38="Catastrófico"),CONCATENATE("R4C",'Mapa final'!$O$38),"")</f>
        <v/>
      </c>
      <c r="AJ49" s="52" t="str">
        <f>IF(AND('Mapa final'!$Y$39="Muy Baja",'Mapa final'!$AA$39="Catastrófico"),CONCATENATE("R4C",'Mapa final'!$O$39),"")</f>
        <v/>
      </c>
      <c r="AK49" s="52" t="str">
        <f>IF(AND('Mapa final'!$Y$40="Muy Baja",'Mapa final'!$AA$40="Catastrófico"),CONCATENATE("R4C",'Mapa final'!$O$40),"")</f>
        <v/>
      </c>
      <c r="AL49" s="52" t="e">
        <f>IF(AND('Mapa final'!#REF!="Muy Baja",'Mapa final'!#REF!="Catastrófico"),CONCATENATE("R4C",'Mapa final'!#REF!),"")</f>
        <v>#REF!</v>
      </c>
      <c r="AM49" s="53" t="e">
        <f>IF(AND('Mapa final'!#REF!="Muy Baja",'Mapa final'!#REF!="Catastrófico"),CONCATENATE("R4C",'Mapa final'!#REF!),"")</f>
        <v>#REF!</v>
      </c>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row>
    <row r="50" spans="1:80" ht="15" customHeight="1" x14ac:dyDescent="0.25">
      <c r="A50" s="79"/>
      <c r="B50" s="328"/>
      <c r="C50" s="328"/>
      <c r="D50" s="329"/>
      <c r="E50" s="427"/>
      <c r="F50" s="426"/>
      <c r="G50" s="426"/>
      <c r="H50" s="426"/>
      <c r="I50" s="442"/>
      <c r="J50" s="72" t="e">
        <f>IF(AND('Mapa final'!#REF!="Muy Baja",'Mapa final'!#REF!="Leve"),CONCATENATE("R5C",'Mapa final'!#REF!),"")</f>
        <v>#REF!</v>
      </c>
      <c r="K50" s="73" t="e">
        <f>IF(AND('Mapa final'!#REF!="Muy Baja",'Mapa final'!#REF!="Leve"),CONCATENATE("R5C",'Mapa final'!#REF!),"")</f>
        <v>#REF!</v>
      </c>
      <c r="L50" s="73" t="e">
        <f>IF(AND('Mapa final'!#REF!="Muy Baja",'Mapa final'!#REF!="Leve"),CONCATENATE("R5C",'Mapa final'!#REF!),"")</f>
        <v>#REF!</v>
      </c>
      <c r="M50" s="73" t="e">
        <f>IF(AND('Mapa final'!#REF!="Muy Baja",'Mapa final'!#REF!="Leve"),CONCATENATE("R5C",'Mapa final'!#REF!),"")</f>
        <v>#REF!</v>
      </c>
      <c r="N50" s="73" t="e">
        <f>IF(AND('Mapa final'!#REF!="Muy Baja",'Mapa final'!#REF!="Leve"),CONCATENATE("R5C",'Mapa final'!#REF!),"")</f>
        <v>#REF!</v>
      </c>
      <c r="O50" s="74" t="e">
        <f>IF(AND('Mapa final'!#REF!="Muy Baja",'Mapa final'!#REF!="Leve"),CONCATENATE("R5C",'Mapa final'!#REF!),"")</f>
        <v>#REF!</v>
      </c>
      <c r="P50" s="72" t="e">
        <f>IF(AND('Mapa final'!#REF!="Muy Baja",'Mapa final'!#REF!="Menor"),CONCATENATE("R5C",'Mapa final'!#REF!),"")</f>
        <v>#REF!</v>
      </c>
      <c r="Q50" s="73" t="e">
        <f>IF(AND('Mapa final'!#REF!="Muy Baja",'Mapa final'!#REF!="Menor"),CONCATENATE("R5C",'Mapa final'!#REF!),"")</f>
        <v>#REF!</v>
      </c>
      <c r="R50" s="73" t="e">
        <f>IF(AND('Mapa final'!#REF!="Muy Baja",'Mapa final'!#REF!="Menor"),CONCATENATE("R5C",'Mapa final'!#REF!),"")</f>
        <v>#REF!</v>
      </c>
      <c r="S50" s="73" t="e">
        <f>IF(AND('Mapa final'!#REF!="Muy Baja",'Mapa final'!#REF!="Menor"),CONCATENATE("R5C",'Mapa final'!#REF!),"")</f>
        <v>#REF!</v>
      </c>
      <c r="T50" s="73" t="e">
        <f>IF(AND('Mapa final'!#REF!="Muy Baja",'Mapa final'!#REF!="Menor"),CONCATENATE("R5C",'Mapa final'!#REF!),"")</f>
        <v>#REF!</v>
      </c>
      <c r="U50" s="74" t="e">
        <f>IF(AND('Mapa final'!#REF!="Muy Baja",'Mapa final'!#REF!="Menor"),CONCATENATE("R5C",'Mapa final'!#REF!),"")</f>
        <v>#REF!</v>
      </c>
      <c r="V50" s="63" t="e">
        <f>IF(AND('Mapa final'!#REF!="Muy Baja",'Mapa final'!#REF!="Moderado"),CONCATENATE("R5C",'Mapa final'!#REF!),"")</f>
        <v>#REF!</v>
      </c>
      <c r="W50" s="64" t="e">
        <f>IF(AND('Mapa final'!#REF!="Muy Baja",'Mapa final'!#REF!="Moderado"),CONCATENATE("R5C",'Mapa final'!#REF!),"")</f>
        <v>#REF!</v>
      </c>
      <c r="X50" s="64" t="e">
        <f>IF(AND('Mapa final'!#REF!="Muy Baja",'Mapa final'!#REF!="Moderado"),CONCATENATE("R5C",'Mapa final'!#REF!),"")</f>
        <v>#REF!</v>
      </c>
      <c r="Y50" s="64" t="e">
        <f>IF(AND('Mapa final'!#REF!="Muy Baja",'Mapa final'!#REF!="Moderado"),CONCATENATE("R5C",'Mapa final'!#REF!),"")</f>
        <v>#REF!</v>
      </c>
      <c r="Z50" s="64" t="e">
        <f>IF(AND('Mapa final'!#REF!="Muy Baja",'Mapa final'!#REF!="Moderado"),CONCATENATE("R5C",'Mapa final'!#REF!),"")</f>
        <v>#REF!</v>
      </c>
      <c r="AA50" s="65" t="e">
        <f>IF(AND('Mapa final'!#REF!="Muy Baja",'Mapa final'!#REF!="Moderado"),CONCATENATE("R5C",'Mapa final'!#REF!),"")</f>
        <v>#REF!</v>
      </c>
      <c r="AB50" s="48" t="e">
        <f>IF(AND('Mapa final'!#REF!="Muy Baja",'Mapa final'!#REF!="Mayor"),CONCATENATE("R5C",'Mapa final'!#REF!),"")</f>
        <v>#REF!</v>
      </c>
      <c r="AC50" s="49" t="e">
        <f>IF(AND('Mapa final'!#REF!="Muy Baja",'Mapa final'!#REF!="Mayor"),CONCATENATE("R5C",'Mapa final'!#REF!),"")</f>
        <v>#REF!</v>
      </c>
      <c r="AD50" s="49" t="e">
        <f>IF(AND('Mapa final'!#REF!="Muy Baja",'Mapa final'!#REF!="Mayor"),CONCATENATE("R5C",'Mapa final'!#REF!),"")</f>
        <v>#REF!</v>
      </c>
      <c r="AE50" s="49" t="e">
        <f>IF(AND('Mapa final'!#REF!="Muy Baja",'Mapa final'!#REF!="Mayor"),CONCATENATE("R5C",'Mapa final'!#REF!),"")</f>
        <v>#REF!</v>
      </c>
      <c r="AF50" s="49" t="e">
        <f>IF(AND('Mapa final'!#REF!="Muy Baja",'Mapa final'!#REF!="Mayor"),CONCATENATE("R5C",'Mapa final'!#REF!),"")</f>
        <v>#REF!</v>
      </c>
      <c r="AG50" s="50" t="e">
        <f>IF(AND('Mapa final'!#REF!="Muy Baja",'Mapa final'!#REF!="Mayor"),CONCATENATE("R5C",'Mapa final'!#REF!),"")</f>
        <v>#REF!</v>
      </c>
      <c r="AH50" s="51" t="e">
        <f>IF(AND('Mapa final'!#REF!="Muy Baja",'Mapa final'!#REF!="Catastrófico"),CONCATENATE("R5C",'Mapa final'!#REF!),"")</f>
        <v>#REF!</v>
      </c>
      <c r="AI50" s="52" t="e">
        <f>IF(AND('Mapa final'!#REF!="Muy Baja",'Mapa final'!#REF!="Catastrófico"),CONCATENATE("R5C",'Mapa final'!#REF!),"")</f>
        <v>#REF!</v>
      </c>
      <c r="AJ50" s="52" t="e">
        <f>IF(AND('Mapa final'!#REF!="Muy Baja",'Mapa final'!#REF!="Catastrófico"),CONCATENATE("R5C",'Mapa final'!#REF!),"")</f>
        <v>#REF!</v>
      </c>
      <c r="AK50" s="52" t="e">
        <f>IF(AND('Mapa final'!#REF!="Muy Baja",'Mapa final'!#REF!="Catastrófico"),CONCATENATE("R5C",'Mapa final'!#REF!),"")</f>
        <v>#REF!</v>
      </c>
      <c r="AL50" s="52" t="e">
        <f>IF(AND('Mapa final'!#REF!="Muy Baja",'Mapa final'!#REF!="Catastrófico"),CONCATENATE("R5C",'Mapa final'!#REF!),"")</f>
        <v>#REF!</v>
      </c>
      <c r="AM50" s="53" t="e">
        <f>IF(AND('Mapa final'!#REF!="Muy Baja",'Mapa final'!#REF!="Catastrófico"),CONCATENATE("R5C",'Mapa final'!#REF!),"")</f>
        <v>#REF!</v>
      </c>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row>
    <row r="51" spans="1:80" ht="15" customHeight="1" x14ac:dyDescent="0.25">
      <c r="A51" s="79"/>
      <c r="B51" s="328"/>
      <c r="C51" s="328"/>
      <c r="D51" s="329"/>
      <c r="E51" s="427"/>
      <c r="F51" s="426"/>
      <c r="G51" s="426"/>
      <c r="H51" s="426"/>
      <c r="I51" s="442"/>
      <c r="J51" s="72" t="e">
        <f>IF(AND('Mapa final'!#REF!="Muy Baja",'Mapa final'!#REF!="Leve"),CONCATENATE("R6C",'Mapa final'!#REF!),"")</f>
        <v>#REF!</v>
      </c>
      <c r="K51" s="73" t="e">
        <f>IF(AND('Mapa final'!#REF!="Muy Baja",'Mapa final'!#REF!="Leve"),CONCATENATE("R6C",'Mapa final'!#REF!),"")</f>
        <v>#REF!</v>
      </c>
      <c r="L51" s="73" t="e">
        <f>IF(AND('Mapa final'!#REF!="Muy Baja",'Mapa final'!#REF!="Leve"),CONCATENATE("R6C",'Mapa final'!#REF!),"")</f>
        <v>#REF!</v>
      </c>
      <c r="M51" s="73" t="e">
        <f>IF(AND('Mapa final'!#REF!="Muy Baja",'Mapa final'!#REF!="Leve"),CONCATENATE("R6C",'Mapa final'!#REF!),"")</f>
        <v>#REF!</v>
      </c>
      <c r="N51" s="73" t="e">
        <f>IF(AND('Mapa final'!#REF!="Muy Baja",'Mapa final'!#REF!="Leve"),CONCATENATE("R6C",'Mapa final'!#REF!),"")</f>
        <v>#REF!</v>
      </c>
      <c r="O51" s="74" t="e">
        <f>IF(AND('Mapa final'!#REF!="Muy Baja",'Mapa final'!#REF!="Leve"),CONCATENATE("R6C",'Mapa final'!#REF!),"")</f>
        <v>#REF!</v>
      </c>
      <c r="P51" s="72" t="e">
        <f>IF(AND('Mapa final'!#REF!="Muy Baja",'Mapa final'!#REF!="Menor"),CONCATENATE("R6C",'Mapa final'!#REF!),"")</f>
        <v>#REF!</v>
      </c>
      <c r="Q51" s="73" t="e">
        <f>IF(AND('Mapa final'!#REF!="Muy Baja",'Mapa final'!#REF!="Menor"),CONCATENATE("R6C",'Mapa final'!#REF!),"")</f>
        <v>#REF!</v>
      </c>
      <c r="R51" s="73" t="e">
        <f>IF(AND('Mapa final'!#REF!="Muy Baja",'Mapa final'!#REF!="Menor"),CONCATENATE("R6C",'Mapa final'!#REF!),"")</f>
        <v>#REF!</v>
      </c>
      <c r="S51" s="73" t="e">
        <f>IF(AND('Mapa final'!#REF!="Muy Baja",'Mapa final'!#REF!="Menor"),CONCATENATE("R6C",'Mapa final'!#REF!),"")</f>
        <v>#REF!</v>
      </c>
      <c r="T51" s="73" t="e">
        <f>IF(AND('Mapa final'!#REF!="Muy Baja",'Mapa final'!#REF!="Menor"),CONCATENATE("R6C",'Mapa final'!#REF!),"")</f>
        <v>#REF!</v>
      </c>
      <c r="U51" s="74" t="e">
        <f>IF(AND('Mapa final'!#REF!="Muy Baja",'Mapa final'!#REF!="Menor"),CONCATENATE("R6C",'Mapa final'!#REF!),"")</f>
        <v>#REF!</v>
      </c>
      <c r="V51" s="63" t="e">
        <f>IF(AND('Mapa final'!#REF!="Muy Baja",'Mapa final'!#REF!="Moderado"),CONCATENATE("R6C",'Mapa final'!#REF!),"")</f>
        <v>#REF!</v>
      </c>
      <c r="W51" s="64" t="e">
        <f>IF(AND('Mapa final'!#REF!="Muy Baja",'Mapa final'!#REF!="Moderado"),CONCATENATE("R6C",'Mapa final'!#REF!),"")</f>
        <v>#REF!</v>
      </c>
      <c r="X51" s="64" t="e">
        <f>IF(AND('Mapa final'!#REF!="Muy Baja",'Mapa final'!#REF!="Moderado"),CONCATENATE("R6C",'Mapa final'!#REF!),"")</f>
        <v>#REF!</v>
      </c>
      <c r="Y51" s="64" t="e">
        <f>IF(AND('Mapa final'!#REF!="Muy Baja",'Mapa final'!#REF!="Moderado"),CONCATENATE("R6C",'Mapa final'!#REF!),"")</f>
        <v>#REF!</v>
      </c>
      <c r="Z51" s="64" t="e">
        <f>IF(AND('Mapa final'!#REF!="Muy Baja",'Mapa final'!#REF!="Moderado"),CONCATENATE("R6C",'Mapa final'!#REF!),"")</f>
        <v>#REF!</v>
      </c>
      <c r="AA51" s="65" t="e">
        <f>IF(AND('Mapa final'!#REF!="Muy Baja",'Mapa final'!#REF!="Moderado"),CONCATENATE("R6C",'Mapa final'!#REF!),"")</f>
        <v>#REF!</v>
      </c>
      <c r="AB51" s="48" t="e">
        <f>IF(AND('Mapa final'!#REF!="Muy Baja",'Mapa final'!#REF!="Mayor"),CONCATENATE("R6C",'Mapa final'!#REF!),"")</f>
        <v>#REF!</v>
      </c>
      <c r="AC51" s="49" t="e">
        <f>IF(AND('Mapa final'!#REF!="Muy Baja",'Mapa final'!#REF!="Mayor"),CONCATENATE("R6C",'Mapa final'!#REF!),"")</f>
        <v>#REF!</v>
      </c>
      <c r="AD51" s="49" t="e">
        <f>IF(AND('Mapa final'!#REF!="Muy Baja",'Mapa final'!#REF!="Mayor"),CONCATENATE("R6C",'Mapa final'!#REF!),"")</f>
        <v>#REF!</v>
      </c>
      <c r="AE51" s="49" t="e">
        <f>IF(AND('Mapa final'!#REF!="Muy Baja",'Mapa final'!#REF!="Mayor"),CONCATENATE("R6C",'Mapa final'!#REF!),"")</f>
        <v>#REF!</v>
      </c>
      <c r="AF51" s="49" t="e">
        <f>IF(AND('Mapa final'!#REF!="Muy Baja",'Mapa final'!#REF!="Mayor"),CONCATENATE("R6C",'Mapa final'!#REF!),"")</f>
        <v>#REF!</v>
      </c>
      <c r="AG51" s="50" t="e">
        <f>IF(AND('Mapa final'!#REF!="Muy Baja",'Mapa final'!#REF!="Mayor"),CONCATENATE("R6C",'Mapa final'!#REF!),"")</f>
        <v>#REF!</v>
      </c>
      <c r="AH51" s="51" t="e">
        <f>IF(AND('Mapa final'!#REF!="Muy Baja",'Mapa final'!#REF!="Catastrófico"),CONCATENATE("R6C",'Mapa final'!#REF!),"")</f>
        <v>#REF!</v>
      </c>
      <c r="AI51" s="52" t="e">
        <f>IF(AND('Mapa final'!#REF!="Muy Baja",'Mapa final'!#REF!="Catastrófico"),CONCATENATE("R6C",'Mapa final'!#REF!),"")</f>
        <v>#REF!</v>
      </c>
      <c r="AJ51" s="52" t="e">
        <f>IF(AND('Mapa final'!#REF!="Muy Baja",'Mapa final'!#REF!="Catastrófico"),CONCATENATE("R6C",'Mapa final'!#REF!),"")</f>
        <v>#REF!</v>
      </c>
      <c r="AK51" s="52" t="e">
        <f>IF(AND('Mapa final'!#REF!="Muy Baja",'Mapa final'!#REF!="Catastrófico"),CONCATENATE("R6C",'Mapa final'!#REF!),"")</f>
        <v>#REF!</v>
      </c>
      <c r="AL51" s="52" t="e">
        <f>IF(AND('Mapa final'!#REF!="Muy Baja",'Mapa final'!#REF!="Catastrófico"),CONCATENATE("R6C",'Mapa final'!#REF!),"")</f>
        <v>#REF!</v>
      </c>
      <c r="AM51" s="53" t="e">
        <f>IF(AND('Mapa final'!#REF!="Muy Baja",'Mapa final'!#REF!="Catastrófico"),CONCATENATE("R6C",'Mapa final'!#REF!),"")</f>
        <v>#REF!</v>
      </c>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row>
    <row r="52" spans="1:80" ht="15" customHeight="1" x14ac:dyDescent="0.25">
      <c r="A52" s="79"/>
      <c r="B52" s="328"/>
      <c r="C52" s="328"/>
      <c r="D52" s="329"/>
      <c r="E52" s="427"/>
      <c r="F52" s="426"/>
      <c r="G52" s="426"/>
      <c r="H52" s="426"/>
      <c r="I52" s="442"/>
      <c r="J52" s="72" t="e">
        <f>IF(AND('Mapa final'!#REF!="Muy Baja",'Mapa final'!#REF!="Leve"),CONCATENATE("R7C",'Mapa final'!#REF!),"")</f>
        <v>#REF!</v>
      </c>
      <c r="K52" s="73" t="e">
        <f>IF(AND('Mapa final'!#REF!="Muy Baja",'Mapa final'!#REF!="Leve"),CONCATENATE("R7C",'Mapa final'!#REF!),"")</f>
        <v>#REF!</v>
      </c>
      <c r="L52" s="73" t="e">
        <f>IF(AND('Mapa final'!#REF!="Muy Baja",'Mapa final'!#REF!="Leve"),CONCATENATE("R7C",'Mapa final'!#REF!),"")</f>
        <v>#REF!</v>
      </c>
      <c r="M52" s="73" t="e">
        <f>IF(AND('Mapa final'!#REF!="Muy Baja",'Mapa final'!#REF!="Leve"),CONCATENATE("R7C",'Mapa final'!#REF!),"")</f>
        <v>#REF!</v>
      </c>
      <c r="N52" s="73" t="e">
        <f>IF(AND('Mapa final'!#REF!="Muy Baja",'Mapa final'!#REF!="Leve"),CONCATENATE("R7C",'Mapa final'!#REF!),"")</f>
        <v>#REF!</v>
      </c>
      <c r="O52" s="74" t="e">
        <f>IF(AND('Mapa final'!#REF!="Muy Baja",'Mapa final'!#REF!="Leve"),CONCATENATE("R7C",'Mapa final'!#REF!),"")</f>
        <v>#REF!</v>
      </c>
      <c r="P52" s="72" t="e">
        <f>IF(AND('Mapa final'!#REF!="Muy Baja",'Mapa final'!#REF!="Menor"),CONCATENATE("R7C",'Mapa final'!#REF!),"")</f>
        <v>#REF!</v>
      </c>
      <c r="Q52" s="73" t="e">
        <f>IF(AND('Mapa final'!#REF!="Muy Baja",'Mapa final'!#REF!="Menor"),CONCATENATE("R7C",'Mapa final'!#REF!),"")</f>
        <v>#REF!</v>
      </c>
      <c r="R52" s="73" t="e">
        <f>IF(AND('Mapa final'!#REF!="Muy Baja",'Mapa final'!#REF!="Menor"),CONCATENATE("R7C",'Mapa final'!#REF!),"")</f>
        <v>#REF!</v>
      </c>
      <c r="S52" s="73" t="e">
        <f>IF(AND('Mapa final'!#REF!="Muy Baja",'Mapa final'!#REF!="Menor"),CONCATENATE("R7C",'Mapa final'!#REF!),"")</f>
        <v>#REF!</v>
      </c>
      <c r="T52" s="73" t="e">
        <f>IF(AND('Mapa final'!#REF!="Muy Baja",'Mapa final'!#REF!="Menor"),CONCATENATE("R7C",'Mapa final'!#REF!),"")</f>
        <v>#REF!</v>
      </c>
      <c r="U52" s="74" t="e">
        <f>IF(AND('Mapa final'!#REF!="Muy Baja",'Mapa final'!#REF!="Menor"),CONCATENATE("R7C",'Mapa final'!#REF!),"")</f>
        <v>#REF!</v>
      </c>
      <c r="V52" s="63" t="e">
        <f>IF(AND('Mapa final'!#REF!="Muy Baja",'Mapa final'!#REF!="Moderado"),CONCATENATE("R7C",'Mapa final'!#REF!),"")</f>
        <v>#REF!</v>
      </c>
      <c r="W52" s="64" t="e">
        <f>IF(AND('Mapa final'!#REF!="Muy Baja",'Mapa final'!#REF!="Moderado"),CONCATENATE("R7C",'Mapa final'!#REF!),"")</f>
        <v>#REF!</v>
      </c>
      <c r="X52" s="64" t="e">
        <f>IF(AND('Mapa final'!#REF!="Muy Baja",'Mapa final'!#REF!="Moderado"),CONCATENATE("R7C",'Mapa final'!#REF!),"")</f>
        <v>#REF!</v>
      </c>
      <c r="Y52" s="64" t="e">
        <f>IF(AND('Mapa final'!#REF!="Muy Baja",'Mapa final'!#REF!="Moderado"),CONCATENATE("R7C",'Mapa final'!#REF!),"")</f>
        <v>#REF!</v>
      </c>
      <c r="Z52" s="64" t="e">
        <f>IF(AND('Mapa final'!#REF!="Muy Baja",'Mapa final'!#REF!="Moderado"),CONCATENATE("R7C",'Mapa final'!#REF!),"")</f>
        <v>#REF!</v>
      </c>
      <c r="AA52" s="65" t="e">
        <f>IF(AND('Mapa final'!#REF!="Muy Baja",'Mapa final'!#REF!="Moderado"),CONCATENATE("R7C",'Mapa final'!#REF!),"")</f>
        <v>#REF!</v>
      </c>
      <c r="AB52" s="48" t="e">
        <f>IF(AND('Mapa final'!#REF!="Muy Baja",'Mapa final'!#REF!="Mayor"),CONCATENATE("R7C",'Mapa final'!#REF!),"")</f>
        <v>#REF!</v>
      </c>
      <c r="AC52" s="49" t="e">
        <f>IF(AND('Mapa final'!#REF!="Muy Baja",'Mapa final'!#REF!="Mayor"),CONCATENATE("R7C",'Mapa final'!#REF!),"")</f>
        <v>#REF!</v>
      </c>
      <c r="AD52" s="49" t="e">
        <f>IF(AND('Mapa final'!#REF!="Muy Baja",'Mapa final'!#REF!="Mayor"),CONCATENATE("R7C",'Mapa final'!#REF!),"")</f>
        <v>#REF!</v>
      </c>
      <c r="AE52" s="49" t="e">
        <f>IF(AND('Mapa final'!#REF!="Muy Baja",'Mapa final'!#REF!="Mayor"),CONCATENATE("R7C",'Mapa final'!#REF!),"")</f>
        <v>#REF!</v>
      </c>
      <c r="AF52" s="49" t="e">
        <f>IF(AND('Mapa final'!#REF!="Muy Baja",'Mapa final'!#REF!="Mayor"),CONCATENATE("R7C",'Mapa final'!#REF!),"")</f>
        <v>#REF!</v>
      </c>
      <c r="AG52" s="50" t="e">
        <f>IF(AND('Mapa final'!#REF!="Muy Baja",'Mapa final'!#REF!="Mayor"),CONCATENATE("R7C",'Mapa final'!#REF!),"")</f>
        <v>#REF!</v>
      </c>
      <c r="AH52" s="51" t="e">
        <f>IF(AND('Mapa final'!#REF!="Muy Baja",'Mapa final'!#REF!="Catastrófico"),CONCATENATE("R7C",'Mapa final'!#REF!),"")</f>
        <v>#REF!</v>
      </c>
      <c r="AI52" s="52" t="e">
        <f>IF(AND('Mapa final'!#REF!="Muy Baja",'Mapa final'!#REF!="Catastrófico"),CONCATENATE("R7C",'Mapa final'!#REF!),"")</f>
        <v>#REF!</v>
      </c>
      <c r="AJ52" s="52" t="e">
        <f>IF(AND('Mapa final'!#REF!="Muy Baja",'Mapa final'!#REF!="Catastrófico"),CONCATENATE("R7C",'Mapa final'!#REF!),"")</f>
        <v>#REF!</v>
      </c>
      <c r="AK52" s="52" t="e">
        <f>IF(AND('Mapa final'!#REF!="Muy Baja",'Mapa final'!#REF!="Catastrófico"),CONCATENATE("R7C",'Mapa final'!#REF!),"")</f>
        <v>#REF!</v>
      </c>
      <c r="AL52" s="52" t="e">
        <f>IF(AND('Mapa final'!#REF!="Muy Baja",'Mapa final'!#REF!="Catastrófico"),CONCATENATE("R7C",'Mapa final'!#REF!),"")</f>
        <v>#REF!</v>
      </c>
      <c r="AM52" s="53" t="e">
        <f>IF(AND('Mapa final'!#REF!="Muy Baja",'Mapa final'!#REF!="Catastrófico"),CONCATENATE("R7C",'Mapa final'!#REF!),"")</f>
        <v>#REF!</v>
      </c>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row>
    <row r="53" spans="1:80" ht="15" customHeight="1" x14ac:dyDescent="0.25">
      <c r="A53" s="79"/>
      <c r="B53" s="328"/>
      <c r="C53" s="328"/>
      <c r="D53" s="329"/>
      <c r="E53" s="427"/>
      <c r="F53" s="426"/>
      <c r="G53" s="426"/>
      <c r="H53" s="426"/>
      <c r="I53" s="442"/>
      <c r="J53" s="72" t="str">
        <f>IF(AND('Mapa final'!$Y$41="Muy Baja",'Mapa final'!$AA$41="Leve"),CONCATENATE("R8C",'Mapa final'!$O$41),"")</f>
        <v/>
      </c>
      <c r="K53" s="73" t="str">
        <f>IF(AND('Mapa final'!$Y$42="Muy Baja",'Mapa final'!$AA$42="Leve"),CONCATENATE("R8C",'Mapa final'!$O$42),"")</f>
        <v/>
      </c>
      <c r="L53" s="73" t="str">
        <f>IF(AND('Mapa final'!$Y$43="Muy Baja",'Mapa final'!$AA$43="Leve"),CONCATENATE("R8C",'Mapa final'!$O$43),"")</f>
        <v/>
      </c>
      <c r="M53" s="73" t="str">
        <f>IF(AND('Mapa final'!$Y$44="Muy Baja",'Mapa final'!$AA$44="Leve"),CONCATENATE("R8C",'Mapa final'!$O$44),"")</f>
        <v/>
      </c>
      <c r="N53" s="73" t="str">
        <f>IF(AND('Mapa final'!$Y$45="Muy Baja",'Mapa final'!$AA$45="Leve"),CONCATENATE("R8C",'Mapa final'!$O$45),"")</f>
        <v/>
      </c>
      <c r="O53" s="74" t="str">
        <f>IF(AND('Mapa final'!$Y$46="Muy Baja",'Mapa final'!$AA$46="Leve"),CONCATENATE("R8C",'Mapa final'!$O$46),"")</f>
        <v/>
      </c>
      <c r="P53" s="72" t="str">
        <f>IF(AND('Mapa final'!$Y$41="Muy Baja",'Mapa final'!$AA$41="Menor"),CONCATENATE("R8C",'Mapa final'!$O$41),"")</f>
        <v/>
      </c>
      <c r="Q53" s="73" t="str">
        <f>IF(AND('Mapa final'!$Y$42="Muy Baja",'Mapa final'!$AA$42="Menor"),CONCATENATE("R8C",'Mapa final'!$O$42),"")</f>
        <v/>
      </c>
      <c r="R53" s="73" t="str">
        <f>IF(AND('Mapa final'!$Y$43="Muy Baja",'Mapa final'!$AA$43="Menor"),CONCATENATE("R8C",'Mapa final'!$O$43),"")</f>
        <v/>
      </c>
      <c r="S53" s="73" t="str">
        <f>IF(AND('Mapa final'!$Y$44="Muy Baja",'Mapa final'!$AA$44="Menor"),CONCATENATE("R8C",'Mapa final'!$O$44),"")</f>
        <v/>
      </c>
      <c r="T53" s="73" t="str">
        <f>IF(AND('Mapa final'!$Y$45="Muy Baja",'Mapa final'!$AA$45="Menor"),CONCATENATE("R8C",'Mapa final'!$O$45),"")</f>
        <v/>
      </c>
      <c r="U53" s="74" t="str">
        <f>IF(AND('Mapa final'!$Y$46="Muy Baja",'Mapa final'!$AA$46="Menor"),CONCATENATE("R8C",'Mapa final'!$O$46),"")</f>
        <v/>
      </c>
      <c r="V53" s="63" t="str">
        <f>IF(AND('Mapa final'!$Y$41="Muy Baja",'Mapa final'!$AA$41="Moderado"),CONCATENATE("R8C",'Mapa final'!$O$41),"")</f>
        <v/>
      </c>
      <c r="W53" s="64" t="str">
        <f>IF(AND('Mapa final'!$Y$42="Muy Baja",'Mapa final'!$AA$42="Moderado"),CONCATENATE("R8C",'Mapa final'!$O$42),"")</f>
        <v/>
      </c>
      <c r="X53" s="64" t="str">
        <f>IF(AND('Mapa final'!$Y$43="Muy Baja",'Mapa final'!$AA$43="Moderado"),CONCATENATE("R8C",'Mapa final'!$O$43),"")</f>
        <v/>
      </c>
      <c r="Y53" s="64" t="str">
        <f>IF(AND('Mapa final'!$Y$44="Muy Baja",'Mapa final'!$AA$44="Moderado"),CONCATENATE("R8C",'Mapa final'!$O$44),"")</f>
        <v/>
      </c>
      <c r="Z53" s="64" t="str">
        <f>IF(AND('Mapa final'!$Y$45="Muy Baja",'Mapa final'!$AA$45="Moderado"),CONCATENATE("R8C",'Mapa final'!$O$45),"")</f>
        <v/>
      </c>
      <c r="AA53" s="65" t="str">
        <f>IF(AND('Mapa final'!$Y$46="Muy Baja",'Mapa final'!$AA$46="Moderado"),CONCATENATE("R8C",'Mapa final'!$O$46),"")</f>
        <v/>
      </c>
      <c r="AB53" s="48" t="str">
        <f>IF(AND('Mapa final'!$Y$41="Muy Baja",'Mapa final'!$AA$41="Mayor"),CONCATENATE("R8C",'Mapa final'!$O$41),"")</f>
        <v/>
      </c>
      <c r="AC53" s="49" t="str">
        <f>IF(AND('Mapa final'!$Y$42="Muy Baja",'Mapa final'!$AA$42="Mayor"),CONCATENATE("R8C",'Mapa final'!$O$42),"")</f>
        <v/>
      </c>
      <c r="AD53" s="49" t="str">
        <f>IF(AND('Mapa final'!$Y$43="Muy Baja",'Mapa final'!$AA$43="Mayor"),CONCATENATE("R8C",'Mapa final'!$O$43),"")</f>
        <v/>
      </c>
      <c r="AE53" s="49" t="str">
        <f>IF(AND('Mapa final'!$Y$44="Muy Baja",'Mapa final'!$AA$44="Mayor"),CONCATENATE("R8C",'Mapa final'!$O$44),"")</f>
        <v/>
      </c>
      <c r="AF53" s="49" t="str">
        <f>IF(AND('Mapa final'!$Y$45="Muy Baja",'Mapa final'!$AA$45="Mayor"),CONCATENATE("R8C",'Mapa final'!$O$45),"")</f>
        <v/>
      </c>
      <c r="AG53" s="50" t="str">
        <f>IF(AND('Mapa final'!$Y$46="Muy Baja",'Mapa final'!$AA$46="Mayor"),CONCATENATE("R8C",'Mapa final'!$O$46),"")</f>
        <v/>
      </c>
      <c r="AH53" s="51" t="str">
        <f>IF(AND('Mapa final'!$Y$41="Muy Baja",'Mapa final'!$AA$41="Catastrófico"),CONCATENATE("R8C",'Mapa final'!$O$41),"")</f>
        <v/>
      </c>
      <c r="AI53" s="52" t="str">
        <f>IF(AND('Mapa final'!$Y$42="Muy Baja",'Mapa final'!$AA$42="Catastrófico"),CONCATENATE("R8C",'Mapa final'!$O$42),"")</f>
        <v/>
      </c>
      <c r="AJ53" s="52" t="str">
        <f>IF(AND('Mapa final'!$Y$43="Muy Baja",'Mapa final'!$AA$43="Catastrófico"),CONCATENATE("R8C",'Mapa final'!$O$43),"")</f>
        <v/>
      </c>
      <c r="AK53" s="52" t="str">
        <f>IF(AND('Mapa final'!$Y$44="Muy Baja",'Mapa final'!$AA$44="Catastrófico"),CONCATENATE("R8C",'Mapa final'!$O$44),"")</f>
        <v/>
      </c>
      <c r="AL53" s="52" t="str">
        <f>IF(AND('Mapa final'!$Y$45="Muy Baja",'Mapa final'!$AA$45="Catastrófico"),CONCATENATE("R8C",'Mapa final'!$O$45),"")</f>
        <v/>
      </c>
      <c r="AM53" s="53" t="str">
        <f>IF(AND('Mapa final'!$Y$46="Muy Baja",'Mapa final'!$AA$46="Catastrófico"),CONCATENATE("R8C",'Mapa final'!$O$46),"")</f>
        <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row>
    <row r="54" spans="1:80" ht="15" customHeight="1" x14ac:dyDescent="0.25">
      <c r="A54" s="79"/>
      <c r="B54" s="328"/>
      <c r="C54" s="328"/>
      <c r="D54" s="329"/>
      <c r="E54" s="427"/>
      <c r="F54" s="426"/>
      <c r="G54" s="426"/>
      <c r="H54" s="426"/>
      <c r="I54" s="442"/>
      <c r="J54" s="72" t="str">
        <f>IF(AND('Mapa final'!$Y$47="Muy Baja",'Mapa final'!$AA$47="Leve"),CONCATENATE("R9C",'Mapa final'!$O$47),"")</f>
        <v/>
      </c>
      <c r="K54" s="73" t="str">
        <f>IF(AND('Mapa final'!$Y$48="Muy Baja",'Mapa final'!$AA$48="Leve"),CONCATENATE("R9C",'Mapa final'!$O$48),"")</f>
        <v/>
      </c>
      <c r="L54" s="73" t="str">
        <f>IF(AND('Mapa final'!$Y$49="Muy Baja",'Mapa final'!$AA$49="Leve"),CONCATENATE("R9C",'Mapa final'!$O$49),"")</f>
        <v/>
      </c>
      <c r="M54" s="73" t="str">
        <f>IF(AND('Mapa final'!$Y$50="Muy Baja",'Mapa final'!$AA$50="Leve"),CONCATENATE("R9C",'Mapa final'!$O$50),"")</f>
        <v/>
      </c>
      <c r="N54" s="73" t="str">
        <f>IF(AND('Mapa final'!$Y$51="Muy Baja",'Mapa final'!$AA$51="Leve"),CONCATENATE("R9C",'Mapa final'!$O$51),"")</f>
        <v/>
      </c>
      <c r="O54" s="74" t="str">
        <f>IF(AND('Mapa final'!$Y$52="Muy Baja",'Mapa final'!$AA$52="Leve"),CONCATENATE("R9C",'Mapa final'!$O$52),"")</f>
        <v/>
      </c>
      <c r="P54" s="72" t="str">
        <f>IF(AND('Mapa final'!$Y$47="Muy Baja",'Mapa final'!$AA$47="Menor"),CONCATENATE("R9C",'Mapa final'!$O$47),"")</f>
        <v/>
      </c>
      <c r="Q54" s="73" t="str">
        <f>IF(AND('Mapa final'!$Y$48="Muy Baja",'Mapa final'!$AA$48="Menor"),CONCATENATE("R9C",'Mapa final'!$O$48),"")</f>
        <v/>
      </c>
      <c r="R54" s="73" t="str">
        <f>IF(AND('Mapa final'!$Y$49="Muy Baja",'Mapa final'!$AA$49="Menor"),CONCATENATE("R9C",'Mapa final'!$O$49),"")</f>
        <v/>
      </c>
      <c r="S54" s="73" t="str">
        <f>IF(AND('Mapa final'!$Y$50="Muy Baja",'Mapa final'!$AA$50="Menor"),CONCATENATE("R9C",'Mapa final'!$O$50),"")</f>
        <v/>
      </c>
      <c r="T54" s="73" t="str">
        <f>IF(AND('Mapa final'!$Y$51="Muy Baja",'Mapa final'!$AA$51="Menor"),CONCATENATE("R9C",'Mapa final'!$O$51),"")</f>
        <v/>
      </c>
      <c r="U54" s="74" t="str">
        <f>IF(AND('Mapa final'!$Y$52="Muy Baja",'Mapa final'!$AA$52="Menor"),CONCATENATE("R9C",'Mapa final'!$O$52),"")</f>
        <v/>
      </c>
      <c r="V54" s="63" t="str">
        <f>IF(AND('Mapa final'!$Y$47="Muy Baja",'Mapa final'!$AA$47="Moderado"),CONCATENATE("R9C",'Mapa final'!$O$47),"")</f>
        <v/>
      </c>
      <c r="W54" s="64" t="str">
        <f>IF(AND('Mapa final'!$Y$48="Muy Baja",'Mapa final'!$AA$48="Moderado"),CONCATENATE("R9C",'Mapa final'!$O$48),"")</f>
        <v/>
      </c>
      <c r="X54" s="64" t="str">
        <f>IF(AND('Mapa final'!$Y$49="Muy Baja",'Mapa final'!$AA$49="Moderado"),CONCATENATE("R9C",'Mapa final'!$O$49),"")</f>
        <v/>
      </c>
      <c r="Y54" s="64" t="str">
        <f>IF(AND('Mapa final'!$Y$50="Muy Baja",'Mapa final'!$AA$50="Moderado"),CONCATENATE("R9C",'Mapa final'!$O$50),"")</f>
        <v/>
      </c>
      <c r="Z54" s="64" t="str">
        <f>IF(AND('Mapa final'!$Y$51="Muy Baja",'Mapa final'!$AA$51="Moderado"),CONCATENATE("R9C",'Mapa final'!$O$51),"")</f>
        <v/>
      </c>
      <c r="AA54" s="65" t="str">
        <f>IF(AND('Mapa final'!$Y$52="Muy Baja",'Mapa final'!$AA$52="Moderado"),CONCATENATE("R9C",'Mapa final'!$O$52),"")</f>
        <v/>
      </c>
      <c r="AB54" s="48" t="str">
        <f>IF(AND('Mapa final'!$Y$47="Muy Baja",'Mapa final'!$AA$47="Mayor"),CONCATENATE("R9C",'Mapa final'!$O$47),"")</f>
        <v/>
      </c>
      <c r="AC54" s="49" t="str">
        <f>IF(AND('Mapa final'!$Y$48="Muy Baja",'Mapa final'!$AA$48="Mayor"),CONCATENATE("R9C",'Mapa final'!$O$48),"")</f>
        <v/>
      </c>
      <c r="AD54" s="49" t="str">
        <f>IF(AND('Mapa final'!$Y$49="Muy Baja",'Mapa final'!$AA$49="Mayor"),CONCATENATE("R9C",'Mapa final'!$O$49),"")</f>
        <v/>
      </c>
      <c r="AE54" s="49" t="str">
        <f>IF(AND('Mapa final'!$Y$50="Muy Baja",'Mapa final'!$AA$50="Mayor"),CONCATENATE("R9C",'Mapa final'!$O$50),"")</f>
        <v/>
      </c>
      <c r="AF54" s="49" t="str">
        <f>IF(AND('Mapa final'!$Y$51="Muy Baja",'Mapa final'!$AA$51="Mayor"),CONCATENATE("R9C",'Mapa final'!$O$51),"")</f>
        <v/>
      </c>
      <c r="AG54" s="50" t="str">
        <f>IF(AND('Mapa final'!$Y$52="Muy Baja",'Mapa final'!$AA$52="Mayor"),CONCATENATE("R9C",'Mapa final'!$O$52),"")</f>
        <v/>
      </c>
      <c r="AH54" s="51" t="str">
        <f>IF(AND('Mapa final'!$Y$47="Muy Baja",'Mapa final'!$AA$47="Catastrófico"),CONCATENATE("R9C",'Mapa final'!$O$47),"")</f>
        <v/>
      </c>
      <c r="AI54" s="52" t="str">
        <f>IF(AND('Mapa final'!$Y$48="Muy Baja",'Mapa final'!$AA$48="Catastrófico"),CONCATENATE("R9C",'Mapa final'!$O$48),"")</f>
        <v/>
      </c>
      <c r="AJ54" s="52" t="str">
        <f>IF(AND('Mapa final'!$Y$49="Muy Baja",'Mapa final'!$AA$49="Catastrófico"),CONCATENATE("R9C",'Mapa final'!$O$49),"")</f>
        <v/>
      </c>
      <c r="AK54" s="52" t="str">
        <f>IF(AND('Mapa final'!$Y$50="Muy Baja",'Mapa final'!$AA$50="Catastrófico"),CONCATENATE("R9C",'Mapa final'!$O$50),"")</f>
        <v/>
      </c>
      <c r="AL54" s="52" t="str">
        <f>IF(AND('Mapa final'!$Y$51="Muy Baja",'Mapa final'!$AA$51="Catastrófico"),CONCATENATE("R9C",'Mapa final'!$O$51),"")</f>
        <v/>
      </c>
      <c r="AM54" s="53" t="str">
        <f>IF(AND('Mapa final'!$Y$52="Muy Baja",'Mapa final'!$AA$52="Catastrófico"),CONCATENATE("R9C",'Mapa final'!$O$52),"")</f>
        <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row>
    <row r="55" spans="1:80" ht="15.75" customHeight="1" thickBot="1" x14ac:dyDescent="0.3">
      <c r="A55" s="79"/>
      <c r="B55" s="328"/>
      <c r="C55" s="328"/>
      <c r="D55" s="329"/>
      <c r="E55" s="428"/>
      <c r="F55" s="429"/>
      <c r="G55" s="429"/>
      <c r="H55" s="429"/>
      <c r="I55" s="443"/>
      <c r="J55" s="75" t="str">
        <f>IF(AND('Mapa final'!$Y$53="Muy Baja",'Mapa final'!$AA$53="Leve"),CONCATENATE("R10C",'Mapa final'!$O$53),"")</f>
        <v/>
      </c>
      <c r="K55" s="76" t="str">
        <f>IF(AND('Mapa final'!$Y$54="Muy Baja",'Mapa final'!$AA$54="Leve"),CONCATENATE("R10C",'Mapa final'!$O$54),"")</f>
        <v/>
      </c>
      <c r="L55" s="76" t="str">
        <f>IF(AND('Mapa final'!$Y$55="Muy Baja",'Mapa final'!$AA$55="Leve"),CONCATENATE("R10C",'Mapa final'!$O$55),"")</f>
        <v/>
      </c>
      <c r="M55" s="76" t="str">
        <f>IF(AND('Mapa final'!$Y$56="Muy Baja",'Mapa final'!$AA$56="Leve"),CONCATENATE("R10C",'Mapa final'!$O$56),"")</f>
        <v/>
      </c>
      <c r="N55" s="76" t="str">
        <f>IF(AND('Mapa final'!$Y$57="Muy Baja",'Mapa final'!$AA$57="Leve"),CONCATENATE("R10C",'Mapa final'!$O$57),"")</f>
        <v/>
      </c>
      <c r="O55" s="77" t="str">
        <f>IF(AND('Mapa final'!$Y$58="Muy Baja",'Mapa final'!$AA$58="Leve"),CONCATENATE("R10C",'Mapa final'!$O$58),"")</f>
        <v/>
      </c>
      <c r="P55" s="75" t="str">
        <f>IF(AND('Mapa final'!$Y$53="Muy Baja",'Mapa final'!$AA$53="Menor"),CONCATENATE("R10C",'Mapa final'!$O$53),"")</f>
        <v/>
      </c>
      <c r="Q55" s="76" t="str">
        <f>IF(AND('Mapa final'!$Y$54="Muy Baja",'Mapa final'!$AA$54="Menor"),CONCATENATE("R10C",'Mapa final'!$O$54),"")</f>
        <v/>
      </c>
      <c r="R55" s="76" t="str">
        <f>IF(AND('Mapa final'!$Y$55="Muy Baja",'Mapa final'!$AA$55="Menor"),CONCATENATE("R10C",'Mapa final'!$O$55),"")</f>
        <v/>
      </c>
      <c r="S55" s="76" t="str">
        <f>IF(AND('Mapa final'!$Y$56="Muy Baja",'Mapa final'!$AA$56="Menor"),CONCATENATE("R10C",'Mapa final'!$O$56),"")</f>
        <v/>
      </c>
      <c r="T55" s="76" t="str">
        <f>IF(AND('Mapa final'!$Y$57="Muy Baja",'Mapa final'!$AA$57="Menor"),CONCATENATE("R10C",'Mapa final'!$O$57),"")</f>
        <v/>
      </c>
      <c r="U55" s="77" t="str">
        <f>IF(AND('Mapa final'!$Y$58="Muy Baja",'Mapa final'!$AA$58="Menor"),CONCATENATE("R10C",'Mapa final'!$O$58),"")</f>
        <v/>
      </c>
      <c r="V55" s="66" t="str">
        <f>IF(AND('Mapa final'!$Y$53="Muy Baja",'Mapa final'!$AA$53="Moderado"),CONCATENATE("R10C",'Mapa final'!$O$53),"")</f>
        <v/>
      </c>
      <c r="W55" s="67" t="str">
        <f>IF(AND('Mapa final'!$Y$54="Muy Baja",'Mapa final'!$AA$54="Moderado"),CONCATENATE("R10C",'Mapa final'!$O$54),"")</f>
        <v/>
      </c>
      <c r="X55" s="67" t="str">
        <f>IF(AND('Mapa final'!$Y$55="Muy Baja",'Mapa final'!$AA$55="Moderado"),CONCATENATE("R10C",'Mapa final'!$O$55),"")</f>
        <v/>
      </c>
      <c r="Y55" s="67" t="str">
        <f>IF(AND('Mapa final'!$Y$56="Muy Baja",'Mapa final'!$AA$56="Moderado"),CONCATENATE("R10C",'Mapa final'!$O$56),"")</f>
        <v/>
      </c>
      <c r="Z55" s="67" t="str">
        <f>IF(AND('Mapa final'!$Y$57="Muy Baja",'Mapa final'!$AA$57="Moderado"),CONCATENATE("R10C",'Mapa final'!$O$57),"")</f>
        <v/>
      </c>
      <c r="AA55" s="68" t="str">
        <f>IF(AND('Mapa final'!$Y$58="Muy Baja",'Mapa final'!$AA$58="Moderado"),CONCATENATE("R10C",'Mapa final'!$O$58),"")</f>
        <v/>
      </c>
      <c r="AB55" s="54" t="str">
        <f>IF(AND('Mapa final'!$Y$53="Muy Baja",'Mapa final'!$AA$53="Mayor"),CONCATENATE("R10C",'Mapa final'!$O$53),"")</f>
        <v/>
      </c>
      <c r="AC55" s="55" t="str">
        <f>IF(AND('Mapa final'!$Y$54="Muy Baja",'Mapa final'!$AA$54="Mayor"),CONCATENATE("R10C",'Mapa final'!$O$54),"")</f>
        <v/>
      </c>
      <c r="AD55" s="55" t="str">
        <f>IF(AND('Mapa final'!$Y$55="Muy Baja",'Mapa final'!$AA$55="Mayor"),CONCATENATE("R10C",'Mapa final'!$O$55),"")</f>
        <v/>
      </c>
      <c r="AE55" s="55" t="str">
        <f>IF(AND('Mapa final'!$Y$56="Muy Baja",'Mapa final'!$AA$56="Mayor"),CONCATENATE("R10C",'Mapa final'!$O$56),"")</f>
        <v/>
      </c>
      <c r="AF55" s="55" t="str">
        <f>IF(AND('Mapa final'!$Y$57="Muy Baja",'Mapa final'!$AA$57="Mayor"),CONCATENATE("R10C",'Mapa final'!$O$57),"")</f>
        <v/>
      </c>
      <c r="AG55" s="56" t="str">
        <f>IF(AND('Mapa final'!$Y$58="Muy Baja",'Mapa final'!$AA$58="Mayor"),CONCATENATE("R10C",'Mapa final'!$O$58),"")</f>
        <v/>
      </c>
      <c r="AH55" s="57" t="str">
        <f>IF(AND('Mapa final'!$Y$53="Muy Baja",'Mapa final'!$AA$53="Catastrófico"),CONCATENATE("R10C",'Mapa final'!$O$53),"")</f>
        <v/>
      </c>
      <c r="AI55" s="58" t="str">
        <f>IF(AND('Mapa final'!$Y$54="Muy Baja",'Mapa final'!$AA$54="Catastrófico"),CONCATENATE("R10C",'Mapa final'!$O$54),"")</f>
        <v/>
      </c>
      <c r="AJ55" s="58" t="str">
        <f>IF(AND('Mapa final'!$Y$55="Muy Baja",'Mapa final'!$AA$55="Catastrófico"),CONCATENATE("R10C",'Mapa final'!$O$55),"")</f>
        <v/>
      </c>
      <c r="AK55" s="58" t="str">
        <f>IF(AND('Mapa final'!$Y$56="Muy Baja",'Mapa final'!$AA$56="Catastrófico"),CONCATENATE("R10C",'Mapa final'!$O$56),"")</f>
        <v/>
      </c>
      <c r="AL55" s="58" t="str">
        <f>IF(AND('Mapa final'!$Y$57="Muy Baja",'Mapa final'!$AA$57="Catastrófico"),CONCATENATE("R10C",'Mapa final'!$O$57),"")</f>
        <v/>
      </c>
      <c r="AM55" s="59" t="str">
        <f>IF(AND('Mapa final'!$Y$58="Muy Baja",'Mapa final'!$AA$58="Catastrófico"),CONCATENATE("R10C",'Mapa final'!$O$58),"")</f>
        <v/>
      </c>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row>
    <row r="56" spans="1:80" x14ac:dyDescent="0.25">
      <c r="A56" s="79"/>
      <c r="B56" s="79"/>
      <c r="C56" s="79"/>
      <c r="D56" s="79"/>
      <c r="E56" s="79"/>
      <c r="F56" s="79"/>
      <c r="G56" s="79"/>
      <c r="H56" s="79"/>
      <c r="I56" s="79"/>
      <c r="J56" s="423" t="s">
        <v>101</v>
      </c>
      <c r="K56" s="424"/>
      <c r="L56" s="424"/>
      <c r="M56" s="424"/>
      <c r="N56" s="424"/>
      <c r="O56" s="441"/>
      <c r="P56" s="423" t="s">
        <v>102</v>
      </c>
      <c r="Q56" s="424"/>
      <c r="R56" s="424"/>
      <c r="S56" s="424"/>
      <c r="T56" s="424"/>
      <c r="U56" s="441"/>
      <c r="V56" s="423" t="s">
        <v>103</v>
      </c>
      <c r="W56" s="424"/>
      <c r="X56" s="424"/>
      <c r="Y56" s="424"/>
      <c r="Z56" s="424"/>
      <c r="AA56" s="441"/>
      <c r="AB56" s="423" t="s">
        <v>104</v>
      </c>
      <c r="AC56" s="462"/>
      <c r="AD56" s="424"/>
      <c r="AE56" s="424"/>
      <c r="AF56" s="424"/>
      <c r="AG56" s="441"/>
      <c r="AH56" s="423" t="s">
        <v>105</v>
      </c>
      <c r="AI56" s="424"/>
      <c r="AJ56" s="424"/>
      <c r="AK56" s="424"/>
      <c r="AL56" s="424"/>
      <c r="AM56" s="441"/>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row>
    <row r="57" spans="1:80" x14ac:dyDescent="0.25">
      <c r="A57" s="79"/>
      <c r="B57" s="79"/>
      <c r="C57" s="79"/>
      <c r="D57" s="79"/>
      <c r="E57" s="79"/>
      <c r="F57" s="79"/>
      <c r="G57" s="79"/>
      <c r="H57" s="79"/>
      <c r="I57" s="79"/>
      <c r="J57" s="427"/>
      <c r="K57" s="426"/>
      <c r="L57" s="426"/>
      <c r="M57" s="426"/>
      <c r="N57" s="426"/>
      <c r="O57" s="442"/>
      <c r="P57" s="427"/>
      <c r="Q57" s="426"/>
      <c r="R57" s="426"/>
      <c r="S57" s="426"/>
      <c r="T57" s="426"/>
      <c r="U57" s="442"/>
      <c r="V57" s="427"/>
      <c r="W57" s="426"/>
      <c r="X57" s="426"/>
      <c r="Y57" s="426"/>
      <c r="Z57" s="426"/>
      <c r="AA57" s="442"/>
      <c r="AB57" s="427"/>
      <c r="AC57" s="426"/>
      <c r="AD57" s="426"/>
      <c r="AE57" s="426"/>
      <c r="AF57" s="426"/>
      <c r="AG57" s="442"/>
      <c r="AH57" s="427"/>
      <c r="AI57" s="426"/>
      <c r="AJ57" s="426"/>
      <c r="AK57" s="426"/>
      <c r="AL57" s="426"/>
      <c r="AM57" s="442"/>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row>
    <row r="58" spans="1:80" x14ac:dyDescent="0.25">
      <c r="A58" s="79"/>
      <c r="B58" s="79"/>
      <c r="C58" s="79"/>
      <c r="D58" s="79"/>
      <c r="E58" s="79"/>
      <c r="F58" s="79"/>
      <c r="G58" s="79"/>
      <c r="H58" s="79"/>
      <c r="I58" s="79"/>
      <c r="J58" s="427"/>
      <c r="K58" s="426"/>
      <c r="L58" s="426"/>
      <c r="M58" s="426"/>
      <c r="N58" s="426"/>
      <c r="O58" s="442"/>
      <c r="P58" s="427"/>
      <c r="Q58" s="426"/>
      <c r="R58" s="426"/>
      <c r="S58" s="426"/>
      <c r="T58" s="426"/>
      <c r="U58" s="442"/>
      <c r="V58" s="427"/>
      <c r="W58" s="426"/>
      <c r="X58" s="426"/>
      <c r="Y58" s="426"/>
      <c r="Z58" s="426"/>
      <c r="AA58" s="442"/>
      <c r="AB58" s="427"/>
      <c r="AC58" s="426"/>
      <c r="AD58" s="426"/>
      <c r="AE58" s="426"/>
      <c r="AF58" s="426"/>
      <c r="AG58" s="442"/>
      <c r="AH58" s="427"/>
      <c r="AI58" s="426"/>
      <c r="AJ58" s="426"/>
      <c r="AK58" s="426"/>
      <c r="AL58" s="426"/>
      <c r="AM58" s="442"/>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row>
    <row r="59" spans="1:80" x14ac:dyDescent="0.25">
      <c r="A59" s="79"/>
      <c r="B59" s="79"/>
      <c r="C59" s="79"/>
      <c r="D59" s="79"/>
      <c r="E59" s="79"/>
      <c r="F59" s="79"/>
      <c r="G59" s="79"/>
      <c r="H59" s="79"/>
      <c r="I59" s="79"/>
      <c r="J59" s="427"/>
      <c r="K59" s="426"/>
      <c r="L59" s="426"/>
      <c r="M59" s="426"/>
      <c r="N59" s="426"/>
      <c r="O59" s="442"/>
      <c r="P59" s="427"/>
      <c r="Q59" s="426"/>
      <c r="R59" s="426"/>
      <c r="S59" s="426"/>
      <c r="T59" s="426"/>
      <c r="U59" s="442"/>
      <c r="V59" s="427"/>
      <c r="W59" s="426"/>
      <c r="X59" s="426"/>
      <c r="Y59" s="426"/>
      <c r="Z59" s="426"/>
      <c r="AA59" s="442"/>
      <c r="AB59" s="427"/>
      <c r="AC59" s="426"/>
      <c r="AD59" s="426"/>
      <c r="AE59" s="426"/>
      <c r="AF59" s="426"/>
      <c r="AG59" s="442"/>
      <c r="AH59" s="427"/>
      <c r="AI59" s="426"/>
      <c r="AJ59" s="426"/>
      <c r="AK59" s="426"/>
      <c r="AL59" s="426"/>
      <c r="AM59" s="442"/>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row>
    <row r="60" spans="1:80" x14ac:dyDescent="0.25">
      <c r="A60" s="79"/>
      <c r="B60" s="79"/>
      <c r="C60" s="79"/>
      <c r="D60" s="79"/>
      <c r="E60" s="79"/>
      <c r="F60" s="79"/>
      <c r="G60" s="79"/>
      <c r="H60" s="79"/>
      <c r="I60" s="79"/>
      <c r="J60" s="427"/>
      <c r="K60" s="426"/>
      <c r="L60" s="426"/>
      <c r="M60" s="426"/>
      <c r="N60" s="426"/>
      <c r="O60" s="442"/>
      <c r="P60" s="427"/>
      <c r="Q60" s="426"/>
      <c r="R60" s="426"/>
      <c r="S60" s="426"/>
      <c r="T60" s="426"/>
      <c r="U60" s="442"/>
      <c r="V60" s="427"/>
      <c r="W60" s="426"/>
      <c r="X60" s="426"/>
      <c r="Y60" s="426"/>
      <c r="Z60" s="426"/>
      <c r="AA60" s="442"/>
      <c r="AB60" s="427"/>
      <c r="AC60" s="426"/>
      <c r="AD60" s="426"/>
      <c r="AE60" s="426"/>
      <c r="AF60" s="426"/>
      <c r="AG60" s="442"/>
      <c r="AH60" s="427"/>
      <c r="AI60" s="426"/>
      <c r="AJ60" s="426"/>
      <c r="AK60" s="426"/>
      <c r="AL60" s="426"/>
      <c r="AM60" s="442"/>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row>
    <row r="61" spans="1:80" ht="15.75" thickBot="1" x14ac:dyDescent="0.3">
      <c r="A61" s="79"/>
      <c r="B61" s="79"/>
      <c r="C61" s="79"/>
      <c r="D61" s="79"/>
      <c r="E61" s="79"/>
      <c r="F61" s="79"/>
      <c r="G61" s="79"/>
      <c r="H61" s="79"/>
      <c r="I61" s="79"/>
      <c r="J61" s="428"/>
      <c r="K61" s="429"/>
      <c r="L61" s="429"/>
      <c r="M61" s="429"/>
      <c r="N61" s="429"/>
      <c r="O61" s="443"/>
      <c r="P61" s="428"/>
      <c r="Q61" s="429"/>
      <c r="R61" s="429"/>
      <c r="S61" s="429"/>
      <c r="T61" s="429"/>
      <c r="U61" s="443"/>
      <c r="V61" s="428"/>
      <c r="W61" s="429"/>
      <c r="X61" s="429"/>
      <c r="Y61" s="429"/>
      <c r="Z61" s="429"/>
      <c r="AA61" s="443"/>
      <c r="AB61" s="428"/>
      <c r="AC61" s="429"/>
      <c r="AD61" s="429"/>
      <c r="AE61" s="429"/>
      <c r="AF61" s="429"/>
      <c r="AG61" s="443"/>
      <c r="AH61" s="428"/>
      <c r="AI61" s="429"/>
      <c r="AJ61" s="429"/>
      <c r="AK61" s="429"/>
      <c r="AL61" s="429"/>
      <c r="AM61" s="443"/>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row>
    <row r="62" spans="1:80"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row>
    <row r="63" spans="1:80" ht="15" customHeight="1" x14ac:dyDescent="0.25">
      <c r="A63" s="79"/>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79"/>
      <c r="AV63" s="79"/>
      <c r="AW63" s="79"/>
      <c r="AX63" s="79"/>
      <c r="AY63" s="79"/>
      <c r="AZ63" s="79"/>
      <c r="BA63" s="79"/>
      <c r="BB63" s="79"/>
      <c r="BC63" s="79"/>
      <c r="BD63" s="79"/>
      <c r="BE63" s="79"/>
      <c r="BF63" s="79"/>
      <c r="BG63" s="79"/>
      <c r="BH63" s="79"/>
    </row>
    <row r="64" spans="1:80" ht="15" customHeight="1" x14ac:dyDescent="0.25">
      <c r="A64" s="79"/>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79"/>
      <c r="AV64" s="79"/>
      <c r="AW64" s="79"/>
      <c r="AX64" s="79"/>
      <c r="AY64" s="79"/>
      <c r="AZ64" s="79"/>
      <c r="BA64" s="79"/>
      <c r="BB64" s="79"/>
      <c r="BC64" s="79"/>
      <c r="BD64" s="79"/>
      <c r="BE64" s="79"/>
      <c r="BF64" s="79"/>
      <c r="BG64" s="79"/>
      <c r="BH64" s="79"/>
    </row>
    <row r="65" spans="1:60"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row>
    <row r="66" spans="1:60"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row>
    <row r="67" spans="1:60"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row>
    <row r="68" spans="1:60"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row>
    <row r="69" spans="1:60"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row>
    <row r="70" spans="1:60"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row>
    <row r="71" spans="1:60"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row>
    <row r="72" spans="1:60"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row>
    <row r="73" spans="1:60"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row>
    <row r="74" spans="1:60"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row>
    <row r="75" spans="1:60"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row>
    <row r="76" spans="1:60"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row>
    <row r="77" spans="1:60"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row>
    <row r="78" spans="1:60"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row>
    <row r="79" spans="1:60"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row>
    <row r="80" spans="1:60"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row>
    <row r="81" spans="1:60"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row>
    <row r="82" spans="1:60"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row>
    <row r="83" spans="1:60"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row>
    <row r="84" spans="1:60"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row>
    <row r="85" spans="1:60"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row>
    <row r="86" spans="1:60"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row>
    <row r="87" spans="1:60"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row>
    <row r="88" spans="1:60"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row>
    <row r="89" spans="1:60"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row>
    <row r="90" spans="1:60"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row>
    <row r="91" spans="1:60"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row>
    <row r="92" spans="1:60"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row>
    <row r="93" spans="1:60"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row>
    <row r="94" spans="1:60"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row>
    <row r="95" spans="1:60"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row>
    <row r="96" spans="1:60"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row>
    <row r="97" spans="1:60"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row>
    <row r="98" spans="1:60"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row>
    <row r="99" spans="1:60"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row>
    <row r="100" spans="1:60"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row>
    <row r="101" spans="1:60" x14ac:dyDescent="0.2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row>
    <row r="102" spans="1:60" x14ac:dyDescent="0.2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row>
    <row r="103" spans="1:60" x14ac:dyDescent="0.2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row>
    <row r="104" spans="1:60" x14ac:dyDescent="0.2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row>
    <row r="105" spans="1:60" x14ac:dyDescent="0.2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row>
    <row r="106" spans="1:60" x14ac:dyDescent="0.2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row>
    <row r="107" spans="1:60" x14ac:dyDescent="0.2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row>
    <row r="108" spans="1:60" x14ac:dyDescent="0.2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row>
    <row r="109" spans="1:60" x14ac:dyDescent="0.2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row>
    <row r="110" spans="1:60" x14ac:dyDescent="0.2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row>
    <row r="111" spans="1:60" x14ac:dyDescent="0.2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row>
    <row r="112" spans="1:60" x14ac:dyDescent="0.2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row>
    <row r="113" spans="1:60" x14ac:dyDescent="0.2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row>
    <row r="114" spans="1:60" x14ac:dyDescent="0.2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row>
    <row r="115" spans="1:60" x14ac:dyDescent="0.2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row>
    <row r="116" spans="1:60" x14ac:dyDescent="0.2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row>
    <row r="117" spans="1:60" x14ac:dyDescent="0.2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row>
    <row r="118" spans="1:60" x14ac:dyDescent="0.2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row>
    <row r="119" spans="1:60" x14ac:dyDescent="0.2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row>
    <row r="120" spans="1:60" x14ac:dyDescent="0.2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row>
    <row r="121" spans="1:60" x14ac:dyDescent="0.2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row>
    <row r="122" spans="1:60" x14ac:dyDescent="0.25">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row>
    <row r="123" spans="1:60" x14ac:dyDescent="0.25">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row>
    <row r="124" spans="1:60" x14ac:dyDescent="0.25">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row>
    <row r="125" spans="1:60" x14ac:dyDescent="0.25">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row>
    <row r="126" spans="1:60" x14ac:dyDescent="0.25">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row>
    <row r="127" spans="1:60" x14ac:dyDescent="0.25">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row>
    <row r="128" spans="1:60" x14ac:dyDescent="0.25">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row>
    <row r="129" spans="1:60" x14ac:dyDescent="0.25">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row>
    <row r="130" spans="1:60" x14ac:dyDescent="0.25">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row>
    <row r="131" spans="1:60" x14ac:dyDescent="0.25">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row>
    <row r="132" spans="1:60" x14ac:dyDescent="0.25">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row>
    <row r="133" spans="1:60" x14ac:dyDescent="0.25">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row>
    <row r="134" spans="1:60" x14ac:dyDescent="0.25">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row>
    <row r="135" spans="1:60" x14ac:dyDescent="0.25">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row>
    <row r="136" spans="1:60" x14ac:dyDescent="0.25">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row>
    <row r="137" spans="1:60" x14ac:dyDescent="0.25">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row>
    <row r="138" spans="1:60" x14ac:dyDescent="0.25">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row>
    <row r="139" spans="1:60" x14ac:dyDescent="0.25">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row>
    <row r="140" spans="1:60" x14ac:dyDescent="0.25">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row>
    <row r="141" spans="1:60" x14ac:dyDescent="0.25">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row>
    <row r="142" spans="1:60" x14ac:dyDescent="0.25">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row>
    <row r="143" spans="1:60" x14ac:dyDescent="0.25">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row>
    <row r="144" spans="1:60" x14ac:dyDescent="0.25">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row>
    <row r="145" spans="1:60" x14ac:dyDescent="0.25">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row>
    <row r="146" spans="1:60" x14ac:dyDescent="0.25">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row>
    <row r="147" spans="1:60" x14ac:dyDescent="0.25">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row>
    <row r="148" spans="1:60" x14ac:dyDescent="0.25">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row>
    <row r="149" spans="1:60" x14ac:dyDescent="0.25">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row>
    <row r="150" spans="1:60" x14ac:dyDescent="0.25">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row>
    <row r="151" spans="1:60" x14ac:dyDescent="0.25">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row>
    <row r="152" spans="1:60" x14ac:dyDescent="0.25">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row>
    <row r="153" spans="1:60" x14ac:dyDescent="0.25">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row>
    <row r="154" spans="1:60" x14ac:dyDescent="0.25">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row>
    <row r="155" spans="1:60" x14ac:dyDescent="0.25">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row>
    <row r="156" spans="1:60" x14ac:dyDescent="0.25">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row>
    <row r="157" spans="1:60" x14ac:dyDescent="0.25">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row>
    <row r="158" spans="1:60" x14ac:dyDescent="0.25">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row>
    <row r="159" spans="1:60" x14ac:dyDescent="0.25">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row>
    <row r="160" spans="1:60" x14ac:dyDescent="0.25">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row>
    <row r="161" spans="1:60" x14ac:dyDescent="0.25">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row>
    <row r="162" spans="1:60" x14ac:dyDescent="0.25">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row>
    <row r="163" spans="1:60" x14ac:dyDescent="0.25">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row>
    <row r="164" spans="1:60" x14ac:dyDescent="0.25">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row>
    <row r="165" spans="1:60" x14ac:dyDescent="0.25">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row>
    <row r="166" spans="1:60" x14ac:dyDescent="0.25">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row>
    <row r="167" spans="1:60" x14ac:dyDescent="0.25">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row>
    <row r="168" spans="1:60" x14ac:dyDescent="0.25">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row>
    <row r="169" spans="1:60" x14ac:dyDescent="0.25">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row>
    <row r="170" spans="1:60" x14ac:dyDescent="0.25">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row>
    <row r="171" spans="1:60" x14ac:dyDescent="0.25">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row>
    <row r="172" spans="1:60" x14ac:dyDescent="0.25">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row>
    <row r="173" spans="1:60" x14ac:dyDescent="0.25">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row>
    <row r="174" spans="1:60" x14ac:dyDescent="0.25">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row>
    <row r="175" spans="1:60" x14ac:dyDescent="0.2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row>
    <row r="176" spans="1:60" x14ac:dyDescent="0.25">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row>
    <row r="177" spans="1:60" x14ac:dyDescent="0.25">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row>
    <row r="178" spans="1:60" x14ac:dyDescent="0.25">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row>
    <row r="179" spans="1:60" x14ac:dyDescent="0.25">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row>
    <row r="180" spans="1:60" x14ac:dyDescent="0.25">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row>
    <row r="181" spans="1:60" x14ac:dyDescent="0.25">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row>
    <row r="182" spans="1:60" x14ac:dyDescent="0.25">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row>
    <row r="183" spans="1:60" x14ac:dyDescent="0.25">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row>
    <row r="184" spans="1:60" x14ac:dyDescent="0.25">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row>
    <row r="185" spans="1:60" x14ac:dyDescent="0.25">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row>
    <row r="186" spans="1:60" x14ac:dyDescent="0.25">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row>
    <row r="187" spans="1:60" x14ac:dyDescent="0.25">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row>
    <row r="188" spans="1:60" x14ac:dyDescent="0.25">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row>
    <row r="189" spans="1:60" x14ac:dyDescent="0.25">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row>
    <row r="190" spans="1:60" x14ac:dyDescent="0.25">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row>
    <row r="191" spans="1:60" x14ac:dyDescent="0.25">
      <c r="A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row>
    <row r="192" spans="1:60" x14ac:dyDescent="0.25">
      <c r="A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row>
    <row r="193" spans="1:60" x14ac:dyDescent="0.25">
      <c r="A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row>
    <row r="194" spans="1:60" x14ac:dyDescent="0.25">
      <c r="A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row>
    <row r="195" spans="1:60" x14ac:dyDescent="0.25">
      <c r="A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row>
    <row r="196" spans="1:60" x14ac:dyDescent="0.25">
      <c r="A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row>
    <row r="197" spans="1:60" x14ac:dyDescent="0.25">
      <c r="A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row>
    <row r="198" spans="1:60" x14ac:dyDescent="0.25">
      <c r="A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row>
    <row r="199" spans="1:60" x14ac:dyDescent="0.25">
      <c r="A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row>
    <row r="200" spans="1:60" x14ac:dyDescent="0.25">
      <c r="A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row>
    <row r="201" spans="1:60" x14ac:dyDescent="0.25">
      <c r="A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row>
    <row r="202" spans="1:60" x14ac:dyDescent="0.25">
      <c r="A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row>
    <row r="203" spans="1:60" x14ac:dyDescent="0.25">
      <c r="A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row>
    <row r="204" spans="1:60" x14ac:dyDescent="0.25">
      <c r="A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row>
    <row r="205" spans="1:60" x14ac:dyDescent="0.25">
      <c r="A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row>
    <row r="206" spans="1:60" x14ac:dyDescent="0.25">
      <c r="A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row>
    <row r="207" spans="1:60" x14ac:dyDescent="0.25">
      <c r="A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row>
    <row r="208" spans="1:60" x14ac:dyDescent="0.25">
      <c r="A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row>
    <row r="209" spans="1:60" x14ac:dyDescent="0.25">
      <c r="A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row>
    <row r="210" spans="1:60" x14ac:dyDescent="0.25">
      <c r="A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row>
    <row r="211" spans="1:60" x14ac:dyDescent="0.25">
      <c r="A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row>
    <row r="212" spans="1:60" x14ac:dyDescent="0.25">
      <c r="A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row>
    <row r="213" spans="1:60" x14ac:dyDescent="0.25">
      <c r="A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row>
    <row r="214" spans="1:60" x14ac:dyDescent="0.25">
      <c r="A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row>
    <row r="215" spans="1:60" x14ac:dyDescent="0.25">
      <c r="A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row>
    <row r="216" spans="1:60" x14ac:dyDescent="0.25">
      <c r="A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row>
    <row r="217" spans="1:60" x14ac:dyDescent="0.25">
      <c r="A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row>
    <row r="218" spans="1:60" x14ac:dyDescent="0.25">
      <c r="A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row>
    <row r="219" spans="1:60" x14ac:dyDescent="0.25">
      <c r="A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row>
    <row r="220" spans="1:60" x14ac:dyDescent="0.25">
      <c r="A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row>
    <row r="221" spans="1:60" x14ac:dyDescent="0.25">
      <c r="A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row>
    <row r="222" spans="1:60" x14ac:dyDescent="0.25">
      <c r="A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row>
    <row r="223" spans="1:60" x14ac:dyDescent="0.25">
      <c r="A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row>
    <row r="224" spans="1:60" x14ac:dyDescent="0.25">
      <c r="A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row>
    <row r="225" spans="1:60" x14ac:dyDescent="0.25">
      <c r="A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row>
    <row r="226" spans="1:60" x14ac:dyDescent="0.25">
      <c r="A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row>
    <row r="227" spans="1:60" x14ac:dyDescent="0.25">
      <c r="A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row>
    <row r="228" spans="1:60" x14ac:dyDescent="0.25">
      <c r="A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row>
    <row r="229" spans="1:60" x14ac:dyDescent="0.25">
      <c r="A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row>
    <row r="230" spans="1:60" x14ac:dyDescent="0.25">
      <c r="A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row>
    <row r="231" spans="1:60" x14ac:dyDescent="0.25">
      <c r="A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row>
    <row r="232" spans="1:60" x14ac:dyDescent="0.25">
      <c r="A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row>
    <row r="233" spans="1:60" x14ac:dyDescent="0.25">
      <c r="A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row>
    <row r="234" spans="1:60" x14ac:dyDescent="0.25">
      <c r="A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row>
    <row r="235" spans="1:60" x14ac:dyDescent="0.25">
      <c r="A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row>
    <row r="236" spans="1:60" x14ac:dyDescent="0.25">
      <c r="A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row>
    <row r="237" spans="1:60" x14ac:dyDescent="0.25">
      <c r="A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row>
    <row r="238" spans="1:60" x14ac:dyDescent="0.25">
      <c r="A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row>
    <row r="239" spans="1:60" x14ac:dyDescent="0.25">
      <c r="A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row>
    <row r="240" spans="1:60" x14ac:dyDescent="0.25">
      <c r="A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row>
    <row r="241" spans="1:60" x14ac:dyDescent="0.25">
      <c r="A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row>
    <row r="242" spans="1:60" x14ac:dyDescent="0.25">
      <c r="A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row>
    <row r="243" spans="1:60" x14ac:dyDescent="0.25">
      <c r="A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row>
    <row r="244" spans="1:60" x14ac:dyDescent="0.25">
      <c r="A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row>
    <row r="245" spans="1:60" x14ac:dyDescent="0.25">
      <c r="A245" s="79"/>
    </row>
    <row r="246" spans="1:60" x14ac:dyDescent="0.25">
      <c r="A246" s="79"/>
    </row>
    <row r="247" spans="1:60" x14ac:dyDescent="0.25">
      <c r="A247" s="79"/>
    </row>
    <row r="248" spans="1:60" x14ac:dyDescent="0.25">
      <c r="A248" s="79"/>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79"/>
      <c r="B1" s="463" t="s">
        <v>107</v>
      </c>
      <c r="C1" s="463"/>
      <c r="D1" s="463"/>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spans="1:37" x14ac:dyDescent="0.2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7" ht="25.5" x14ac:dyDescent="0.25">
      <c r="A3" s="79"/>
      <c r="B3" s="8"/>
      <c r="C3" s="9" t="s">
        <v>108</v>
      </c>
      <c r="D3" s="9" t="s">
        <v>91</v>
      </c>
      <c r="E3" s="79"/>
      <c r="F3" s="79"/>
      <c r="G3" s="79"/>
      <c r="H3" s="79"/>
      <c r="I3" s="79"/>
      <c r="J3" s="79"/>
      <c r="K3" s="79"/>
      <c r="L3" s="79"/>
      <c r="M3" s="79"/>
      <c r="N3" s="79"/>
      <c r="O3" s="79"/>
      <c r="P3" s="79"/>
      <c r="Q3" s="79"/>
      <c r="R3" s="79"/>
      <c r="S3" s="79"/>
      <c r="T3" s="79"/>
      <c r="U3" s="79"/>
      <c r="V3" s="79"/>
      <c r="W3" s="79"/>
      <c r="X3" s="79"/>
      <c r="Y3" s="79"/>
      <c r="Z3" s="79"/>
      <c r="AA3" s="79"/>
      <c r="AB3" s="79"/>
      <c r="AC3" s="79"/>
      <c r="AD3" s="79"/>
      <c r="AE3" s="79"/>
    </row>
    <row r="4" spans="1:37" ht="51" x14ac:dyDescent="0.25">
      <c r="A4" s="79"/>
      <c r="B4" s="10" t="s">
        <v>109</v>
      </c>
      <c r="C4" s="11" t="s">
        <v>110</v>
      </c>
      <c r="D4" s="12">
        <v>0.2</v>
      </c>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spans="1:37" ht="51" x14ac:dyDescent="0.25">
      <c r="A5" s="79"/>
      <c r="B5" s="13" t="s">
        <v>111</v>
      </c>
      <c r="C5" s="14" t="s">
        <v>112</v>
      </c>
      <c r="D5" s="15">
        <v>0.4</v>
      </c>
      <c r="E5" s="79"/>
      <c r="F5" s="79"/>
      <c r="G5" s="79"/>
      <c r="H5" s="79"/>
      <c r="I5" s="79"/>
      <c r="J5" s="79"/>
      <c r="K5" s="79"/>
      <c r="L5" s="79"/>
      <c r="M5" s="79"/>
      <c r="N5" s="79"/>
      <c r="O5" s="79"/>
      <c r="P5" s="79"/>
      <c r="Q5" s="79"/>
      <c r="R5" s="79"/>
      <c r="S5" s="79"/>
      <c r="T5" s="79"/>
      <c r="U5" s="79"/>
      <c r="V5" s="79"/>
      <c r="W5" s="79"/>
      <c r="X5" s="79"/>
      <c r="Y5" s="79"/>
      <c r="Z5" s="79"/>
      <c r="AA5" s="79"/>
      <c r="AB5" s="79"/>
      <c r="AC5" s="79"/>
      <c r="AD5" s="79"/>
      <c r="AE5" s="79"/>
    </row>
    <row r="6" spans="1:37" ht="51" x14ac:dyDescent="0.25">
      <c r="A6" s="79"/>
      <c r="B6" s="16" t="s">
        <v>113</v>
      </c>
      <c r="C6" s="14" t="s">
        <v>114</v>
      </c>
      <c r="D6" s="15">
        <v>0.6</v>
      </c>
      <c r="E6" s="79"/>
      <c r="F6" s="79"/>
      <c r="G6" s="79"/>
      <c r="H6" s="79"/>
      <c r="I6" s="79"/>
      <c r="J6" s="79"/>
      <c r="K6" s="79"/>
      <c r="L6" s="79"/>
      <c r="M6" s="79"/>
      <c r="N6" s="79"/>
      <c r="O6" s="79"/>
      <c r="P6" s="79"/>
      <c r="Q6" s="79"/>
      <c r="R6" s="79"/>
      <c r="S6" s="79"/>
      <c r="T6" s="79"/>
      <c r="U6" s="79"/>
      <c r="V6" s="79"/>
      <c r="W6" s="79"/>
      <c r="X6" s="79"/>
      <c r="Y6" s="79"/>
      <c r="Z6" s="79"/>
      <c r="AA6" s="79"/>
      <c r="AB6" s="79"/>
      <c r="AC6" s="79"/>
      <c r="AD6" s="79"/>
      <c r="AE6" s="79"/>
    </row>
    <row r="7" spans="1:37" ht="76.5" x14ac:dyDescent="0.25">
      <c r="A7" s="79"/>
      <c r="B7" s="17" t="s">
        <v>115</v>
      </c>
      <c r="C7" s="14" t="s">
        <v>116</v>
      </c>
      <c r="D7" s="15">
        <v>0.8</v>
      </c>
      <c r="E7" s="79"/>
      <c r="F7" s="79"/>
      <c r="G7" s="79"/>
      <c r="H7" s="79"/>
      <c r="I7" s="79"/>
      <c r="J7" s="79"/>
      <c r="K7" s="79"/>
      <c r="L7" s="79"/>
      <c r="M7" s="79"/>
      <c r="N7" s="79"/>
      <c r="O7" s="79"/>
      <c r="P7" s="79"/>
      <c r="Q7" s="79"/>
      <c r="R7" s="79"/>
      <c r="S7" s="79"/>
      <c r="T7" s="79"/>
      <c r="U7" s="79"/>
      <c r="V7" s="79"/>
      <c r="W7" s="79"/>
      <c r="X7" s="79"/>
      <c r="Y7" s="79"/>
      <c r="Z7" s="79"/>
      <c r="AA7" s="79"/>
      <c r="AB7" s="79"/>
      <c r="AC7" s="79"/>
      <c r="AD7" s="79"/>
      <c r="AE7" s="79"/>
    </row>
    <row r="8" spans="1:37" ht="51" x14ac:dyDescent="0.25">
      <c r="A8" s="79"/>
      <c r="B8" s="18" t="s">
        <v>117</v>
      </c>
      <c r="C8" s="14" t="s">
        <v>118</v>
      </c>
      <c r="D8" s="15">
        <v>1</v>
      </c>
      <c r="E8" s="79"/>
      <c r="F8" s="79"/>
      <c r="G8" s="79"/>
      <c r="H8" s="79"/>
      <c r="I8" s="79"/>
      <c r="J8" s="79"/>
      <c r="K8" s="79"/>
      <c r="L8" s="79"/>
      <c r="M8" s="79"/>
      <c r="N8" s="79"/>
      <c r="O8" s="79"/>
      <c r="P8" s="79"/>
      <c r="Q8" s="79"/>
      <c r="R8" s="79"/>
      <c r="S8" s="79"/>
      <c r="T8" s="79"/>
      <c r="U8" s="79"/>
      <c r="V8" s="79"/>
      <c r="W8" s="79"/>
      <c r="X8" s="79"/>
      <c r="Y8" s="79"/>
      <c r="Z8" s="79"/>
      <c r="AA8" s="79"/>
      <c r="AB8" s="79"/>
      <c r="AC8" s="79"/>
      <c r="AD8" s="79"/>
      <c r="AE8" s="79"/>
    </row>
    <row r="9" spans="1:37" x14ac:dyDescent="0.25">
      <c r="A9" s="79"/>
      <c r="B9" s="103"/>
      <c r="C9" s="103"/>
      <c r="D9" s="103"/>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row>
    <row r="10" spans="1:37" ht="16.5" x14ac:dyDescent="0.25">
      <c r="A10" s="79"/>
      <c r="B10" s="104"/>
      <c r="C10" s="103"/>
      <c r="D10" s="103"/>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row>
    <row r="11" spans="1:37" x14ac:dyDescent="0.25">
      <c r="A11" s="79"/>
      <c r="B11" s="103"/>
      <c r="C11" s="103"/>
      <c r="D11" s="103"/>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row>
    <row r="12" spans="1:37" x14ac:dyDescent="0.25">
      <c r="A12" s="79"/>
      <c r="B12" s="103"/>
      <c r="C12" s="103"/>
      <c r="D12" s="103"/>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row>
    <row r="13" spans="1:37" x14ac:dyDescent="0.25">
      <c r="A13" s="79"/>
      <c r="B13" s="103"/>
      <c r="C13" s="103"/>
      <c r="D13" s="103"/>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row>
    <row r="14" spans="1:37" x14ac:dyDescent="0.25">
      <c r="A14" s="79"/>
      <c r="B14" s="103"/>
      <c r="C14" s="103"/>
      <c r="D14" s="103"/>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row>
    <row r="15" spans="1:37" x14ac:dyDescent="0.25">
      <c r="A15" s="79"/>
      <c r="B15" s="103"/>
      <c r="C15" s="103"/>
      <c r="D15" s="103"/>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row>
    <row r="16" spans="1:37" x14ac:dyDescent="0.25">
      <c r="A16" s="79"/>
      <c r="B16" s="103"/>
      <c r="C16" s="103"/>
      <c r="D16" s="103"/>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row>
    <row r="17" spans="1:37" x14ac:dyDescent="0.25">
      <c r="A17" s="79"/>
      <c r="B17" s="103"/>
      <c r="C17" s="103"/>
      <c r="D17" s="103"/>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row>
    <row r="18" spans="1:37" x14ac:dyDescent="0.25">
      <c r="A18" s="79"/>
      <c r="B18" s="103"/>
      <c r="C18" s="103"/>
      <c r="D18" s="103"/>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row>
    <row r="19" spans="1:37" x14ac:dyDescent="0.25">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row>
    <row r="20" spans="1:37" x14ac:dyDescent="0.25">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row>
    <row r="21" spans="1:37" x14ac:dyDescent="0.25">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row>
    <row r="22" spans="1:37" x14ac:dyDescent="0.25">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row>
    <row r="23" spans="1:37" x14ac:dyDescent="0.25">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row>
    <row r="24" spans="1:37" x14ac:dyDescent="0.25">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row>
    <row r="25" spans="1:37" x14ac:dyDescent="0.25">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row>
    <row r="26" spans="1:37" x14ac:dyDescent="0.25">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row>
    <row r="27" spans="1:37" x14ac:dyDescent="0.2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row>
    <row r="28" spans="1:37" x14ac:dyDescent="0.25">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row>
    <row r="29" spans="1:37" x14ac:dyDescent="0.25">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row>
    <row r="30" spans="1:37" x14ac:dyDescent="0.25">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row>
    <row r="31" spans="1:37" x14ac:dyDescent="0.25">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row>
    <row r="32" spans="1:37" x14ac:dyDescent="0.2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row>
    <row r="33" spans="1:31" x14ac:dyDescent="0.25">
      <c r="A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row>
    <row r="34" spans="1:31" x14ac:dyDescent="0.25">
      <c r="A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row>
    <row r="35" spans="1:31" x14ac:dyDescent="0.25">
      <c r="A35" s="79"/>
    </row>
    <row r="36" spans="1:31" x14ac:dyDescent="0.25">
      <c r="A36" s="79"/>
    </row>
    <row r="37" spans="1:31" x14ac:dyDescent="0.25">
      <c r="A37" s="79"/>
    </row>
    <row r="38" spans="1:31" x14ac:dyDescent="0.25">
      <c r="A38" s="79"/>
    </row>
    <row r="39" spans="1:31" x14ac:dyDescent="0.25">
      <c r="A39" s="79"/>
    </row>
    <row r="40" spans="1:31" x14ac:dyDescent="0.25">
      <c r="A40" s="79"/>
    </row>
    <row r="41" spans="1:31" x14ac:dyDescent="0.25">
      <c r="A41" s="79"/>
    </row>
    <row r="42" spans="1:31" x14ac:dyDescent="0.25">
      <c r="A42" s="79"/>
    </row>
    <row r="43" spans="1:31" x14ac:dyDescent="0.25">
      <c r="A43" s="79"/>
    </row>
    <row r="44" spans="1:31" x14ac:dyDescent="0.25">
      <c r="A44" s="79"/>
    </row>
    <row r="45" spans="1:31" x14ac:dyDescent="0.25">
      <c r="A45" s="79"/>
    </row>
    <row r="46" spans="1:31" x14ac:dyDescent="0.25">
      <c r="A46" s="79"/>
    </row>
    <row r="47" spans="1:31" x14ac:dyDescent="0.25">
      <c r="A47" s="79"/>
    </row>
    <row r="48" spans="1:31" x14ac:dyDescent="0.25">
      <c r="A48" s="79"/>
    </row>
    <row r="49" spans="1:1" x14ac:dyDescent="0.25">
      <c r="A49" s="79"/>
    </row>
    <row r="50" spans="1:1" x14ac:dyDescent="0.25">
      <c r="A50" s="79"/>
    </row>
    <row r="51" spans="1:1" x14ac:dyDescent="0.25">
      <c r="A51" s="79"/>
    </row>
    <row r="52" spans="1:1" x14ac:dyDescent="0.25">
      <c r="A52" s="79"/>
    </row>
    <row r="53" spans="1:1" x14ac:dyDescent="0.25">
      <c r="A53" s="79"/>
    </row>
    <row r="54" spans="1:1" x14ac:dyDescent="0.25">
      <c r="A54" s="79"/>
    </row>
    <row r="55" spans="1:1" x14ac:dyDescent="0.25">
      <c r="A55" s="79"/>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E4" sqref="D4:E4"/>
    </sheetView>
  </sheetViews>
  <sheetFormatPr baseColWidth="10" defaultColWidth="11.42578125" defaultRowHeight="15" x14ac:dyDescent="0.25"/>
  <cols>
    <col min="1" max="1" width="5.42578125" customWidth="1"/>
    <col min="2" max="2" width="40.42578125" customWidth="1"/>
    <col min="3" max="3" width="69.5703125" customWidth="1"/>
    <col min="4" max="4" width="135" bestFit="1" customWidth="1"/>
    <col min="5" max="5" width="56.140625" customWidth="1"/>
  </cols>
  <sheetData>
    <row r="1" spans="1:21" ht="33.75" x14ac:dyDescent="0.25">
      <c r="A1" s="79"/>
      <c r="B1" s="464" t="s">
        <v>119</v>
      </c>
      <c r="C1" s="464"/>
      <c r="D1" s="464"/>
      <c r="E1" s="79"/>
      <c r="F1" s="79"/>
      <c r="G1" s="79"/>
      <c r="H1" s="79"/>
      <c r="I1" s="79"/>
      <c r="J1" s="79"/>
      <c r="K1" s="79"/>
      <c r="L1" s="79"/>
      <c r="M1" s="79"/>
      <c r="N1" s="79"/>
      <c r="O1" s="79"/>
      <c r="P1" s="79"/>
      <c r="Q1" s="79"/>
      <c r="R1" s="79"/>
      <c r="S1" s="79"/>
      <c r="T1" s="79"/>
      <c r="U1" s="79"/>
    </row>
    <row r="2" spans="1:21" x14ac:dyDescent="0.25">
      <c r="A2" s="79"/>
      <c r="B2" s="79"/>
      <c r="C2" s="79"/>
      <c r="D2" s="79"/>
      <c r="E2" s="79"/>
      <c r="F2" s="79"/>
      <c r="G2" s="79"/>
      <c r="H2" s="79"/>
      <c r="I2" s="79"/>
      <c r="J2" s="79"/>
      <c r="K2" s="79"/>
      <c r="L2" s="79"/>
      <c r="M2" s="79"/>
      <c r="N2" s="79"/>
      <c r="O2" s="79"/>
      <c r="P2" s="79"/>
      <c r="Q2" s="79"/>
      <c r="R2" s="79"/>
      <c r="S2" s="79"/>
      <c r="T2" s="79"/>
      <c r="U2" s="79"/>
    </row>
    <row r="3" spans="1:21" ht="60" x14ac:dyDescent="0.25">
      <c r="A3" s="79"/>
      <c r="B3" s="100"/>
      <c r="C3" s="32" t="s">
        <v>120</v>
      </c>
      <c r="D3" s="32" t="s">
        <v>121</v>
      </c>
      <c r="E3" s="32" t="s">
        <v>245</v>
      </c>
      <c r="F3" s="79"/>
      <c r="G3" s="79"/>
      <c r="H3" s="79"/>
      <c r="I3" s="79"/>
      <c r="J3" s="79"/>
      <c r="K3" s="79"/>
      <c r="L3" s="79"/>
      <c r="M3" s="79"/>
      <c r="N3" s="79"/>
      <c r="O3" s="79"/>
      <c r="P3" s="79"/>
      <c r="Q3" s="79"/>
      <c r="R3" s="79"/>
      <c r="S3" s="79"/>
      <c r="T3" s="79"/>
      <c r="U3" s="79"/>
    </row>
    <row r="4" spans="1:21" ht="33.75" x14ac:dyDescent="0.25">
      <c r="A4" s="99" t="s">
        <v>122</v>
      </c>
      <c r="B4" s="35" t="s">
        <v>123</v>
      </c>
      <c r="C4" s="40" t="s">
        <v>124</v>
      </c>
      <c r="D4" s="33" t="s">
        <v>125</v>
      </c>
      <c r="E4" s="33" t="s">
        <v>246</v>
      </c>
      <c r="F4" s="79"/>
      <c r="G4" s="79"/>
      <c r="H4" s="79"/>
      <c r="I4" s="79"/>
      <c r="J4" s="79"/>
      <c r="K4" s="79"/>
      <c r="L4" s="79"/>
      <c r="M4" s="79"/>
      <c r="N4" s="79"/>
      <c r="O4" s="79"/>
      <c r="P4" s="79"/>
      <c r="Q4" s="79"/>
      <c r="R4" s="79"/>
      <c r="S4" s="79"/>
      <c r="T4" s="79"/>
      <c r="U4" s="79"/>
    </row>
    <row r="5" spans="1:21" ht="67.5" x14ac:dyDescent="0.25">
      <c r="A5" s="99" t="s">
        <v>126</v>
      </c>
      <c r="B5" s="36" t="s">
        <v>127</v>
      </c>
      <c r="C5" s="41" t="s">
        <v>128</v>
      </c>
      <c r="D5" s="34" t="s">
        <v>250</v>
      </c>
      <c r="E5" s="34" t="s">
        <v>247</v>
      </c>
      <c r="F5" s="79"/>
      <c r="G5" s="79"/>
      <c r="H5" s="79"/>
      <c r="I5" s="79"/>
      <c r="J5" s="79"/>
      <c r="K5" s="79"/>
      <c r="L5" s="79"/>
      <c r="M5" s="79"/>
      <c r="N5" s="79"/>
      <c r="O5" s="79"/>
      <c r="P5" s="79"/>
      <c r="Q5" s="79"/>
      <c r="R5" s="79"/>
      <c r="S5" s="79"/>
      <c r="T5" s="79"/>
      <c r="U5" s="79"/>
    </row>
    <row r="6" spans="1:21" ht="67.5" x14ac:dyDescent="0.25">
      <c r="A6" s="99" t="s">
        <v>97</v>
      </c>
      <c r="B6" s="37" t="s">
        <v>130</v>
      </c>
      <c r="C6" s="41" t="s">
        <v>131</v>
      </c>
      <c r="D6" s="34" t="s">
        <v>132</v>
      </c>
      <c r="E6" s="34" t="s">
        <v>248</v>
      </c>
      <c r="F6" s="79"/>
      <c r="G6" s="79"/>
      <c r="H6" s="79"/>
      <c r="I6" s="79"/>
      <c r="J6" s="79"/>
      <c r="K6" s="79"/>
      <c r="L6" s="79"/>
      <c r="M6" s="79"/>
      <c r="N6" s="79"/>
      <c r="O6" s="79"/>
      <c r="P6" s="79"/>
      <c r="Q6" s="79"/>
      <c r="R6" s="79"/>
      <c r="S6" s="79"/>
      <c r="T6" s="79"/>
      <c r="U6" s="79"/>
    </row>
    <row r="7" spans="1:21" ht="101.25" x14ac:dyDescent="0.25">
      <c r="A7" s="99" t="s">
        <v>133</v>
      </c>
      <c r="B7" s="38" t="s">
        <v>134</v>
      </c>
      <c r="C7" s="41" t="s">
        <v>135</v>
      </c>
      <c r="D7" s="34" t="s">
        <v>136</v>
      </c>
      <c r="E7" s="34" t="s">
        <v>249</v>
      </c>
      <c r="F7" s="79"/>
      <c r="G7" s="79"/>
      <c r="H7" s="79"/>
      <c r="I7" s="79"/>
      <c r="J7" s="79"/>
      <c r="K7" s="79"/>
      <c r="L7" s="79"/>
      <c r="M7" s="79"/>
      <c r="N7" s="79"/>
      <c r="O7" s="79"/>
      <c r="P7" s="79"/>
      <c r="Q7" s="79"/>
      <c r="R7" s="79"/>
      <c r="S7" s="79"/>
      <c r="T7" s="79"/>
      <c r="U7" s="79"/>
    </row>
    <row r="8" spans="1:21" ht="67.5" x14ac:dyDescent="0.25">
      <c r="A8" s="99" t="s">
        <v>137</v>
      </c>
      <c r="B8" s="39" t="s">
        <v>138</v>
      </c>
      <c r="C8" s="41" t="s">
        <v>139</v>
      </c>
      <c r="D8" s="34" t="s">
        <v>140</v>
      </c>
      <c r="E8" s="34" t="s">
        <v>251</v>
      </c>
      <c r="F8" s="79"/>
      <c r="G8" s="79"/>
      <c r="H8" s="79"/>
      <c r="I8" s="79"/>
      <c r="J8" s="79"/>
      <c r="K8" s="79"/>
      <c r="L8" s="79"/>
      <c r="M8" s="79"/>
      <c r="N8" s="79"/>
      <c r="O8" s="79"/>
      <c r="P8" s="79"/>
      <c r="Q8" s="79"/>
      <c r="R8" s="79"/>
      <c r="S8" s="79"/>
      <c r="T8" s="79"/>
      <c r="U8" s="79"/>
    </row>
    <row r="9" spans="1:21" ht="20.25" x14ac:dyDescent="0.25">
      <c r="A9" s="99"/>
      <c r="B9" s="99"/>
      <c r="C9" s="101"/>
      <c r="D9" s="101"/>
      <c r="E9" s="79"/>
      <c r="F9" s="79"/>
      <c r="G9" s="79"/>
      <c r="H9" s="79"/>
      <c r="I9" s="79"/>
      <c r="J9" s="79"/>
      <c r="K9" s="79"/>
      <c r="L9" s="79"/>
      <c r="M9" s="79"/>
      <c r="N9" s="79"/>
      <c r="O9" s="79"/>
      <c r="P9" s="79"/>
      <c r="Q9" s="79"/>
      <c r="R9" s="79"/>
      <c r="S9" s="79"/>
      <c r="T9" s="79"/>
      <c r="U9" s="79"/>
    </row>
    <row r="10" spans="1:21" ht="16.5" x14ac:dyDescent="0.25">
      <c r="A10" s="99"/>
      <c r="B10" s="102"/>
      <c r="C10" s="102"/>
      <c r="D10" s="102"/>
      <c r="E10" s="79"/>
      <c r="F10" s="79"/>
      <c r="G10" s="79"/>
      <c r="H10" s="79"/>
      <c r="I10" s="79"/>
      <c r="J10" s="79"/>
      <c r="K10" s="79"/>
      <c r="L10" s="79"/>
      <c r="M10" s="79"/>
      <c r="N10" s="79"/>
      <c r="O10" s="79"/>
      <c r="P10" s="79"/>
      <c r="Q10" s="79"/>
      <c r="R10" s="79"/>
      <c r="S10" s="79"/>
      <c r="T10" s="79"/>
      <c r="U10" s="79"/>
    </row>
    <row r="11" spans="1:21" x14ac:dyDescent="0.25">
      <c r="A11" s="99"/>
      <c r="B11" s="99" t="s">
        <v>141</v>
      </c>
      <c r="C11" s="99" t="s">
        <v>142</v>
      </c>
      <c r="D11" s="99" t="s">
        <v>143</v>
      </c>
      <c r="E11" s="79"/>
      <c r="F11" s="79"/>
      <c r="G11" s="79"/>
      <c r="H11" s="79"/>
      <c r="I11" s="79"/>
      <c r="J11" s="79"/>
      <c r="K11" s="79"/>
      <c r="L11" s="79"/>
      <c r="M11" s="79"/>
      <c r="N11" s="79"/>
      <c r="O11" s="79"/>
      <c r="P11" s="79"/>
      <c r="Q11" s="79"/>
      <c r="R11" s="79"/>
      <c r="S11" s="79"/>
      <c r="T11" s="79"/>
      <c r="U11" s="79"/>
    </row>
    <row r="12" spans="1:21" x14ac:dyDescent="0.25">
      <c r="A12" s="99"/>
      <c r="B12" s="99" t="s">
        <v>144</v>
      </c>
      <c r="C12" s="99" t="s">
        <v>145</v>
      </c>
      <c r="D12" s="99" t="s">
        <v>146</v>
      </c>
      <c r="E12" s="79"/>
      <c r="F12" s="79"/>
      <c r="G12" s="79"/>
      <c r="H12" s="79"/>
      <c r="I12" s="79"/>
      <c r="J12" s="79"/>
      <c r="K12" s="79"/>
      <c r="L12" s="79"/>
      <c r="M12" s="79"/>
      <c r="N12" s="79"/>
      <c r="O12" s="79"/>
      <c r="P12" s="79"/>
      <c r="Q12" s="79"/>
      <c r="R12" s="79"/>
      <c r="S12" s="79"/>
      <c r="T12" s="79"/>
      <c r="U12" s="79"/>
    </row>
    <row r="13" spans="1:21" x14ac:dyDescent="0.25">
      <c r="A13" s="99"/>
      <c r="B13" s="99"/>
      <c r="C13" s="99" t="s">
        <v>147</v>
      </c>
      <c r="D13" s="99" t="s">
        <v>148</v>
      </c>
      <c r="E13" s="79"/>
      <c r="F13" s="79"/>
      <c r="G13" s="79"/>
      <c r="H13" s="79"/>
      <c r="I13" s="79"/>
      <c r="J13" s="79"/>
      <c r="K13" s="79"/>
      <c r="L13" s="79"/>
      <c r="M13" s="79"/>
      <c r="N13" s="79"/>
      <c r="O13" s="79"/>
      <c r="P13" s="79"/>
      <c r="Q13" s="79"/>
      <c r="R13" s="79"/>
      <c r="S13" s="79"/>
      <c r="T13" s="79"/>
      <c r="U13" s="79"/>
    </row>
    <row r="14" spans="1:21" x14ac:dyDescent="0.25">
      <c r="A14" s="99"/>
      <c r="B14" s="99"/>
      <c r="C14" s="99" t="s">
        <v>149</v>
      </c>
      <c r="D14" s="99" t="s">
        <v>150</v>
      </c>
      <c r="E14" s="79"/>
      <c r="F14" s="79"/>
      <c r="G14" s="79"/>
      <c r="H14" s="79"/>
      <c r="I14" s="79"/>
      <c r="J14" s="79"/>
      <c r="K14" s="79"/>
      <c r="L14" s="79"/>
      <c r="M14" s="79"/>
      <c r="N14" s="79"/>
      <c r="O14" s="79"/>
      <c r="P14" s="79"/>
      <c r="Q14" s="79"/>
      <c r="R14" s="79"/>
      <c r="S14" s="79"/>
      <c r="T14" s="79"/>
      <c r="U14" s="79"/>
    </row>
    <row r="15" spans="1:21" x14ac:dyDescent="0.25">
      <c r="A15" s="99"/>
      <c r="B15" s="99"/>
      <c r="C15" s="99" t="s">
        <v>151</v>
      </c>
      <c r="D15" s="99" t="s">
        <v>152</v>
      </c>
      <c r="E15" s="79"/>
      <c r="F15" s="79"/>
      <c r="G15" s="79"/>
      <c r="H15" s="79"/>
      <c r="I15" s="79"/>
      <c r="J15" s="79"/>
      <c r="K15" s="79"/>
      <c r="L15" s="79"/>
      <c r="M15" s="79"/>
      <c r="N15" s="79"/>
      <c r="O15" s="79"/>
      <c r="P15" s="79"/>
      <c r="Q15" s="79"/>
      <c r="R15" s="79"/>
      <c r="S15" s="79"/>
      <c r="T15" s="79"/>
      <c r="U15" s="79"/>
    </row>
    <row r="16" spans="1:21" x14ac:dyDescent="0.25">
      <c r="A16" s="99"/>
      <c r="B16" s="99"/>
      <c r="C16" s="99"/>
      <c r="D16" s="99"/>
      <c r="E16" s="79"/>
      <c r="F16" s="79"/>
      <c r="G16" s="79"/>
      <c r="H16" s="79"/>
      <c r="I16" s="79"/>
      <c r="J16" s="79"/>
      <c r="K16" s="79"/>
      <c r="L16" s="79"/>
      <c r="M16" s="79"/>
      <c r="N16" s="79"/>
      <c r="O16" s="79"/>
    </row>
    <row r="17" spans="1:15" x14ac:dyDescent="0.25">
      <c r="A17" s="99"/>
      <c r="B17" s="99"/>
      <c r="C17" s="99"/>
      <c r="D17" s="99"/>
      <c r="E17" s="79"/>
      <c r="F17" s="79"/>
      <c r="G17" s="79"/>
      <c r="H17" s="79"/>
      <c r="I17" s="79"/>
      <c r="J17" s="79"/>
      <c r="K17" s="79"/>
      <c r="L17" s="79"/>
      <c r="M17" s="79"/>
      <c r="N17" s="79"/>
      <c r="O17" s="79"/>
    </row>
    <row r="18" spans="1:15" x14ac:dyDescent="0.25">
      <c r="A18" s="99"/>
      <c r="B18" s="103"/>
      <c r="C18" s="103"/>
      <c r="D18" s="103"/>
      <c r="E18" s="79"/>
      <c r="F18" s="79"/>
      <c r="G18" s="79"/>
      <c r="H18" s="79"/>
      <c r="I18" s="79"/>
      <c r="J18" s="79"/>
      <c r="K18" s="79"/>
      <c r="L18" s="79"/>
      <c r="M18" s="79"/>
      <c r="N18" s="79"/>
      <c r="O18" s="79"/>
    </row>
    <row r="19" spans="1:15" x14ac:dyDescent="0.25">
      <c r="A19" s="99"/>
      <c r="B19" s="103"/>
      <c r="C19" s="103"/>
      <c r="D19" s="103"/>
      <c r="E19" s="79"/>
      <c r="F19" s="79"/>
      <c r="G19" s="79"/>
      <c r="H19" s="79"/>
      <c r="I19" s="79"/>
      <c r="J19" s="79"/>
      <c r="K19" s="79"/>
      <c r="L19" s="79"/>
      <c r="M19" s="79"/>
      <c r="N19" s="79"/>
      <c r="O19" s="79"/>
    </row>
    <row r="20" spans="1:15" x14ac:dyDescent="0.25">
      <c r="A20" s="99"/>
      <c r="B20" s="103"/>
      <c r="C20" s="103"/>
      <c r="D20" s="103"/>
      <c r="E20" s="79"/>
      <c r="F20" s="79"/>
      <c r="G20" s="79"/>
      <c r="H20" s="79"/>
      <c r="I20" s="79"/>
      <c r="J20" s="79"/>
      <c r="K20" s="79"/>
      <c r="L20" s="79"/>
      <c r="M20" s="79"/>
      <c r="N20" s="79"/>
      <c r="O20" s="79"/>
    </row>
    <row r="21" spans="1:15" x14ac:dyDescent="0.25">
      <c r="A21" s="99"/>
      <c r="B21" s="103"/>
      <c r="C21" s="103"/>
      <c r="D21" s="103"/>
      <c r="E21" s="79"/>
      <c r="F21" s="79"/>
      <c r="G21" s="79"/>
      <c r="H21" s="79"/>
      <c r="I21" s="79"/>
      <c r="J21" s="79"/>
      <c r="K21" s="79"/>
      <c r="L21" s="79"/>
      <c r="M21" s="79"/>
      <c r="N21" s="79"/>
      <c r="O21" s="79"/>
    </row>
    <row r="22" spans="1:15" ht="20.25" x14ac:dyDescent="0.25">
      <c r="A22" s="99"/>
      <c r="B22" s="99"/>
      <c r="C22" s="101"/>
      <c r="D22" s="101"/>
      <c r="E22" s="79"/>
      <c r="F22" s="79"/>
      <c r="G22" s="79"/>
      <c r="H22" s="79"/>
      <c r="I22" s="79"/>
      <c r="J22" s="79"/>
      <c r="K22" s="79"/>
      <c r="L22" s="79"/>
      <c r="M22" s="79"/>
      <c r="N22" s="79"/>
      <c r="O22" s="79"/>
    </row>
    <row r="23" spans="1:15" ht="20.25" x14ac:dyDescent="0.25">
      <c r="A23" s="99"/>
      <c r="B23" s="99"/>
      <c r="C23" s="101"/>
      <c r="D23" s="101"/>
      <c r="E23" s="79"/>
      <c r="F23" s="79"/>
      <c r="G23" s="79"/>
      <c r="H23" s="79"/>
      <c r="I23" s="79"/>
      <c r="J23" s="79"/>
      <c r="K23" s="79"/>
      <c r="L23" s="79"/>
      <c r="M23" s="79"/>
      <c r="N23" s="79"/>
      <c r="O23" s="79"/>
    </row>
    <row r="24" spans="1:15" ht="20.25" x14ac:dyDescent="0.25">
      <c r="A24" s="99"/>
      <c r="B24" s="99"/>
      <c r="C24" s="101"/>
      <c r="D24" s="101"/>
      <c r="E24" s="79"/>
      <c r="F24" s="79"/>
      <c r="G24" s="79"/>
      <c r="H24" s="79"/>
      <c r="I24" s="79"/>
      <c r="J24" s="79"/>
      <c r="K24" s="79"/>
      <c r="L24" s="79"/>
      <c r="M24" s="79"/>
      <c r="N24" s="79"/>
      <c r="O24" s="79"/>
    </row>
    <row r="25" spans="1:15" ht="20.25" x14ac:dyDescent="0.25">
      <c r="A25" s="99"/>
      <c r="B25" s="99"/>
      <c r="C25" s="101"/>
      <c r="D25" s="101"/>
      <c r="E25" s="79"/>
      <c r="F25" s="79"/>
      <c r="G25" s="79"/>
      <c r="H25" s="79"/>
      <c r="I25" s="79"/>
      <c r="J25" s="79"/>
      <c r="K25" s="79"/>
      <c r="L25" s="79"/>
      <c r="M25" s="79"/>
      <c r="N25" s="79"/>
      <c r="O25" s="79"/>
    </row>
    <row r="26" spans="1:15" ht="20.25" x14ac:dyDescent="0.25">
      <c r="A26" s="99"/>
      <c r="B26" s="99"/>
      <c r="C26" s="101"/>
      <c r="D26" s="101"/>
      <c r="E26" s="79"/>
      <c r="F26" s="79"/>
      <c r="G26" s="79"/>
      <c r="H26" s="79"/>
      <c r="I26" s="79"/>
      <c r="J26" s="79"/>
      <c r="K26" s="79"/>
      <c r="L26" s="79"/>
      <c r="M26" s="79"/>
      <c r="N26" s="79"/>
      <c r="O26" s="79"/>
    </row>
    <row r="27" spans="1:15" ht="20.25" x14ac:dyDescent="0.25">
      <c r="A27" s="99"/>
      <c r="B27" s="99"/>
      <c r="C27" s="101"/>
      <c r="D27" s="101"/>
      <c r="E27" s="79"/>
      <c r="F27" s="79"/>
      <c r="G27" s="79"/>
      <c r="H27" s="79"/>
      <c r="I27" s="79"/>
      <c r="J27" s="79"/>
      <c r="K27" s="79"/>
      <c r="L27" s="79"/>
      <c r="M27" s="79"/>
      <c r="N27" s="79"/>
      <c r="O27" s="79"/>
    </row>
    <row r="28" spans="1:15" ht="20.25" x14ac:dyDescent="0.25">
      <c r="A28" s="99"/>
      <c r="B28" s="99"/>
      <c r="C28" s="101"/>
      <c r="D28" s="101"/>
      <c r="E28" s="79"/>
      <c r="F28" s="79"/>
      <c r="G28" s="79"/>
      <c r="H28" s="79"/>
      <c r="I28" s="79"/>
      <c r="J28" s="79"/>
      <c r="K28" s="79"/>
      <c r="L28" s="79"/>
      <c r="M28" s="79"/>
      <c r="N28" s="79"/>
      <c r="O28" s="79"/>
    </row>
    <row r="29" spans="1:15" ht="20.25" x14ac:dyDescent="0.25">
      <c r="A29" s="99"/>
      <c r="B29" s="99"/>
      <c r="C29" s="101"/>
      <c r="D29" s="101"/>
      <c r="E29" s="79"/>
      <c r="F29" s="79"/>
      <c r="G29" s="79"/>
      <c r="H29" s="79"/>
      <c r="I29" s="79"/>
      <c r="J29" s="79"/>
      <c r="K29" s="79"/>
      <c r="L29" s="79"/>
      <c r="M29" s="79"/>
      <c r="N29" s="79"/>
      <c r="O29" s="79"/>
    </row>
    <row r="30" spans="1:15" ht="20.25" x14ac:dyDescent="0.25">
      <c r="A30" s="99"/>
      <c r="B30" s="99"/>
      <c r="C30" s="101"/>
      <c r="D30" s="101"/>
      <c r="E30" s="79"/>
      <c r="F30" s="79"/>
      <c r="G30" s="79"/>
      <c r="H30" s="79"/>
      <c r="I30" s="79"/>
      <c r="J30" s="79"/>
      <c r="K30" s="79"/>
      <c r="L30" s="79"/>
      <c r="M30" s="79"/>
      <c r="N30" s="79"/>
      <c r="O30" s="79"/>
    </row>
    <row r="31" spans="1:15" ht="20.25" x14ac:dyDescent="0.25">
      <c r="A31" s="99"/>
      <c r="B31" s="99"/>
      <c r="C31" s="101"/>
      <c r="D31" s="101"/>
      <c r="E31" s="79"/>
      <c r="F31" s="79"/>
      <c r="G31" s="79"/>
      <c r="H31" s="79"/>
      <c r="I31" s="79"/>
      <c r="J31" s="79"/>
      <c r="K31" s="79"/>
      <c r="L31" s="79"/>
      <c r="M31" s="79"/>
      <c r="N31" s="79"/>
      <c r="O31" s="79"/>
    </row>
    <row r="32" spans="1:15" ht="20.25" x14ac:dyDescent="0.25">
      <c r="A32" s="99"/>
      <c r="B32" s="99"/>
      <c r="C32" s="101"/>
      <c r="D32" s="101"/>
      <c r="E32" s="79"/>
      <c r="F32" s="79"/>
      <c r="G32" s="79"/>
      <c r="H32" s="79"/>
      <c r="I32" s="79"/>
      <c r="J32" s="79"/>
      <c r="K32" s="79"/>
      <c r="L32" s="79"/>
      <c r="M32" s="79"/>
      <c r="N32" s="79"/>
      <c r="O32" s="79"/>
    </row>
    <row r="33" spans="1:15" ht="20.25" x14ac:dyDescent="0.25">
      <c r="A33" s="99"/>
      <c r="B33" s="99"/>
      <c r="C33" s="101"/>
      <c r="D33" s="101"/>
      <c r="E33" s="79"/>
      <c r="F33" s="79"/>
      <c r="G33" s="79"/>
      <c r="H33" s="79"/>
      <c r="I33" s="79"/>
      <c r="J33" s="79"/>
      <c r="K33" s="79"/>
      <c r="L33" s="79"/>
      <c r="M33" s="79"/>
      <c r="N33" s="79"/>
      <c r="O33" s="79"/>
    </row>
    <row r="34" spans="1:15" ht="20.25" x14ac:dyDescent="0.25">
      <c r="A34" s="99"/>
      <c r="B34" s="99"/>
      <c r="C34" s="101"/>
      <c r="D34" s="101"/>
      <c r="E34" s="79"/>
      <c r="F34" s="79"/>
      <c r="G34" s="79"/>
      <c r="H34" s="79"/>
      <c r="I34" s="79"/>
      <c r="J34" s="79"/>
      <c r="K34" s="79"/>
      <c r="L34" s="79"/>
      <c r="M34" s="79"/>
      <c r="N34" s="79"/>
      <c r="O34" s="79"/>
    </row>
    <row r="35" spans="1:15" ht="20.25" x14ac:dyDescent="0.25">
      <c r="A35" s="99"/>
      <c r="B35" s="99"/>
      <c r="C35" s="101"/>
      <c r="D35" s="101"/>
      <c r="E35" s="79"/>
      <c r="F35" s="79"/>
      <c r="G35" s="79"/>
      <c r="H35" s="79"/>
      <c r="I35" s="79"/>
      <c r="J35" s="79"/>
      <c r="K35" s="79"/>
      <c r="L35" s="79"/>
      <c r="M35" s="79"/>
      <c r="N35" s="79"/>
      <c r="O35" s="79"/>
    </row>
    <row r="36" spans="1:15" ht="20.25" x14ac:dyDescent="0.25">
      <c r="A36" s="99"/>
      <c r="B36" s="99"/>
      <c r="C36" s="101"/>
      <c r="D36" s="101"/>
      <c r="E36" s="79"/>
      <c r="F36" s="79"/>
      <c r="G36" s="79"/>
      <c r="H36" s="79"/>
      <c r="I36" s="79"/>
      <c r="J36" s="79"/>
      <c r="K36" s="79"/>
      <c r="L36" s="79"/>
      <c r="M36" s="79"/>
      <c r="N36" s="79"/>
      <c r="O36" s="79"/>
    </row>
    <row r="37" spans="1:15" ht="20.25" x14ac:dyDescent="0.25">
      <c r="A37" s="99"/>
      <c r="B37" s="99"/>
      <c r="C37" s="101"/>
      <c r="D37" s="101"/>
      <c r="E37" s="79"/>
      <c r="F37" s="79"/>
      <c r="G37" s="79"/>
      <c r="H37" s="79"/>
      <c r="I37" s="79"/>
      <c r="J37" s="79"/>
      <c r="K37" s="79"/>
      <c r="L37" s="79"/>
      <c r="M37" s="79"/>
      <c r="N37" s="79"/>
      <c r="O37" s="79"/>
    </row>
    <row r="38" spans="1:15" ht="20.25" x14ac:dyDescent="0.25">
      <c r="A38" s="99"/>
      <c r="B38" s="99"/>
      <c r="C38" s="101"/>
      <c r="D38" s="101"/>
      <c r="E38" s="79"/>
      <c r="F38" s="79"/>
      <c r="G38" s="79"/>
      <c r="H38" s="79"/>
      <c r="I38" s="79"/>
      <c r="J38" s="79"/>
      <c r="K38" s="79"/>
      <c r="L38" s="79"/>
      <c r="M38" s="79"/>
      <c r="N38" s="79"/>
      <c r="O38" s="79"/>
    </row>
    <row r="39" spans="1:15" ht="20.25" x14ac:dyDescent="0.25">
      <c r="A39" s="99"/>
      <c r="B39" s="99"/>
      <c r="C39" s="101"/>
      <c r="D39" s="101"/>
      <c r="E39" s="79"/>
      <c r="F39" s="79"/>
      <c r="G39" s="79"/>
      <c r="H39" s="79"/>
      <c r="I39" s="79"/>
      <c r="J39" s="79"/>
      <c r="K39" s="79"/>
      <c r="L39" s="79"/>
      <c r="M39" s="79"/>
      <c r="N39" s="79"/>
      <c r="O39" s="79"/>
    </row>
    <row r="40" spans="1:15" ht="20.25" x14ac:dyDescent="0.25">
      <c r="A40" s="99"/>
      <c r="B40" s="99"/>
      <c r="C40" s="101"/>
      <c r="D40" s="101"/>
      <c r="E40" s="79"/>
      <c r="F40" s="79"/>
      <c r="G40" s="79"/>
      <c r="H40" s="79"/>
      <c r="I40" s="79"/>
      <c r="J40" s="79"/>
      <c r="K40" s="79"/>
      <c r="L40" s="79"/>
      <c r="M40" s="79"/>
      <c r="N40" s="79"/>
      <c r="O40" s="79"/>
    </row>
    <row r="41" spans="1:15" ht="20.25" x14ac:dyDescent="0.25">
      <c r="A41" s="99"/>
      <c r="B41" s="99"/>
      <c r="C41" s="101"/>
      <c r="D41" s="101"/>
      <c r="E41" s="79"/>
      <c r="F41" s="79"/>
      <c r="G41" s="79"/>
      <c r="H41" s="79"/>
      <c r="I41" s="79"/>
      <c r="J41" s="79"/>
      <c r="K41" s="79"/>
      <c r="L41" s="79"/>
      <c r="M41" s="79"/>
      <c r="N41" s="79"/>
      <c r="O41" s="79"/>
    </row>
    <row r="42" spans="1:15" ht="20.25" x14ac:dyDescent="0.25">
      <c r="A42" s="99"/>
      <c r="B42" s="99"/>
      <c r="C42" s="101"/>
      <c r="D42" s="101"/>
      <c r="E42" s="79"/>
      <c r="F42" s="79"/>
      <c r="G42" s="79"/>
      <c r="H42" s="79"/>
      <c r="I42" s="79"/>
      <c r="J42" s="79"/>
      <c r="K42" s="79"/>
      <c r="L42" s="79"/>
      <c r="M42" s="79"/>
      <c r="N42" s="79"/>
      <c r="O42" s="79"/>
    </row>
    <row r="43" spans="1:15" ht="20.25" x14ac:dyDescent="0.25">
      <c r="A43" s="99"/>
      <c r="B43" s="99"/>
      <c r="C43" s="101"/>
      <c r="D43" s="101"/>
      <c r="E43" s="79"/>
      <c r="F43" s="79"/>
      <c r="G43" s="79"/>
      <c r="H43" s="79"/>
      <c r="I43" s="79"/>
      <c r="J43" s="79"/>
      <c r="K43" s="79"/>
      <c r="L43" s="79"/>
      <c r="M43" s="79"/>
      <c r="N43" s="79"/>
      <c r="O43" s="79"/>
    </row>
    <row r="44" spans="1:15" ht="20.25" x14ac:dyDescent="0.25">
      <c r="A44" s="99"/>
      <c r="B44" s="99"/>
      <c r="C44" s="101"/>
      <c r="D44" s="101"/>
      <c r="E44" s="79"/>
      <c r="F44" s="79"/>
      <c r="G44" s="79"/>
      <c r="H44" s="79"/>
      <c r="I44" s="79"/>
      <c r="J44" s="79"/>
      <c r="K44" s="79"/>
      <c r="L44" s="79"/>
      <c r="M44" s="79"/>
      <c r="N44" s="79"/>
      <c r="O44" s="79"/>
    </row>
    <row r="45" spans="1:15" ht="20.25" x14ac:dyDescent="0.25">
      <c r="A45" s="99"/>
      <c r="B45" s="99"/>
      <c r="C45" s="101"/>
      <c r="D45" s="101"/>
      <c r="E45" s="79"/>
      <c r="F45" s="79"/>
      <c r="G45" s="79"/>
      <c r="H45" s="79"/>
      <c r="I45" s="79"/>
      <c r="J45" s="79"/>
      <c r="K45" s="79"/>
      <c r="L45" s="79"/>
      <c r="M45" s="79"/>
      <c r="N45" s="79"/>
      <c r="O45" s="79"/>
    </row>
    <row r="46" spans="1:15" ht="20.25" x14ac:dyDescent="0.25">
      <c r="A46" s="99"/>
      <c r="B46" s="99"/>
      <c r="C46" s="101"/>
      <c r="D46" s="101"/>
      <c r="E46" s="79"/>
      <c r="F46" s="79"/>
      <c r="G46" s="79"/>
      <c r="H46" s="79"/>
      <c r="I46" s="79"/>
      <c r="J46" s="79"/>
      <c r="K46" s="79"/>
      <c r="L46" s="79"/>
      <c r="M46" s="79"/>
      <c r="N46" s="79"/>
      <c r="O46" s="79"/>
    </row>
    <row r="47" spans="1:15" ht="20.25" x14ac:dyDescent="0.25">
      <c r="A47" s="99"/>
      <c r="B47" s="99"/>
      <c r="C47" s="101"/>
      <c r="D47" s="101"/>
      <c r="E47" s="79"/>
      <c r="F47" s="79"/>
      <c r="G47" s="79"/>
      <c r="H47" s="79"/>
      <c r="I47" s="79"/>
      <c r="J47" s="79"/>
      <c r="K47" s="79"/>
      <c r="L47" s="79"/>
      <c r="M47" s="79"/>
      <c r="N47" s="79"/>
      <c r="O47" s="79"/>
    </row>
    <row r="48" spans="1:15" ht="20.25" x14ac:dyDescent="0.25">
      <c r="A48" s="99"/>
      <c r="B48" s="99"/>
      <c r="C48" s="101"/>
      <c r="D48" s="101"/>
      <c r="E48" s="79"/>
      <c r="F48" s="79"/>
      <c r="G48" s="79"/>
      <c r="H48" s="79"/>
      <c r="I48" s="79"/>
      <c r="J48" s="79"/>
      <c r="K48" s="79"/>
      <c r="L48" s="79"/>
      <c r="M48" s="79"/>
      <c r="N48" s="79"/>
      <c r="O48" s="79"/>
    </row>
    <row r="49" spans="1:15" ht="20.25" x14ac:dyDescent="0.25">
      <c r="A49" s="99"/>
      <c r="B49" s="99"/>
      <c r="C49" s="101"/>
      <c r="D49" s="101"/>
      <c r="E49" s="79"/>
      <c r="F49" s="79"/>
      <c r="G49" s="79"/>
      <c r="H49" s="79"/>
      <c r="I49" s="79"/>
      <c r="J49" s="79"/>
      <c r="K49" s="79"/>
      <c r="L49" s="79"/>
      <c r="M49" s="79"/>
      <c r="N49" s="79"/>
      <c r="O49" s="79"/>
    </row>
    <row r="50" spans="1:15" ht="20.25" x14ac:dyDescent="0.25">
      <c r="A50" s="99"/>
      <c r="B50" s="99"/>
      <c r="C50" s="101"/>
      <c r="D50" s="101"/>
      <c r="E50" s="79"/>
      <c r="F50" s="79"/>
      <c r="G50" s="79"/>
      <c r="H50" s="79"/>
      <c r="I50" s="79"/>
      <c r="J50" s="79"/>
      <c r="K50" s="79"/>
      <c r="L50" s="79"/>
      <c r="M50" s="79"/>
      <c r="N50" s="79"/>
      <c r="O50" s="79"/>
    </row>
    <row r="51" spans="1:15" ht="20.25" x14ac:dyDescent="0.25">
      <c r="A51" s="99"/>
      <c r="B51" s="99"/>
      <c r="C51" s="101"/>
      <c r="D51" s="101"/>
      <c r="E51" s="79"/>
      <c r="F51" s="79"/>
      <c r="G51" s="79"/>
      <c r="H51" s="79"/>
      <c r="I51" s="79"/>
      <c r="J51" s="79"/>
      <c r="K51" s="79"/>
      <c r="L51" s="79"/>
      <c r="M51" s="79"/>
      <c r="N51" s="79"/>
      <c r="O51" s="79"/>
    </row>
    <row r="52" spans="1:15" ht="20.25" x14ac:dyDescent="0.25">
      <c r="A52" s="99"/>
      <c r="B52" s="20"/>
      <c r="C52" s="30"/>
      <c r="D52" s="30"/>
    </row>
    <row r="53" spans="1:15" ht="20.25" x14ac:dyDescent="0.25">
      <c r="A53" s="99"/>
      <c r="B53" s="20"/>
      <c r="C53" s="30"/>
      <c r="D53" s="30"/>
    </row>
    <row r="54" spans="1:15" ht="20.25" x14ac:dyDescent="0.25">
      <c r="A54" s="99"/>
      <c r="B54" s="20"/>
      <c r="C54" s="30"/>
      <c r="D54" s="30"/>
    </row>
    <row r="55" spans="1:15" ht="20.25" x14ac:dyDescent="0.25">
      <c r="A55" s="99"/>
      <c r="B55" s="20"/>
      <c r="C55" s="30"/>
      <c r="D55" s="30"/>
    </row>
    <row r="56" spans="1:15" ht="20.25" x14ac:dyDescent="0.25">
      <c r="A56" s="99"/>
      <c r="B56" s="20"/>
      <c r="C56" s="30"/>
      <c r="D56" s="30"/>
    </row>
    <row r="57" spans="1:15" ht="20.25" x14ac:dyDescent="0.25">
      <c r="A57" s="99"/>
      <c r="B57" s="20"/>
      <c r="C57" s="30"/>
      <c r="D57" s="30"/>
    </row>
    <row r="58" spans="1:15" ht="20.25" x14ac:dyDescent="0.25">
      <c r="A58" s="99"/>
      <c r="B58" s="20"/>
      <c r="C58" s="30"/>
      <c r="D58" s="30"/>
    </row>
    <row r="59" spans="1:15" ht="20.25" x14ac:dyDescent="0.25">
      <c r="A59" s="99"/>
      <c r="B59" s="20"/>
      <c r="C59" s="30"/>
      <c r="D59" s="30"/>
    </row>
    <row r="60" spans="1:15" ht="20.25" x14ac:dyDescent="0.25">
      <c r="A60" s="99"/>
      <c r="B60" s="20"/>
      <c r="C60" s="30"/>
      <c r="D60" s="30"/>
    </row>
    <row r="61" spans="1:15" ht="20.25" x14ac:dyDescent="0.25">
      <c r="A61" s="99"/>
      <c r="B61" s="20"/>
      <c r="C61" s="30"/>
      <c r="D61" s="30"/>
    </row>
    <row r="62" spans="1:15" ht="20.25" x14ac:dyDescent="0.25">
      <c r="A62" s="99"/>
      <c r="B62" s="20"/>
      <c r="C62" s="30"/>
      <c r="D62" s="30"/>
    </row>
    <row r="63" spans="1:15" ht="20.25" x14ac:dyDescent="0.25">
      <c r="A63" s="99"/>
      <c r="B63" s="20"/>
      <c r="C63" s="30"/>
      <c r="D63" s="30"/>
    </row>
    <row r="64" spans="1:15" ht="20.25" x14ac:dyDescent="0.25">
      <c r="A64" s="99"/>
      <c r="B64" s="20"/>
      <c r="C64" s="30"/>
      <c r="D64" s="30"/>
    </row>
    <row r="65" spans="1:4" ht="20.25" x14ac:dyDescent="0.25">
      <c r="A65" s="99"/>
      <c r="B65" s="20"/>
      <c r="C65" s="30"/>
      <c r="D65" s="30"/>
    </row>
    <row r="66" spans="1:4" ht="20.25" x14ac:dyDescent="0.25">
      <c r="A66" s="99"/>
      <c r="B66" s="20"/>
      <c r="C66" s="30"/>
      <c r="D66" s="30"/>
    </row>
    <row r="67" spans="1:4" ht="20.25" x14ac:dyDescent="0.25">
      <c r="A67" s="99"/>
      <c r="B67" s="20"/>
      <c r="C67" s="30"/>
      <c r="D67" s="30"/>
    </row>
    <row r="68" spans="1:4" ht="20.25" x14ac:dyDescent="0.25">
      <c r="A68" s="99"/>
      <c r="B68" s="20"/>
      <c r="C68" s="30"/>
      <c r="D68" s="30"/>
    </row>
    <row r="69" spans="1:4" ht="20.25" x14ac:dyDescent="0.25">
      <c r="A69" s="99"/>
      <c r="B69" s="20"/>
      <c r="C69" s="30"/>
      <c r="D69" s="30"/>
    </row>
    <row r="70" spans="1:4" ht="20.25" x14ac:dyDescent="0.25">
      <c r="A70" s="99"/>
      <c r="B70" s="20"/>
      <c r="C70" s="30"/>
      <c r="D70" s="30"/>
    </row>
    <row r="71" spans="1:4" ht="20.25" x14ac:dyDescent="0.25">
      <c r="A71" s="99"/>
      <c r="B71" s="20"/>
      <c r="C71" s="30"/>
      <c r="D71" s="30"/>
    </row>
    <row r="72" spans="1:4" ht="20.25" x14ac:dyDescent="0.25">
      <c r="A72" s="99"/>
      <c r="B72" s="20"/>
      <c r="C72" s="30"/>
      <c r="D72" s="30"/>
    </row>
    <row r="73" spans="1:4" ht="20.25" x14ac:dyDescent="0.25">
      <c r="A73" s="99"/>
      <c r="B73" s="20"/>
      <c r="C73" s="30"/>
      <c r="D73" s="30"/>
    </row>
    <row r="74" spans="1:4" ht="20.25" x14ac:dyDescent="0.25">
      <c r="A74" s="99"/>
      <c r="B74" s="20"/>
      <c r="C74" s="30"/>
      <c r="D74" s="30"/>
    </row>
    <row r="75" spans="1:4" ht="20.25" x14ac:dyDescent="0.25">
      <c r="A75" s="99"/>
      <c r="B75" s="20"/>
      <c r="C75" s="30"/>
      <c r="D75" s="30"/>
    </row>
    <row r="76" spans="1:4" ht="20.25" x14ac:dyDescent="0.25">
      <c r="A76" s="99"/>
      <c r="B76" s="20"/>
      <c r="C76" s="30"/>
      <c r="D76" s="30"/>
    </row>
    <row r="77" spans="1:4" ht="20.25" x14ac:dyDescent="0.25">
      <c r="A77" s="99"/>
      <c r="B77" s="20"/>
      <c r="C77" s="30"/>
      <c r="D77" s="30"/>
    </row>
    <row r="78" spans="1:4" ht="20.25" x14ac:dyDescent="0.25">
      <c r="A78" s="99"/>
      <c r="B78" s="20"/>
      <c r="C78" s="30"/>
      <c r="D78" s="30"/>
    </row>
    <row r="79" spans="1:4" ht="20.25" x14ac:dyDescent="0.25">
      <c r="A79" s="99"/>
      <c r="B79" s="20"/>
      <c r="C79" s="30"/>
      <c r="D79" s="30"/>
    </row>
    <row r="80" spans="1:4" ht="20.25" x14ac:dyDescent="0.25">
      <c r="A80" s="99"/>
      <c r="B80" s="20"/>
      <c r="C80" s="30"/>
      <c r="D80" s="30"/>
    </row>
    <row r="81" spans="1:4" ht="20.25" x14ac:dyDescent="0.25">
      <c r="A81" s="99"/>
      <c r="B81" s="20"/>
      <c r="C81" s="30"/>
      <c r="D81" s="30"/>
    </row>
    <row r="82" spans="1:4" ht="20.25" x14ac:dyDescent="0.25">
      <c r="A82" s="99"/>
      <c r="B82" s="20"/>
      <c r="C82" s="30"/>
      <c r="D82" s="30"/>
    </row>
    <row r="83" spans="1:4" ht="20.25" x14ac:dyDescent="0.25">
      <c r="A83" s="99"/>
      <c r="B83" s="20"/>
      <c r="C83" s="30"/>
      <c r="D83" s="30"/>
    </row>
    <row r="84" spans="1:4" ht="20.25" x14ac:dyDescent="0.25">
      <c r="A84" s="99"/>
      <c r="B84" s="20"/>
      <c r="C84" s="30"/>
      <c r="D84" s="30"/>
    </row>
    <row r="85" spans="1:4" ht="20.25" x14ac:dyDescent="0.25">
      <c r="A85" s="99"/>
      <c r="B85" s="20"/>
      <c r="C85" s="30"/>
      <c r="D85" s="30"/>
    </row>
    <row r="86" spans="1:4" ht="20.25" x14ac:dyDescent="0.25">
      <c r="A86" s="99"/>
      <c r="B86" s="20"/>
      <c r="C86" s="30"/>
      <c r="D86" s="30"/>
    </row>
    <row r="87" spans="1:4" ht="20.25" x14ac:dyDescent="0.25">
      <c r="A87" s="99"/>
      <c r="B87" s="20"/>
      <c r="C87" s="30"/>
      <c r="D87" s="30"/>
    </row>
    <row r="88" spans="1:4" ht="20.25" x14ac:dyDescent="0.25">
      <c r="A88" s="99"/>
      <c r="B88" s="20"/>
      <c r="C88" s="30"/>
      <c r="D88" s="30"/>
    </row>
    <row r="89" spans="1:4" ht="20.25" x14ac:dyDescent="0.25">
      <c r="A89" s="99"/>
      <c r="B89" s="20"/>
      <c r="C89" s="30"/>
      <c r="D89" s="30"/>
    </row>
    <row r="90" spans="1:4" ht="20.25" x14ac:dyDescent="0.25">
      <c r="A90" s="99"/>
      <c r="B90" s="20"/>
      <c r="C90" s="30"/>
      <c r="D90" s="30"/>
    </row>
    <row r="91" spans="1:4" ht="20.25" x14ac:dyDescent="0.25">
      <c r="A91" s="99"/>
      <c r="B91" s="20"/>
      <c r="C91" s="30"/>
      <c r="D91" s="30"/>
    </row>
    <row r="92" spans="1:4" ht="20.25" x14ac:dyDescent="0.25">
      <c r="A92" s="99"/>
      <c r="B92" s="20"/>
      <c r="C92" s="30"/>
      <c r="D92" s="30"/>
    </row>
    <row r="93" spans="1:4" ht="20.25" x14ac:dyDescent="0.25">
      <c r="A93" s="99"/>
      <c r="B93" s="20"/>
      <c r="C93" s="30"/>
      <c r="D93" s="30"/>
    </row>
    <row r="94" spans="1:4" ht="20.25" x14ac:dyDescent="0.25">
      <c r="A94" s="99"/>
      <c r="B94" s="20"/>
      <c r="C94" s="30"/>
      <c r="D94" s="30"/>
    </row>
    <row r="95" spans="1:4" ht="20.25" x14ac:dyDescent="0.25">
      <c r="A95" s="99"/>
      <c r="B95" s="20"/>
      <c r="C95" s="30"/>
      <c r="D95" s="30"/>
    </row>
    <row r="96" spans="1:4" ht="20.25" x14ac:dyDescent="0.25">
      <c r="A96" s="99"/>
      <c r="B96" s="20"/>
      <c r="C96" s="30"/>
      <c r="D96" s="30"/>
    </row>
    <row r="97" spans="1:4" ht="20.25" x14ac:dyDescent="0.25">
      <c r="A97" s="99"/>
      <c r="B97" s="20"/>
      <c r="C97" s="30"/>
      <c r="D97" s="30"/>
    </row>
    <row r="98" spans="1:4" ht="20.25" x14ac:dyDescent="0.25">
      <c r="A98" s="99"/>
      <c r="B98" s="20"/>
      <c r="C98" s="30"/>
      <c r="D98" s="30"/>
    </row>
    <row r="99" spans="1:4" ht="20.25" x14ac:dyDescent="0.25">
      <c r="A99" s="99"/>
      <c r="B99" s="20"/>
      <c r="C99" s="30"/>
      <c r="D99" s="30"/>
    </row>
    <row r="100" spans="1:4" ht="20.25" x14ac:dyDescent="0.25">
      <c r="A100" s="99"/>
      <c r="B100" s="20"/>
      <c r="C100" s="30"/>
      <c r="D100" s="30"/>
    </row>
    <row r="101" spans="1:4" ht="20.25" x14ac:dyDescent="0.25">
      <c r="A101" s="99"/>
      <c r="B101" s="20"/>
      <c r="C101" s="30"/>
      <c r="D101" s="30"/>
    </row>
    <row r="102" spans="1:4" ht="20.25" x14ac:dyDescent="0.25">
      <c r="A102" s="99"/>
      <c r="B102" s="20"/>
      <c r="C102" s="30"/>
      <c r="D102" s="30"/>
    </row>
    <row r="103" spans="1:4" ht="20.25" x14ac:dyDescent="0.25">
      <c r="A103" s="99"/>
      <c r="B103" s="20"/>
      <c r="C103" s="30"/>
      <c r="D103" s="30"/>
    </row>
    <row r="104" spans="1:4" ht="20.25" x14ac:dyDescent="0.25">
      <c r="A104" s="99"/>
      <c r="B104" s="20"/>
      <c r="C104" s="30"/>
      <c r="D104" s="30"/>
    </row>
    <row r="105" spans="1:4" ht="20.25" x14ac:dyDescent="0.25">
      <c r="A105" s="99"/>
      <c r="B105" s="20"/>
      <c r="C105" s="30"/>
      <c r="D105" s="30"/>
    </row>
    <row r="106" spans="1:4" ht="20.25" x14ac:dyDescent="0.25">
      <c r="A106" s="99"/>
      <c r="B106" s="20"/>
      <c r="C106" s="30"/>
      <c r="D106" s="30"/>
    </row>
    <row r="107" spans="1:4" ht="20.25" x14ac:dyDescent="0.25">
      <c r="A107" s="99"/>
      <c r="B107" s="20"/>
      <c r="C107" s="30"/>
      <c r="D107" s="30"/>
    </row>
    <row r="108" spans="1:4" ht="20.25" x14ac:dyDescent="0.25">
      <c r="A108" s="99"/>
      <c r="B108" s="20"/>
      <c r="C108" s="30"/>
      <c r="D108" s="30"/>
    </row>
    <row r="109" spans="1:4" ht="20.25" x14ac:dyDescent="0.25">
      <c r="A109" s="99"/>
      <c r="B109" s="20"/>
      <c r="C109" s="30"/>
      <c r="D109" s="30"/>
    </row>
    <row r="110" spans="1:4" ht="20.25" x14ac:dyDescent="0.25">
      <c r="A110" s="99"/>
      <c r="B110" s="20"/>
      <c r="C110" s="30"/>
      <c r="D110" s="30"/>
    </row>
    <row r="111" spans="1:4" ht="20.25" x14ac:dyDescent="0.25">
      <c r="A111" s="99"/>
      <c r="B111" s="20"/>
      <c r="C111" s="30"/>
      <c r="D111" s="30"/>
    </row>
    <row r="112" spans="1:4" ht="20.25" x14ac:dyDescent="0.25">
      <c r="A112" s="99"/>
      <c r="B112" s="20"/>
      <c r="C112" s="30"/>
      <c r="D112" s="30"/>
    </row>
    <row r="113" spans="1:4" ht="20.25" x14ac:dyDescent="0.25">
      <c r="A113" s="99"/>
      <c r="B113" s="20"/>
      <c r="C113" s="30"/>
      <c r="D113" s="30"/>
    </row>
    <row r="114" spans="1:4" ht="20.25" x14ac:dyDescent="0.25">
      <c r="A114" s="99"/>
      <c r="B114" s="20"/>
      <c r="C114" s="30"/>
      <c r="D114" s="30"/>
    </row>
    <row r="115" spans="1:4" ht="20.25" x14ac:dyDescent="0.25">
      <c r="A115" s="99"/>
      <c r="B115" s="20"/>
      <c r="C115" s="30"/>
      <c r="D115" s="30"/>
    </row>
    <row r="116" spans="1:4" ht="20.25" x14ac:dyDescent="0.25">
      <c r="A116" s="99"/>
      <c r="B116" s="20"/>
      <c r="C116" s="30"/>
      <c r="D116" s="30"/>
    </row>
    <row r="117" spans="1:4" ht="20.25" x14ac:dyDescent="0.25">
      <c r="A117" s="99"/>
      <c r="B117" s="20"/>
      <c r="C117" s="30"/>
      <c r="D117" s="30"/>
    </row>
    <row r="118" spans="1:4" ht="20.25" x14ac:dyDescent="0.25">
      <c r="A118" s="99"/>
      <c r="B118" s="20"/>
      <c r="C118" s="30"/>
      <c r="D118" s="30"/>
    </row>
    <row r="119" spans="1:4" ht="20.25" x14ac:dyDescent="0.25">
      <c r="A119" s="99"/>
      <c r="B119" s="20"/>
      <c r="C119" s="30"/>
      <c r="D119" s="30"/>
    </row>
    <row r="120" spans="1:4" ht="20.25" x14ac:dyDescent="0.25">
      <c r="A120" s="99"/>
      <c r="B120" s="20"/>
      <c r="C120" s="30"/>
      <c r="D120" s="30"/>
    </row>
    <row r="121" spans="1:4" ht="20.25" x14ac:dyDescent="0.25">
      <c r="A121" s="99"/>
      <c r="B121" s="20"/>
      <c r="C121" s="30"/>
      <c r="D121" s="30"/>
    </row>
    <row r="122" spans="1:4" ht="20.25" x14ac:dyDescent="0.25">
      <c r="A122" s="99"/>
      <c r="B122" s="20"/>
      <c r="C122" s="30"/>
      <c r="D122" s="30"/>
    </row>
    <row r="123" spans="1:4" ht="20.25" x14ac:dyDescent="0.25">
      <c r="A123" s="99"/>
      <c r="B123" s="20"/>
      <c r="C123" s="30"/>
      <c r="D123" s="30"/>
    </row>
    <row r="124" spans="1:4" ht="20.25" x14ac:dyDescent="0.25">
      <c r="A124" s="99"/>
      <c r="B124" s="20"/>
      <c r="C124" s="30"/>
      <c r="D124" s="30"/>
    </row>
    <row r="125" spans="1:4" ht="20.25" x14ac:dyDescent="0.25">
      <c r="A125" s="99"/>
      <c r="B125" s="20"/>
      <c r="C125" s="30"/>
      <c r="D125" s="30"/>
    </row>
    <row r="126" spans="1:4" ht="20.25" x14ac:dyDescent="0.25">
      <c r="A126" s="99"/>
      <c r="B126" s="20"/>
      <c r="C126" s="30"/>
      <c r="D126" s="30"/>
    </row>
    <row r="127" spans="1:4" ht="20.25" x14ac:dyDescent="0.25">
      <c r="A127" s="99"/>
      <c r="B127" s="20"/>
      <c r="C127" s="30"/>
      <c r="D127" s="30"/>
    </row>
    <row r="128" spans="1:4" ht="20.25" x14ac:dyDescent="0.25">
      <c r="A128" s="99"/>
      <c r="B128" s="20"/>
      <c r="C128" s="30"/>
      <c r="D128" s="30"/>
    </row>
    <row r="129" spans="1:4" ht="20.25" x14ac:dyDescent="0.25">
      <c r="A129" s="99"/>
      <c r="B129" s="20"/>
      <c r="C129" s="30"/>
      <c r="D129" s="30"/>
    </row>
    <row r="130" spans="1:4" ht="20.25" x14ac:dyDescent="0.25">
      <c r="A130" s="99"/>
      <c r="B130" s="20"/>
      <c r="C130" s="30"/>
      <c r="D130" s="30"/>
    </row>
    <row r="131" spans="1:4" ht="20.25" x14ac:dyDescent="0.25">
      <c r="A131" s="99"/>
      <c r="B131" s="20"/>
      <c r="C131" s="30"/>
      <c r="D131" s="30"/>
    </row>
    <row r="132" spans="1:4" ht="20.25" x14ac:dyDescent="0.25">
      <c r="A132" s="99"/>
      <c r="B132" s="20"/>
      <c r="C132" s="30"/>
      <c r="D132" s="30"/>
    </row>
    <row r="133" spans="1:4" ht="20.25" x14ac:dyDescent="0.25">
      <c r="A133" s="99"/>
      <c r="B133" s="20"/>
      <c r="C133" s="30"/>
      <c r="D133" s="30"/>
    </row>
    <row r="134" spans="1:4" ht="20.25" x14ac:dyDescent="0.25">
      <c r="A134" s="99"/>
      <c r="B134" s="20"/>
      <c r="C134" s="30"/>
      <c r="D134" s="30"/>
    </row>
    <row r="135" spans="1:4" ht="20.25" x14ac:dyDescent="0.25">
      <c r="A135" s="99"/>
      <c r="B135" s="20"/>
      <c r="C135" s="30"/>
      <c r="D135" s="30"/>
    </row>
    <row r="136" spans="1:4" ht="20.25" x14ac:dyDescent="0.25">
      <c r="A136" s="99"/>
      <c r="B136" s="20"/>
      <c r="C136" s="30"/>
      <c r="D136" s="30"/>
    </row>
    <row r="137" spans="1:4" ht="20.25" x14ac:dyDescent="0.25">
      <c r="A137" s="99"/>
      <c r="B137" s="20"/>
      <c r="C137" s="30"/>
      <c r="D137" s="30"/>
    </row>
    <row r="138" spans="1:4" ht="20.25" x14ac:dyDescent="0.25">
      <c r="A138" s="99"/>
      <c r="B138" s="20"/>
      <c r="C138" s="30"/>
      <c r="D138" s="30"/>
    </row>
    <row r="139" spans="1:4" ht="20.25" x14ac:dyDescent="0.25">
      <c r="A139" s="99"/>
      <c r="B139" s="20"/>
      <c r="C139" s="30"/>
      <c r="D139" s="30"/>
    </row>
    <row r="140" spans="1:4" ht="20.25" x14ac:dyDescent="0.25">
      <c r="A140" s="99"/>
      <c r="B140" s="20"/>
      <c r="C140" s="30"/>
      <c r="D140" s="30"/>
    </row>
    <row r="141" spans="1:4" ht="20.25" x14ac:dyDescent="0.25">
      <c r="A141" s="99"/>
      <c r="B141" s="20"/>
      <c r="C141" s="30"/>
      <c r="D141" s="30"/>
    </row>
    <row r="142" spans="1:4" ht="20.25" x14ac:dyDescent="0.25">
      <c r="A142" s="99"/>
      <c r="B142" s="20"/>
      <c r="C142" s="30"/>
      <c r="D142" s="30"/>
    </row>
    <row r="143" spans="1:4" ht="20.25" x14ac:dyDescent="0.25">
      <c r="A143" s="99"/>
      <c r="B143" s="20"/>
      <c r="C143" s="30"/>
      <c r="D143" s="30"/>
    </row>
    <row r="144" spans="1:4" ht="20.25" x14ac:dyDescent="0.25">
      <c r="A144" s="99"/>
      <c r="B144" s="20"/>
      <c r="C144" s="30"/>
      <c r="D144" s="30"/>
    </row>
    <row r="145" spans="1:4" ht="20.25" x14ac:dyDescent="0.25">
      <c r="A145" s="99"/>
      <c r="B145" s="20"/>
      <c r="C145" s="30"/>
      <c r="D145" s="30"/>
    </row>
    <row r="146" spans="1:4" ht="20.25" x14ac:dyDescent="0.25">
      <c r="A146" s="99"/>
      <c r="B146" s="20"/>
      <c r="C146" s="30"/>
      <c r="D146" s="30"/>
    </row>
    <row r="147" spans="1:4" ht="20.25" x14ac:dyDescent="0.25">
      <c r="A147" s="99"/>
      <c r="B147" s="20"/>
      <c r="C147" s="30"/>
      <c r="D147" s="30"/>
    </row>
    <row r="148" spans="1:4" ht="20.25" x14ac:dyDescent="0.25">
      <c r="A148" s="99"/>
      <c r="B148" s="20"/>
      <c r="C148" s="30"/>
      <c r="D148" s="30"/>
    </row>
    <row r="149" spans="1:4" ht="20.25" x14ac:dyDescent="0.25">
      <c r="A149" s="99"/>
      <c r="B149" s="20"/>
      <c r="C149" s="30"/>
      <c r="D149" s="30"/>
    </row>
    <row r="150" spans="1:4" ht="20.25" x14ac:dyDescent="0.25">
      <c r="A150" s="99"/>
      <c r="B150" s="20"/>
      <c r="C150" s="30"/>
      <c r="D150" s="30"/>
    </row>
    <row r="151" spans="1:4" ht="20.25" x14ac:dyDescent="0.25">
      <c r="A151" s="99"/>
      <c r="B151" s="20"/>
      <c r="C151" s="30"/>
      <c r="D151" s="30"/>
    </row>
    <row r="152" spans="1:4" ht="20.25" x14ac:dyDescent="0.25">
      <c r="A152" s="99"/>
      <c r="B152" s="20"/>
      <c r="C152" s="30"/>
      <c r="D152" s="30"/>
    </row>
    <row r="153" spans="1:4" ht="20.25" x14ac:dyDescent="0.25">
      <c r="A153" s="99"/>
      <c r="B153" s="20"/>
      <c r="C153" s="30"/>
      <c r="D153" s="30"/>
    </row>
    <row r="154" spans="1:4" ht="20.25" x14ac:dyDescent="0.25">
      <c r="A154" s="99"/>
      <c r="B154" s="20"/>
      <c r="C154" s="30"/>
      <c r="D154" s="30"/>
    </row>
    <row r="155" spans="1:4" ht="20.25" x14ac:dyDescent="0.25">
      <c r="A155" s="99"/>
      <c r="B155" s="20"/>
      <c r="C155" s="30"/>
      <c r="D155" s="30"/>
    </row>
    <row r="156" spans="1:4" ht="20.25" x14ac:dyDescent="0.25">
      <c r="A156" s="99"/>
      <c r="B156" s="20"/>
      <c r="C156" s="30"/>
      <c r="D156" s="30"/>
    </row>
    <row r="157" spans="1:4" ht="20.25" x14ac:dyDescent="0.25">
      <c r="A157" s="99"/>
      <c r="B157" s="20"/>
      <c r="C157" s="30"/>
      <c r="D157" s="30"/>
    </row>
    <row r="158" spans="1:4" ht="20.25" x14ac:dyDescent="0.25">
      <c r="A158" s="99"/>
      <c r="B158" s="20"/>
      <c r="C158" s="30"/>
      <c r="D158" s="30"/>
    </row>
    <row r="159" spans="1:4" ht="20.25" x14ac:dyDescent="0.25">
      <c r="A159" s="99"/>
      <c r="B159" s="20"/>
      <c r="C159" s="30"/>
      <c r="D159" s="30"/>
    </row>
    <row r="160" spans="1:4" ht="20.25" x14ac:dyDescent="0.25">
      <c r="A160" s="99"/>
      <c r="B160" s="20"/>
      <c r="C160" s="30"/>
      <c r="D160" s="30"/>
    </row>
    <row r="161" spans="1:4" ht="20.25" x14ac:dyDescent="0.25">
      <c r="A161" s="99"/>
      <c r="B161" s="20"/>
      <c r="C161" s="30"/>
      <c r="D161" s="30"/>
    </row>
    <row r="162" spans="1:4" ht="20.25" x14ac:dyDescent="0.25">
      <c r="A162" s="99"/>
      <c r="B162" s="20"/>
      <c r="C162" s="30"/>
      <c r="D162" s="30"/>
    </row>
    <row r="163" spans="1:4" ht="20.25" x14ac:dyDescent="0.25">
      <c r="A163" s="99"/>
      <c r="B163" s="20"/>
      <c r="C163" s="30"/>
      <c r="D163" s="30"/>
    </row>
    <row r="164" spans="1:4" ht="20.25" x14ac:dyDescent="0.25">
      <c r="A164" s="99"/>
      <c r="B164" s="20"/>
      <c r="C164" s="30"/>
      <c r="D164" s="30"/>
    </row>
    <row r="165" spans="1:4" ht="20.25" x14ac:dyDescent="0.25">
      <c r="A165" s="99"/>
      <c r="B165" s="20"/>
      <c r="C165" s="30"/>
      <c r="D165" s="30"/>
    </row>
    <row r="166" spans="1:4" ht="20.25" x14ac:dyDescent="0.25">
      <c r="A166" s="99"/>
      <c r="B166" s="20"/>
      <c r="C166" s="30"/>
      <c r="D166" s="30"/>
    </row>
    <row r="167" spans="1:4" ht="20.25" x14ac:dyDescent="0.25">
      <c r="A167" s="99"/>
      <c r="B167" s="20"/>
      <c r="C167" s="30"/>
      <c r="D167" s="30"/>
    </row>
    <row r="168" spans="1:4" ht="20.25" x14ac:dyDescent="0.25">
      <c r="A168" s="99"/>
      <c r="B168" s="20"/>
      <c r="C168" s="30"/>
      <c r="D168" s="30"/>
    </row>
    <row r="169" spans="1:4" ht="20.25" x14ac:dyDescent="0.25">
      <c r="A169" s="99"/>
      <c r="B169" s="20"/>
      <c r="C169" s="30"/>
      <c r="D169" s="30"/>
    </row>
    <row r="170" spans="1:4" ht="20.25" x14ac:dyDescent="0.25">
      <c r="A170" s="99"/>
      <c r="B170" s="20"/>
      <c r="C170" s="30"/>
      <c r="D170" s="30"/>
    </row>
    <row r="171" spans="1:4" ht="20.25" x14ac:dyDescent="0.25">
      <c r="A171" s="99"/>
      <c r="B171" s="20"/>
      <c r="C171" s="30"/>
      <c r="D171" s="30"/>
    </row>
    <row r="172" spans="1:4" ht="20.25" x14ac:dyDescent="0.25">
      <c r="A172" s="99"/>
      <c r="B172" s="20"/>
      <c r="C172" s="30"/>
      <c r="D172" s="30"/>
    </row>
    <row r="173" spans="1:4" ht="20.25" x14ac:dyDescent="0.25">
      <c r="A173" s="99"/>
      <c r="B173" s="20"/>
      <c r="C173" s="30"/>
      <c r="D173" s="30"/>
    </row>
    <row r="174" spans="1:4" ht="20.25" x14ac:dyDescent="0.25">
      <c r="A174" s="99"/>
      <c r="B174" s="20"/>
      <c r="C174" s="30"/>
      <c r="D174" s="30"/>
    </row>
    <row r="175" spans="1:4" ht="20.25" x14ac:dyDescent="0.25">
      <c r="A175" s="99"/>
      <c r="B175" s="20"/>
      <c r="C175" s="30"/>
      <c r="D175" s="30"/>
    </row>
    <row r="176" spans="1:4" ht="20.25" x14ac:dyDescent="0.25">
      <c r="A176" s="99"/>
      <c r="B176" s="20"/>
      <c r="C176" s="30"/>
      <c r="D176" s="30"/>
    </row>
    <row r="177" spans="1:4" ht="20.25" x14ac:dyDescent="0.25">
      <c r="A177" s="99"/>
      <c r="B177" s="20"/>
      <c r="C177" s="30"/>
      <c r="D177" s="30"/>
    </row>
    <row r="178" spans="1:4" ht="20.25" x14ac:dyDescent="0.25">
      <c r="A178" s="99"/>
      <c r="B178" s="20"/>
      <c r="C178" s="30"/>
      <c r="D178" s="30"/>
    </row>
    <row r="179" spans="1:4" ht="20.25" x14ac:dyDescent="0.25">
      <c r="A179" s="99"/>
      <c r="B179" s="20"/>
      <c r="C179" s="30"/>
      <c r="D179" s="30"/>
    </row>
    <row r="180" spans="1:4" ht="20.25" x14ac:dyDescent="0.25">
      <c r="A180" s="99"/>
      <c r="B180" s="20"/>
      <c r="C180" s="30"/>
      <c r="D180" s="30"/>
    </row>
    <row r="181" spans="1:4" ht="20.25" x14ac:dyDescent="0.25">
      <c r="A181" s="99"/>
      <c r="B181" s="20"/>
      <c r="C181" s="30"/>
      <c r="D181" s="30"/>
    </row>
    <row r="182" spans="1:4" ht="20.25" x14ac:dyDescent="0.25">
      <c r="A182" s="99"/>
      <c r="B182" s="20"/>
      <c r="C182" s="30"/>
      <c r="D182" s="30"/>
    </row>
    <row r="183" spans="1:4" ht="20.25" x14ac:dyDescent="0.25">
      <c r="A183" s="99"/>
      <c r="B183" s="20"/>
      <c r="C183" s="30"/>
      <c r="D183" s="30"/>
    </row>
    <row r="184" spans="1:4" ht="20.25" x14ac:dyDescent="0.25">
      <c r="A184" s="99"/>
      <c r="B184" s="20"/>
      <c r="C184" s="30"/>
      <c r="D184" s="30"/>
    </row>
    <row r="185" spans="1:4" ht="20.25" x14ac:dyDescent="0.25">
      <c r="A185" s="99"/>
      <c r="B185" s="20"/>
      <c r="C185" s="30"/>
      <c r="D185" s="30"/>
    </row>
    <row r="186" spans="1:4" ht="20.25" x14ac:dyDescent="0.25">
      <c r="A186" s="99"/>
      <c r="B186" s="20"/>
      <c r="C186" s="30"/>
      <c r="D186" s="30"/>
    </row>
    <row r="187" spans="1:4" ht="20.25" x14ac:dyDescent="0.25">
      <c r="A187" s="99"/>
      <c r="B187" s="20"/>
      <c r="C187" s="30"/>
      <c r="D187" s="30"/>
    </row>
    <row r="188" spans="1:4" ht="20.25" x14ac:dyDescent="0.25">
      <c r="A188" s="99"/>
      <c r="B188" s="20"/>
      <c r="C188" s="30"/>
      <c r="D188" s="30"/>
    </row>
    <row r="189" spans="1:4" ht="20.25" x14ac:dyDescent="0.25">
      <c r="A189" s="99"/>
      <c r="B189" s="20"/>
      <c r="C189" s="30"/>
      <c r="D189" s="30"/>
    </row>
    <row r="190" spans="1:4" ht="20.25" x14ac:dyDescent="0.25">
      <c r="A190" s="99"/>
      <c r="B190" s="20"/>
      <c r="C190" s="30"/>
      <c r="D190" s="30"/>
    </row>
    <row r="191" spans="1:4" ht="20.25" x14ac:dyDescent="0.25">
      <c r="A191" s="99"/>
      <c r="B191" s="20"/>
      <c r="C191" s="30"/>
      <c r="D191" s="30"/>
    </row>
    <row r="192" spans="1:4" ht="20.25" x14ac:dyDescent="0.25">
      <c r="A192" s="99"/>
      <c r="B192" s="20"/>
      <c r="C192" s="30"/>
      <c r="D192" s="30"/>
    </row>
    <row r="193" spans="1:4" ht="20.25" x14ac:dyDescent="0.25">
      <c r="A193" s="99"/>
      <c r="B193" s="20"/>
      <c r="C193" s="30"/>
      <c r="D193" s="30"/>
    </row>
    <row r="194" spans="1:4" ht="20.25" x14ac:dyDescent="0.25">
      <c r="A194" s="99"/>
      <c r="B194" s="20"/>
      <c r="C194" s="30"/>
      <c r="D194" s="30"/>
    </row>
    <row r="195" spans="1:4" ht="20.25" x14ac:dyDescent="0.25">
      <c r="A195" s="99"/>
      <c r="B195" s="20"/>
      <c r="C195" s="30"/>
      <c r="D195" s="30"/>
    </row>
    <row r="196" spans="1:4" ht="20.25" x14ac:dyDescent="0.25">
      <c r="A196" s="99"/>
      <c r="B196" s="20"/>
      <c r="C196" s="30"/>
      <c r="D196" s="30"/>
    </row>
    <row r="197" spans="1:4" ht="20.25" x14ac:dyDescent="0.25">
      <c r="A197" s="99"/>
      <c r="B197" s="20"/>
      <c r="C197" s="30"/>
      <c r="D197" s="30"/>
    </row>
    <row r="198" spans="1:4" ht="20.25" x14ac:dyDescent="0.25">
      <c r="A198" s="99"/>
      <c r="B198" s="20"/>
      <c r="C198" s="30"/>
      <c r="D198" s="30"/>
    </row>
    <row r="199" spans="1:4" ht="20.25" x14ac:dyDescent="0.25">
      <c r="A199" s="99"/>
      <c r="B199" s="20"/>
      <c r="C199" s="30"/>
      <c r="D199" s="30"/>
    </row>
    <row r="200" spans="1:4" ht="20.25" x14ac:dyDescent="0.25">
      <c r="A200" s="99"/>
      <c r="B200" s="20"/>
      <c r="C200" s="30"/>
      <c r="D200" s="30"/>
    </row>
    <row r="201" spans="1:4" ht="20.25" x14ac:dyDescent="0.25">
      <c r="A201" s="99"/>
      <c r="B201" s="20"/>
      <c r="C201" s="30"/>
      <c r="D201" s="30"/>
    </row>
    <row r="202" spans="1:4" ht="20.25" x14ac:dyDescent="0.25">
      <c r="A202" s="99"/>
      <c r="B202" s="20"/>
      <c r="C202" s="30"/>
      <c r="D202" s="30"/>
    </row>
    <row r="203" spans="1:4" ht="20.25" x14ac:dyDescent="0.25">
      <c r="A203" s="99"/>
      <c r="B203" s="20"/>
      <c r="C203" s="30"/>
      <c r="D203" s="30"/>
    </row>
    <row r="204" spans="1:4" ht="20.25" x14ac:dyDescent="0.25">
      <c r="A204" s="99"/>
      <c r="B204" s="20"/>
      <c r="C204" s="30"/>
      <c r="D204" s="30"/>
    </row>
    <row r="205" spans="1:4" ht="20.25" x14ac:dyDescent="0.25">
      <c r="A205" s="99"/>
      <c r="B205" s="20"/>
      <c r="C205" s="30"/>
      <c r="D205" s="30"/>
    </row>
    <row r="206" spans="1:4" ht="20.25" x14ac:dyDescent="0.25">
      <c r="A206" s="99"/>
      <c r="B206" s="20"/>
      <c r="C206" s="30"/>
      <c r="D206" s="30"/>
    </row>
    <row r="207" spans="1:4" ht="20.25" x14ac:dyDescent="0.25">
      <c r="A207" s="99"/>
      <c r="B207" s="20"/>
      <c r="C207" s="30"/>
      <c r="D207" s="30"/>
    </row>
    <row r="208" spans="1:4" x14ac:dyDescent="0.25">
      <c r="A208" s="79"/>
      <c r="B208" s="20"/>
      <c r="C208" s="20"/>
      <c r="D208" s="20"/>
    </row>
    <row r="209" spans="1:8" ht="20.25" x14ac:dyDescent="0.25">
      <c r="A209" s="79"/>
      <c r="B209" s="26" t="s">
        <v>153</v>
      </c>
      <c r="C209" s="26" t="s">
        <v>154</v>
      </c>
      <c r="D209" s="29" t="s">
        <v>153</v>
      </c>
      <c r="E209" s="29" t="s">
        <v>154</v>
      </c>
    </row>
    <row r="210" spans="1:8" ht="21" x14ac:dyDescent="0.35">
      <c r="A210" s="79"/>
      <c r="B210" s="27" t="s">
        <v>155</v>
      </c>
      <c r="C210" s="27" t="s">
        <v>156</v>
      </c>
      <c r="D210" t="s">
        <v>155</v>
      </c>
      <c r="F210" t="str">
        <f>IF(NOT(ISBLANK(D210)),D210,IF(NOT(ISBLANK(E210)),"     "&amp;E210,FALSE))</f>
        <v>Afectación Económica o presupuestal</v>
      </c>
      <c r="G210" t="s">
        <v>155</v>
      </c>
      <c r="H210" t="str">
        <f>IF(NOT(ISERROR(MATCH(G210,_xlfn.ANCHORARRAY(B221),0))),F228&amp;"Por favor no seleccionar los criterios de impacto",G210)</f>
        <v>❌Por favor no seleccionar los criterios de impacto</v>
      </c>
    </row>
    <row r="211" spans="1:8" ht="21" x14ac:dyDescent="0.35">
      <c r="A211" s="79"/>
      <c r="B211" s="27" t="s">
        <v>155</v>
      </c>
      <c r="C211" s="27" t="s">
        <v>128</v>
      </c>
      <c r="E211" t="s">
        <v>156</v>
      </c>
      <c r="F211" t="str">
        <f t="shared" ref="F211:F221" si="0">IF(NOT(ISBLANK(D211)),D211,IF(NOT(ISBLANK(E211)),"     "&amp;E211,FALSE))</f>
        <v xml:space="preserve">     Afectación menor a 10 SMLMV .</v>
      </c>
    </row>
    <row r="212" spans="1:8" ht="21" x14ac:dyDescent="0.35">
      <c r="A212" s="79"/>
      <c r="B212" s="27" t="s">
        <v>155</v>
      </c>
      <c r="C212" s="27" t="s">
        <v>131</v>
      </c>
      <c r="E212" t="s">
        <v>128</v>
      </c>
      <c r="F212" t="str">
        <f t="shared" si="0"/>
        <v xml:space="preserve">     Entre 10 y 50 SMLMV </v>
      </c>
    </row>
    <row r="213" spans="1:8" ht="21" x14ac:dyDescent="0.35">
      <c r="A213" s="79"/>
      <c r="B213" s="27" t="s">
        <v>155</v>
      </c>
      <c r="C213" s="27" t="s">
        <v>135</v>
      </c>
      <c r="E213" t="s">
        <v>131</v>
      </c>
      <c r="F213" t="str">
        <f t="shared" si="0"/>
        <v xml:space="preserve">     Entre 50 y 100 SMLMV </v>
      </c>
    </row>
    <row r="214" spans="1:8" ht="21" x14ac:dyDescent="0.35">
      <c r="A214" s="79"/>
      <c r="B214" s="27" t="s">
        <v>155</v>
      </c>
      <c r="C214" s="27" t="s">
        <v>139</v>
      </c>
      <c r="E214" t="s">
        <v>135</v>
      </c>
      <c r="F214" t="str">
        <f t="shared" si="0"/>
        <v xml:space="preserve">     Entre 100 y 500 SMLMV </v>
      </c>
    </row>
    <row r="215" spans="1:8" ht="21" x14ac:dyDescent="0.35">
      <c r="A215" s="79"/>
      <c r="B215" s="27" t="s">
        <v>121</v>
      </c>
      <c r="C215" s="27" t="s">
        <v>125</v>
      </c>
      <c r="E215" t="s">
        <v>139</v>
      </c>
      <c r="F215" t="str">
        <f t="shared" si="0"/>
        <v xml:space="preserve">     Mayor a 500 SMLMV </v>
      </c>
    </row>
    <row r="216" spans="1:8" ht="21" x14ac:dyDescent="0.35">
      <c r="A216" s="79"/>
      <c r="B216" s="27" t="s">
        <v>121</v>
      </c>
      <c r="C216" s="27" t="s">
        <v>129</v>
      </c>
      <c r="D216" t="s">
        <v>121</v>
      </c>
      <c r="F216" t="str">
        <f t="shared" si="0"/>
        <v>Pérdida Reputacional</v>
      </c>
    </row>
    <row r="217" spans="1:8" ht="21" x14ac:dyDescent="0.35">
      <c r="A217" s="79"/>
      <c r="B217" s="27" t="s">
        <v>121</v>
      </c>
      <c r="C217" s="27" t="s">
        <v>132</v>
      </c>
      <c r="E217" t="s">
        <v>125</v>
      </c>
      <c r="F217" t="str">
        <f t="shared" si="0"/>
        <v xml:space="preserve">     El riesgo afecta la imagen de alguna área de la organización</v>
      </c>
    </row>
    <row r="218" spans="1:8" ht="21" x14ac:dyDescent="0.35">
      <c r="A218" s="79"/>
      <c r="B218" s="27" t="s">
        <v>121</v>
      </c>
      <c r="C218" s="27" t="s">
        <v>136</v>
      </c>
      <c r="E218" t="s">
        <v>129</v>
      </c>
      <c r="F218" t="str">
        <f t="shared" si="0"/>
        <v xml:space="preserve">     El riesgo afecta la imagen de la entidad internamente, de conocimiento general, nivel interno, de junta dircetiva y accionistas y/o de provedores</v>
      </c>
    </row>
    <row r="219" spans="1:8" ht="21" x14ac:dyDescent="0.35">
      <c r="A219" s="79"/>
      <c r="B219" s="27" t="s">
        <v>121</v>
      </c>
      <c r="C219" s="27" t="s">
        <v>140</v>
      </c>
      <c r="E219" t="s">
        <v>132</v>
      </c>
      <c r="F219" t="str">
        <f t="shared" si="0"/>
        <v xml:space="preserve">     El riesgo afecta la imagen de la entidad con algunos usuarios de relevancia frente al logro de los objetivos</v>
      </c>
    </row>
    <row r="220" spans="1:8" x14ac:dyDescent="0.25">
      <c r="A220" s="79"/>
      <c r="B220" s="28"/>
      <c r="C220" s="28"/>
      <c r="E220" t="s">
        <v>136</v>
      </c>
      <c r="F220" t="str">
        <f t="shared" si="0"/>
        <v xml:space="preserve">     El riesgo afecta la imagen de de la entidad con efecto publicitario sostenido a nivel de sector administrativo, nivel departamental o municipal</v>
      </c>
    </row>
    <row r="221" spans="1:8" x14ac:dyDescent="0.25">
      <c r="A221" s="79"/>
      <c r="B221" s="28" t="str" cm="1">
        <f t="array" ref="B221:B223">_xlfn.UNIQUE(Tabla1[[#All],[Criterios]])</f>
        <v>Criterios</v>
      </c>
      <c r="C221" s="28"/>
      <c r="E221" t="s">
        <v>140</v>
      </c>
      <c r="F221" t="str">
        <f t="shared" si="0"/>
        <v xml:space="preserve">     El riesgo afecta la imagen de la entidad a nivel nacional, con efecto publicitarios sostenible a nivel país</v>
      </c>
    </row>
    <row r="222" spans="1:8" x14ac:dyDescent="0.25">
      <c r="A222" s="79"/>
      <c r="B222" s="28" t="str">
        <v>Afectación Económica o presupuestal</v>
      </c>
      <c r="C222" s="28"/>
      <c r="F222" t="s">
        <v>245</v>
      </c>
    </row>
    <row r="223" spans="1:8" x14ac:dyDescent="0.25">
      <c r="B223" s="28" t="str">
        <v>Pérdida Reputacional</v>
      </c>
      <c r="C223" s="28"/>
      <c r="F223" t="s">
        <v>246</v>
      </c>
    </row>
    <row r="224" spans="1:8" x14ac:dyDescent="0.25">
      <c r="B224" s="19"/>
      <c r="C224" s="19"/>
      <c r="F224" t="s">
        <v>247</v>
      </c>
    </row>
    <row r="225" spans="2:6" x14ac:dyDescent="0.25">
      <c r="B225" s="19"/>
      <c r="C225" s="19"/>
      <c r="F225" t="s">
        <v>248</v>
      </c>
    </row>
    <row r="226" spans="2:6" x14ac:dyDescent="0.25">
      <c r="B226" s="19"/>
      <c r="C226" s="19"/>
      <c r="F226" t="s">
        <v>249</v>
      </c>
    </row>
    <row r="227" spans="2:6" x14ac:dyDescent="0.25">
      <c r="B227" s="19"/>
      <c r="C227" s="19"/>
      <c r="D227" s="19"/>
      <c r="F227" t="s">
        <v>251</v>
      </c>
    </row>
    <row r="228" spans="2:6" x14ac:dyDescent="0.25">
      <c r="B228" s="19"/>
      <c r="C228" s="19"/>
      <c r="D228" s="19"/>
      <c r="F228" s="31" t="s">
        <v>157</v>
      </c>
    </row>
    <row r="229" spans="2:6" x14ac:dyDescent="0.25">
      <c r="B229" s="19"/>
      <c r="C229" s="19"/>
      <c r="D229" s="19"/>
      <c r="F229" s="31" t="s">
        <v>158</v>
      </c>
    </row>
    <row r="230" spans="2:6" x14ac:dyDescent="0.25">
      <c r="B230" s="19"/>
      <c r="C230" s="19"/>
      <c r="D230" s="19"/>
    </row>
    <row r="231" spans="2:6" x14ac:dyDescent="0.25">
      <c r="B231" s="19"/>
      <c r="C231" s="19"/>
      <c r="D231" s="19"/>
    </row>
    <row r="232" spans="2:6" x14ac:dyDescent="0.25">
      <c r="B232" s="19"/>
      <c r="C232" s="19"/>
      <c r="D232" s="19"/>
    </row>
  </sheetData>
  <mergeCells count="1">
    <mergeCell ref="B1:D1"/>
  </mergeCells>
  <dataValidations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F611-1DA3-4245-9FA1-19BCDBA48BFC}">
  <sheetPr>
    <tabColor theme="9" tint="-0.249977111117893"/>
  </sheetPr>
  <dimension ref="C2:J16"/>
  <sheetViews>
    <sheetView showGridLines="0" workbookViewId="0">
      <selection activeCell="G16" sqref="G16"/>
    </sheetView>
  </sheetViews>
  <sheetFormatPr baseColWidth="10" defaultColWidth="11.42578125" defaultRowHeight="15.75" x14ac:dyDescent="0.25"/>
  <cols>
    <col min="1" max="3" width="11.42578125" style="145"/>
    <col min="4" max="4" width="25.42578125" style="145" customWidth="1"/>
    <col min="5" max="5" width="22.5703125" style="145" customWidth="1"/>
    <col min="6" max="6" width="23.7109375" style="145" customWidth="1"/>
    <col min="7" max="7" width="45.85546875" style="145" customWidth="1"/>
    <col min="8" max="16384" width="11.42578125" style="145"/>
  </cols>
  <sheetData>
    <row r="2" spans="3:10" ht="16.5" thickBot="1" x14ac:dyDescent="0.3"/>
    <row r="3" spans="3:10" ht="32.25" thickBot="1" x14ac:dyDescent="0.3">
      <c r="C3" s="146" t="s">
        <v>252</v>
      </c>
      <c r="D3" s="147" t="s">
        <v>253</v>
      </c>
      <c r="E3" s="469" t="s">
        <v>254</v>
      </c>
      <c r="F3" s="470"/>
      <c r="G3" s="471"/>
      <c r="J3" s="157" t="s">
        <v>13</v>
      </c>
    </row>
    <row r="4" spans="3:10" x14ac:dyDescent="0.25">
      <c r="C4" s="465">
        <v>1</v>
      </c>
      <c r="D4" s="148" t="s">
        <v>9</v>
      </c>
      <c r="E4" s="149" t="s">
        <v>256</v>
      </c>
      <c r="F4" s="149" t="s">
        <v>258</v>
      </c>
      <c r="G4" s="159" t="s">
        <v>260</v>
      </c>
      <c r="H4" s="160"/>
      <c r="J4" s="158">
        <f>+H4*H6*H9*H11*H13*H15</f>
        <v>0</v>
      </c>
    </row>
    <row r="5" spans="3:10" ht="63.75" thickBot="1" x14ac:dyDescent="0.3">
      <c r="C5" s="466"/>
      <c r="D5" s="150" t="s">
        <v>255</v>
      </c>
      <c r="E5" s="151" t="s">
        <v>257</v>
      </c>
      <c r="F5" s="151" t="s">
        <v>259</v>
      </c>
      <c r="G5" s="153" t="s">
        <v>261</v>
      </c>
    </row>
    <row r="6" spans="3:10" x14ac:dyDescent="0.25">
      <c r="C6" s="465">
        <v>2</v>
      </c>
      <c r="D6" s="148" t="s">
        <v>91</v>
      </c>
      <c r="E6" s="149" t="s">
        <v>264</v>
      </c>
      <c r="F6" s="149" t="s">
        <v>266</v>
      </c>
      <c r="G6" s="159" t="s">
        <v>268</v>
      </c>
      <c r="H6" s="160"/>
    </row>
    <row r="7" spans="3:10" ht="78.75" x14ac:dyDescent="0.25">
      <c r="C7" s="472"/>
      <c r="D7" s="148" t="s">
        <v>262</v>
      </c>
      <c r="E7" s="149" t="s">
        <v>265</v>
      </c>
      <c r="F7" s="149" t="s">
        <v>267</v>
      </c>
      <c r="G7" s="149" t="s">
        <v>269</v>
      </c>
    </row>
    <row r="8" spans="3:10" ht="16.5" thickBot="1" x14ac:dyDescent="0.3">
      <c r="C8" s="466"/>
      <c r="D8" s="150" t="s">
        <v>263</v>
      </c>
      <c r="E8" s="152"/>
      <c r="F8" s="152"/>
      <c r="G8" s="152"/>
    </row>
    <row r="9" spans="3:10" x14ac:dyDescent="0.25">
      <c r="C9" s="465">
        <v>3</v>
      </c>
      <c r="D9" s="148" t="s">
        <v>270</v>
      </c>
      <c r="E9" s="149" t="s">
        <v>272</v>
      </c>
      <c r="F9" s="149" t="s">
        <v>274</v>
      </c>
      <c r="G9" s="159" t="s">
        <v>276</v>
      </c>
      <c r="H9" s="160"/>
    </row>
    <row r="10" spans="3:10" ht="63.75" thickBot="1" x14ac:dyDescent="0.3">
      <c r="C10" s="466"/>
      <c r="D10" s="150" t="s">
        <v>271</v>
      </c>
      <c r="E10" s="151" t="s">
        <v>273</v>
      </c>
      <c r="F10" s="151" t="s">
        <v>275</v>
      </c>
      <c r="G10" s="151" t="s">
        <v>277</v>
      </c>
    </row>
    <row r="11" spans="3:10" x14ac:dyDescent="0.25">
      <c r="C11" s="465">
        <v>4</v>
      </c>
      <c r="D11" s="154" t="s">
        <v>278</v>
      </c>
      <c r="E11" s="155" t="s">
        <v>280</v>
      </c>
      <c r="F11" s="155" t="s">
        <v>281</v>
      </c>
      <c r="G11" s="161" t="s">
        <v>282</v>
      </c>
      <c r="H11" s="160"/>
    </row>
    <row r="12" spans="3:10" ht="111" thickBot="1" x14ac:dyDescent="0.3">
      <c r="C12" s="466"/>
      <c r="D12" s="150" t="s">
        <v>279</v>
      </c>
      <c r="E12" s="151" t="s">
        <v>296</v>
      </c>
      <c r="F12" s="151" t="s">
        <v>295</v>
      </c>
      <c r="G12" s="151" t="s">
        <v>283</v>
      </c>
    </row>
    <row r="13" spans="3:10" x14ac:dyDescent="0.25">
      <c r="C13" s="472">
        <v>5</v>
      </c>
      <c r="D13" s="148" t="s">
        <v>284</v>
      </c>
      <c r="E13" s="149" t="s">
        <v>264</v>
      </c>
      <c r="F13" s="149" t="s">
        <v>287</v>
      </c>
      <c r="G13" s="159" t="s">
        <v>268</v>
      </c>
      <c r="H13" s="160"/>
    </row>
    <row r="14" spans="3:10" ht="79.5" thickBot="1" x14ac:dyDescent="0.3">
      <c r="C14" s="466"/>
      <c r="D14" s="150" t="s">
        <v>285</v>
      </c>
      <c r="E14" s="151" t="s">
        <v>286</v>
      </c>
      <c r="F14" s="151" t="s">
        <v>288</v>
      </c>
      <c r="G14" s="151" t="s">
        <v>289</v>
      </c>
    </row>
    <row r="15" spans="3:10" x14ac:dyDescent="0.25">
      <c r="C15" s="465">
        <v>6</v>
      </c>
      <c r="D15" s="148" t="s">
        <v>290</v>
      </c>
      <c r="E15" s="149" t="s">
        <v>264</v>
      </c>
      <c r="F15" s="467" t="s">
        <v>293</v>
      </c>
      <c r="G15" s="159" t="s">
        <v>268</v>
      </c>
      <c r="H15" s="160"/>
    </row>
    <row r="16" spans="3:10" ht="79.5" thickBot="1" x14ac:dyDescent="0.3">
      <c r="C16" s="466"/>
      <c r="D16" s="150" t="s">
        <v>291</v>
      </c>
      <c r="E16" s="151" t="s">
        <v>292</v>
      </c>
      <c r="F16" s="468"/>
      <c r="G16" s="151" t="s">
        <v>294</v>
      </c>
    </row>
  </sheetData>
  <mergeCells count="8">
    <mergeCell ref="C15:C16"/>
    <mergeCell ref="F15:F16"/>
    <mergeCell ref="E3:G3"/>
    <mergeCell ref="C4:C5"/>
    <mergeCell ref="C6:C8"/>
    <mergeCell ref="C9:C10"/>
    <mergeCell ref="C11:C12"/>
    <mergeCell ref="C13:C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1D8248-B1FC-4597-891F-A75668D08FAD}">
  <ds:schemaRefs>
    <ds:schemaRef ds:uri="http://schemas.microsoft.com/sharepoint/v3/contenttype/forms"/>
  </ds:schemaRefs>
</ds:datastoreItem>
</file>

<file path=customXml/itemProps2.xml><?xml version="1.0" encoding="utf-8"?>
<ds:datastoreItem xmlns:ds="http://schemas.openxmlformats.org/officeDocument/2006/customXml" ds:itemID="{9A2D7CED-557C-445E-9A86-EF8905F451FD}">
  <ds:schemaRefs>
    <ds:schemaRef ds:uri="http://schemas.microsoft.com/office/2006/metadata/properties"/>
    <ds:schemaRef ds:uri="http://schemas.microsoft.com/office/infopath/2007/PartnerControls"/>
    <ds:schemaRef ds:uri="4d1d2e24-7be0-47eb-a1db-99cc6d75caff"/>
  </ds:schemaRefs>
</ds:datastoreItem>
</file>

<file path=customXml/itemProps3.xml><?xml version="1.0" encoding="utf-8"?>
<ds:datastoreItem xmlns:ds="http://schemas.openxmlformats.org/officeDocument/2006/customXml" ds:itemID="{A6C4C26C-C7A7-458F-857D-DFF733C90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Instructivo</vt:lpstr>
      <vt:lpstr>Contexto proceso</vt:lpstr>
      <vt:lpstr>Mapa final</vt:lpstr>
      <vt:lpstr>Impacto-clasificacion</vt:lpstr>
      <vt:lpstr>Matriz Calor Inherente</vt:lpstr>
      <vt:lpstr>Matriz Calor Residual</vt:lpstr>
      <vt:lpstr>Tabla probabilidad</vt:lpstr>
      <vt:lpstr>Tabla Impacto</vt:lpstr>
      <vt:lpstr>Criterios riesgos amb.</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Luisa Fernanda Ibagon Moreno</cp:lastModifiedBy>
  <cp:revision/>
  <dcterms:created xsi:type="dcterms:W3CDTF">2020-03-24T23:12:47Z</dcterms:created>
  <dcterms:modified xsi:type="dcterms:W3CDTF">2022-12-23T19:52:55Z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