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TempUserProfiles\NetworkService\AppData\OICE_16_974FA576_32C1D314_3D07\"/>
    </mc:Choice>
  </mc:AlternateContent>
  <xr:revisionPtr revIDLastSave="16" documentId="8_{B64D7991-495F-4ECA-B139-5311AFD614BE}" xr6:coauthVersionLast="42" xr6:coauthVersionMax="42" xr10:uidLastSave="{6F3E2FF6-CCE3-4A1A-9F8E-A95ED5B0D928}"/>
  <bookViews>
    <workbookView xWindow="-120" yWindow="-120" windowWidth="15600" windowHeight="11760" tabRatio="725" xr2:uid="{00000000-000D-0000-FFFF-FFFF00000000}"/>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PROCESO'!$A$10:$BD$59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59" i="1" l="1"/>
  <c r="AV59" i="1"/>
  <c r="BC17" i="1"/>
  <c r="BB17" i="1"/>
  <c r="BC58" i="1"/>
  <c r="AV17" i="1"/>
  <c r="BC57" i="1"/>
  <c r="BC56" i="1"/>
  <c r="BC42" i="1"/>
  <c r="BC35" i="1"/>
  <c r="BC31" i="1"/>
  <c r="BA31" i="1"/>
  <c r="BA30" i="1"/>
  <c r="BA29" i="1"/>
  <c r="BA28" i="1"/>
  <c r="BA27" i="1"/>
  <c r="AZ21" i="1"/>
  <c r="BA37" i="1"/>
  <c r="BC37" i="1"/>
  <c r="AY37" i="1"/>
  <c r="BC36" i="1"/>
  <c r="AY36" i="1"/>
  <c r="AU36" i="1"/>
  <c r="AY35" i="1"/>
  <c r="AT36" i="1"/>
  <c r="AT35" i="1"/>
  <c r="AV54" i="1"/>
  <c r="BA50" i="1"/>
  <c r="AV48" i="1"/>
  <c r="AV32" i="1"/>
  <c r="BA26" i="1"/>
  <c r="BA25" i="1"/>
  <c r="AU40" i="1"/>
  <c r="AU39" i="1"/>
  <c r="AV39" i="1"/>
  <c r="AU38" i="1"/>
  <c r="AT48" i="1"/>
  <c r="AU46" i="1"/>
  <c r="AU44" i="1"/>
  <c r="AV44" i="1"/>
  <c r="AU43" i="1"/>
  <c r="AU41" i="1"/>
  <c r="BC27" i="1"/>
  <c r="AU15" i="1"/>
  <c r="BA56" i="1"/>
  <c r="BA55" i="1"/>
  <c r="BB55" i="1"/>
  <c r="BC55" i="1"/>
  <c r="BA53" i="1"/>
  <c r="BB53" i="1"/>
  <c r="BC53" i="1"/>
  <c r="BA52" i="1"/>
  <c r="BB52" i="1"/>
  <c r="BC52" i="1"/>
  <c r="BB48" i="1"/>
  <c r="BC48" i="1"/>
  <c r="BA40" i="1"/>
  <c r="BB40" i="1"/>
  <c r="BC40" i="1"/>
  <c r="BA38" i="1"/>
  <c r="BB33" i="1"/>
  <c r="BC33" i="1"/>
  <c r="AZ32" i="1"/>
  <c r="BB32" i="1"/>
  <c r="BC32" i="1"/>
  <c r="BA23" i="1"/>
  <c r="BA22" i="1"/>
  <c r="BA21" i="1"/>
  <c r="BA15" i="1"/>
  <c r="BC15" i="1"/>
  <c r="AU19" i="1"/>
  <c r="AV19" i="1"/>
  <c r="AO46" i="1"/>
  <c r="AP46" i="1"/>
  <c r="AO41" i="1"/>
  <c r="AR40" i="1"/>
  <c r="AN32" i="1"/>
  <c r="AO19" i="1"/>
  <c r="P26" i="1"/>
  <c r="P25" i="1"/>
  <c r="AZ25" i="1"/>
  <c r="BC25" i="1"/>
  <c r="AC57" i="1"/>
  <c r="AD57" i="1"/>
  <c r="AI46" i="1"/>
  <c r="AJ46" i="1"/>
  <c r="AI44" i="1"/>
  <c r="BA44" i="1"/>
  <c r="BB44" i="1"/>
  <c r="BC44" i="1"/>
  <c r="AI39" i="1"/>
  <c r="AI16" i="1"/>
  <c r="BA16" i="1"/>
  <c r="BC16" i="1"/>
  <c r="AN26" i="1"/>
  <c r="AP26" i="1"/>
  <c r="AN25" i="1"/>
  <c r="AB58" i="1"/>
  <c r="AD58" i="1"/>
  <c r="AB48" i="1"/>
  <c r="AC46" i="1"/>
  <c r="AB46" i="1"/>
  <c r="AD46" i="1"/>
  <c r="AB44" i="1"/>
  <c r="AD44" i="1"/>
  <c r="AC43" i="1"/>
  <c r="BC43" i="1"/>
  <c r="AD43" i="1"/>
  <c r="AB43" i="1"/>
  <c r="AB57" i="1"/>
  <c r="AC41" i="1"/>
  <c r="AD41" i="1"/>
  <c r="AC39" i="1"/>
  <c r="AB25" i="1"/>
  <c r="AD25" i="1"/>
  <c r="AB23" i="1"/>
  <c r="AD23" i="1"/>
  <c r="AB19" i="1"/>
  <c r="AC19" i="1"/>
  <c r="AD19" i="1"/>
  <c r="AB17" i="1"/>
  <c r="Z48" i="1"/>
  <c r="Z46" i="1"/>
  <c r="P37" i="1"/>
  <c r="AZ37" i="1"/>
  <c r="P36" i="1"/>
  <c r="AZ36" i="1"/>
  <c r="P35" i="1"/>
  <c r="AZ35" i="1"/>
  <c r="AZ33" i="1"/>
  <c r="P31" i="1"/>
  <c r="AZ31" i="1"/>
  <c r="P30" i="1"/>
  <c r="AZ30" i="1"/>
  <c r="BC30" i="1"/>
  <c r="P29" i="1"/>
  <c r="AZ29" i="1"/>
  <c r="BC29" i="1"/>
  <c r="P28" i="1"/>
  <c r="AZ28" i="1"/>
  <c r="BC28" i="1"/>
  <c r="P27" i="1"/>
  <c r="AZ27" i="1"/>
  <c r="P23" i="1"/>
  <c r="AZ23" i="1"/>
  <c r="BB23" i="1"/>
  <c r="BC23" i="1"/>
  <c r="P22" i="1"/>
  <c r="AZ22" i="1"/>
  <c r="BB22" i="1"/>
  <c r="BC22" i="1"/>
  <c r="Z17" i="1"/>
  <c r="Z16" i="1"/>
  <c r="AZ15" i="1"/>
  <c r="AZ16" i="1"/>
  <c r="AZ17" i="1"/>
  <c r="AZ19" i="1"/>
  <c r="BB21" i="1"/>
  <c r="BC21" i="1"/>
  <c r="AZ26" i="1"/>
  <c r="BB26" i="1"/>
  <c r="BC26" i="1"/>
  <c r="AZ38" i="1"/>
  <c r="BB38" i="1"/>
  <c r="BC38" i="1"/>
  <c r="AZ39" i="1"/>
  <c r="AZ40" i="1"/>
  <c r="AZ41" i="1"/>
  <c r="BB41" i="1"/>
  <c r="BC41" i="1"/>
  <c r="AZ42" i="1"/>
  <c r="AZ43" i="1"/>
  <c r="AZ44" i="1"/>
  <c r="AZ46" i="1"/>
  <c r="AZ50" i="1"/>
  <c r="BB50" i="1"/>
  <c r="BC50" i="1"/>
  <c r="AZ52" i="1"/>
  <c r="AZ53" i="1"/>
  <c r="AZ54" i="1"/>
  <c r="BB54" i="1"/>
  <c r="BC54" i="1"/>
  <c r="AZ55" i="1"/>
  <c r="AZ56" i="1"/>
  <c r="BB56" i="1"/>
  <c r="AZ57" i="1"/>
  <c r="BB57" i="1"/>
  <c r="AZ58" i="1"/>
  <c r="BB58" i="1"/>
  <c r="AY58" i="1"/>
  <c r="AY57" i="1"/>
  <c r="AY56" i="1"/>
  <c r="AY55" i="1"/>
  <c r="AY54" i="1"/>
  <c r="AY53" i="1"/>
  <c r="AY52" i="1"/>
  <c r="AY50" i="1"/>
  <c r="AY48" i="1"/>
  <c r="AY46" i="1"/>
  <c r="AY44" i="1"/>
  <c r="AY43" i="1"/>
  <c r="AY42" i="1"/>
  <c r="AY41" i="1"/>
  <c r="AY40" i="1"/>
  <c r="AY39" i="1"/>
  <c r="AY38" i="1"/>
  <c r="AY33" i="1"/>
  <c r="AY31" i="1"/>
  <c r="AY30" i="1"/>
  <c r="AY29" i="1"/>
  <c r="AY28" i="1"/>
  <c r="AY27" i="1"/>
  <c r="AY26" i="1"/>
  <c r="AY25" i="1"/>
  <c r="AY23" i="1"/>
  <c r="AY22" i="1"/>
  <c r="AY21" i="1"/>
  <c r="AY19" i="1"/>
  <c r="AY17" i="1"/>
  <c r="AY16" i="1"/>
  <c r="AY15" i="1"/>
  <c r="AT52" i="1"/>
  <c r="AV52" i="1"/>
  <c r="AT16" i="1"/>
  <c r="AT17" i="1"/>
  <c r="AT19" i="1"/>
  <c r="AT21" i="1"/>
  <c r="AT22" i="1"/>
  <c r="AV22" i="1"/>
  <c r="AT23" i="1"/>
  <c r="AV23" i="1"/>
  <c r="AT25" i="1"/>
  <c r="AV25" i="1"/>
  <c r="AT26" i="1"/>
  <c r="AV26" i="1"/>
  <c r="AT27" i="1"/>
  <c r="AT28" i="1"/>
  <c r="AV28" i="1"/>
  <c r="AT29" i="1"/>
  <c r="AT30" i="1"/>
  <c r="AV30" i="1"/>
  <c r="AT31" i="1"/>
  <c r="AV31" i="1"/>
  <c r="AT33" i="1"/>
  <c r="AV33" i="1"/>
  <c r="AT34" i="1"/>
  <c r="AT37" i="1"/>
  <c r="AT38" i="1"/>
  <c r="AV38" i="1"/>
  <c r="AT39" i="1"/>
  <c r="AT40" i="1"/>
  <c r="AV40" i="1"/>
  <c r="AT41" i="1"/>
  <c r="AV41" i="1"/>
  <c r="AT42" i="1"/>
  <c r="AT43" i="1"/>
  <c r="AV43" i="1"/>
  <c r="AT44" i="1"/>
  <c r="AT46" i="1"/>
  <c r="AV46" i="1"/>
  <c r="AT50" i="1"/>
  <c r="AV50" i="1"/>
  <c r="AT53" i="1"/>
  <c r="AT55" i="1"/>
  <c r="AT56" i="1"/>
  <c r="AV56" i="1"/>
  <c r="AT57" i="1"/>
  <c r="AV57" i="1"/>
  <c r="AT58" i="1"/>
  <c r="AV58" i="1"/>
  <c r="AT15" i="1"/>
  <c r="AS58" i="1"/>
  <c r="AS57" i="1"/>
  <c r="AS56" i="1"/>
  <c r="AS55" i="1"/>
  <c r="AS54" i="1"/>
  <c r="AS53" i="1"/>
  <c r="AS52" i="1"/>
  <c r="AS50" i="1"/>
  <c r="AS48" i="1"/>
  <c r="AS46" i="1"/>
  <c r="AS44" i="1"/>
  <c r="AS43" i="1"/>
  <c r="AS42" i="1"/>
  <c r="AS41" i="1"/>
  <c r="AS40" i="1"/>
  <c r="AS39" i="1"/>
  <c r="AS38" i="1"/>
  <c r="AS37" i="1"/>
  <c r="AS36" i="1"/>
  <c r="AS35" i="1"/>
  <c r="AS33" i="1"/>
  <c r="AS31" i="1"/>
  <c r="AS30" i="1"/>
  <c r="AS29" i="1"/>
  <c r="AS28" i="1"/>
  <c r="AS27" i="1"/>
  <c r="AS26" i="1"/>
  <c r="AS25" i="1"/>
  <c r="AS23" i="1"/>
  <c r="AS22" i="1"/>
  <c r="AS21" i="1"/>
  <c r="AS19" i="1"/>
  <c r="AS17" i="1"/>
  <c r="AS16" i="1"/>
  <c r="AS15" i="1"/>
  <c r="AN16" i="1"/>
  <c r="AN17" i="1"/>
  <c r="AN19" i="1"/>
  <c r="AP19" i="1"/>
  <c r="AN21" i="1"/>
  <c r="AN22" i="1"/>
  <c r="AP22" i="1"/>
  <c r="AN23" i="1"/>
  <c r="AP23" i="1"/>
  <c r="AN27" i="1"/>
  <c r="AN28" i="1"/>
  <c r="AN29" i="1"/>
  <c r="AN30" i="1"/>
  <c r="AN31" i="1"/>
  <c r="AN33" i="1"/>
  <c r="AN35" i="1"/>
  <c r="AN36" i="1"/>
  <c r="AN37" i="1"/>
  <c r="AN38" i="1"/>
  <c r="AN39" i="1"/>
  <c r="AP39" i="1"/>
  <c r="AN40" i="1"/>
  <c r="AN41" i="1"/>
  <c r="AP41" i="1"/>
  <c r="AN42" i="1"/>
  <c r="AN43" i="1"/>
  <c r="AN44" i="1"/>
  <c r="AP44" i="1"/>
  <c r="AN46" i="1"/>
  <c r="AN48" i="1"/>
  <c r="AN50" i="1"/>
  <c r="AP50" i="1"/>
  <c r="AN52" i="1"/>
  <c r="AN53" i="1"/>
  <c r="AN55" i="1"/>
  <c r="AN56" i="1"/>
  <c r="AN57" i="1"/>
  <c r="AP57" i="1"/>
  <c r="AN58" i="1"/>
  <c r="AP58" i="1"/>
  <c r="AN15" i="1"/>
  <c r="AM58" i="1"/>
  <c r="AM57" i="1"/>
  <c r="AM56" i="1"/>
  <c r="AM55" i="1"/>
  <c r="AM54" i="1"/>
  <c r="AM53" i="1"/>
  <c r="AM52" i="1"/>
  <c r="AM50" i="1"/>
  <c r="AM48" i="1"/>
  <c r="AM46" i="1"/>
  <c r="AM44" i="1"/>
  <c r="AM43" i="1"/>
  <c r="AM42" i="1"/>
  <c r="AM41" i="1"/>
  <c r="AM40" i="1"/>
  <c r="AM39" i="1"/>
  <c r="AM38" i="1"/>
  <c r="AM37" i="1"/>
  <c r="AM36" i="1"/>
  <c r="AM35" i="1"/>
  <c r="AM33" i="1"/>
  <c r="AM31" i="1"/>
  <c r="AM30" i="1"/>
  <c r="AM29" i="1"/>
  <c r="AM28" i="1"/>
  <c r="AM27" i="1"/>
  <c r="AM26" i="1"/>
  <c r="AM25" i="1"/>
  <c r="AM23" i="1"/>
  <c r="AM22" i="1"/>
  <c r="AM21" i="1"/>
  <c r="AM19" i="1"/>
  <c r="AM17" i="1"/>
  <c r="AM16" i="1"/>
  <c r="AM15" i="1"/>
  <c r="AH48" i="1"/>
  <c r="AH27" i="1"/>
  <c r="AH16" i="1"/>
  <c r="AH17" i="1"/>
  <c r="AH19" i="1"/>
  <c r="AH21" i="1"/>
  <c r="AH22" i="1"/>
  <c r="AJ22" i="1"/>
  <c r="AJ59" i="1"/>
  <c r="AH23" i="1"/>
  <c r="AJ23" i="1"/>
  <c r="AH25" i="1"/>
  <c r="AH26" i="1"/>
  <c r="AH28" i="1"/>
  <c r="AH29" i="1"/>
  <c r="AH30" i="1"/>
  <c r="AH31" i="1"/>
  <c r="AH33" i="1"/>
  <c r="AH35" i="1"/>
  <c r="AJ35" i="1"/>
  <c r="AH36" i="1"/>
  <c r="AH37" i="1"/>
  <c r="AJ37" i="1"/>
  <c r="AH38" i="1"/>
  <c r="AH39" i="1"/>
  <c r="AJ39" i="1"/>
  <c r="AH40" i="1"/>
  <c r="AH41" i="1"/>
  <c r="AJ41" i="1"/>
  <c r="AH42" i="1"/>
  <c r="AH43" i="1"/>
  <c r="AH44" i="1"/>
  <c r="AJ44" i="1"/>
  <c r="AH46" i="1"/>
  <c r="AH50" i="1"/>
  <c r="AH52" i="1"/>
  <c r="AH53" i="1"/>
  <c r="AH54" i="1"/>
  <c r="AH55" i="1"/>
  <c r="AH56" i="1"/>
  <c r="AJ56" i="1"/>
  <c r="AH57" i="1"/>
  <c r="AJ57" i="1"/>
  <c r="AH58" i="1"/>
  <c r="AJ58" i="1"/>
  <c r="AH15" i="1"/>
  <c r="AG58" i="1"/>
  <c r="AG57" i="1"/>
  <c r="AG56" i="1"/>
  <c r="AG55" i="1"/>
  <c r="AG54" i="1"/>
  <c r="AG53" i="1"/>
  <c r="AG52" i="1"/>
  <c r="AG50" i="1"/>
  <c r="AG48" i="1"/>
  <c r="AG46" i="1"/>
  <c r="AG44" i="1"/>
  <c r="AG43" i="1"/>
  <c r="AG42" i="1"/>
  <c r="AG41" i="1"/>
  <c r="AG40" i="1"/>
  <c r="AG39" i="1"/>
  <c r="AG38" i="1"/>
  <c r="AG37" i="1"/>
  <c r="AG36" i="1"/>
  <c r="AG35" i="1"/>
  <c r="AG33" i="1"/>
  <c r="AG31" i="1"/>
  <c r="AG30" i="1"/>
  <c r="AG29" i="1"/>
  <c r="AG28" i="1"/>
  <c r="AG27" i="1"/>
  <c r="AG26" i="1"/>
  <c r="AG25" i="1"/>
  <c r="AG23" i="1"/>
  <c r="AG22" i="1"/>
  <c r="AG21" i="1"/>
  <c r="AG19" i="1"/>
  <c r="AG17" i="1"/>
  <c r="AG16" i="1"/>
  <c r="AG15" i="1"/>
  <c r="AA58" i="1"/>
  <c r="AA57" i="1"/>
  <c r="AA56" i="1"/>
  <c r="AA55" i="1"/>
  <c r="AA54" i="1"/>
  <c r="AA53" i="1"/>
  <c r="AA52" i="1"/>
  <c r="AA50" i="1"/>
  <c r="AA48" i="1"/>
  <c r="AA46" i="1"/>
  <c r="AA44" i="1"/>
  <c r="AA43" i="1"/>
  <c r="AA42" i="1"/>
  <c r="AA41" i="1"/>
  <c r="AA40" i="1"/>
  <c r="AA39" i="1"/>
  <c r="AA38" i="1"/>
  <c r="AA37" i="1"/>
  <c r="AA36" i="1"/>
  <c r="AA35" i="1"/>
  <c r="AA33" i="1"/>
  <c r="AA31" i="1"/>
  <c r="AA30" i="1"/>
  <c r="AA29" i="1"/>
  <c r="AA28" i="1"/>
  <c r="AA27" i="1"/>
  <c r="AA26" i="1"/>
  <c r="AA25" i="1"/>
  <c r="AA23" i="1"/>
  <c r="AA22" i="1"/>
  <c r="AA21" i="1"/>
  <c r="AA19" i="1"/>
  <c r="AA17" i="1"/>
  <c r="AA16" i="1"/>
  <c r="AA15" i="1"/>
  <c r="AB16" i="1"/>
  <c r="AB21" i="1"/>
  <c r="AB22" i="1"/>
  <c r="AB26" i="1"/>
  <c r="AD26" i="1"/>
  <c r="AB27" i="1"/>
  <c r="AB28" i="1"/>
  <c r="AD28" i="1"/>
  <c r="AB29" i="1"/>
  <c r="AB30" i="1"/>
  <c r="AB31" i="1"/>
  <c r="AB33" i="1"/>
  <c r="AB35" i="1"/>
  <c r="AB36" i="1"/>
  <c r="AB37" i="1"/>
  <c r="AB38" i="1"/>
  <c r="AB39" i="1"/>
  <c r="AD39" i="1"/>
  <c r="AB40" i="1"/>
  <c r="AB41" i="1"/>
  <c r="AB42" i="1"/>
  <c r="AB50" i="1"/>
  <c r="AB52" i="1"/>
  <c r="AB53" i="1"/>
  <c r="AB55" i="1"/>
  <c r="AB56" i="1"/>
  <c r="AB15" i="1"/>
  <c r="E59" i="1"/>
  <c r="BB39" i="1"/>
  <c r="BC39" i="1"/>
  <c r="BA46" i="1"/>
  <c r="BB46" i="1"/>
  <c r="BC46" i="1"/>
  <c r="AP59" i="1"/>
  <c r="AD59" i="1"/>
  <c r="BA19" i="1"/>
  <c r="BB19" i="1"/>
  <c r="B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Administrador</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 ref="Z16" authorId="1" shapeId="0" xr:uid="{00000000-0006-0000-0000-000002000000}">
      <text>
        <r>
          <rPr>
            <b/>
            <sz val="9"/>
            <color indexed="81"/>
            <rFont val="Tahoma"/>
            <family val="2"/>
          </rPr>
          <t>Falta incluir Profe, seguridad y 1 de participación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<sst xmlns="http://schemas.openxmlformats.org/spreadsheetml/2006/main" count="1029" uniqueCount="557">
  <si>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</si>
  <si>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</si>
  <si>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</si>
  <si>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</si>
  <si>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</si>
  <si>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</si>
  <si>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</si>
  <si>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</si>
  <si>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</si>
  <si>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</si>
  <si>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</si>
  <si>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</si>
  <si>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</si>
  <si>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</si>
  <si>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</si>
  <si>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</si>
  <si>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</si>
  <si>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</si>
  <si>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</si>
  <si>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</si>
  <si>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</si>
  <si>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</si>
  <si>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</si>
  <si>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</si>
  <si>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</si>
  <si>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</si>
  <si>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</si>
  <si>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</si>
  <si>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</si>
  <si>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</si>
  <si>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</si>
  <si>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</si>
  <si>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</si>
  <si>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</si>
  <si>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</si>
  <si>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</si>
  <si>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</si>
  <si>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</si>
  <si>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</si>
  <si>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</si>
  <si>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</si>
  <si>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</si>
  <si>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</si>
  <si>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</si>
  <si>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</si>
  <si>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</si>
  <si>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</si>
  <si>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</si>
  <si>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</si>
  <si>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</si>
  <si>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</si>
  <si>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</si>
  <si>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</si>
  <si>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</si>
  <si>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</si>
  <si>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</si>
  <si>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</si>
  <si>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</si>
  <si>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</si>
  <si>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SUMA</t>
  </si>
  <si>
    <t>Plan de Acción del Consejo Local de Gobierno</t>
  </si>
  <si>
    <t>EFICACIA</t>
  </si>
  <si>
    <t>Reporte IV trimestre Plan de Gestión 2017</t>
  </si>
  <si>
    <t>Alcaldesa Local</t>
  </si>
  <si>
    <t>Carpeta Consejo Local de Gobierno</t>
  </si>
  <si>
    <t>NO</t>
  </si>
  <si>
    <t>GASTOS DE INVERSION</t>
  </si>
  <si>
    <t>SERVICIOS PERSONALES</t>
  </si>
  <si>
    <t>Buen gobierno para estimular la participación
social</t>
  </si>
  <si>
    <t>Esta meta no fue programada para este trimestre. Sin embargo, durante el trimestre se aprobo el plan de acción del Consejo Local de Gobierno el viernes 23 de marzo de 2018, según acta.</t>
  </si>
  <si>
    <t>Acta Consejo Local de Gobierno - 23 de marzo de 2018
Plan de Acción del Consejo Local de Gobierno aprobado</t>
  </si>
  <si>
    <t>Esta meta no fue programada para este trimestre.</t>
  </si>
  <si>
    <t>META NO PROGRAMADA</t>
  </si>
  <si>
    <t>De acuerdo a lo informado por el profesional especializado 222-24 Administrativo y financiero, a través del radicado 20186020032243 el % de ejecución del Plan de Acción del Consejo Local de Gobierno es del 93% según lo indicado en el acta del CLG del 28 de septiembre de 2018</t>
  </si>
  <si>
    <t xml:space="preserve">De acuerdo a lo informado por el profesinal especializado 20186020041833, en el cual se indica que en el Probelama No. 1 se definieron 11 acciones las cuales presentan cumplimiento del 100%; el problema No. 2 se definieron 12 acciones las cuales presentan cumplimiento del 100%; el problema No. 3 se definieron 5 acciones las cuales presentan cumplimiento del 100%; el problema No. 4 se definieron 12 acciones </t>
  </si>
  <si>
    <t>Se ejecutó  el 100% del Plan de Acción aprobado por el Consejo Local de Gobierno</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</si>
  <si>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</si>
  <si>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</si>
  <si>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</si>
  <si>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</si>
  <si>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Suma</t>
  </si>
  <si>
    <t>Proporción de Ciudanos Participantes en la Rendición de Cuentas 2017</t>
  </si>
  <si>
    <t>Listas de asistencia rendición de cuentas 2017</t>
  </si>
  <si>
    <t>Alcalde Local
Observatorio Local</t>
  </si>
  <si>
    <t>Carpetas - Rendición de Cuentas</t>
  </si>
  <si>
    <t>Esta meta no fue programada para este trimestre. Durante el trimestre se enviaron las invitaciones a la Rendición de Cuentas y se publicó en la página web el informe de rendición de cuentas.</t>
  </si>
  <si>
    <t>Acta de reunión preparatoria a la Audiencia PúblicaPublicación de la pieza gráfica de la Audiencia Pública de Rendicíon de Cuentas.</t>
  </si>
  <si>
    <t>De acuerdo al acta de la Audiencia Pública de Rendición de Cuentas realizada el 17 de abril de 2018 asistieron 929 personas. En el acta de la Audiencia Pública de Rendición de Cuentas realizada el 22 de abril de 2017 asistieron 296 personas.</t>
  </si>
  <si>
    <t>Actas de las Audiencia Públicas de Rendición de cuentas 2017 y 2018 y planillas de asistencia.</t>
  </si>
  <si>
    <t>Se Incrementó  en un 314% la participación de los ciudadanos en la audiencia de rendición de cuentas</t>
  </si>
  <si>
    <t>Lograr el 40% de avance en el cumplimiento fisico del Plan de Desarrollo Local</t>
  </si>
  <si>
    <t>Porcentaje de Avance en el Cumplimiento Fisico del Plan de Desarrollo Local</t>
  </si>
  <si>
    <t>Porcentaje de Avance Acumulado en el cumplimiento fisico del Plan de Desarrollo Local</t>
  </si>
  <si>
    <t>12.3%</t>
  </si>
  <si>
    <t>Creciente</t>
  </si>
  <si>
    <t>Avance Acumulado Fisico en el Cumplimiento del Plan de Desarrollo Local</t>
  </si>
  <si>
    <t>EFECTIVIDAD</t>
  </si>
  <si>
    <t>Reporte MUSI - Medio magnético</t>
  </si>
  <si>
    <t>Alcalde Local
Comité de Contratación
AGDL - Planeación</t>
  </si>
  <si>
    <t>SI</t>
  </si>
  <si>
    <t>1501
1477
1480
1488</t>
  </si>
  <si>
    <t>Buen gobierno para estimular la participación
social
Ayudas para la calidad de vida de personas con discapacidad
Cultura, recreación y deporte para la participación y la formación
Parques Incluyentes y Democráticos para la participación ciudadana</t>
  </si>
  <si>
    <t>De acuerdo a lo informado mediante el radicado 20186020012693 a 31 de marzo de 2018, se presentó un avance en la ejecución fisíca del Plan de Desarrollo Local del 19,5%. Debido a que se ha entregado el apoyo económico a 2150 personas mayores; se han vinculado 160 personas en procesos de formación artística y cultural; se han intervenido 9 parques vecinales y/o de bolsillo; se ha construido 1 km carril; se ha realizado el mantenimiento de 14,92 km carril; se ha realizado el embellecimiento de puentes de la localidad lo cual representa 5.731 mts2 de espacio público. Se viene implementando una estrategia de fortalecimiento institucional, así como se viene desarrollando una acción de Inspección, Vigilancia y Control.</t>
  </si>
  <si>
    <t>Memorando 20186020012693</t>
  </si>
  <si>
    <t>De acuerdo al informe de MUSI a 30 de junio de 2018, las metas del plan de desarrollo local presentan el siguiente avance:
Del pilar Igualdad de calidad de vida, 8 metas con avance bajo, 1 con avance alto y 1 con avance medio.
Del pilar democracia urbana: 2 metas presentan avance bajo y 3 avance medio.
Pilar construcción de comunidad y cultura ciudadana: 3 metas con avance bajo.
Eje transversal sostenibilidad ambiental basada en la eficiencia energética: 3 metas con avance bajo.
Eje transversal gobierno legítimo, fortalecimiento local y eficiencia: 1 meta con avance alto, 3 meta con avance medio y 1 meta con avance bajo.</t>
  </si>
  <si>
    <t>Reporte de la MUSI y resumen ejecutivo.</t>
  </si>
  <si>
    <t>De acuerdo a lo informado por la profesional universitario 219-18 en el radicado 20186020032863 a 30 de septiembre de 2018 tiene una ejecución fisíca del 25,1%</t>
  </si>
  <si>
    <t>De acuerdo con el reporte remitido por la SDP la alcaldía local cuenta con un 36.40% de avance acumulado entregado</t>
  </si>
  <si>
    <t>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</si>
  <si>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</si>
  <si>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</si>
  <si>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</si>
  <si>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</si>
  <si>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</si>
  <si>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</si>
  <si>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</si>
  <si>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Matriz de seguimiento - entes de control</t>
  </si>
  <si>
    <t>Despacho</t>
  </si>
  <si>
    <t>Durante el I trimestre se recibieron 13 proposiciones y 35 solicitues de Concejo de Bogotá, en el marco del ejercicio de control político.</t>
  </si>
  <si>
    <t>Matriz de seguimiento a derechos de petición órganos de control político</t>
  </si>
  <si>
    <t xml:space="preserve">Durante el período 30 de abril - 30 de junio de 2018 se recibieron 22 solicitudes de control político. 6 proposiciones y se apoyaron 2 respuestas de derecho de petición </t>
  </si>
  <si>
    <t>Durante el período 30 de julio - 30 de septiembre de 2018 se recibieron 43 solicitudes de control político, de las cuales 12 corresponden a mesas de trabajo a realizarse sobre temas particulares.</t>
  </si>
  <si>
    <t>Conforme a lo informado en el radicado 20186000004203, durante el 1° de octubre al 31 de diciembre de 2018, se recibieron 48 solicitudes de órganos de control político de las cuales 5 corresponden a invitaciones de mesas; 12 no tienen respuesta oportuna y 5 requerimientos están en proyección de la respuesta</t>
  </si>
  <si>
    <t>La Alcaldía Local respondió oportunamente el 91% de los ejercicios de control politico, derechos de petición y/o solicitudes de información que realice el Concejo de Bogota D.C y el Congreso de la República conforme con los mecanismos diseñados e implementados en la vigencia 2017</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</si>
  <si>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</si>
  <si>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</si>
  <si>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</si>
  <si>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</si>
  <si>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</si>
  <si>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</si>
  <si>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Oficina de Prensa ALE</t>
  </si>
  <si>
    <t>Carpeta de evidencia - Plan de Gestión</t>
  </si>
  <si>
    <t>De acuerdo a lo informado por el equipo de prensa de la Alcaldía Local mediante el radicado 20186020011683 se formuló e inició la implementación del plan de comunicaciones.</t>
  </si>
  <si>
    <t>Plan de Comunicaciones</t>
  </si>
  <si>
    <t>Durante el 1° de abril al 30 de junio de 2018 se realizaron las siguientes actividades:
- Creación de contenido para la puesta en marcha de las carateleras digitales.
- Creación del boletín interno mensual.
- Actualización de carteleras digitales.
- Administración de los perfiles institucionales en redes sociales.
- Visibilización de la gestión de la Alcaldía Local de Engativá.</t>
  </si>
  <si>
    <t>Evidencias de las actividades realizadas en el trimestre en relación con lo definido en el Plan de comunicaciones.</t>
  </si>
  <si>
    <t>Durante el 1° de julio al 30 de septiembre de 2018 se realizaron las siguientes actividades:
- Creación de contenido para la puesta en marcha de las carateleras digitales.
- Creación del boletín interno mensual.
- Actualización de carteleras digitales.
- Administración de los perfiles institucionales en redes sociales.
- Visibilización de la gestión de la Alcaldía Local de Engativá.</t>
  </si>
  <si>
    <t>Durante el 1° de octubre al 21 de diciembre de 2018 se realizaron las siguientes actividades:
- Creación del boletín interno mensual.
- Actualización de carteleras digitales.
- Administración de los perfiles institucionales en redes sociales.
- Visibilización de la gestión de la Alcaldía Local de Engativá.</t>
  </si>
  <si>
    <t>La Formuló e implementó  un plan de comunicaciones para la alcaldía local durante la vigencia 2018</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</si>
  <si>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</si>
  <si>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</si>
  <si>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</si>
  <si>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</si>
  <si>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Esta meta no está programada para este trimestre</t>
  </si>
  <si>
    <t xml:space="preserve">De acuerdo a lo informado por el equipo de prensa de la Alcaldía Local en el radicado 20186020021063 en el período se realizó 1 campaña externa: Concurso conmemoración del día mundial de toma de conciencia del abuso y maltrato en la vejez. </t>
  </si>
  <si>
    <t>Fotografías de la campaña realizada</t>
  </si>
  <si>
    <t>De acuerdo a lo informado por el equipo de prensa de la Alcaldía Local en el radicado 20186020031813 en el período se realizó 1 campaña externa, en conjunto con el Instituto para la Economía Social (IPES), se llevó a cabo la rueda de servicios el 19 de julio de 2018.</t>
  </si>
  <si>
    <t>Acta de reunión previa, pieza comunicativa y fotografías de la campaña realizada</t>
  </si>
  <si>
    <t>De acuerdo a lo informado por el equpio de prensa de la Alcaldía Local mediante el radicado 20186020041893 en el período se realizó 1 campaña externa: Día de los niños la cual se realizó en las instalaciones de la Alcaldía el día 31 de diciembre de 2018</t>
  </si>
  <si>
    <t>Acta de niños que participaron en la actividad</t>
  </si>
  <si>
    <t>Se realizaron 3 campañas de comunicación externas</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</si>
  <si>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</si>
  <si>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</si>
  <si>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</si>
  <si>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</si>
  <si>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De acuerdo a lo informado por el equipo de prensa de la Alcaldía Local mediante el radicado 20186020011683  durante el I trimestre se realizaron dos campañas internas:
- Tema: Ambiental
- Tema: Clima Laboral</t>
  </si>
  <si>
    <t>Evidencias campañas internas</t>
  </si>
  <si>
    <t>De acuerdo a lo informado por el equipo de prensa de la Alcaldía Local en el radicado 20186020021063 en el período se realizaron dos campañas:
1. Tema Ambiental - PICNIC cierre de la semana ambiental.
2. Clima Laboral - Campaña Mundial Engativá 2018</t>
  </si>
  <si>
    <t>Fotografías de las campañas realizadas</t>
  </si>
  <si>
    <t>De acuerdo a lo informado por el equipo de prensa de la Alcaldía Local en el radicado 20186020031813 en el período se realizaron tres campañas internas:
- Tema clima laboral.
- Tema Ambiental: Cero Papel
- Tema Ambienta: Campaña expectativa de la bici</t>
  </si>
  <si>
    <t>De acuerdo a lo informado por el equpio de prensa de la Alcaldía Local mediante el radicado 20186020041893 en el período se realizaron 2 campañas:
1. Jugando, conociendo y aprendiendo en "Engativá Renace Contigo".
2. Decoración navideña</t>
  </si>
  <si>
    <t>Pieza de comunicación y fotografías de las actividades</t>
  </si>
  <si>
    <t>Se realizaron 9 campañas de comunicación interna</t>
  </si>
  <si>
    <t>IVC</t>
  </si>
  <si>
    <t>Archivar 719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</si>
  <si>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</si>
  <si>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</si>
  <si>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</si>
  <si>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</si>
  <si>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</si>
  <si>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</si>
  <si>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del Proyecto DIAL, la alcaldía local de engativá archivó 267 actuaciones de obras anteriores a la ley 1801 de 2018 durante el I trimetre</t>
  </si>
  <si>
    <t>Reporte SI - ACTÚA</t>
  </si>
  <si>
    <t>De acuerdo a los datos reportados para el tercer semestre por Power Bi,  la Alcaldìa Local archivò 264 actuaciones de obras. Se cumple la meta programada.</t>
  </si>
  <si>
    <t>https://app.powerbi.com/view?r=eyJrIjoiYWEwYzQ4NGQtMWJmZi00YmZjLWE3NjktMWI5NDUxM2M4NTA0IiwidCI6IjE0ZGUxNTVmLWUxOTItNDRkYS05OTRkLTE5MTNkODY1ODM3MiIsImMiOjR9</t>
  </si>
  <si>
    <t>De acuerdo con los datos reportados en  power BI la Alcaldía local archivó 95 actuaciones administrativa de obras.</t>
  </si>
  <si>
    <t>Power BI</t>
  </si>
  <si>
    <t>De acuerdo con los datos reportados en  power BI la Alcaldía local archivó 807 actuaciones administrativa de obras.</t>
  </si>
  <si>
    <t>Archivar 525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</si>
  <si>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</si>
  <si>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</si>
  <si>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del Proyecto DIAL, la alcaldía local de engativá archivó 183 actuaciones de establecimientos de comercio anteriores a la ley 1801 de 2018 durante el I trimetre</t>
  </si>
  <si>
    <t>De acuerdo a los datos reportados para el tercer semestre por Power Bi,  la Alcaldìa Local archivò 82 actuaciones de establecimientos de comercio. No se cumple la meta programada.</t>
  </si>
  <si>
    <t>De acuerdo con los datos reportados en  power BI la Alcaldía local archivó 6 actuaciones administrativa de establecimientos de comercio.</t>
  </si>
  <si>
    <t>De acuerdo con los datos reportados en  power BI la Alcaldía local archivó 354 actuaciones administrativa de establecimientos de comercio.</t>
  </si>
  <si>
    <r>
      <t xml:space="preserve">Realizar </t>
    </r>
    <r>
      <rPr>
        <b/>
        <sz val="12"/>
        <color indexed="10"/>
        <rFont val="Arial Rounded MT Bold"/>
        <family val="2"/>
      </rPr>
      <t>40</t>
    </r>
    <r>
      <rPr>
        <sz val="12"/>
        <rFont val="Arial Rounded MT Bold"/>
        <family val="2"/>
      </rPr>
      <t xml:space="preserve">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</si>
  <si>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</si>
  <si>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</si>
  <si>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</si>
  <si>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Carpeta de operativos - Espacio Público</t>
  </si>
  <si>
    <t>AGPJ - RUPB</t>
  </si>
  <si>
    <t>Actas de operativos</t>
  </si>
  <si>
    <t>De acuerdo a lo informado por el profesional especializado 222- 24 del AGPJ, mediante radicado 20186030010903 se realizaron los operativos en las siguientes fechas:
1) 6 de febrero de 2018
2) 8 de febrero de 2018
3) 15 de febrero de 2018
4) 19 de febrero de 2018
5) 20 de febrero de 2018
6) 23 de febrero de 2018
7) 8 de marzo de 2018
8) 12 de marzo de 2018
9) 20 de marzo de 2018
10) 22 de marzo de 2018
11) 26 de marzo de 2018</t>
  </si>
  <si>
    <t>Actas operativos</t>
  </si>
  <si>
    <t>De acuerdo a lo informdo por el profesional especializado 222-24 AGPJ, mediante el radicado 20186030033753 se realizaron los operativos en las siguientes fechas y horarios:
1) 5 de agril de 2018. Hora: 7:00 am
2) 5 de abril de 2018. Hora: 3:00 pm
3) 6 de abril de 2018. Hora: 9:00 am
4) 12 de abril de 2018. Hora: 3:00 pm
5) 13 de abril de 2018. Hora: 11:00 am
6) 19 de abril de 2018
7) 26 de abril de 2018. Hora: 3:00 pm
8) 3 de mayo de 2018. Hora: 10:00 am
9) 4 de mayo de 2018. Hora: 8:30 am
10) 10 de mayo de 2018. Hora: 2:00 pm
11) 17 de mayo de 2018. Hora: 3:30 pm
12) 22 de mayo de 2018. Hora: 3:00 am
13) 24 de mayo de 2018. Hora: 2:30 pm
14) 7 de junio de 2018. Hora: 3:00 pm
14) 14 de junio de 2018. Hora: 8:15 pm
15) 21 de junio de 2018. Hora: 8:00 am
16) 21 de junio de 2018: Hora: 3:00 pm
17) 22 de junio de 2018. Hora: 5:00 pm
18) 25 de junio de 2018. Hora: 4:00 am
19) 25 de junio de 2018. Hora: 12:00 pm
20) 28 de junio de 2018</t>
  </si>
  <si>
    <t>De acuerdo a lo informdo por el profesional especializado 222-24 AGPJ, mediante el radicado 20186030050943 durante el período se realizaron los operativos en las siguientes fechas:
1) 12 de julio de 2018
2) 19 de julio de 2018
3) 26 de julio de 2018
4) 2 de agosto de 2018
5) 16 de agosto de 2018
6) 23 de agosto de 2018
7) 30 de agosto de 2018
8) 5 de septiembre de 2018
9) 13 de septiembre de 2018
10) 19 de septiembre de 2018
11) 1° de agosto de 2018
12) 18 de septiembre de 2018
13) 27 de julio de 2018 - Querella 63452
14) 3 de agosto de 2018</t>
  </si>
  <si>
    <t>De acuerdo a lo informdo por el profesional especializado 222-24 AGPJ, mediante el radicado 201860369263 durante el período se realizaron los operativos en las siguientes fechas:
1) 3 de octubre de 2018
2) 16 de noviembre de 2018 - Crr. 69 No. 47 - 92
3) 16 de noviembre de 2018 - Crr. 108 con Cll 78 Garces Navas
4) Octubre 10 de 2018 
5) Octubre 18 de 2018
6) Octubre 25 de 2018
7) Octubre 30 de 2018
8) Noviembre 16 de 2018 - Operativo de tránsito
9) Noviembre 29 de 2018
10) Diciembre 11 de 2018
11) Noviembre 8 de 2018
12) Noviembre 15 de 2018
13) Diciembre 6 de 2018
14) Diciembre 10 de 2018</t>
  </si>
  <si>
    <t>Se realizaron 59 operativos en materia de urbanismo relacionados con la integridad del Espacio Público</t>
  </si>
  <si>
    <r>
      <t xml:space="preserve">Realizar </t>
    </r>
    <r>
      <rPr>
        <b/>
        <sz val="12"/>
        <color indexed="10"/>
        <rFont val="Arial Rounded MT Bold"/>
        <family val="2"/>
      </rPr>
      <t>57</t>
    </r>
    <r>
      <rPr>
        <sz val="12"/>
        <color indexed="8"/>
        <rFont val="Arial Rounded MT Bold"/>
        <family val="2"/>
      </rPr>
      <t xml:space="preserve"> acciones de control u operativos en materia de actividad economica</t>
    </r>
  </si>
  <si>
    <t>Acciones de Control u Operativos en materia de actividad economica Realizados</t>
  </si>
  <si>
    <t>Numero de Acciones de Control u Operativos en materia de actividad economica</t>
  </si>
  <si>
    <t>Acciones de Control u Operativos en Materia de Actividad Economica</t>
  </si>
  <si>
    <t>Carpeta de operativos - Materia de actividad económica</t>
  </si>
  <si>
    <t>AGPJ - Ley 232</t>
  </si>
  <si>
    <t>De acuerdo a lo informado por el profesional especializado 222- 24 del AGPJ, mediante radicado 20186030010903 se realizaron los operativos en las siguientes fechas:
1) 9 de febrero de 2018
2) 16 de febrero de 2018
3) 23 de febrero de 2018
4) 2 de marzo de 2018
5) 9 de marzo de 2018
6) 12 de marzo de 2018
7) 15 de marzo de 2018
8) 16 de marzo de 2018
9) 23 de marzo de 2018
10) 27 de marzo de 2018</t>
  </si>
  <si>
    <t xml:space="preserve">De acuerdo a lo informdo por el profesional especializado 222-24 AGPJ, mediante el radicado 20186030033753 se realizaron los operativos en las siguientes fechas y horarios:
1) 2 de abril de 2018. Hora: 4:00 pm
2) 4 de abril de 2018. Hora: 4:00 pm
3) 6 de abril de 2018. Hora: 7:00 pm
4) 14 de abril de 2018. Hora: 7:30 pm
5) 18 de abril de 2018. Hora: 9:15 am
6) 20 de abril de 2018.
7) 27 de abril de 2018. Hora: 9:00 pm
8) 4 de mayo de 2018
9) 10 de mayo de 2018. Hora: 8:30 pm
10) 11 de mayo de 2018. Hora: 1:30 am
11) 18 de mayo de 2018. Hora: 5:20 pm
12) 25 de mayo de 2018
13) 29 de mayo de 2018. Hora: 2:00 pm
14) 1° de junio de 2018. Hora: 10:00 pm
15) 7 de junio de 2018. Hora: 11:45 pm
16) 15 de junio de 2018. Hora: 5:00 pm
17) 21 de junio de 2018
</t>
  </si>
  <si>
    <t>De acuerdo a lo informdo por el profesional especializado 222-24 AGPJ, mediante el radicado 20186030050943 durante el período se realizaron los operativos en las siguientes fechas:
1) 6 de julio de 2018
2) 12 de julio de 2018
3) 17 de julio de 2018
4) 18 de julio de 2018. Hora: 5:30 pm
5) 18 de julio de 2018. Hora: 10:00 am
6) 27 de julio de 2018
7) 31 de julio de 2018
8) 3 de agosto de 2018
9) 9 de agosto de 2018
10) 16 de agosto de 2018
11) 24 de agosto de 2018
12) 24 de agosto de 2018. Hora: 5:30 pm
13) 28 de agosto de 2018
14) 30 de agosto de 2018
15) 31 de agosto de 2018
16) 7 de septiembre de 2018
17) 12 de septiembre de 2018
18) 13 de septiembre de 2018. Hora: 9:00 am 
19) 13 de septiembre de 2018. Hora: 5:30 pm
20) 21 de septiembre de 2018: Hora: 5:00 pm
21) 7 de septiembre de 2018 - Querella 70752
22) 21 de septiembre de 2018
23) 21 de septiembre de 2018 - Querella 66892
24) 7 de septiembre de 2018- Querella 70752 Proceso I
25) 7 de septiembre de 2018 - Querella 70752 Proceso II
26) 7 de septiembre de 2018</t>
  </si>
  <si>
    <t>De acuerdo a lo informdo por el profesional especializado 222-24 AGPJ, mediante el radicado 201860369263 durante el período se realizaron los operativos en las siguientes fechas:
1) 5 de octubre de 2018
2) 11 de octubre de 2018
3) 19 de octubre de 2018
4) 26 de octubre de 2018
5) 29 de octubre de 2018
6) 1° de noviembre de 2018
7) 16 de noviembre de 2018
8) 23 de noviembre de 2018
9) 27 de noviembre de 2018
10) 30 de noviembre de 2018
11) 5 de diciembre de 2018 - 2:00 pm
12) 5 de diciembre de 2018  - 5:30 pm
13) 6 de diciembre de 2018
14) 14 de diciembre de 2018  - Quirigua
15) 14 de diciembre de 2018 - Villas de Granada</t>
  </si>
  <si>
    <t>La Alcaldía local realizó 68 acciones de control u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</si>
  <si>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</si>
  <si>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</si>
  <si>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</si>
  <si>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</si>
  <si>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Carpeta de operativos - Obras</t>
  </si>
  <si>
    <t>AGPJ - Obras</t>
  </si>
  <si>
    <t>De acuerdo a lo informado por el profesional especializado 222- 24 del AGPJ, mediante radicado 20186030010903 se realizaron los operativos en las siguientes fechas: 
1) 31 de enero de 2018
2) 21 de febrero de 2018
3) 7 de marzo de 2018
4) 15 de marzo de 2018
5) 26 de marzo de 2018</t>
  </si>
  <si>
    <t xml:space="preserve">De acuerdo a lo informdo por el profesional especializado 222-24 AGPJ, mediante el radicado 20186030033753 se realizaron los operativos en las siguientes fechas y horarios:
1) 17 de mayo de 2018. Hora: 9:00 am
2) 17 de mayo de 2018. Hora: 1:30 pm
3) 24 de mayo de 2018. Hora: 2:00 pm
4) 24 de mayo de 2018. Hora: 8:00 pm
5) 14 de junio de 2018. Hora: 9:00 am
6) 14 de junio de 2018. Hora: 10:30 am
7)14 de junio de 2018. Hora: 2:00 pm
8) 21 de junio de 2018. Hora: 10:00 am
8) 21 de junio de 2018. Hora: 3:15 pm
9) </t>
  </si>
  <si>
    <t>De acuerdo a lo informdo por el profesional especializado 222-24 AGPJ, mediante el radicado 20186030050943 durante el período se realizaron los operativos en las siguientes fechas:
1) 12 de julio de 2018
2) 19 de julio de 2018
3) 26 de julio de 2018
4) 30 de julio de 2018
5) 15 de agosto de 2018. Hora: 9:00 am
6) 15 de agosto de 2018. Hora: 1:30 pm
7) 17 de agosto de 2018
8) 22 de agosto de 2018
9) 22 de agosto de 2018. Hora: 2:00 pm
10) 24 de agosto de 2018
11) 28 de agosto de 2018
12) 28 de agosto de 2018. Hora: 2:30 pm
13) 5 de septiembre de 2018. Hora: 10:20 am
14) 5 de septiembre de 2018. Hora: 2:30 pm
15) 7 de septiembre de 2018
16) 13 de septiembre de 2018
17) 14 de septiembre de 2018
18) 29 de julio de 2018 - Querella 83032
19) 10 de agosto de 2018 - Querella 96632</t>
  </si>
  <si>
    <t>De acuerdo a lo informdo por el profesional especializado 222-24 AGPJ, mediante el radicado 201860369263 durante el período se realizaron los operativos en las siguientes fechas:
1)14 de diciembre de 2018 - 8:30 am
2)14 de diciembre de 2018 - 2:00 pm
3) 19 de octubre de 2018 - 8:30 am
4) 19 de octubre de 2018 - 2:00 pm
5) 23 de octubre de 2018 - 8:30 am
6) 30 de octubre de 2018 - 9:30 am
7) 30 de octubre de 2018 - 1:30 pm
8) 13 de noviembre de 2018 - 8:30 am
9) 13 de noviembre de 2018 - 2:00 pm
10) 19 de noviembre de 2018 - 9:00 am
11) 30 de noviembre de 2018 - 8:30 am
12) 30 de noviembre de 2018 - 2:30 pm</t>
  </si>
  <si>
    <t>La Alcaldía local realizó 24 acciones de control u operativos en materia de urbanismo relacionados con la integridad urbanistica</t>
  </si>
  <si>
    <r>
      <t xml:space="preserve">Realizar </t>
    </r>
    <r>
      <rPr>
        <sz val="12"/>
        <color indexed="10"/>
        <rFont val="Arial Rounded MT Bold"/>
        <family val="2"/>
      </rPr>
      <t>17</t>
    </r>
    <r>
      <rPr>
        <sz val="12"/>
        <color indexed="8"/>
        <rFont val="Arial Rounded MT Bold"/>
        <family val="2"/>
      </rPr>
      <t xml:space="preserve"> acciones de control u operativos en materia de ambiente, mineria y relaciones con los animales</t>
    </r>
  </si>
  <si>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</si>
  <si>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</si>
  <si>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</si>
  <si>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Carpeta de operativos - Ambiente</t>
  </si>
  <si>
    <t>Referente Ambiente</t>
  </si>
  <si>
    <t>De acurdo a lo informado por la referente ambiental de la Alcaldía Local, en el I trimestre se realizaron los siguientes operativos
1) 20 de febrero de 2018 a Oil Kar´s
2) 20 de febrero de 2018 a Lubricentro Chapetón
3) 20 de febrero de 2018 a Lubricantes y vulcanización La Reliquia
4) 5 de marzo de 2018 a Finca El Pantano
5) 21 de marzo de 2018 a Motocicletas del Norte
6) 21 de marzo de 2018 a Lubricantes Castillo</t>
  </si>
  <si>
    <t>A continuación se relacionan los operativos realizados en el período:
1) 18 de abril de 2018 
2) 10 de mayo de 2018
3) 11 de mayo de 2018
4) 25 de mayo de 2018
5) 9 de junio de 2018
6) 25 de junio de 2018</t>
  </si>
  <si>
    <t>De acuerdo a lo informado por la referente ambiental y por el inspector de policía 10C mediante el radicado 20186040005113 se realizaron los siguientes operativos:
1) 13 de julio de 2018
2) 14 de julio de 2018
3) 31 de agosto de 2018
4) 13 de septiembre de 2018
5) 7 de septiembre de 2018
6) 22 de junio de 2018 - Querella 1229
7) 7 de septiembre de 2018 - Querella 11625
8) 7 de septiembre de 2018 - Querella 12942
9) 6 de julio de 2018 - Querella 13158
10) 22 de junio de 2018 - Querella 12188
11) 7 de septiembre de 2018 - Querella 13481
12) 22 de junio de 2018 - Querella 12719</t>
  </si>
  <si>
    <t>De acuerdo a lo informado por la profesional que desarrolla el labor de referente ambiental, durante el período se realizaron los siguientes operativos:
1) 17 de diciembre de 2018 - Semovientes
2) 21 de diciembre de 2018 - Manejo de Residuos
3) 14 de diciembre de 2018 - Tenencia de animales</t>
  </si>
  <si>
    <t>La alcaldía local realizó 27 acciones de control u operativos en materia de ambiente, mineria y relaciones con los animales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</si>
  <si>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</si>
  <si>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</si>
  <si>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</si>
  <si>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</si>
  <si>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Carpeta de operativos - Artículos Pirotécnicos</t>
  </si>
  <si>
    <t>De acuerdo a lo informado por cada uno de los inspectores, me permito informar:
Inspección 10 E:
1) 10 de diciembre de 2018
2) 11 de diciembre de 2018
3) 17 de diciembre de 2018
Inspección 10F - 10G:
1) 3 de diciembre de 2018
2) 14 de diciembre de 2018
3) 20 de diciembre de 2018
4) 24 de diciembre de 2018
Inspección 10D:
1) 7 de diciembre de 2018
2) 19 de diciembre de 2018
Inspección 10C:
1) 11 de diciembre de 2018
2) 11 de diciembre de 2018</t>
  </si>
  <si>
    <t>La Alcaldía Local desarrollo  11 acciones de control u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</si>
  <si>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</si>
  <si>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</si>
  <si>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</si>
  <si>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</si>
  <si>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</si>
  <si>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</si>
  <si>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</si>
  <si>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</si>
  <si>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La Alcaldía Local se pronunció sobre el 36%  de las actuaciones policivas recibidas en las inspecciones de Policía radicadas durante el año 2.018.</t>
  </si>
  <si>
    <t>Reporte DGP</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</si>
  <si>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</si>
  <si>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</si>
  <si>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</si>
  <si>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</si>
  <si>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</si>
  <si>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</si>
  <si>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La Alcaldía Local resolvió el 49.6% de las actuaciones policivas anteriores a la ley 1801 de 2016 de competencia de las inspecciones de policía</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</si>
  <si>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</si>
  <si>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</si>
  <si>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</si>
  <si>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</si>
  <si>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</si>
  <si>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</si>
  <si>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Ejecución Presupuestal - PREDIS</t>
  </si>
  <si>
    <t>AGDL - Presupuesto</t>
  </si>
  <si>
    <t>PREDIS</t>
  </si>
  <si>
    <t>Esta meta no está programada para este trimestre. Sin embargo, de acuerdo a los avances realizados en el I trimestre en relación con esta meta se ha comprometido en los siguientes proyectos de inversión:
1475 - Envejecimiento digno, activo y feliz $805.459.989
1477 - Ayudas de calidad de vida de personas con discapacidad $2.175,000
1480 - Cultura, recreación y deporte para la participación y la formación $17.463.501
1488 - Parques incluyentes y democráticos y deporte para la participación y la formación $ 13.960.000
1490 - Movilidad y espacios públicos para el disfrute de la ciudadanía $48.519.334
1500 - Territorio sostenible con participación social $5.353.334
1501 - Buen gobierno para estimular la participación social $561.391.726
1529 - Empoderamiento social con corresponsabilidad $15.539.334</t>
  </si>
  <si>
    <t>PREDIS - Ejecución presupuestal a 31 de marzo de 2018</t>
  </si>
  <si>
    <t>Durante el período 30 de abril - 30 de junio de 2018 se ha comprometido en los siguientes proyectos de inversión:
1475 - Envejecimiento digno, activo y feliz $3.447.936.769
1477 - Ayudas de calidad de vida de personas con discapacidad $34.800.000
1480 - Cultura, recreación y deporte para la participación y la formación $221.880.000
1480 - Parques incluyentes y democráticos para la participación ciudadana $326.910.966
1490 - Movilidad y espacios públicos para el disfrute de la ciudadanía $933.640.000
1495 - Espacios seguros y confaibles para la convivencia $133.760.000
1500 - Territorios sostenible con participación social $87.374.922
1501 - Buen gobierno para estimular la participación social $5.944.178.592
Adicionalmente se presentó una modifiación presupuestal por $933.223.332</t>
  </si>
  <si>
    <t>PREDIS - Ejecución presupuestal a 30 de junio de 2018</t>
  </si>
  <si>
    <t>De acuerdo a lo informado por el profesional de presupuesto en el radicado 20186020032213 durante el III trimestre se realizó el compromiso en los siguientes rubros:
3-3-1-15-01-03-1475 Envejecimiento Digno, activo y feliz $ 104.048.080
3-3-1-15-01-03-1477 Ayudas para la calidad de vida de personas con discapacidad $ 13.920.000
3-3-1-15-01-11-1480 Cultura, recreación y deporte para la participación y la formación $ 816.147.836
3-3-1-15-02-17-1488 Parques Incluyentes y Democráticos para la participación ciudadana $ 47.250.000
3-3-1-15-02-18-1490 Movilidad y Espacios Públicos para el disfrute de la ciudadanía $ 22.173.483.794
3-3-1-15-03-19-1495 Espacios Seguros y confiables para la convivencia $ 54.945.334
3-3-1-15-06-38-1500 Territorio Sostenible con participación social $ 24.981.329
3-3-1-15-07-45-1501 Buen gobierno para estimular la participación social $ 1.836.168.191
3-3-1-15-07-45-1529 Empoderamiento social con corresponsabilidad $ 102.318.668</t>
  </si>
  <si>
    <t>PREDIS - Ejecución presupuestal a 5 de octubre de 2018</t>
  </si>
  <si>
    <t>De acuerdo al reporte de PREDIS con corte a 28 de diciembre de 2018, el Fondo de Desarrollo Local de Engativá, los siguientes rubros presentaron mayor compromiso al finalizar el IV trimestre:
1468 Desarrollo Integral y buen trato para los niños y niñas $456,500,469.00
1475 Envejecimiento digno, activo y feliz $3,564,043,309.00
1477 - Ayudas para la calidad de vida de personas con discapacidad $427,734,000.00
1479 - Dotaciones pedagógicas para el aprendizaje y la felicidad $435,345,000.00
1480 - Cultura, recreación y deporte para la participación y la formación $3,409,565,666.00
1488 -  Parques Incluyentes y Democráticos para la participación ciudadana $6,086,052,530.00
1490 - Movilidad y espacios públicos para el disfrute de la ciudadanía $26,415,416,493.00
1495 - Espacios seguros y confiables para la convivencia $2,507,291,111.00
1496 - El Derecho de las mujeres a una vida libre de violencia $556,184,955.00
1498 - El emprendimiento para la construcción de la paz y la felicidad $1,117,785,590.00
1500 -  Territorio sostenible con participación social $752,952,213.00
1501 - Buen gobierno para estimular la participación social $9,029,582,040.00
1529 - Empoderamiento Social con Corresponsabilidad $1,855,186,320.00</t>
  </si>
  <si>
    <t>PREDIS - Ejecución presupuestal a 28 de diciembre de 2018</t>
  </si>
  <si>
    <t>En el reporte de PREDIS a 6 de julio de 2018, se observa que la Inversión Directa, tenía como apropiación disponible $56.758.943.332 de los cuales se tenían comprometidos el 20%.
En el reporte de PREDIS a 28 de diciembre de 2018 se observa como apropiación disponible del rubro Inversión Directa $56.886.421.311 de los cuales se comprometieron el 99,52%</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</si>
  <si>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</si>
  <si>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</si>
  <si>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</si>
  <si>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</si>
  <si>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Esta meta no está programada para este trimestre. Sin embargo, de acuerdo a los avances realizados en el I trimestre en relación con esta meta se ha girado 2,65% del presupuesto de inversión directa de la vigencia 2018, en los siguientes rubros:
1475 - Envejecimiento digno, activo y feliz $805,459,989
1477 - Ayudas de calidad de vida de personas con discapacidad $2.175.000
1480 - Cultura, recreación y deporte para la participación y la formación $17.463.501
1488 - Parques incluyentes y democráticos para la participación ciudadana $13.960.000
1490 - Movilidad y espacios públicos para el disfrute de la ciudadanía $763.640.000
1495 - Espacios seguros y confiables para la convivencia $133.760.000
1500 - Territorio sostenible con participación social $87.374.922
1501 - Buen gobierno para estimular la participación social $5.463.275.222</t>
  </si>
  <si>
    <t>De acuerdo a lo informado por el profesional de presupuesto en el radicado 20186020032213 durante el III trimestre se realizó el giro de los siguientes rubros de inversión del presupuesto de 2018:
3-3-1-15-01-03-1475 Envejecimiento Digno, activo y feliz $ 894.353.531
3-3-1-15-01-03-1477 Ayudas para la Calidad de vida de personas con discapacidad $ 14.645.000
3-3-1-15-01-11-1480 Cultura, recreación y deporte para la participación y la formación$ 84.911.666
3-3-1-15-02-17-1488 Parques Incluyentes y Democráticos para la participación ciudadana $ 57.600.000
3-3-1-15-02-18-1490 Movilidad y Espacios Públicos para el disfrute de la ciudadanía $ 276.861.503
3-3-1-15-03-19-1495 Espacios seguros y confiables para la convivencia $ 50.160.000
3-3-1-15-06-38-1500 Territorio Sostenible con participación social $ 21.787.995
3-3-1-15-07-45-1501 Buen gobierno para estimular la participación social $ 2.116.604.834
3-3-1-15-07-45-1529 Empoderamiento social con corresponsabilidad $ 40.313.333</t>
  </si>
  <si>
    <t>De acuerdo al reporte de PREDIS con corte a 28 de diciembre de 2018, el Fondo de Desarrollo Local de Engativá, los siguientes rubros presentaron mayor cantidad de giros al finalizar el IV trimestre:
1475 - Envejecimiento digno, activo y feliz $3,502,632,525.00
1501 - Buen gobierno para estimular la participación social $7,487,013,653.00
1477 -Ayudas para la calidad de vida de personas con discapacidad $44,370,000.00
1480 -Cultura, recreación y deporte para la participación y la formación  $283,636,334.00
1488 - Parques Incluyentes y Democráticos para la participación ciudadana $195,606,667.00
1490 - Movilidad y espacios públicos para el disfrute de la ciudadanía $7,494,526,479.00
1495 - Espacios seguros y confiables para la
convivencia $172,152,001.00
1500 - Territorio sostenible con participación social $75,381,329.00</t>
  </si>
  <si>
    <t>En el reporte de PREDIS a 6 de julio de 2018, se observa giros del 8,96% en el rubro de Inversión Directa.
En el reporte de PREDIS a 28 de diciembre de 2018, se observa giros del 34,37% en el rubro de Inversión Directa</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</si>
  <si>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</si>
  <si>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</si>
  <si>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</si>
  <si>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</si>
  <si>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Esta meta no está programada para este trimestre. Sin embargo, de acuerdo a los avances realizados en el I trimestre en relación con esta meta se ha girado de obligaciones por pagar de gastos de funcionamiento un 39,53% y de obligaciones por pagar de invrsión 12.73% a 31 de marzo de 2018.</t>
  </si>
  <si>
    <t>de acuerdo a los avances realizados en el II trimestre en relación con esta meta se ha girado de obligaciones por pagar de gastos de funcionamiento un 62,72% y de obligaciones por pagar de invrsión 20,48% a 30 de junio de 2018.</t>
  </si>
  <si>
    <t>De acuerdo a lo informado por el profesional de presupuesto en el radicado 20186020032213 durante el III trimestre se realizó el giro de las obligaciones por pagar constituidas en 2017:
- Oblilgaciones por pagar por funcionamiento: 67,50%
- Obligaciones por pagar por Inversión Directa: 36,41%</t>
  </si>
  <si>
    <t>De acuerdo al reporte de PREDIS a 28 de diciembre de 2018, las Obligaciones por Pagar presentaron los siguientes giros:
- Gastos Generales: 70,31%
- Inversión: 59,17%</t>
  </si>
  <si>
    <t>De acuerdo al reporte de PREDIS del 6 de julio de 2018, se ha girado de obligaciones por pagar de gastos de funcionamiento un 62,72% y de obligaciones por pagar de invrsión 20,48% a 30 de junio de 2018.
De acuerdo al reporte de PREDIS a 28 de diciembre de 2018, las Obligaciones por Pagar presentaron los siguientes giros:
- Gastos Generales: 70,31%
- Inversión: 59,17%</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</si>
  <si>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</si>
  <si>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</si>
  <si>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</si>
  <si>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</si>
  <si>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SECOP II y carpetas contratos de malla vial</t>
  </si>
  <si>
    <t>AGDL - Contratación</t>
  </si>
  <si>
    <t>Esta met no está programada para este trimestre. Las gestiones realizadas durante el I trimestre se han enviado los estudios previos del proceso "Diseño y construcción de parques" al Instituto Distrital de Recreación y Deporte mediante mediante el radicado 20186020151021. Asimismo, se envío la solicitud de filtros y reservas para ejecución por parte del FDLE al Instituto de Desarrollo Urbano mediante el oficio  20186020130561.</t>
  </si>
  <si>
    <t>Oficios enviados</t>
  </si>
  <si>
    <t>Memorando  20186020031843 de la Oficina de Contratación de la ALE</t>
  </si>
  <si>
    <t>De acuerdo al radicado 20186020042293 durante el IV trimestre de 2018, se desarrollaron los siguientes procesos:
1. FDLE-CMA-242-2018
2. FDLE-CMA-241-2018</t>
  </si>
  <si>
    <t>Radicado 20186020042293</t>
  </si>
  <si>
    <t>La Alcaldía Local adelantó el 100% de los procesos contractuales de malla vial y parques de la vigencia 2018, utilizando los pliegos tipo.</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</si>
  <si>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</si>
  <si>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</si>
  <si>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</si>
  <si>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</si>
  <si>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SECOP I y SECOP  II y carpetas contratos de malla vial</t>
  </si>
  <si>
    <t>De acuerdo a lo informado en el radicado 20186020011533 se publicaron 227 contratos y 1 modificación contractual</t>
  </si>
  <si>
    <t>SECOP I y SECOP II</t>
  </si>
  <si>
    <t>De acuerdo a lo informado en el radicado 20186020021083 se publicaron 7 contratos y 7 modificaciones contractuales</t>
  </si>
  <si>
    <t>De acuerdo al memorando 20186020031843 durante el III trimestre se suscribieron:
- 15 contratos
- 10 suspensiones
- 6 cesiones
- 1 terminación anticipada
- 16 liquidaciones</t>
  </si>
  <si>
    <t>De acuerdo al radicado 20186020042293 durante el IV trimestre de 2018, se suscribieron:
 - 52 contratos
- 19 modificaciones contractuales</t>
  </si>
  <si>
    <t>Radicado 20186020042293
SECOP I y SECOP II</t>
  </si>
  <si>
    <t>Se publicó el 100% de la contratación del FDL  así como las modificaciones contractuales a que haya lugar  y Liquidaciones.</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</si>
  <si>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</si>
  <si>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</si>
  <si>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</si>
  <si>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SECOP II</t>
  </si>
  <si>
    <t>Si bien esta meta no está programada para este trimestre. De acuerdo a lo informado en el radicado 20186020012623 se han realizado 3 procesos contractuales para adquirir bienes de características técnicas uniformes de común utilización.</t>
  </si>
  <si>
    <t>De acuerdo al radicado 20186020042293 durante el IV trimestre de 2018, se suscribieron 17 contratos bajo los cuáles se adquirieron bienes de características técnicas uniformes.</t>
  </si>
  <si>
    <t xml:space="preserve"> radicado 20186020042293</t>
  </si>
  <si>
    <t>Se adquirió el 80% de los bienes de Características Técnicas Uniformes de Común Utilización a través del portal 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</si>
  <si>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</si>
  <si>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</si>
  <si>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</si>
  <si>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</si>
  <si>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Memorandos u oficios de remisión de procesos precontractuales</t>
  </si>
  <si>
    <t>AGDL - Planeación</t>
  </si>
  <si>
    <t>De acuerdo a lo informado por el radicado 20186020012693. Durante el I trimestre se recibieron respuesta a las solicitudes de los certificados de expedición de no existencia para contrato de apoyo a la gestión: 
20184100032033, 20184100008043, 20184100021793, 20184100025653, 20184100553943, 20184100019193
Del proyecto 1488 - Parques se enviaron los siguientes oficios: 
- Radicado N° 20186020008463 del 22 de febrero de 2018. Respuesta Radicado 20182100116303 SDG. Solicitud análisis técnico, jurídico y financiero adición y prórroga contrato de interventoría 304 de 2015 y contrato de obra 281 de 2015. 
- Radicado No.  20186020003773/20186020006543 de 19 de enero de 2018 – Respuesta Radicado 20182100037243 SDG de adición y prórroga contrato de interventoría N° 186 de 2017.
- Radicado 20186020006543 respuesta a memorando emitido para adición y prorroga contrato 186 de 2017 y prorroga contrato 217 de 2016
Proyecto 1500 - Ambiente
Radicado: 20176020031493   fecha: 26/12/2017   Respuesta:  20182100552803 fecha:29/12/2017.  Adición No.4 , prorroga No.6,  para realizar la adición al contrato de interventoría No. 142 de 2015 firmado con la Universidad Distrital Francisco José de Caldas, para realizar interventoría técnica, administrativa, financiera al contrato de obra pública que tiene por objeto realizar obra de construcción del cerramiento definitivo en los tramos especiales de los límites del humedal Jabóque, acompañado de la realización de campañas y acciones de sensibilización, promoción, prevención para la recuperación, preservación y conservación de los espacios del agua, en la localidad de Engativá de la ciudad de Bogotá. Recurso apropiado el 27 de febrero de 2018.
Proyecto 1490 Malla Vial
Radicado: 20186020007373 del 09/02/2018 – 20182100087873. Objeto: “Suministro de combustible para vehículos livianos, pesados, maquinaria amarilla propiedad y/o tenencia del Fondo, que garantice el buen desarrollo de las actividades del parque automotor y maquinaria amarilla del Fondo, a través del Acuerdo Marco de Precios No.CC-290-1-AMP-2015”</t>
  </si>
  <si>
    <t>Memorandos y oficios dirigidos a nivel central y a las entidades</t>
  </si>
  <si>
    <t>De acuerdo a lo informado en el memorando radicado 20186020021793, durante el II trimestre se recibieron respuesta a las solicitdes de los siguientes procesos:
1501 - Buen gobierno para la estimulación la participación: 3 procesos
1475 -  Envejecimiento digno, activo y feliz: 1 proceso
1890 - Cultura, recreación y deporte para la participación y la formación: 1 proceso
1488 - Parques incluyentes y democráticos para la participación ciudadana: 1 proceso
1490 - Movilidad y espacio público para el disfrute de la ciudadanía: 1  proceso
1498 - Proyecto estratégico emprendimiento: 1 proceso</t>
  </si>
  <si>
    <t>De acuerdo a lo informado en el memorando radicado 20186020032863, se enviaron las solicitudes de aval de los siguientes proyectos:
- 1479 - Dotaciones IED: 1 proceso
- 1490 - Malla Vial y espacio Público: 3 procesos
- 1480 - Cultura Recreación y Deportes para la participación y la formación: 3 procesos
- 1495 - Espacios seguros y confiables para la Convivencia: 3 procesos
- 1498 - Emprendimiento para la construcción de la paz y la felicidad: 2 procesos
- 1500 - Territorio sostenible con participación: 1 proceso
- 1501 - Bueno Gobierno para estimular la participación social: 4 procesos
- 1529 - Empoderamiento social con corresponsabilidad: 1 proceso</t>
  </si>
  <si>
    <t>De acuerdo a lo informado por la profesional de Planeación, en el radicado 20186020042173, durante el período se realizaron las siguientes solicitudes a través del aplicativo SIPSE y a los sectores a través de los oficios correspondientes:
1468: 
- Adecuación de jardines infantiles para la atención integral de la primera infancia - 1 proceso
- Promoción del buen trato infantil y prevención de la violencia intrafamiliar - 1 proceso
1477:
- Entrega de ayudas técnicas no POS: 2 procesos
1480:
- Eventos recreativos y deportivos - Aval IDRD: 2 procesos
1488
- Dotación y/o mantenimiento de parques vecinales: 1 proceso
- Adición y prorroga a los contratos No.259 -2017 y 260-2017 - 1 proceso
1490:
- Adición y prorroga a los contratos No.253 -2017 y 257-2017 - 2 procesos
- Transporte para maquinaria pesada - 4 procesos
1495:
- Acciones para la convivencia y seguridad ciudadana - 2 procesos
- Vincular personas en acciones contra la violencia y discriminación de la mujer - 1 proceso
1500
- Espacio público con acciones ambientales - 1 proceso
1501
- Personal de apoyo a la Gestión
- Solicitudes de conceptos de adición y prorroga a contratos de prestación de servicios
1529:
- Proceso de participación ciudadana y/o control social - 1 proceso</t>
  </si>
  <si>
    <t>Se cuplió con el 100% de los lineamientos de la directiva 12 de 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</si>
  <si>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</si>
  <si>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</si>
  <si>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</si>
  <si>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</si>
  <si>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Memorandos y oficios de remisión de procesos precontractuales</t>
  </si>
  <si>
    <t>Plan de implementación de SIPSE y avaces aplicativo</t>
  </si>
  <si>
    <t>Meta no programada para el I trimestre</t>
  </si>
  <si>
    <t>Según informe presentado por la Dirección de Gestión Para El Desarrollo Local , la alcaldía local de Engativá cumplió con el 100% de las actividades programadas para el II trimestre en el Plan de Implementación de SIPSE Localidades</t>
  </si>
  <si>
    <t>Informe SIPSE Localidades</t>
  </si>
  <si>
    <t>De acuerdo al radicado No. 20182100457703 la Alcaldìa Local ejecutò el 100% del plan de implementaciòn del SIPSE local en el trismestre.</t>
  </si>
  <si>
    <t>radicado No. 20182100457703</t>
  </si>
  <si>
    <t>La Alcaldía Local ejecutó el 100% del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</si>
  <si>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</si>
  <si>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</si>
  <si>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</si>
  <si>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</si>
  <si>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Actas de las jornadas de actualización y unificación de criterios contables</t>
  </si>
  <si>
    <t>AGDL - Contabilidad</t>
  </si>
  <si>
    <t>La alcaldía local de engativá asitió a todas las jornadas de unificación de criterios contables agendadas por la subsecretaría de gestión institucional y la dirección financiera</t>
  </si>
  <si>
    <t>radicado 20184000255093</t>
  </si>
  <si>
    <t>Según informe presentado por la subsecretaría de gestión institucional y la Dirección Financiera la alcaldía local asistió a todas las jornadas de unificación de criterios contables</t>
  </si>
  <si>
    <t>radicado 20184000431503</t>
  </si>
  <si>
    <t>Según informe presentado por la Subsecretaría de Gestión Institucional, la alcaldía local asistió a todas las jornadas de unificación de criterios contables</t>
  </si>
  <si>
    <t>Radicado 20184000564373</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</si>
  <si>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</si>
  <si>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</si>
  <si>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</si>
  <si>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</si>
  <si>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Memorandos de insumo a los estados contables</t>
  </si>
  <si>
    <t>De acuerdo a lo informado por el profesional que desarrolla las funciones de Contador del FDLE mediante el radicado 20186020012873 informa que realizo la solicitud de la información mensualmente a cada una de las áreas.
El Área de Gestión Policiva y Jurídica entrego la información con los radicados: 20186030004443 y 20186030010913 y el Área de Gestión de Desarrollo Local informa en el radicado 20186020011673 que entregaron la información correspondiente.</t>
  </si>
  <si>
    <t>De acuerdo a lo informado por el Contador del FDLe en el radicado 20186020021263, las áreas le entregaron la información, así:
- AGPJ: 6 memorandos
- AGDL: 1 memorando
- AGDL - Presupuesto: 4 memorandos
- AGDL - Almacén: 2 memorandos
- AGDL - Contratación: 1 memorando</t>
  </si>
  <si>
    <t>Memorandos dirigidos al Contador del FDL</t>
  </si>
  <si>
    <t>De acuerdo a lo informado por el profesional universitario con funciones de Contador del FDLe en el radicado 20186020032463, las distintas oficinas entregaron la información, así:
- AGDL - Presupuesto: 4 memorandos:
- AGDL - Administrativo y financiero: 3 memorandos
- AGPJ: 8 memorandos
- AGDL - Almacén: 8 memorandos
- AGDL - Contratación: 2 memorandos</t>
  </si>
  <si>
    <t>De acuerdo a lo informado por el profesional universitario con funciones de Contador del FDLe en el radicado 20186020041883, durante el período las distintas oficinas entregaron la información, así:
- AGDL - Presupuesto: 4 memorandos:
- AGDL - Administrativo y financiero: 4 memorandos
- AGPJ:  4 memorandos
- AGDL - Contratación: 3 memorandos</t>
  </si>
  <si>
    <t>La Alcaldía Local reportó mensualmente al contador del FDL (Vía Orfeo o AGD) el 94%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</si>
  <si>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</si>
  <si>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</si>
  <si>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</si>
  <si>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</si>
  <si>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</si>
  <si>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Reporte punto de control AGDL - Despacho</t>
  </si>
  <si>
    <t>AGDL - Despacho</t>
  </si>
  <si>
    <t>De acuerdo a lo informado en el radicado 20186020011753 durante el I trimestre se recibieron 412 requerimientos de los cuales 158 se respondieron oportunamente; 254 sin respuesta oportuna y 191 se encuentran en trámite de respuesta, ya que aún se encuentran en los 15 días para dar respuesta.</t>
  </si>
  <si>
    <t>Reporte preventivo de Google drive</t>
  </si>
  <si>
    <t>De acuerdo a lo informado en el radicado 20186020011753 durante el II trimestre se recibieron 412 requerimientos de los cuales 158 se respondieron oportunamente; 254 sin respuesta oportuna y 46 se encuentran en trámite de respuesta, ya que aún se encuentran en los 15 días para dar respuesta.</t>
  </si>
  <si>
    <t>De acuedo a lo informado en el radicado 20186020032153 durante el III trimestre se recibieron 408 requerimientos, de los cuales 202 se respondieron oportunamente, 143 sin respuesta oportuna y 63 se encuentran en trámite de respuesta, ya que la respuesta se encuentra en proyección.</t>
  </si>
  <si>
    <t>De acuedo a lo informado en el radicado 2018600041943 durante el IV trimestre se recibieron 413 requerimientos, de los cuales 88 se respondieron oportunamente, 127 sin respuesta oportuna y 181 se encuentran en trámite de respuesta, ya que la respuesta se encuentra en proyección.</t>
  </si>
  <si>
    <t>La Alcaldía Local respondió el 39% de los requerimientos asignados durante cada trimestre</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</si>
  <si>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</si>
  <si>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</si>
  <si>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</si>
  <si>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</si>
  <si>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50% (1422)</t>
  </si>
  <si>
    <t>Actas de capacitación</t>
  </si>
  <si>
    <t>Área de Gestión Corporativa Local</t>
  </si>
  <si>
    <t xml:space="preserve">Revisión Archivo físico </t>
  </si>
  <si>
    <t>57,56% (1637)</t>
  </si>
  <si>
    <t>De acuerdo a lo informado en el radicado 20184200449433 la Alcaldìa Local aplicò el 100% de la serie de contratos de la TRD.</t>
  </si>
  <si>
    <t>Memorando 20184200449433</t>
  </si>
  <si>
    <t>De acuerdo a lo informado en el radicado 20194220014113 la Alcaldìa Local aplicò el 18% de la serie de contratos de la TRD.</t>
  </si>
  <si>
    <t>Memorando 20194220014113</t>
  </si>
  <si>
    <t>De acuerdo a lo informado en el radicado 20184220567663 la Alcaldìa Local aplicò el 66,35% de la serie de contratos de la TRD.</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</si>
  <si>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</si>
  <si>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</si>
  <si>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</si>
  <si>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</si>
  <si>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</si>
  <si>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</si>
  <si>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</si>
  <si>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</si>
  <si>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Mediante el radicado 20186020010453 se solicitaron las políticas de gestión de las TIC, con el fin de poder dar cumplimiento a la meta del plan gestión, el cual a la fecha no ha sido respondido.
De acuerdo a lo informado por el Administrador de Red a trvés del radicado 20186020011563 se están cumpliendo en un 100%</t>
  </si>
  <si>
    <t>De acuerdo al radicado No. 20184400435333, la Alcaldìa Local cumpliò el 43% de los lineamientos de gestiòn de TIC impartidos.</t>
  </si>
  <si>
    <t>radicado No. 20184400435333</t>
  </si>
  <si>
    <t>La Alcaldía Local aplicó el 49.6% de los lineamientos de gestión de TIC impartidos.</t>
  </si>
  <si>
    <t>Informe DTI</t>
  </si>
  <si>
    <t>La Alcaldía Local aplicó el 76% de los lineamientos de gestión de TIC impartidos.</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</si>
  <si>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</si>
  <si>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</si>
  <si>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</si>
  <si>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</si>
  <si>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</si>
  <si>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</si>
  <si>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</si>
  <si>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</si>
  <si>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Meta no programada</t>
  </si>
  <si>
    <t>Con el radicado 20182000266183 se entrega el normograma de la Secretaria Distrital de Gobierno.</t>
  </si>
  <si>
    <t>Radicado 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</si>
  <si>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</si>
  <si>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</si>
  <si>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</si>
  <si>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</si>
  <si>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La alcaldía local de engativá realizó la medición de desempeño ambiental</t>
  </si>
  <si>
    <t>Informe de medición de desempeño ambiental</t>
  </si>
  <si>
    <t>La Alcaldía Local realizó la medición de desempeño ambiental del trimestre.</t>
  </si>
  <si>
    <t>Informe OAP</t>
  </si>
  <si>
    <t>La Alcaldía Local realizó las dos medición de desempeño ambiental programadas para la vigencia.</t>
  </si>
  <si>
    <t>Dar respuesta al 100% de los requerimientos ciudadanos asignados a la Alcaldía Local durante la vigencia 2017, según la información de seguimiento presentada por el proceso de Servicio a la Ciudadanía.</t>
  </si>
  <si>
    <t>Porcentaje de requerimientos ciudadanos con respuesta de fondo ingresados en la vigencia 2017, según verificación efectuada por el proceso de Servicio a la Ciudadanía</t>
  </si>
  <si>
    <t>((Número de requerimientos ciudadanos con respuesta de fondo asignados a la Alcaldía Local de la vigencia 2017 /Número de requerimientos ciudadanos asignados a la Alcaldía Local de la vigencia 2017)*100%)</t>
  </si>
  <si>
    <t>Requerimientos con respuestas</t>
  </si>
  <si>
    <t>SERVICIO A LA CIUDADANÍA</t>
  </si>
  <si>
    <t>La Alcaldía Local respondió el 99,6% de los requerimientos ciudadanos que ingresaron en la vigencia 2017.</t>
  </si>
  <si>
    <t>InformeSAC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</si>
  <si>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</si>
  <si>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</si>
  <si>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</si>
  <si>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</si>
  <si>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</si>
  <si>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La alcaldía local de engativá reportó la buena práctica en Ágora</t>
  </si>
  <si>
    <t>Reporte de ágora</t>
  </si>
  <si>
    <t>La Alcaldía local registró una buena práctica y una lección aprendida para el proceso en el marco de la gestión del conocimiento propiciada por la entidad.</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</si>
  <si>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</si>
  <si>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</si>
  <si>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</si>
  <si>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</si>
  <si>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AGD</t>
  </si>
  <si>
    <t>La alcaldía local de engativá tiene 2307 comunicaciones en ORFEO 1</t>
  </si>
  <si>
    <t>InformeORFEO 1</t>
  </si>
  <si>
    <t>La Alcaldía Local depuró el 33% de las comunicaciones de ORFEO I.</t>
  </si>
  <si>
    <t>radicado 20186010000523 y su anexo</t>
  </si>
  <si>
    <t>La Alcaldía Local depuró el 34% del total de las comunicaciones que se encontraban en el aplicativo de gestión documental ORFEO I. Quedan pendientes 1532</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</si>
  <si>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</si>
  <si>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</si>
  <si>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</si>
  <si>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</si>
  <si>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</si>
  <si>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La Alcaldía Local cuenta con un nivel de vencimiento de 29% en planes de mejoramiento interno y un 42% de vencimiento en planes externos</t>
  </si>
  <si>
    <t xml:space="preserve">En acciones de mejora, la alcaldía local de engativá tuvo los siguientes resultados:
1. Acciones de mejora interna - 40%
</t>
  </si>
  <si>
    <t>Informe de acciones de mejora internas y matriz de seguimiento acciones de mejora externas</t>
  </si>
  <si>
    <t>Número de planes abiertos 2; No. De planes abiertos con seguimiento 1; No. De acciones abiertas sin vencer 4; No. De acciones abiertas vencidas 14.</t>
  </si>
  <si>
    <t>La alcaldía mantuvo en el trimestre el 57% de las acciones correctivas documentadas y vigentes.</t>
  </si>
  <si>
    <t>La alcaldía mantuvo el 57% de las acciones correctivas documentadas y vigentes.</t>
  </si>
  <si>
    <t>Nivel de vencimiento planes internos</t>
  </si>
  <si>
    <t>Nivel de vencimiento planes externos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</si>
  <si>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</si>
  <si>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</si>
  <si>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</si>
  <si>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</si>
  <si>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PUBLICACIONES SEGÚN LINEAMIENTOS DE LA LEY 1712 DE 2014</t>
  </si>
  <si>
    <t>La alcaldía local no registra en la página web el  formato registro de publicaciones para la presente vigencia</t>
  </si>
  <si>
    <t>http://engativa.gov.co/transparencia/instrumentos-gestion-informacion-publica/relacionados-informacion</t>
  </si>
  <si>
    <t>No cuenta con la matriz de registro de publicaciones, publicada en la página web de la entidad. Por otro lado, la matriz enviada previamente no permite medir el cumplimiento de los criterios definidos en la ley 1712.</t>
  </si>
  <si>
    <t>La Alcadlía Local publicó en su página web el 98% de  la información relacionada de acuerdo a los lienamientos de la Ley 1712 de 2014,</t>
  </si>
  <si>
    <t>La Alcadlía Local publicó en su página web el 98% de  la información relacionada de acuerdo a los lienamientos de la Ley 1712 de 2014</t>
  </si>
  <si>
    <t>http://www.engativa.gov.co/transparencia/instrumentos-gestion-informacion-publica/relacionados-la-informacion/registro-1</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</si>
  <si>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</si>
  <si>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</si>
  <si>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</si>
  <si>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</si>
  <si>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</si>
  <si>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</si>
  <si>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</si>
  <si>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</si>
  <si>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</si>
  <si>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</si>
  <si>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</si>
  <si>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</si>
  <si>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</si>
  <si>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RUTINARIA</t>
  </si>
  <si>
    <t>SERVICIOS PUBLICOS</t>
  </si>
  <si>
    <t>CRECIENTE</t>
  </si>
  <si>
    <t>GASTOS GENERALES</t>
  </si>
  <si>
    <t>DECRECIENTE</t>
  </si>
  <si>
    <t>MEDICIONFINAL</t>
  </si>
  <si>
    <t>CONTRALORIA</t>
  </si>
  <si>
    <t>OTROS GASTOS GENERALES</t>
  </si>
  <si>
    <t>MENSUAL</t>
  </si>
  <si>
    <t>TRIMESTRAL</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</si>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</sst>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_-;\-* #,##0_-;_-* &quot;-&quot;_-;_-@_-"/>
    <numFmt numFmtId="165" formatCode="[$$-240A]\ #,##0.00"/>
    <numFmt numFmtId="166" formatCode="* #,##0.00&quot;    &quot;;\-* #,##0.00&quot;    &quot;;* \-#&quot;    &quot;;@\ "/>
    <numFmt numFmtId="167" formatCode="0.0%"/>
  </numFmts>
  <fonts count="33">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9"/>
      <color indexed="81"/>
      <name val="Tahoma"/>
      <family val="2"/>
    </font>
    <font>
      <sz val="12"/>
      <color indexed="8"/>
      <name val="Arial Rounded MT Bold"/>
      <family val="2"/>
    </font>
    <font>
      <b/>
      <sz val="12"/>
      <color indexed="8"/>
      <name val="Arial Rounded MT Bold"/>
      <family val="2"/>
    </font>
    <font>
      <b/>
      <sz val="12"/>
      <color indexed="10"/>
      <name val="Arial Rounded MT Bold"/>
      <family val="2"/>
    </font>
    <font>
      <sz val="12"/>
      <color indexed="10"/>
      <name val="Arial Rounded MT Bold"/>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2"/>
      <color theme="1"/>
      <name val="Arial Rounded MT Bold"/>
      <family val="2"/>
    </font>
    <font>
      <b/>
      <sz val="12"/>
      <color theme="1"/>
      <name val="Arial Rounded MT Bold"/>
      <family val="2"/>
    </font>
    <font>
      <sz val="12"/>
      <color rgb="FF00000A"/>
      <name val="Arial Rounded MT Bold"/>
      <family val="2"/>
    </font>
    <font>
      <sz val="12"/>
      <color rgb="FF000000"/>
      <name val="Arial Rounded MT Bold"/>
      <family val="2"/>
    </font>
    <font>
      <sz val="12"/>
      <color rgb="FFFF0000"/>
      <name val="Arial Rounded MT Bold"/>
      <family val="2"/>
    </font>
    <font>
      <u/>
      <sz val="12"/>
      <color theme="10"/>
      <name val="Arial Rounded MT Bold"/>
      <family val="2"/>
    </font>
    <font>
      <b/>
      <sz val="18"/>
      <color theme="1"/>
      <name val="Arial Rounded MT Bold"/>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0"/>
        <bgColor rgb="FFD7E4BD"/>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rgb="FF1A1A1A"/>
      </left>
      <right style="thin">
        <color rgb="FF1A1A1A"/>
      </right>
      <top style="thin">
        <color rgb="FF1A1A1A"/>
      </top>
      <bottom/>
      <diagonal/>
    </border>
    <border>
      <left style="thin">
        <color rgb="FF1A1A1A"/>
      </left>
      <right style="thin">
        <color rgb="FF1A1A1A"/>
      </right>
      <top style="thin">
        <color rgb="FF1A1A1A"/>
      </top>
      <bottom style="thin">
        <color rgb="FF1A1A1A"/>
      </bottom>
      <diagonal/>
    </border>
  </borders>
  <cellStyleXfs count="16">
    <xf numFmtId="0" fontId="0" fillId="0" borderId="0"/>
    <xf numFmtId="0" fontId="1" fillId="2" borderId="0" applyNumberFormat="0" applyBorder="0" applyAlignment="0" applyProtection="0"/>
    <xf numFmtId="0" fontId="18" fillId="0" borderId="0" applyNumberForma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6" fontId="1"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 fillId="0" borderId="0"/>
    <xf numFmtId="9" fontId="1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495">
    <xf numFmtId="0" fontId="0" fillId="0" borderId="0" xfId="0"/>
    <xf numFmtId="0" fontId="19" fillId="0" borderId="1"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0" xfId="0" applyAlignment="1">
      <alignment wrapText="1"/>
    </xf>
    <xf numFmtId="0" fontId="19" fillId="0" borderId="3"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6" borderId="7"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1" fillId="11" borderId="10"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1" fillId="12" borderId="9"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1" fillId="12" borderId="11" xfId="0" applyFont="1" applyFill="1" applyBorder="1" applyAlignment="1">
      <alignment horizontal="left" vertical="center" wrapText="1"/>
    </xf>
    <xf numFmtId="0" fontId="21"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23" fillId="0" borderId="0" xfId="0" applyFont="1"/>
    <xf numFmtId="0" fontId="5" fillId="7" borderId="2" xfId="0" applyFont="1" applyFill="1" applyBorder="1" applyAlignment="1">
      <alignment vertical="center" wrapText="1"/>
    </xf>
    <xf numFmtId="0" fontId="6" fillId="7" borderId="12" xfId="0" applyFont="1" applyFill="1" applyBorder="1" applyAlignment="1">
      <alignment horizontal="center" vertical="center" wrapText="1"/>
    </xf>
    <xf numFmtId="0" fontId="8" fillId="7" borderId="13" xfId="0" applyFont="1" applyFill="1" applyBorder="1" applyAlignment="1">
      <alignment vertical="center" wrapText="1"/>
    </xf>
    <xf numFmtId="0" fontId="8" fillId="7" borderId="7" xfId="0" applyFont="1" applyFill="1" applyBorder="1" applyAlignment="1">
      <alignment vertical="center" wrapText="1"/>
    </xf>
    <xf numFmtId="0" fontId="24" fillId="7" borderId="0" xfId="0" applyFont="1" applyFill="1"/>
    <xf numFmtId="0" fontId="7" fillId="13" borderId="14" xfId="0" applyFont="1" applyFill="1" applyBorder="1" applyAlignment="1">
      <alignment horizontal="center" vertical="center" wrapText="1"/>
    </xf>
    <xf numFmtId="0" fontId="10" fillId="7" borderId="0" xfId="0" applyFont="1" applyFill="1" applyBorder="1" applyAlignment="1">
      <alignment horizontal="left" vertical="center" wrapText="1"/>
    </xf>
    <xf numFmtId="0" fontId="9" fillId="5" borderId="15"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11" fillId="7" borderId="16" xfId="0" applyFont="1" applyFill="1" applyBorder="1" applyAlignment="1">
      <alignment vertical="center" wrapText="1"/>
    </xf>
    <xf numFmtId="0" fontId="11" fillId="7" borderId="0" xfId="0" applyFont="1" applyFill="1" applyBorder="1" applyAlignment="1">
      <alignment vertical="center" wrapText="1"/>
    </xf>
    <xf numFmtId="0" fontId="10" fillId="7" borderId="16" xfId="0" applyFont="1" applyFill="1" applyBorder="1" applyAlignment="1">
      <alignment horizontal="left" vertical="center" wrapText="1"/>
    </xf>
    <xf numFmtId="0" fontId="10" fillId="7" borderId="0" xfId="0" applyFont="1" applyFill="1" applyBorder="1" applyAlignment="1">
      <alignment horizontal="justify" vertical="center" wrapText="1"/>
    </xf>
    <xf numFmtId="0" fontId="25" fillId="7" borderId="0" xfId="0" applyFont="1" applyFill="1" applyBorder="1" applyAlignment="1">
      <alignment vertical="center"/>
    </xf>
    <xf numFmtId="0" fontId="24" fillId="7" borderId="0" xfId="0" applyFont="1" applyFill="1" applyAlignment="1">
      <alignment horizontal="center"/>
    </xf>
    <xf numFmtId="0" fontId="24" fillId="7" borderId="0" xfId="0" applyFont="1" applyFill="1" applyAlignment="1">
      <alignment horizontal="justify" vertical="center" wrapText="1"/>
    </xf>
    <xf numFmtId="0" fontId="26" fillId="7" borderId="3" xfId="0" applyFont="1" applyFill="1" applyBorder="1" applyAlignment="1" applyProtection="1">
      <alignment horizontal="left" vertical="center" wrapText="1"/>
      <protection locked="0"/>
    </xf>
    <xf numFmtId="0" fontId="26" fillId="7" borderId="17"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6" fillId="7" borderId="19" xfId="0" applyFont="1" applyFill="1" applyBorder="1" applyAlignment="1" applyProtection="1">
      <alignment horizontal="left" vertical="center" wrapText="1"/>
      <protection locked="0"/>
    </xf>
    <xf numFmtId="0" fontId="26" fillId="7" borderId="20" xfId="0" applyFont="1" applyFill="1" applyBorder="1" applyAlignment="1" applyProtection="1">
      <alignment horizontal="left" vertical="center" wrapText="1"/>
      <protection locked="0"/>
    </xf>
    <xf numFmtId="0" fontId="26" fillId="7" borderId="21"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left" vertical="center" wrapText="1"/>
      <protection locked="0"/>
    </xf>
    <xf numFmtId="0" fontId="26" fillId="7" borderId="22" xfId="0" applyFont="1" applyFill="1" applyBorder="1" applyAlignment="1" applyProtection="1">
      <alignment vertical="center" wrapText="1"/>
    </xf>
    <xf numFmtId="0" fontId="26" fillId="7" borderId="3" xfId="0" applyFont="1" applyFill="1" applyBorder="1" applyAlignment="1" applyProtection="1">
      <alignment horizontal="left" vertical="center" wrapText="1"/>
    </xf>
    <xf numFmtId="0" fontId="26" fillId="7" borderId="18" xfId="0" applyFont="1" applyFill="1" applyBorder="1" applyAlignment="1" applyProtection="1">
      <alignment horizontal="left" vertical="center" wrapText="1"/>
    </xf>
    <xf numFmtId="0" fontId="26" fillId="7" borderId="2" xfId="0" applyFont="1" applyFill="1" applyBorder="1" applyAlignment="1" applyProtection="1">
      <alignment horizontal="left" vertical="center" wrapText="1"/>
    </xf>
    <xf numFmtId="0" fontId="26" fillId="7" borderId="20" xfId="0" applyFont="1" applyFill="1" applyBorder="1" applyAlignment="1" applyProtection="1">
      <alignment horizontal="left" vertical="center" wrapText="1"/>
    </xf>
    <xf numFmtId="0" fontId="6" fillId="14" borderId="23" xfId="0" applyFont="1" applyFill="1" applyBorder="1" applyAlignment="1">
      <alignment vertical="center" wrapText="1"/>
    </xf>
    <xf numFmtId="0" fontId="26" fillId="0" borderId="0" xfId="0" applyFont="1"/>
    <xf numFmtId="0" fontId="6" fillId="14" borderId="24" xfId="0" applyFont="1" applyFill="1" applyBorder="1" applyAlignment="1">
      <alignment vertical="center" wrapText="1"/>
    </xf>
    <xf numFmtId="0" fontId="6" fillId="16" borderId="25"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7" borderId="27" xfId="0" applyFont="1" applyFill="1" applyBorder="1" applyAlignment="1">
      <alignment horizontal="center" vertical="center" wrapText="1"/>
    </xf>
    <xf numFmtId="0" fontId="6" fillId="17" borderId="27" xfId="0" applyFont="1" applyFill="1" applyBorder="1" applyAlignment="1">
      <alignment vertical="center" wrapText="1"/>
    </xf>
    <xf numFmtId="0" fontId="6" fillId="15" borderId="28" xfId="0" applyFont="1" applyFill="1" applyBorder="1" applyAlignment="1">
      <alignment horizontal="justify" vertical="center" wrapText="1"/>
    </xf>
    <xf numFmtId="0" fontId="6" fillId="15" borderId="29"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27" fillId="15" borderId="6" xfId="0" applyFont="1" applyFill="1" applyBorder="1"/>
    <xf numFmtId="0" fontId="6" fillId="18" borderId="6"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3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26" fillId="7" borderId="3" xfId="0" applyFont="1" applyFill="1" applyBorder="1" applyAlignment="1" applyProtection="1">
      <alignment horizontal="center" vertical="center" wrapText="1"/>
      <protection locked="0"/>
    </xf>
    <xf numFmtId="9" fontId="26" fillId="7" borderId="3" xfId="0" applyNumberFormat="1" applyFont="1" applyFill="1" applyBorder="1" applyAlignment="1" applyProtection="1">
      <alignment horizontal="center" vertical="center" wrapText="1"/>
      <protection locked="0"/>
    </xf>
    <xf numFmtId="0" fontId="26" fillId="7" borderId="18" xfId="0" applyFont="1" applyFill="1" applyBorder="1" applyAlignment="1" applyProtection="1">
      <alignment horizontal="center" vertical="center" wrapText="1"/>
      <protection locked="0"/>
    </xf>
    <xf numFmtId="9" fontId="26" fillId="7" borderId="3" xfId="0" applyNumberFormat="1" applyFont="1" applyFill="1" applyBorder="1" applyAlignment="1" applyProtection="1">
      <alignment horizontal="center" vertical="center" wrapText="1"/>
    </xf>
    <xf numFmtId="165" fontId="26" fillId="7" borderId="3" xfId="0" applyNumberFormat="1" applyFont="1" applyFill="1" applyBorder="1" applyAlignment="1" applyProtection="1">
      <alignment horizontal="center" vertical="center" wrapText="1"/>
      <protection locked="0"/>
    </xf>
    <xf numFmtId="0" fontId="26" fillId="7" borderId="3" xfId="0" applyFont="1" applyFill="1" applyBorder="1" applyAlignment="1" applyProtection="1">
      <alignment horizontal="center" vertical="center" wrapText="1"/>
    </xf>
    <xf numFmtId="0" fontId="9" fillId="7" borderId="3" xfId="11" applyNumberFormat="1" applyFont="1" applyFill="1" applyBorder="1" applyAlignment="1" applyProtection="1">
      <alignment horizontal="center" vertical="center" wrapText="1"/>
    </xf>
    <xf numFmtId="0" fontId="26" fillId="7" borderId="3" xfId="0" applyFont="1" applyFill="1" applyBorder="1" applyAlignment="1" applyProtection="1">
      <alignment horizontal="justify" vertical="center" wrapText="1"/>
      <protection locked="0"/>
    </xf>
    <xf numFmtId="0" fontId="26" fillId="7" borderId="3" xfId="0" applyFont="1" applyFill="1" applyBorder="1" applyAlignment="1">
      <alignment horizontal="center" vertical="center" wrapText="1"/>
    </xf>
    <xf numFmtId="9" fontId="26" fillId="7" borderId="3" xfId="0" applyNumberFormat="1" applyFont="1" applyFill="1" applyBorder="1" applyAlignment="1">
      <alignment horizontal="center" vertical="center" wrapText="1"/>
    </xf>
    <xf numFmtId="0" fontId="9" fillId="7" borderId="3" xfId="11" applyNumberFormat="1" applyFont="1" applyFill="1" applyBorder="1" applyAlignment="1">
      <alignment horizontal="center" vertical="center" wrapText="1"/>
    </xf>
    <xf numFmtId="0" fontId="26" fillId="7" borderId="3" xfId="0" applyNumberFormat="1" applyFont="1" applyFill="1" applyBorder="1" applyAlignment="1" applyProtection="1">
      <alignment horizontal="center" vertical="center" wrapText="1"/>
      <protection locked="0"/>
    </xf>
    <xf numFmtId="0" fontId="9" fillId="7" borderId="25" xfId="11" applyNumberFormat="1" applyFont="1" applyFill="1" applyBorder="1" applyAlignment="1">
      <alignment horizontal="center" vertical="center" wrapText="1"/>
    </xf>
    <xf numFmtId="0" fontId="6" fillId="7" borderId="32" xfId="0" applyFont="1" applyFill="1" applyBorder="1" applyAlignment="1">
      <alignment horizontal="center" vertical="center" wrapText="1"/>
    </xf>
    <xf numFmtId="0" fontId="27" fillId="7" borderId="24" xfId="0" applyFont="1" applyFill="1" applyBorder="1" applyAlignment="1" applyProtection="1">
      <alignment vertical="center" textRotation="90" wrapText="1"/>
      <protection locked="0"/>
    </xf>
    <xf numFmtId="0" fontId="27" fillId="7" borderId="33" xfId="0" applyFont="1" applyFill="1" applyBorder="1" applyAlignment="1" applyProtection="1">
      <alignment vertical="center" wrapText="1"/>
      <protection locked="0"/>
    </xf>
    <xf numFmtId="0" fontId="9" fillId="7" borderId="2" xfId="0" applyFont="1" applyFill="1" applyBorder="1" applyAlignment="1" applyProtection="1">
      <alignment horizontal="justify" vertical="center" wrapText="1"/>
      <protection locked="0"/>
    </xf>
    <xf numFmtId="9" fontId="27" fillId="7" borderId="2" xfId="11" applyFont="1" applyFill="1" applyBorder="1" applyAlignment="1">
      <alignment horizontal="center" vertical="center" wrapText="1"/>
    </xf>
    <xf numFmtId="0" fontId="26" fillId="7" borderId="2" xfId="0" applyFont="1" applyFill="1" applyBorder="1" applyAlignment="1" applyProtection="1">
      <alignment horizontal="center" vertical="center" wrapText="1"/>
      <protection locked="0"/>
    </xf>
    <xf numFmtId="0" fontId="26" fillId="7" borderId="6" xfId="0" applyFont="1" applyFill="1" applyBorder="1" applyAlignment="1">
      <alignment vertical="center" wrapText="1"/>
    </xf>
    <xf numFmtId="0" fontId="26" fillId="7" borderId="4" xfId="0" applyFont="1" applyFill="1" applyBorder="1" applyAlignment="1" applyProtection="1">
      <alignment horizontal="center" vertical="center" wrapText="1"/>
      <protection locked="0"/>
    </xf>
    <xf numFmtId="165" fontId="26" fillId="7" borderId="2" xfId="0" applyNumberFormat="1" applyFont="1" applyFill="1" applyBorder="1" applyAlignment="1" applyProtection="1">
      <alignment horizontal="center" vertical="center" wrapText="1"/>
      <protection locked="0"/>
    </xf>
    <xf numFmtId="9" fontId="26" fillId="7" borderId="3" xfId="11" applyFont="1" applyFill="1" applyBorder="1" applyAlignment="1" applyProtection="1">
      <alignment horizontal="center" vertical="center" wrapText="1"/>
      <protection locked="0"/>
    </xf>
    <xf numFmtId="9" fontId="9" fillId="7" borderId="3" xfId="11" applyNumberFormat="1" applyFont="1" applyFill="1" applyBorder="1" applyAlignment="1">
      <alignment horizontal="center" vertical="center" wrapText="1"/>
    </xf>
    <xf numFmtId="0" fontId="26" fillId="7" borderId="2" xfId="0" applyFont="1" applyFill="1" applyBorder="1" applyAlignment="1" applyProtection="1">
      <alignment horizontal="justify" vertical="center" wrapText="1"/>
      <protection locked="0"/>
    </xf>
    <xf numFmtId="9" fontId="27" fillId="7" borderId="2" xfId="11" applyFont="1" applyFill="1" applyBorder="1" applyAlignment="1" applyProtection="1">
      <alignment horizontal="center" vertical="center" wrapText="1"/>
      <protection locked="0"/>
    </xf>
    <xf numFmtId="0" fontId="26" fillId="7" borderId="6" xfId="0" applyFont="1" applyFill="1" applyBorder="1" applyAlignment="1" applyProtection="1">
      <alignment horizontal="center" vertical="center" wrapText="1"/>
      <protection locked="0"/>
    </xf>
    <xf numFmtId="9" fontId="26" fillId="7" borderId="6" xfId="0" applyNumberFormat="1" applyFont="1" applyFill="1" applyBorder="1" applyAlignment="1" applyProtection="1">
      <alignment horizontal="center" vertical="center" wrapText="1"/>
      <protection locked="0"/>
    </xf>
    <xf numFmtId="9" fontId="26" fillId="7" borderId="18" xfId="11" applyFont="1" applyFill="1" applyBorder="1" applyAlignment="1" applyProtection="1">
      <alignment horizontal="center" vertical="center" wrapText="1"/>
    </xf>
    <xf numFmtId="9" fontId="9" fillId="7" borderId="3" xfId="11" applyFont="1" applyFill="1" applyBorder="1" applyAlignment="1" applyProtection="1">
      <alignment horizontal="center" vertical="center" wrapText="1"/>
    </xf>
    <xf numFmtId="0" fontId="26" fillId="7" borderId="18" xfId="0" applyFont="1" applyFill="1" applyBorder="1" applyAlignment="1" applyProtection="1">
      <alignment horizontal="justify" vertical="center" wrapText="1"/>
      <protection locked="0"/>
    </xf>
    <xf numFmtId="0" fontId="26" fillId="7" borderId="18" xfId="0" applyNumberFormat="1" applyFont="1" applyFill="1" applyBorder="1" applyAlignment="1" applyProtection="1">
      <alignment horizontal="center" vertical="center" wrapText="1"/>
      <protection locked="0"/>
    </xf>
    <xf numFmtId="0" fontId="6" fillId="7" borderId="34" xfId="0" applyFont="1" applyFill="1" applyBorder="1" applyAlignment="1">
      <alignment horizontal="center" vertical="center" wrapText="1"/>
    </xf>
    <xf numFmtId="0" fontId="27" fillId="7" borderId="35" xfId="0" applyFont="1" applyFill="1" applyBorder="1" applyAlignment="1" applyProtection="1">
      <alignment vertical="center" wrapText="1"/>
      <protection locked="0"/>
    </xf>
    <xf numFmtId="0" fontId="27" fillId="7" borderId="35" xfId="0" applyFont="1" applyFill="1" applyBorder="1" applyAlignment="1" applyProtection="1">
      <alignment horizontal="center" vertical="center" wrapText="1"/>
      <protection locked="0"/>
    </xf>
    <xf numFmtId="9" fontId="27" fillId="7" borderId="35" xfId="11" applyFont="1" applyFill="1" applyBorder="1" applyAlignment="1" applyProtection="1">
      <alignment horizontal="center" vertical="center" wrapText="1"/>
      <protection locked="0"/>
    </xf>
    <xf numFmtId="0" fontId="26" fillId="7" borderId="36" xfId="0" applyFont="1" applyFill="1" applyBorder="1" applyAlignment="1" applyProtection="1">
      <alignment horizontal="center" vertical="center" wrapText="1"/>
      <protection locked="0"/>
    </xf>
    <xf numFmtId="0" fontId="26" fillId="7" borderId="20" xfId="0" applyFont="1" applyFill="1" applyBorder="1" applyAlignment="1">
      <alignment vertical="center" wrapText="1"/>
    </xf>
    <xf numFmtId="0" fontId="9" fillId="7" borderId="20" xfId="0" applyFont="1" applyFill="1" applyBorder="1" applyAlignment="1">
      <alignment vertical="center" wrapText="1"/>
    </xf>
    <xf numFmtId="0" fontId="26" fillId="7" borderId="20" xfId="0" applyFont="1" applyFill="1" applyBorder="1" applyAlignment="1" applyProtection="1">
      <alignment horizontal="center" vertical="center" wrapText="1"/>
      <protection locked="0"/>
    </xf>
    <xf numFmtId="9" fontId="26" fillId="7" borderId="20" xfId="0" applyNumberFormat="1" applyFont="1" applyFill="1" applyBorder="1" applyAlignment="1" applyProtection="1">
      <alignment horizontal="center" vertical="center" wrapText="1"/>
    </xf>
    <xf numFmtId="9" fontId="26" fillId="7" borderId="20" xfId="0" applyNumberFormat="1" applyFont="1" applyFill="1" applyBorder="1" applyAlignment="1" applyProtection="1">
      <alignment horizontal="center" vertical="center" wrapText="1"/>
      <protection locked="0"/>
    </xf>
    <xf numFmtId="165" fontId="26" fillId="7" borderId="20" xfId="0" applyNumberFormat="1" applyFont="1" applyFill="1" applyBorder="1" applyAlignment="1" applyProtection="1">
      <alignment horizontal="center" vertical="center" wrapText="1"/>
      <protection locked="0"/>
    </xf>
    <xf numFmtId="0" fontId="26" fillId="7" borderId="20" xfId="0" applyFont="1" applyFill="1" applyBorder="1" applyAlignment="1" applyProtection="1">
      <alignment horizontal="center" vertical="center" wrapText="1"/>
    </xf>
    <xf numFmtId="0" fontId="26" fillId="7" borderId="20" xfId="0" applyNumberFormat="1" applyFont="1" applyFill="1" applyBorder="1" applyAlignment="1" applyProtection="1">
      <alignment horizontal="center" vertical="center" wrapText="1"/>
    </xf>
    <xf numFmtId="0" fontId="26" fillId="7" borderId="20" xfId="0" applyFont="1" applyFill="1" applyBorder="1" applyAlignment="1" applyProtection="1">
      <alignment horizontal="justify" vertical="center" wrapText="1"/>
      <protection locked="0"/>
    </xf>
    <xf numFmtId="0" fontId="26" fillId="7" borderId="20" xfId="0" applyFont="1" applyFill="1" applyBorder="1" applyAlignment="1">
      <alignment horizontal="center" vertical="center" wrapText="1"/>
    </xf>
    <xf numFmtId="0" fontId="26" fillId="7" borderId="20" xfId="0" applyNumberFormat="1" applyFont="1" applyFill="1" applyBorder="1" applyAlignment="1" applyProtection="1">
      <alignment horizontal="center" vertical="center" wrapText="1"/>
      <protection locked="0"/>
    </xf>
    <xf numFmtId="0" fontId="27" fillId="0" borderId="37" xfId="0" applyFont="1" applyFill="1" applyBorder="1" applyAlignment="1" applyProtection="1">
      <alignment vertical="center" wrapText="1"/>
      <protection locked="0"/>
    </xf>
    <xf numFmtId="0" fontId="9" fillId="7" borderId="3" xfId="0" applyFont="1" applyFill="1" applyBorder="1" applyAlignment="1">
      <alignment horizontal="justify" vertical="center" wrapText="1"/>
    </xf>
    <xf numFmtId="9" fontId="27" fillId="7" borderId="3" xfId="11" applyFont="1" applyFill="1" applyBorder="1" applyAlignment="1">
      <alignment horizontal="center" vertical="center" wrapText="1"/>
    </xf>
    <xf numFmtId="9" fontId="26" fillId="7" borderId="3" xfId="11" applyFont="1" applyFill="1" applyBorder="1" applyAlignment="1" applyProtection="1">
      <alignment horizontal="center" vertical="center" wrapText="1"/>
    </xf>
    <xf numFmtId="0" fontId="27" fillId="0" borderId="38" xfId="0" applyFont="1" applyFill="1" applyBorder="1" applyAlignment="1" applyProtection="1">
      <alignment vertical="center" wrapText="1"/>
      <protection locked="0"/>
    </xf>
    <xf numFmtId="9" fontId="27" fillId="7" borderId="35" xfId="11" applyFont="1" applyFill="1" applyBorder="1" applyAlignment="1">
      <alignment horizontal="center" vertical="center" wrapText="1"/>
    </xf>
    <xf numFmtId="0" fontId="26" fillId="7" borderId="39" xfId="0" applyFont="1" applyFill="1" applyBorder="1" applyAlignment="1" applyProtection="1">
      <alignment horizontal="center" vertical="center" wrapText="1"/>
      <protection locked="0"/>
    </xf>
    <xf numFmtId="0" fontId="26" fillId="7" borderId="40" xfId="0" applyFont="1" applyFill="1" applyBorder="1" applyAlignment="1">
      <alignment vertical="center" wrapText="1"/>
    </xf>
    <xf numFmtId="0" fontId="26" fillId="7" borderId="40" xfId="0" applyFont="1" applyFill="1" applyBorder="1" applyAlignment="1" applyProtection="1">
      <alignment horizontal="justify" vertical="center" wrapText="1"/>
      <protection locked="0"/>
    </xf>
    <xf numFmtId="0" fontId="26" fillId="7" borderId="41" xfId="0" applyFont="1" applyFill="1" applyBorder="1" applyAlignment="1" applyProtection="1">
      <alignment horizontal="center" vertical="center" wrapText="1"/>
      <protection locked="0"/>
    </xf>
    <xf numFmtId="0" fontId="26" fillId="7" borderId="20" xfId="0" applyFont="1" applyFill="1" applyBorder="1" applyAlignment="1" applyProtection="1">
      <alignment horizontal="justify" vertical="center" wrapText="1"/>
    </xf>
    <xf numFmtId="0" fontId="26" fillId="7" borderId="20" xfId="0" applyFont="1" applyFill="1" applyBorder="1" applyAlignment="1">
      <alignment vertical="center"/>
    </xf>
    <xf numFmtId="0" fontId="27" fillId="0" borderId="23" xfId="0" applyFont="1" applyFill="1" applyBorder="1" applyAlignment="1">
      <alignment vertical="center" wrapText="1"/>
    </xf>
    <xf numFmtId="0" fontId="9" fillId="7" borderId="42" xfId="0" applyFont="1" applyFill="1" applyBorder="1" applyAlignment="1">
      <alignment horizontal="justify" vertical="center" wrapText="1"/>
    </xf>
    <xf numFmtId="9" fontId="27" fillId="7" borderId="9" xfId="11" applyFont="1" applyFill="1" applyBorder="1" applyAlignment="1">
      <alignment horizontal="center" vertical="center" wrapText="1"/>
    </xf>
    <xf numFmtId="1" fontId="26" fillId="7" borderId="3" xfId="0" applyNumberFormat="1" applyFont="1" applyFill="1" applyBorder="1" applyAlignment="1" applyProtection="1">
      <alignment horizontal="center" vertical="center" wrapText="1"/>
    </xf>
    <xf numFmtId="0" fontId="26" fillId="7" borderId="3" xfId="0" applyNumberFormat="1" applyFont="1" applyFill="1" applyBorder="1" applyAlignment="1" applyProtection="1">
      <alignment horizontal="center" vertical="center" wrapText="1"/>
    </xf>
    <xf numFmtId="9" fontId="9" fillId="7" borderId="3" xfId="11" applyNumberFormat="1" applyFont="1" applyFill="1" applyBorder="1" applyAlignment="1" applyProtection="1">
      <alignment horizontal="center" vertical="center" wrapText="1"/>
    </xf>
    <xf numFmtId="0" fontId="26" fillId="7" borderId="3" xfId="0" applyNumberFormat="1" applyFont="1" applyFill="1" applyBorder="1" applyAlignment="1">
      <alignment horizontal="center" vertical="center" wrapText="1"/>
    </xf>
    <xf numFmtId="0" fontId="26" fillId="0" borderId="0" xfId="0" applyFont="1" applyProtection="1">
      <protection locked="0"/>
    </xf>
    <xf numFmtId="0" fontId="26" fillId="7" borderId="3" xfId="0" applyNumberFormat="1" applyFont="1" applyFill="1" applyBorder="1" applyAlignment="1" applyProtection="1">
      <alignment horizontal="left" vertical="center" wrapText="1"/>
      <protection locked="0"/>
    </xf>
    <xf numFmtId="0" fontId="27" fillId="0" borderId="24" xfId="0" applyFont="1" applyFill="1" applyBorder="1" applyAlignment="1">
      <alignment vertical="center" wrapText="1"/>
    </xf>
    <xf numFmtId="0" fontId="9" fillId="7" borderId="43" xfId="0" applyFont="1" applyFill="1" applyBorder="1" applyAlignment="1">
      <alignment horizontal="justify" vertical="center" wrapText="1"/>
    </xf>
    <xf numFmtId="9" fontId="27" fillId="7" borderId="7" xfId="11"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4" xfId="0" applyFont="1" applyFill="1" applyBorder="1" applyAlignment="1" applyProtection="1">
      <alignment horizontal="justify" vertical="center" wrapText="1"/>
      <protection locked="0"/>
    </xf>
    <xf numFmtId="1" fontId="26" fillId="7" borderId="4" xfId="0" applyNumberFormat="1" applyFont="1" applyFill="1" applyBorder="1" applyAlignment="1" applyProtection="1">
      <alignment horizontal="center" vertical="center" wrapText="1"/>
    </xf>
    <xf numFmtId="1" fontId="26" fillId="7" borderId="4" xfId="0" applyNumberFormat="1" applyFont="1" applyFill="1" applyBorder="1" applyAlignment="1" applyProtection="1">
      <alignment horizontal="center" vertical="center" wrapText="1"/>
      <protection locked="0"/>
    </xf>
    <xf numFmtId="9" fontId="9" fillId="7" borderId="3" xfId="11" applyFont="1" applyFill="1" applyBorder="1" applyAlignment="1">
      <alignment horizontal="center" vertical="center" wrapText="1"/>
    </xf>
    <xf numFmtId="0" fontId="26" fillId="7" borderId="2" xfId="0" applyFont="1" applyFill="1" applyBorder="1" applyAlignment="1">
      <alignment horizontal="center" vertical="center" wrapText="1"/>
    </xf>
    <xf numFmtId="0" fontId="27" fillId="0" borderId="35" xfId="0" applyFont="1" applyFill="1" applyBorder="1" applyAlignment="1">
      <alignment vertical="center" wrapText="1"/>
    </xf>
    <xf numFmtId="0" fontId="27" fillId="7" borderId="44" xfId="0" applyFont="1" applyFill="1" applyBorder="1" applyAlignment="1" applyProtection="1">
      <alignment horizontal="center" vertical="center" wrapText="1"/>
      <protection locked="0"/>
    </xf>
    <xf numFmtId="9" fontId="27" fillId="7" borderId="44" xfId="11" applyFont="1" applyFill="1" applyBorder="1" applyAlignment="1">
      <alignment horizontal="center" vertical="center" wrapText="1"/>
    </xf>
    <xf numFmtId="0" fontId="26" fillId="7" borderId="35" xfId="0" applyFont="1" applyFill="1" applyBorder="1" applyAlignment="1">
      <alignment vertical="center" wrapText="1"/>
    </xf>
    <xf numFmtId="0" fontId="6" fillId="7" borderId="26" xfId="0" applyFont="1" applyFill="1" applyBorder="1" applyAlignment="1" applyProtection="1">
      <alignment horizontal="center" vertical="center" wrapText="1"/>
    </xf>
    <xf numFmtId="0" fontId="27" fillId="7" borderId="24" xfId="0" applyFont="1" applyFill="1" applyBorder="1" applyAlignment="1" applyProtection="1">
      <alignment vertical="center" textRotation="90" wrapText="1"/>
    </xf>
    <xf numFmtId="0" fontId="27" fillId="0" borderId="33" xfId="0" applyFont="1" applyFill="1" applyBorder="1" applyAlignment="1" applyProtection="1">
      <alignment vertical="center" wrapText="1"/>
    </xf>
    <xf numFmtId="0" fontId="28" fillId="0" borderId="2" xfId="0" applyFont="1" applyBorder="1" applyAlignment="1" applyProtection="1">
      <alignment vertical="center" wrapText="1"/>
    </xf>
    <xf numFmtId="9" fontId="27" fillId="7" borderId="4" xfId="11"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xf>
    <xf numFmtId="0" fontId="26" fillId="7" borderId="4" xfId="0" applyFont="1" applyFill="1" applyBorder="1" applyAlignment="1" applyProtection="1">
      <alignment vertical="center" wrapText="1"/>
    </xf>
    <xf numFmtId="0" fontId="26" fillId="7" borderId="2" xfId="0" applyFont="1" applyFill="1" applyBorder="1" applyAlignment="1" applyProtection="1">
      <alignment horizontal="center" vertical="center" wrapText="1"/>
    </xf>
    <xf numFmtId="0" fontId="26" fillId="7" borderId="4" xfId="11" applyNumberFormat="1"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6" xfId="0" applyFont="1" applyFill="1" applyBorder="1" applyAlignment="1" applyProtection="1">
      <alignment horizontal="center" vertical="center" wrapText="1"/>
    </xf>
    <xf numFmtId="165" fontId="26" fillId="7" borderId="3" xfId="0" applyNumberFormat="1" applyFont="1" applyFill="1" applyBorder="1" applyAlignment="1" applyProtection="1">
      <alignment horizontal="center" vertical="center" wrapText="1"/>
    </xf>
    <xf numFmtId="0" fontId="26" fillId="7" borderId="3" xfId="0" applyFont="1" applyFill="1" applyBorder="1" applyAlignment="1" applyProtection="1">
      <alignment horizontal="justify" vertical="center" wrapText="1"/>
    </xf>
    <xf numFmtId="0" fontId="9" fillId="7" borderId="25" xfId="11" applyNumberFormat="1" applyFont="1" applyFill="1" applyBorder="1" applyAlignment="1" applyProtection="1">
      <alignment horizontal="center" vertical="center" wrapText="1"/>
    </xf>
    <xf numFmtId="0" fontId="26" fillId="0" borderId="0" xfId="0" applyFont="1" applyProtection="1"/>
    <xf numFmtId="0" fontId="6" fillId="7" borderId="32" xfId="0" applyFont="1" applyFill="1" applyBorder="1" applyAlignment="1" applyProtection="1">
      <alignment horizontal="center" vertical="center" wrapText="1"/>
    </xf>
    <xf numFmtId="9" fontId="27" fillId="7" borderId="2" xfId="11" applyFont="1" applyFill="1" applyBorder="1" applyAlignment="1" applyProtection="1">
      <alignment horizontal="center" vertical="center" wrapText="1"/>
    </xf>
    <xf numFmtId="1" fontId="26" fillId="7" borderId="2" xfId="0" applyNumberFormat="1" applyFont="1" applyFill="1" applyBorder="1" applyAlignment="1" applyProtection="1">
      <alignment horizontal="center" vertical="center" wrapText="1"/>
    </xf>
    <xf numFmtId="0" fontId="26" fillId="7" borderId="2" xfId="11" applyNumberFormat="1" applyFont="1" applyFill="1" applyBorder="1" applyAlignment="1" applyProtection="1">
      <alignment horizontal="center" vertical="center" wrapText="1"/>
    </xf>
    <xf numFmtId="1" fontId="26" fillId="7" borderId="2" xfId="11" applyNumberFormat="1" applyFont="1" applyFill="1" applyBorder="1" applyAlignment="1" applyProtection="1">
      <alignment horizontal="center" vertical="center" wrapText="1"/>
    </xf>
    <xf numFmtId="165" fontId="26" fillId="7" borderId="2" xfId="0" applyNumberFormat="1" applyFont="1" applyFill="1" applyBorder="1" applyAlignment="1" applyProtection="1">
      <alignment horizontal="center" vertical="center" wrapText="1"/>
    </xf>
    <xf numFmtId="0" fontId="26" fillId="7" borderId="3" xfId="11" applyNumberFormat="1" applyFont="1" applyFill="1" applyBorder="1" applyAlignment="1" applyProtection="1">
      <alignment horizontal="center" vertical="center" wrapText="1"/>
    </xf>
    <xf numFmtId="0" fontId="27" fillId="0" borderId="33" xfId="0" applyFont="1" applyFill="1" applyBorder="1" applyAlignment="1" applyProtection="1">
      <alignment vertical="center" wrapText="1"/>
      <protection locked="0"/>
    </xf>
    <xf numFmtId="9" fontId="27" fillId="7" borderId="43" xfId="11"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protection locked="0"/>
    </xf>
    <xf numFmtId="0" fontId="26" fillId="7" borderId="2" xfId="0" applyFont="1" applyFill="1" applyBorder="1" applyAlignment="1">
      <alignment vertical="center" wrapText="1"/>
    </xf>
    <xf numFmtId="1" fontId="26" fillId="7" borderId="2" xfId="0" applyNumberFormat="1" applyFont="1" applyFill="1" applyBorder="1" applyAlignment="1" applyProtection="1">
      <alignment horizontal="center" vertical="center" wrapText="1"/>
      <protection locked="0"/>
    </xf>
    <xf numFmtId="9" fontId="26" fillId="7"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justify" vertical="center" wrapText="1"/>
    </xf>
    <xf numFmtId="0" fontId="28" fillId="0" borderId="2" xfId="0" applyFont="1" applyBorder="1" applyAlignment="1">
      <alignment horizontal="justify" vertical="center"/>
    </xf>
    <xf numFmtId="0" fontId="28" fillId="0" borderId="0" xfId="0" applyFont="1" applyAlignment="1" applyProtection="1">
      <alignment vertical="center" wrapText="1"/>
    </xf>
    <xf numFmtId="0" fontId="28" fillId="0" borderId="2" xfId="0" applyFont="1" applyBorder="1" applyAlignment="1">
      <alignment vertical="center" wrapText="1"/>
    </xf>
    <xf numFmtId="0" fontId="27" fillId="0" borderId="24" xfId="0" applyFont="1" applyFill="1" applyBorder="1" applyAlignment="1" applyProtection="1">
      <alignment horizontal="center" vertical="center" wrapText="1"/>
      <protection locked="0"/>
    </xf>
    <xf numFmtId="9" fontId="27" fillId="7" borderId="32" xfId="11" applyFont="1" applyFill="1" applyBorder="1" applyAlignment="1">
      <alignment horizontal="center" vertical="center" wrapText="1"/>
    </xf>
    <xf numFmtId="10" fontId="26" fillId="7" borderId="3" xfId="0" applyNumberFormat="1" applyFont="1" applyFill="1" applyBorder="1" applyAlignment="1" applyProtection="1">
      <alignment horizontal="center" vertical="center" wrapText="1"/>
      <protection locked="0"/>
    </xf>
    <xf numFmtId="10" fontId="26" fillId="7" borderId="3" xfId="0" applyNumberFormat="1" applyFont="1" applyFill="1" applyBorder="1" applyAlignment="1" applyProtection="1">
      <alignment horizontal="center" vertical="center" wrapText="1"/>
    </xf>
    <xf numFmtId="9" fontId="26" fillId="7" borderId="2" xfId="0" applyNumberFormat="1" applyFont="1" applyFill="1" applyBorder="1" applyAlignment="1" applyProtection="1">
      <alignment horizontal="center" vertical="center" wrapText="1"/>
      <protection locked="0"/>
    </xf>
    <xf numFmtId="0" fontId="27" fillId="7" borderId="24" xfId="0" applyFont="1" applyFill="1" applyBorder="1" applyAlignment="1" applyProtection="1">
      <alignment vertical="center" wrapText="1"/>
    </xf>
    <xf numFmtId="0" fontId="9" fillId="21" borderId="64" xfId="10" applyFont="1" applyFill="1" applyBorder="1" applyAlignment="1" applyProtection="1">
      <alignment horizontal="justify" vertical="center" wrapText="1"/>
    </xf>
    <xf numFmtId="9" fontId="27" fillId="7" borderId="32" xfId="11" applyFont="1" applyFill="1" applyBorder="1" applyAlignment="1" applyProtection="1">
      <alignment horizontal="center" vertical="center" wrapText="1"/>
    </xf>
    <xf numFmtId="0" fontId="26" fillId="7" borderId="7" xfId="0" applyFont="1" applyFill="1" applyBorder="1" applyAlignment="1" applyProtection="1">
      <alignment horizontal="center" vertical="center" wrapText="1"/>
    </xf>
    <xf numFmtId="0" fontId="26" fillId="7" borderId="6" xfId="0" applyFont="1" applyFill="1" applyBorder="1" applyAlignment="1" applyProtection="1">
      <alignment vertical="center" wrapText="1"/>
    </xf>
    <xf numFmtId="0" fontId="26" fillId="7" borderId="18" xfId="0" applyFont="1" applyFill="1" applyBorder="1" applyAlignment="1" applyProtection="1">
      <alignment horizontal="center" vertical="center" wrapText="1"/>
    </xf>
    <xf numFmtId="9" fontId="26" fillId="7" borderId="6" xfId="0" applyNumberFormat="1" applyFont="1" applyFill="1" applyBorder="1" applyAlignment="1" applyProtection="1">
      <alignment horizontal="center" vertical="center" wrapText="1"/>
    </xf>
    <xf numFmtId="165" fontId="26" fillId="7" borderId="6" xfId="0" applyNumberFormat="1" applyFont="1" applyFill="1" applyBorder="1" applyAlignment="1" applyProtection="1">
      <alignment horizontal="center" vertical="center" wrapText="1"/>
    </xf>
    <xf numFmtId="9" fontId="26" fillId="7" borderId="18" xfId="0" applyNumberFormat="1" applyFont="1" applyFill="1" applyBorder="1" applyAlignment="1" applyProtection="1">
      <alignment horizontal="center" vertical="center" wrapText="1"/>
    </xf>
    <xf numFmtId="0" fontId="26" fillId="7" borderId="18" xfId="0" applyFont="1" applyFill="1" applyBorder="1" applyAlignment="1" applyProtection="1">
      <alignment horizontal="justify" vertical="center" wrapText="1"/>
    </xf>
    <xf numFmtId="0" fontId="26" fillId="7" borderId="18" xfId="0" applyNumberFormat="1" applyFont="1" applyFill="1" applyBorder="1" applyAlignment="1" applyProtection="1">
      <alignment horizontal="center" vertical="center" wrapText="1"/>
    </xf>
    <xf numFmtId="0" fontId="27" fillId="7" borderId="33" xfId="0" applyFont="1" applyFill="1" applyBorder="1" applyAlignment="1" applyProtection="1">
      <alignment vertical="center" wrapText="1"/>
    </xf>
    <xf numFmtId="0" fontId="29" fillId="7" borderId="2" xfId="0" applyFont="1" applyFill="1" applyBorder="1" applyAlignment="1" applyProtection="1">
      <alignment horizontal="center" vertical="center" wrapText="1"/>
    </xf>
    <xf numFmtId="9" fontId="27" fillId="7" borderId="6" xfId="11" applyFont="1" applyFill="1" applyBorder="1" applyAlignment="1" applyProtection="1">
      <alignment horizontal="center" vertical="center" wrapText="1"/>
    </xf>
    <xf numFmtId="0" fontId="26" fillId="7" borderId="2" xfId="0" applyFont="1" applyFill="1" applyBorder="1" applyAlignment="1" applyProtection="1">
      <alignment vertical="center" wrapText="1"/>
    </xf>
    <xf numFmtId="9" fontId="9" fillId="7" borderId="3" xfId="0" applyNumberFormat="1" applyFont="1" applyFill="1" applyBorder="1" applyAlignment="1" applyProtection="1">
      <alignment horizontal="center" vertical="center" wrapText="1"/>
    </xf>
    <xf numFmtId="9" fontId="9" fillId="7" borderId="2" xfId="0" applyNumberFormat="1" applyFont="1" applyFill="1" applyBorder="1" applyAlignment="1" applyProtection="1">
      <alignment horizontal="center" vertical="center" wrapText="1"/>
    </xf>
    <xf numFmtId="0" fontId="26" fillId="7" borderId="2" xfId="0" applyFont="1" applyFill="1" applyBorder="1" applyAlignment="1" applyProtection="1">
      <alignment horizontal="justify" vertical="center" wrapText="1"/>
    </xf>
    <xf numFmtId="0" fontId="29" fillId="7" borderId="2" xfId="0" applyFont="1" applyFill="1" applyBorder="1" applyAlignment="1" applyProtection="1">
      <alignment horizontal="center" vertical="center" wrapText="1"/>
      <protection locked="0"/>
    </xf>
    <xf numFmtId="0" fontId="26" fillId="7" borderId="6" xfId="0" applyFont="1" applyFill="1" applyBorder="1" applyAlignment="1" applyProtection="1">
      <alignment horizontal="justify" vertical="center" wrapText="1"/>
      <protection locked="0"/>
    </xf>
    <xf numFmtId="0" fontId="6" fillId="7" borderId="45" xfId="0" applyFont="1" applyFill="1" applyBorder="1" applyAlignment="1">
      <alignment horizontal="center" vertical="center" wrapText="1"/>
    </xf>
    <xf numFmtId="0" fontId="27" fillId="7" borderId="24" xfId="0" applyFont="1" applyFill="1" applyBorder="1" applyAlignment="1" applyProtection="1">
      <alignment horizontal="center" vertical="center" wrapText="1"/>
      <protection locked="0"/>
    </xf>
    <xf numFmtId="0" fontId="27" fillId="7" borderId="27" xfId="0" applyFont="1" applyFill="1" applyBorder="1" applyAlignment="1" applyProtection="1">
      <alignment horizontal="center" vertical="center" wrapText="1"/>
      <protection locked="0"/>
    </xf>
    <xf numFmtId="0" fontId="27" fillId="7" borderId="27" xfId="0" applyFont="1" applyFill="1" applyBorder="1" applyAlignment="1" applyProtection="1">
      <alignment horizontal="justify" vertical="center" wrapText="1"/>
      <protection locked="0"/>
    </xf>
    <xf numFmtId="9" fontId="27" fillId="7" borderId="27" xfId="0" applyNumberFormat="1" applyFont="1" applyFill="1" applyBorder="1" applyAlignment="1" applyProtection="1">
      <alignment horizontal="center" vertical="center" wrapText="1"/>
    </xf>
    <xf numFmtId="0" fontId="27" fillId="7" borderId="18" xfId="0" applyFont="1" applyFill="1" applyBorder="1" applyAlignment="1" applyProtection="1">
      <alignment horizontal="center" vertical="center" wrapText="1"/>
      <protection locked="0"/>
    </xf>
    <xf numFmtId="0" fontId="27" fillId="7" borderId="18" xfId="0" applyFont="1" applyFill="1" applyBorder="1" applyAlignment="1" applyProtection="1">
      <alignment horizontal="left" vertical="center" wrapText="1"/>
    </xf>
    <xf numFmtId="165" fontId="27" fillId="7" borderId="18" xfId="0" applyNumberFormat="1" applyFont="1" applyFill="1" applyBorder="1" applyAlignment="1" applyProtection="1">
      <alignment horizontal="center" vertical="center" wrapText="1"/>
      <protection locked="0"/>
    </xf>
    <xf numFmtId="0" fontId="27" fillId="7" borderId="46" xfId="0" applyFont="1" applyFill="1" applyBorder="1" applyAlignment="1" applyProtection="1">
      <alignment vertical="center" wrapText="1"/>
      <protection locked="0"/>
    </xf>
    <xf numFmtId="0" fontId="9" fillId="7" borderId="18" xfId="0" applyFont="1" applyFill="1" applyBorder="1" applyAlignment="1">
      <alignment horizontal="justify" vertical="center" wrapText="1"/>
    </xf>
    <xf numFmtId="0" fontId="9" fillId="7" borderId="2" xfId="0" applyFont="1" applyFill="1" applyBorder="1" applyAlignment="1">
      <alignment horizontal="justify" vertical="center" wrapText="1"/>
    </xf>
    <xf numFmtId="9" fontId="26" fillId="7" borderId="18" xfId="0" applyNumberFormat="1" applyFont="1" applyFill="1" applyBorder="1" applyAlignment="1" applyProtection="1">
      <alignment horizontal="center" vertical="center" wrapText="1"/>
      <protection locked="0"/>
    </xf>
    <xf numFmtId="9" fontId="26" fillId="7" borderId="3" xfId="11" applyFont="1" applyFill="1" applyBorder="1" applyAlignment="1">
      <alignment horizontal="center" vertical="center" wrapText="1"/>
    </xf>
    <xf numFmtId="9" fontId="26" fillId="7" borderId="18" xfId="11" applyFont="1" applyFill="1" applyBorder="1" applyAlignment="1" applyProtection="1">
      <alignment horizontal="center" vertical="center" wrapText="1"/>
      <protection locked="0"/>
    </xf>
    <xf numFmtId="0" fontId="27" fillId="7" borderId="47" xfId="0" applyFont="1" applyFill="1" applyBorder="1" applyAlignment="1" applyProtection="1">
      <alignment vertical="center" wrapText="1"/>
      <protection locked="0"/>
    </xf>
    <xf numFmtId="0" fontId="27" fillId="7" borderId="40" xfId="0" applyFont="1" applyFill="1" applyBorder="1" applyAlignment="1" applyProtection="1">
      <alignment horizontal="center" vertical="center" wrapText="1"/>
      <protection locked="0"/>
    </xf>
    <xf numFmtId="0" fontId="27" fillId="7" borderId="20" xfId="0" applyFont="1" applyFill="1" applyBorder="1" applyAlignment="1" applyProtection="1">
      <alignment horizontal="center" vertical="center" wrapText="1"/>
      <protection locked="0"/>
    </xf>
    <xf numFmtId="0" fontId="27" fillId="7" borderId="20" xfId="0" applyFont="1" applyFill="1" applyBorder="1" applyAlignment="1" applyProtection="1">
      <alignment horizontal="left" vertical="center" wrapText="1"/>
    </xf>
    <xf numFmtId="165" fontId="27" fillId="7" borderId="20" xfId="0" applyNumberFormat="1" applyFont="1" applyFill="1" applyBorder="1" applyAlignment="1" applyProtection="1">
      <alignment horizontal="center" vertical="center" wrapText="1"/>
      <protection locked="0"/>
    </xf>
    <xf numFmtId="0" fontId="27" fillId="7" borderId="26" xfId="0" applyFont="1" applyFill="1" applyBorder="1" applyAlignment="1" applyProtection="1">
      <alignment vertical="center" wrapText="1"/>
    </xf>
    <xf numFmtId="0" fontId="9" fillId="0" borderId="3" xfId="0" applyFont="1" applyFill="1" applyBorder="1" applyAlignment="1" applyProtection="1">
      <alignment horizontal="justify" vertical="center" wrapText="1"/>
    </xf>
    <xf numFmtId="9" fontId="27" fillId="7" borderId="3" xfId="11" applyFont="1" applyFill="1" applyBorder="1" applyAlignment="1" applyProtection="1">
      <alignment horizontal="center" vertical="center" wrapText="1"/>
    </xf>
    <xf numFmtId="0" fontId="9" fillId="7" borderId="3" xfId="0" applyFont="1" applyFill="1" applyBorder="1" applyAlignment="1" applyProtection="1">
      <alignment horizontal="center" vertical="center" wrapText="1"/>
    </xf>
    <xf numFmtId="0" fontId="9" fillId="7" borderId="3" xfId="0" applyFont="1" applyFill="1" applyBorder="1" applyAlignment="1" applyProtection="1">
      <alignment horizontal="justify" vertical="center" wrapText="1"/>
    </xf>
    <xf numFmtId="0" fontId="30" fillId="7" borderId="3" xfId="0" applyNumberFormat="1" applyFont="1" applyFill="1" applyBorder="1" applyAlignment="1" applyProtection="1">
      <alignment horizontal="center" vertical="center" wrapText="1"/>
    </xf>
    <xf numFmtId="0" fontId="27" fillId="7" borderId="29" xfId="0" applyFont="1" applyFill="1" applyBorder="1" applyAlignment="1" applyProtection="1">
      <alignment vertical="center" wrapText="1"/>
      <protection locked="0"/>
    </xf>
    <xf numFmtId="0" fontId="27" fillId="7" borderId="48" xfId="0" applyFont="1" applyFill="1" applyBorder="1" applyAlignment="1" applyProtection="1">
      <alignment horizontal="center" vertical="center" wrapText="1"/>
      <protection locked="0"/>
    </xf>
    <xf numFmtId="9" fontId="27" fillId="7" borderId="18" xfId="11" applyFont="1" applyFill="1" applyBorder="1" applyAlignment="1">
      <alignment horizontal="center" vertical="center" wrapText="1"/>
    </xf>
    <xf numFmtId="165" fontId="26" fillId="7" borderId="18" xfId="0" applyNumberFormat="1" applyFont="1" applyFill="1" applyBorder="1" applyAlignment="1" applyProtection="1">
      <alignment horizontal="center" vertical="center" wrapText="1"/>
      <protection locked="0"/>
    </xf>
    <xf numFmtId="0" fontId="27" fillId="7" borderId="46" xfId="0" applyFont="1" applyFill="1" applyBorder="1" applyAlignment="1" applyProtection="1">
      <alignment vertical="center" wrapText="1"/>
    </xf>
    <xf numFmtId="165" fontId="26" fillId="7" borderId="18" xfId="0" applyNumberFormat="1" applyFont="1" applyFill="1" applyBorder="1" applyAlignment="1" applyProtection="1">
      <alignment horizontal="center" vertical="center" wrapText="1"/>
    </xf>
    <xf numFmtId="9" fontId="26" fillId="7" borderId="18" xfId="11" applyNumberFormat="1" applyFont="1" applyFill="1" applyBorder="1" applyAlignment="1" applyProtection="1">
      <alignment horizontal="center" vertical="center" wrapText="1"/>
    </xf>
    <xf numFmtId="0" fontId="26" fillId="7" borderId="18" xfId="11" applyNumberFormat="1" applyFont="1" applyFill="1" applyBorder="1" applyAlignment="1" applyProtection="1">
      <alignment horizontal="center" vertical="center" wrapText="1"/>
    </xf>
    <xf numFmtId="0" fontId="27" fillId="7" borderId="35" xfId="0" applyFont="1" applyFill="1" applyBorder="1" applyAlignment="1" applyProtection="1">
      <alignment vertical="center" textRotation="90" wrapText="1"/>
      <protection locked="0"/>
    </xf>
    <xf numFmtId="0" fontId="27" fillId="7" borderId="49" xfId="0" applyFont="1" applyFill="1" applyBorder="1" applyAlignment="1" applyProtection="1">
      <alignment vertical="center" wrapText="1"/>
      <protection locked="0"/>
    </xf>
    <xf numFmtId="0" fontId="27" fillId="7" borderId="50" xfId="0" applyFont="1" applyFill="1" applyBorder="1" applyAlignment="1" applyProtection="1">
      <alignment horizontal="center" vertical="center" wrapText="1"/>
      <protection locked="0"/>
    </xf>
    <xf numFmtId="0" fontId="26" fillId="7" borderId="18" xfId="11" applyNumberFormat="1" applyFont="1" applyFill="1" applyBorder="1" applyAlignment="1" applyProtection="1">
      <alignment horizontal="center" vertical="center" wrapText="1"/>
      <protection locked="0"/>
    </xf>
    <xf numFmtId="9" fontId="9" fillId="7" borderId="2" xfId="11"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xf>
    <xf numFmtId="0" fontId="9" fillId="7" borderId="2" xfId="0" applyFont="1" applyFill="1" applyBorder="1" applyAlignment="1" applyProtection="1">
      <alignment horizontal="justify" vertical="center" wrapText="1"/>
    </xf>
    <xf numFmtId="0" fontId="26" fillId="7" borderId="3" xfId="11" applyNumberFormat="1" applyFont="1" applyFill="1" applyBorder="1" applyAlignment="1" applyProtection="1">
      <alignment horizontal="center" vertical="center"/>
    </xf>
    <xf numFmtId="0" fontId="26" fillId="7" borderId="2" xfId="11" applyNumberFormat="1" applyFont="1" applyFill="1" applyBorder="1" applyAlignment="1" applyProtection="1">
      <alignment horizontal="center" vertical="center"/>
    </xf>
    <xf numFmtId="0" fontId="26" fillId="7" borderId="5" xfId="0" applyFont="1" applyFill="1" applyBorder="1" applyAlignment="1" applyProtection="1">
      <alignment horizontal="left" vertical="center" wrapText="1"/>
    </xf>
    <xf numFmtId="10" fontId="9" fillId="7" borderId="2" xfId="11" applyNumberFormat="1" applyFont="1" applyFill="1" applyBorder="1" applyAlignment="1" applyProtection="1">
      <alignment horizontal="center" vertical="center" wrapText="1"/>
    </xf>
    <xf numFmtId="167" fontId="9" fillId="7" borderId="2" xfId="11" applyNumberFormat="1" applyFont="1" applyFill="1" applyBorder="1" applyAlignment="1" applyProtection="1">
      <alignment horizontal="center" vertical="center" wrapText="1"/>
    </xf>
    <xf numFmtId="9" fontId="26" fillId="7" borderId="2" xfId="11" applyFont="1" applyFill="1" applyBorder="1" applyAlignment="1" applyProtection="1">
      <alignment horizontal="center" vertical="center" wrapText="1"/>
    </xf>
    <xf numFmtId="9" fontId="26" fillId="0" borderId="0" xfId="0" applyNumberFormat="1" applyFont="1" applyProtection="1"/>
    <xf numFmtId="0" fontId="6" fillId="22" borderId="51" xfId="0" applyFont="1" applyFill="1" applyBorder="1" applyAlignment="1">
      <alignment vertical="center" wrapText="1"/>
    </xf>
    <xf numFmtId="167" fontId="27" fillId="7" borderId="24" xfId="11" applyNumberFormat="1" applyFont="1" applyFill="1" applyBorder="1" applyAlignment="1" applyProtection="1">
      <alignment horizontal="center" vertical="center" wrapText="1"/>
    </xf>
    <xf numFmtId="9" fontId="27" fillId="7" borderId="36" xfId="11" applyFont="1" applyFill="1" applyBorder="1" applyAlignment="1" applyProtection="1">
      <alignment horizontal="center" vertical="center" wrapText="1"/>
    </xf>
    <xf numFmtId="0" fontId="26" fillId="0" borderId="22" xfId="0" applyFont="1" applyBorder="1"/>
    <xf numFmtId="0" fontId="26" fillId="7" borderId="22" xfId="0" applyFont="1" applyFill="1" applyBorder="1" applyAlignment="1" applyProtection="1">
      <alignment horizontal="center" vertical="center" wrapText="1"/>
      <protection locked="0"/>
    </xf>
    <xf numFmtId="9" fontId="9" fillId="7" borderId="22" xfId="11" applyFont="1" applyFill="1" applyBorder="1" applyAlignment="1" applyProtection="1">
      <alignment horizontal="center" vertical="center" wrapText="1"/>
    </xf>
    <xf numFmtId="9" fontId="6" fillId="7" borderId="22" xfId="11" applyFont="1" applyFill="1" applyBorder="1" applyAlignment="1" applyProtection="1">
      <alignment horizontal="center" vertical="center" wrapText="1"/>
    </xf>
    <xf numFmtId="9" fontId="6" fillId="7" borderId="52" xfId="11" applyFont="1" applyFill="1" applyBorder="1" applyAlignment="1" applyProtection="1">
      <alignment horizontal="center" vertical="center" wrapText="1"/>
    </xf>
    <xf numFmtId="9" fontId="9" fillId="7" borderId="53" xfId="11" applyFont="1" applyFill="1" applyBorder="1" applyAlignment="1" applyProtection="1">
      <alignment vertical="center" wrapText="1"/>
    </xf>
    <xf numFmtId="0" fontId="26" fillId="7" borderId="0" xfId="0" applyFont="1" applyFill="1" applyAlignment="1">
      <alignment horizontal="center"/>
    </xf>
    <xf numFmtId="0" fontId="26" fillId="7" borderId="0" xfId="0" applyFont="1" applyFill="1" applyBorder="1" applyAlignment="1">
      <alignment vertical="center" wrapText="1"/>
    </xf>
    <xf numFmtId="0" fontId="26" fillId="7" borderId="0" xfId="0" applyFont="1" applyFill="1" applyBorder="1" applyAlignment="1">
      <alignment horizontal="justify" vertical="center" wrapText="1"/>
    </xf>
    <xf numFmtId="0" fontId="26" fillId="7" borderId="0" xfId="0" applyFont="1" applyFill="1"/>
    <xf numFmtId="9" fontId="9" fillId="7" borderId="0" xfId="11" applyFont="1" applyFill="1" applyBorder="1" applyAlignment="1">
      <alignment horizontal="center" vertical="center" wrapText="1"/>
    </xf>
    <xf numFmtId="0" fontId="26" fillId="7" borderId="0" xfId="0" applyFont="1" applyFill="1" applyBorder="1"/>
    <xf numFmtId="0" fontId="26" fillId="0" borderId="0" xfId="0" applyFont="1" applyAlignment="1">
      <alignment horizontal="justify" vertical="center" wrapText="1"/>
    </xf>
    <xf numFmtId="0" fontId="26" fillId="0" borderId="3" xfId="0" applyNumberFormat="1" applyFont="1" applyFill="1" applyBorder="1" applyAlignment="1" applyProtection="1">
      <alignment horizontal="center" vertical="center" wrapText="1"/>
    </xf>
    <xf numFmtId="9" fontId="9" fillId="0" borderId="3" xfId="11"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9" fontId="26" fillId="7" borderId="2" xfId="11" applyNumberFormat="1" applyFont="1" applyFill="1" applyBorder="1" applyAlignment="1" applyProtection="1">
      <alignment horizontal="center" vertical="center"/>
    </xf>
    <xf numFmtId="0" fontId="14" fillId="7" borderId="0" xfId="0" applyFont="1" applyFill="1" applyBorder="1" applyAlignment="1">
      <alignment horizontal="center" vertical="center" wrapText="1"/>
    </xf>
    <xf numFmtId="9" fontId="20" fillId="7" borderId="3" xfId="11" applyFont="1" applyFill="1" applyBorder="1" applyAlignment="1">
      <alignment horizontal="center" vertical="center" wrapText="1"/>
    </xf>
    <xf numFmtId="0" fontId="26" fillId="7" borderId="54" xfId="0" applyFont="1" applyFill="1" applyBorder="1" applyAlignment="1" applyProtection="1">
      <alignment horizontal="left" vertical="center" wrapText="1"/>
      <protection locked="0"/>
    </xf>
    <xf numFmtId="0" fontId="26" fillId="7" borderId="2" xfId="0" applyFont="1" applyFill="1" applyBorder="1" applyAlignment="1" applyProtection="1">
      <alignment horizontal="left" vertical="center" wrapText="1"/>
      <protection locked="0"/>
    </xf>
    <xf numFmtId="0" fontId="6" fillId="0" borderId="26" xfId="0" applyFont="1" applyFill="1" applyBorder="1" applyAlignment="1">
      <alignment horizontal="center" vertical="center" wrapText="1"/>
    </xf>
    <xf numFmtId="0" fontId="27" fillId="0" borderId="23" xfId="0" applyFont="1" applyFill="1" applyBorder="1" applyAlignment="1" applyProtection="1">
      <alignment vertical="center" textRotation="90" wrapText="1"/>
      <protection locked="0"/>
    </xf>
    <xf numFmtId="0" fontId="9" fillId="0" borderId="3" xfId="0" applyFont="1" applyFill="1" applyBorder="1" applyAlignment="1" applyProtection="1">
      <alignment horizontal="justify" vertical="center" wrapText="1"/>
      <protection locked="0"/>
    </xf>
    <xf numFmtId="9" fontId="27" fillId="0" borderId="3" xfId="11"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3" xfId="0" applyFont="1" applyFill="1" applyBorder="1" applyAlignment="1">
      <alignment vertical="center" wrapText="1"/>
    </xf>
    <xf numFmtId="9" fontId="26" fillId="0" borderId="3" xfId="0" applyNumberFormat="1"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xf>
    <xf numFmtId="0" fontId="26" fillId="0" borderId="3" xfId="0" applyFont="1" applyFill="1" applyBorder="1" applyAlignment="1" applyProtection="1">
      <alignment horizontal="left" vertical="center" wrapText="1"/>
    </xf>
    <xf numFmtId="165" fontId="26" fillId="0" borderId="3" xfId="0" applyNumberFormat="1" applyFont="1" applyFill="1" applyBorder="1" applyAlignment="1" applyProtection="1">
      <alignment horizontal="center" vertical="center" wrapText="1"/>
      <protection locked="0"/>
    </xf>
    <xf numFmtId="0" fontId="9" fillId="0" borderId="3" xfId="11" applyNumberFormat="1" applyFont="1" applyFill="1" applyBorder="1" applyAlignment="1" applyProtection="1">
      <alignment horizontal="center" vertical="center" wrapText="1"/>
    </xf>
    <xf numFmtId="0" fontId="26" fillId="0" borderId="3" xfId="0" applyFont="1" applyFill="1" applyBorder="1" applyAlignment="1" applyProtection="1">
      <alignment horizontal="justify" vertical="center" wrapText="1"/>
      <protection locked="0"/>
    </xf>
    <xf numFmtId="0" fontId="26" fillId="0" borderId="3" xfId="0" applyFont="1" applyFill="1" applyBorder="1" applyAlignment="1">
      <alignment horizontal="center" vertical="center" wrapText="1"/>
    </xf>
    <xf numFmtId="9" fontId="26" fillId="0" borderId="3" xfId="0" applyNumberFormat="1" applyFont="1" applyFill="1" applyBorder="1" applyAlignment="1">
      <alignment horizontal="center" vertical="center" wrapText="1"/>
    </xf>
    <xf numFmtId="0" fontId="9" fillId="0" borderId="3" xfId="11" applyNumberFormat="1" applyFont="1" applyFill="1" applyBorder="1" applyAlignment="1">
      <alignment horizontal="center" vertical="center" wrapText="1"/>
    </xf>
    <xf numFmtId="0" fontId="26" fillId="0" borderId="3" xfId="0" applyFont="1" applyFill="1" applyBorder="1" applyAlignment="1" applyProtection="1">
      <alignment horizontal="left" vertical="center" wrapText="1"/>
      <protection locked="0"/>
    </xf>
    <xf numFmtId="9" fontId="26" fillId="0" borderId="3" xfId="11" applyFont="1" applyFill="1" applyBorder="1" applyAlignment="1" applyProtection="1">
      <alignment horizontal="center" vertical="center" wrapText="1"/>
      <protection locked="0"/>
    </xf>
    <xf numFmtId="9" fontId="9" fillId="0" borderId="3" xfId="11" applyFont="1" applyFill="1" applyBorder="1" applyAlignment="1">
      <alignment horizontal="center" vertical="center" wrapText="1"/>
    </xf>
    <xf numFmtId="9" fontId="20" fillId="0" borderId="3" xfId="11" applyFont="1" applyFill="1" applyBorder="1" applyAlignment="1">
      <alignment horizontal="center" vertical="center" wrapText="1"/>
    </xf>
    <xf numFmtId="9" fontId="9" fillId="0" borderId="25" xfId="11" applyFont="1" applyFill="1" applyBorder="1" applyAlignment="1">
      <alignment horizontal="center" vertical="center" wrapText="1"/>
    </xf>
    <xf numFmtId="0" fontId="26" fillId="0" borderId="17" xfId="0" applyFont="1" applyFill="1" applyBorder="1" applyAlignment="1" applyProtection="1">
      <alignment horizontal="left" vertical="center" wrapText="1"/>
      <protection locked="0"/>
    </xf>
    <xf numFmtId="0" fontId="26" fillId="0" borderId="0" xfId="0" applyFont="1" applyFill="1"/>
    <xf numFmtId="0" fontId="6" fillId="0" borderId="32" xfId="0" applyFont="1" applyFill="1" applyBorder="1" applyAlignment="1">
      <alignment horizontal="center" vertical="center" wrapText="1"/>
    </xf>
    <xf numFmtId="0" fontId="27" fillId="0" borderId="24" xfId="0" applyFont="1" applyFill="1" applyBorder="1" applyAlignment="1" applyProtection="1">
      <alignment vertical="center" textRotation="90" wrapText="1"/>
      <protection locked="0"/>
    </xf>
    <xf numFmtId="0" fontId="26" fillId="0" borderId="2" xfId="0" applyFont="1" applyFill="1" applyBorder="1" applyAlignment="1" applyProtection="1">
      <alignment horizontal="center" vertical="center" wrapText="1"/>
      <protection locked="0"/>
    </xf>
    <xf numFmtId="0" fontId="26" fillId="0" borderId="6" xfId="0" applyFont="1" applyFill="1" applyBorder="1" applyAlignment="1">
      <alignment vertical="center" wrapText="1"/>
    </xf>
    <xf numFmtId="0" fontId="26" fillId="0" borderId="6" xfId="0" applyFont="1" applyFill="1" applyBorder="1" applyAlignment="1" applyProtection="1">
      <alignment horizontal="center" vertical="center" wrapText="1"/>
      <protection locked="0"/>
    </xf>
    <xf numFmtId="165" fontId="26" fillId="0" borderId="6" xfId="0" applyNumberFormat="1" applyFont="1" applyFill="1" applyBorder="1" applyAlignment="1" applyProtection="1">
      <alignment horizontal="center" vertical="center" wrapText="1"/>
      <protection locked="0"/>
    </xf>
    <xf numFmtId="9" fontId="9" fillId="0" borderId="3" xfId="11" applyNumberFormat="1" applyFont="1" applyFill="1" applyBorder="1" applyAlignment="1">
      <alignment horizontal="center" vertical="center" wrapText="1"/>
    </xf>
    <xf numFmtId="0" fontId="27" fillId="0" borderId="24" xfId="0" applyFont="1" applyFill="1" applyBorder="1" applyAlignment="1" applyProtection="1">
      <alignment vertical="center" wrapText="1"/>
      <protection locked="0"/>
    </xf>
    <xf numFmtId="0" fontId="9" fillId="0" borderId="65" xfId="10" applyFont="1" applyFill="1" applyBorder="1" applyAlignment="1" applyProtection="1">
      <alignment horizontal="justify" vertical="center" wrapText="1"/>
      <protection locked="0"/>
    </xf>
    <xf numFmtId="9" fontId="27" fillId="0" borderId="32" xfId="11" applyFont="1" applyFill="1" applyBorder="1" applyAlignment="1">
      <alignment horizontal="center" vertical="center" wrapText="1"/>
    </xf>
    <xf numFmtId="0" fontId="26" fillId="0" borderId="7" xfId="0" applyFont="1" applyFill="1" applyBorder="1" applyAlignment="1" applyProtection="1">
      <alignment horizontal="center" vertical="center" wrapText="1"/>
      <protection locked="0"/>
    </xf>
    <xf numFmtId="0" fontId="26" fillId="0" borderId="2" xfId="0" applyFont="1" applyFill="1" applyBorder="1" applyAlignment="1">
      <alignment vertical="center" wrapText="1"/>
    </xf>
    <xf numFmtId="9" fontId="26" fillId="0" borderId="2" xfId="0" applyNumberFormat="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xf>
    <xf numFmtId="165" fontId="26" fillId="0" borderId="2" xfId="0" applyNumberFormat="1" applyFont="1" applyFill="1" applyBorder="1" applyAlignment="1" applyProtection="1">
      <alignment horizontal="center" vertical="center" wrapText="1"/>
      <protection locked="0"/>
    </xf>
    <xf numFmtId="0" fontId="26" fillId="0" borderId="3" xfId="0" applyNumberFormat="1" applyFont="1" applyFill="1" applyBorder="1" applyAlignment="1" applyProtection="1">
      <alignment horizontal="center" vertical="center" wrapText="1"/>
      <protection locked="0"/>
    </xf>
    <xf numFmtId="9" fontId="26" fillId="0" borderId="3" xfId="11" applyFont="1" applyFill="1" applyBorder="1" applyAlignment="1" applyProtection="1">
      <alignment horizontal="center" vertical="center" wrapText="1"/>
    </xf>
    <xf numFmtId="9" fontId="27" fillId="0" borderId="29" xfId="11" applyFont="1" applyFill="1" applyBorder="1" applyAlignment="1">
      <alignment horizontal="center" vertical="center" wrapText="1"/>
    </xf>
    <xf numFmtId="9" fontId="26" fillId="0" borderId="0" xfId="0" applyNumberFormat="1" applyFont="1" applyFill="1" applyAlignment="1">
      <alignment vertical="center"/>
    </xf>
    <xf numFmtId="0" fontId="26" fillId="0" borderId="3" xfId="0" applyNumberFormat="1" applyFont="1" applyFill="1" applyBorder="1" applyAlignment="1" applyProtection="1">
      <alignment horizontal="left" vertical="center" wrapText="1"/>
      <protection locked="0"/>
    </xf>
    <xf numFmtId="0" fontId="6" fillId="9" borderId="32" xfId="0" applyFont="1" applyFill="1" applyBorder="1" applyAlignment="1">
      <alignment horizontal="center" vertical="center" wrapText="1"/>
    </xf>
    <xf numFmtId="0" fontId="27" fillId="9" borderId="24" xfId="0" applyFont="1" applyFill="1" applyBorder="1" applyAlignment="1" applyProtection="1">
      <alignment vertical="center" textRotation="90" wrapText="1"/>
      <protection locked="0"/>
    </xf>
    <xf numFmtId="0" fontId="27" fillId="9" borderId="33" xfId="0" applyFont="1" applyFill="1" applyBorder="1" applyAlignment="1" applyProtection="1">
      <alignment vertical="center" wrapText="1"/>
      <protection locked="0"/>
    </xf>
    <xf numFmtId="0" fontId="26" fillId="9" borderId="2" xfId="0" applyFont="1" applyFill="1" applyBorder="1" applyAlignment="1" applyProtection="1">
      <alignment horizontal="justify" vertical="center" wrapText="1"/>
      <protection locked="0"/>
    </xf>
    <xf numFmtId="9" fontId="27" fillId="9" borderId="2" xfId="11"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6" fillId="9" borderId="6" xfId="0" applyFont="1" applyFill="1" applyBorder="1" applyAlignment="1">
      <alignment vertical="center" wrapText="1"/>
    </xf>
    <xf numFmtId="0" fontId="9" fillId="9" borderId="6" xfId="0" applyFont="1" applyFill="1" applyBorder="1" applyAlignment="1">
      <alignment vertical="center" wrapText="1"/>
    </xf>
    <xf numFmtId="0" fontId="26" fillId="9" borderId="6" xfId="0" applyFont="1" applyFill="1" applyBorder="1" applyAlignment="1" applyProtection="1">
      <alignment horizontal="center" vertical="center" wrapText="1"/>
      <protection locked="0"/>
    </xf>
    <xf numFmtId="0" fontId="26" fillId="9" borderId="18" xfId="0" applyFont="1" applyFill="1" applyBorder="1" applyAlignment="1" applyProtection="1">
      <alignment horizontal="center" vertical="center" wrapText="1"/>
      <protection locked="0"/>
    </xf>
    <xf numFmtId="9" fontId="26" fillId="9" borderId="6" xfId="11" applyFont="1" applyFill="1" applyBorder="1" applyAlignment="1" applyProtection="1">
      <alignment horizontal="center" vertical="center" wrapText="1"/>
    </xf>
    <xf numFmtId="9" fontId="26" fillId="9" borderId="6" xfId="0" applyNumberFormat="1"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left" vertical="center" wrapText="1"/>
    </xf>
    <xf numFmtId="165" fontId="26" fillId="9" borderId="6" xfId="0" applyNumberFormat="1"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xf>
    <xf numFmtId="9" fontId="26" fillId="9" borderId="3" xfId="0" applyNumberFormat="1" applyFont="1" applyFill="1" applyBorder="1" applyAlignment="1" applyProtection="1">
      <alignment horizontal="center" vertical="center" wrapText="1"/>
    </xf>
    <xf numFmtId="9" fontId="26" fillId="9" borderId="18" xfId="11" applyFont="1" applyFill="1" applyBorder="1" applyAlignment="1" applyProtection="1">
      <alignment horizontal="center" vertical="center" wrapText="1"/>
    </xf>
    <xf numFmtId="9" fontId="9" fillId="9" borderId="3" xfId="11" applyFont="1" applyFill="1" applyBorder="1" applyAlignment="1" applyProtection="1">
      <alignment horizontal="center" vertical="center" wrapText="1"/>
    </xf>
    <xf numFmtId="0" fontId="26" fillId="9" borderId="18" xfId="0" applyFont="1" applyFill="1" applyBorder="1" applyAlignment="1" applyProtection="1">
      <alignment horizontal="justify" vertical="center" wrapText="1"/>
      <protection locked="0"/>
    </xf>
    <xf numFmtId="0" fontId="26" fillId="9" borderId="3" xfId="0" applyFont="1" applyFill="1" applyBorder="1" applyAlignment="1">
      <alignment horizontal="center" vertical="center" wrapText="1"/>
    </xf>
    <xf numFmtId="9" fontId="26" fillId="9" borderId="3" xfId="0" applyNumberFormat="1" applyFont="1" applyFill="1" applyBorder="1" applyAlignment="1">
      <alignment horizontal="center" vertical="center" wrapText="1"/>
    </xf>
    <xf numFmtId="10" fontId="26" fillId="9" borderId="18" xfId="0" applyNumberFormat="1" applyFont="1" applyFill="1" applyBorder="1" applyAlignment="1" applyProtection="1">
      <alignment horizontal="center" vertical="center" wrapText="1"/>
      <protection locked="0"/>
    </xf>
    <xf numFmtId="9" fontId="9" fillId="9" borderId="3" xfId="11" applyNumberFormat="1" applyFont="1" applyFill="1" applyBorder="1" applyAlignment="1">
      <alignment horizontal="center" vertical="center" wrapText="1"/>
    </xf>
    <xf numFmtId="0" fontId="26" fillId="9" borderId="18" xfId="0" applyFont="1" applyFill="1" applyBorder="1" applyAlignment="1" applyProtection="1">
      <alignment horizontal="left" vertical="center" wrapText="1"/>
      <protection locked="0"/>
    </xf>
    <xf numFmtId="9" fontId="20" fillId="9" borderId="3" xfId="11" applyFont="1" applyFill="1" applyBorder="1" applyAlignment="1">
      <alignment horizontal="center" vertical="center" wrapText="1"/>
    </xf>
    <xf numFmtId="0" fontId="26" fillId="9" borderId="0" xfId="0" applyFont="1" applyFill="1"/>
    <xf numFmtId="2" fontId="20" fillId="7" borderId="3" xfId="11" applyNumberFormat="1" applyFont="1" applyFill="1" applyBorder="1" applyAlignment="1">
      <alignment horizontal="center" vertical="center" wrapText="1"/>
    </xf>
    <xf numFmtId="1" fontId="20" fillId="7" borderId="3" xfId="11" applyNumberFormat="1" applyFont="1" applyFill="1" applyBorder="1" applyAlignment="1">
      <alignment horizontal="center" vertical="center" wrapText="1"/>
    </xf>
    <xf numFmtId="167" fontId="20" fillId="7" borderId="3" xfId="11" applyNumberFormat="1" applyFont="1" applyFill="1" applyBorder="1" applyAlignment="1">
      <alignment horizontal="center" vertical="center" wrapText="1"/>
    </xf>
    <xf numFmtId="10" fontId="26" fillId="7" borderId="18" xfId="11" applyNumberFormat="1"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9" fontId="9" fillId="0" borderId="5" xfId="1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9" fontId="26" fillId="0" borderId="2" xfId="1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165" fontId="26" fillId="0" borderId="5" xfId="0" applyNumberFormat="1" applyFont="1" applyFill="1" applyBorder="1" applyAlignment="1" applyProtection="1">
      <alignment horizontal="center" vertical="center" wrapText="1"/>
    </xf>
    <xf numFmtId="9" fontId="9" fillId="0" borderId="20" xfId="11" applyFont="1" applyFill="1" applyBorder="1" applyAlignment="1" applyProtection="1">
      <alignment horizontal="center" vertical="center" wrapText="1"/>
    </xf>
    <xf numFmtId="9" fontId="9" fillId="0" borderId="3" xfId="11" applyNumberFormat="1" applyFont="1" applyFill="1" applyBorder="1" applyAlignment="1" applyProtection="1">
      <alignment horizontal="center" vertical="center" wrapText="1"/>
    </xf>
    <xf numFmtId="0" fontId="26" fillId="0" borderId="20" xfId="0" applyFont="1" applyFill="1" applyBorder="1" applyAlignment="1" applyProtection="1">
      <alignment horizontal="justify" vertical="center" wrapText="1"/>
    </xf>
    <xf numFmtId="9" fontId="26" fillId="0" borderId="20" xfId="0" applyNumberFormat="1"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31" fillId="0" borderId="20" xfId="2" applyFont="1" applyBorder="1" applyAlignment="1">
      <alignment horizontal="center" vertical="center" wrapText="1"/>
    </xf>
    <xf numFmtId="0" fontId="26" fillId="0" borderId="20" xfId="0" applyFont="1" applyFill="1" applyBorder="1" applyAlignment="1" applyProtection="1">
      <alignment horizontal="left" vertical="center" wrapText="1"/>
    </xf>
    <xf numFmtId="0" fontId="18" fillId="0" borderId="20" xfId="2" applyBorder="1" applyAlignment="1">
      <alignment horizontal="center" vertical="center" wrapText="1"/>
    </xf>
    <xf numFmtId="0" fontId="26" fillId="0" borderId="0" xfId="0" applyFont="1" applyFill="1" applyProtection="1"/>
    <xf numFmtId="9" fontId="9" fillId="0" borderId="2" xfId="11"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165" fontId="26" fillId="0" borderId="6" xfId="0" applyNumberFormat="1" applyFont="1" applyFill="1" applyBorder="1" applyAlignment="1" applyProtection="1">
      <alignment horizontal="center" vertical="center" wrapText="1"/>
    </xf>
    <xf numFmtId="9" fontId="26" fillId="0" borderId="18" xfId="0" applyNumberFormat="1" applyFont="1" applyFill="1" applyBorder="1" applyAlignment="1" applyProtection="1">
      <alignment horizontal="center" vertical="center" wrapText="1"/>
    </xf>
    <xf numFmtId="0" fontId="26" fillId="0" borderId="3" xfId="0" applyFont="1" applyFill="1" applyBorder="1" applyAlignment="1" applyProtection="1">
      <alignment horizontal="justify" vertical="center" wrapText="1"/>
    </xf>
    <xf numFmtId="0" fontId="26" fillId="0" borderId="18" xfId="0" applyFont="1" applyFill="1" applyBorder="1" applyAlignment="1" applyProtection="1">
      <alignment horizontal="justify" vertical="center" wrapText="1"/>
    </xf>
    <xf numFmtId="0" fontId="26" fillId="0" borderId="18" xfId="0" applyNumberFormat="1" applyFont="1" applyFill="1" applyBorder="1" applyAlignment="1" applyProtection="1">
      <alignment horizontal="center" vertical="center" wrapText="1"/>
    </xf>
    <xf numFmtId="0" fontId="26" fillId="0" borderId="18"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10" fontId="26" fillId="0" borderId="3" xfId="0" applyNumberFormat="1" applyFont="1" applyFill="1" applyBorder="1" applyAlignment="1" applyProtection="1">
      <alignment horizontal="center" vertical="center" wrapText="1"/>
      <protection locked="0"/>
    </xf>
    <xf numFmtId="10" fontId="26" fillId="0" borderId="4" xfId="0" applyNumberFormat="1" applyFont="1" applyFill="1" applyBorder="1" applyAlignment="1" applyProtection="1">
      <alignment horizontal="center" vertical="center" wrapText="1"/>
      <protection locked="0"/>
    </xf>
    <xf numFmtId="9" fontId="26" fillId="0" borderId="6" xfId="0" applyNumberFormat="1" applyFont="1" applyFill="1" applyBorder="1" applyAlignment="1" applyProtection="1">
      <alignment horizontal="center" vertical="center" wrapText="1"/>
      <protection locked="0"/>
    </xf>
    <xf numFmtId="165" fontId="26" fillId="0" borderId="4" xfId="0" applyNumberFormat="1" applyFont="1" applyFill="1" applyBorder="1" applyAlignment="1" applyProtection="1">
      <alignment horizontal="center" vertical="center" wrapText="1"/>
      <protection locked="0"/>
    </xf>
    <xf numFmtId="167" fontId="26" fillId="0" borderId="3" xfId="11" applyNumberFormat="1" applyFont="1" applyFill="1" applyBorder="1" applyAlignment="1" applyProtection="1">
      <alignment horizontal="center" vertical="center" wrapText="1"/>
      <protection locked="0"/>
    </xf>
    <xf numFmtId="10" fontId="26" fillId="0" borderId="2"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vertical="center" wrapText="1"/>
      <protection locked="0"/>
    </xf>
    <xf numFmtId="0" fontId="26" fillId="0" borderId="9" xfId="0"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xf>
    <xf numFmtId="10" fontId="20" fillId="7" borderId="3" xfId="11" applyNumberFormat="1" applyFont="1" applyFill="1" applyBorder="1" applyAlignment="1">
      <alignment horizontal="center" vertical="center" wrapText="1"/>
    </xf>
    <xf numFmtId="9" fontId="9" fillId="0" borderId="25" xfId="11" applyNumberFormat="1" applyFont="1" applyFill="1" applyBorder="1" applyAlignment="1">
      <alignment horizontal="center" vertical="center" wrapText="1"/>
    </xf>
    <xf numFmtId="10" fontId="20" fillId="0" borderId="3" xfId="11" applyNumberFormat="1" applyFont="1" applyFill="1" applyBorder="1" applyAlignment="1">
      <alignment horizontal="center" vertical="center" wrapText="1"/>
    </xf>
    <xf numFmtId="9" fontId="9" fillId="7" borderId="25" xfId="11" applyNumberFormat="1" applyFont="1" applyFill="1" applyBorder="1" applyAlignment="1" applyProtection="1">
      <alignment horizontal="center" vertical="center" wrapText="1"/>
    </xf>
    <xf numFmtId="167" fontId="26" fillId="7" borderId="3" xfId="0" applyNumberFormat="1" applyFont="1" applyFill="1" applyBorder="1" applyAlignment="1">
      <alignment horizontal="center" vertical="center" wrapText="1"/>
    </xf>
    <xf numFmtId="9" fontId="9" fillId="0" borderId="25" xfId="11" applyNumberFormat="1" applyFont="1" applyFill="1" applyBorder="1" applyAlignment="1" applyProtection="1">
      <alignment horizontal="center" vertical="center" wrapText="1"/>
    </xf>
    <xf numFmtId="10" fontId="6" fillId="7" borderId="22" xfId="11" applyNumberFormat="1" applyFont="1" applyFill="1" applyBorder="1" applyAlignment="1" applyProtection="1">
      <alignment horizontal="center" vertical="center" wrapText="1"/>
    </xf>
    <xf numFmtId="10" fontId="9" fillId="7" borderId="22" xfId="11" applyNumberFormat="1" applyFont="1" applyFill="1" applyBorder="1" applyAlignment="1" applyProtection="1">
      <alignment horizontal="center" vertical="center" wrapText="1"/>
    </xf>
    <xf numFmtId="0" fontId="6" fillId="20"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25" fillId="7" borderId="0" xfId="0" applyFont="1" applyFill="1" applyBorder="1" applyAlignment="1">
      <alignment horizontal="center" vertical="center"/>
    </xf>
    <xf numFmtId="0" fontId="8" fillId="7" borderId="0" xfId="0" applyFont="1" applyFill="1" applyBorder="1" applyAlignment="1">
      <alignment horizontal="center" vertical="center" wrapText="1"/>
    </xf>
    <xf numFmtId="0" fontId="24" fillId="7" borderId="0" xfId="0" applyFont="1" applyFill="1" applyBorder="1" applyAlignment="1">
      <alignment horizontal="center"/>
    </xf>
    <xf numFmtId="0" fontId="14" fillId="9" borderId="6"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4" fillId="15" borderId="7"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14" fillId="18" borderId="2" xfId="0" applyFont="1" applyFill="1" applyBorder="1" applyAlignment="1">
      <alignment horizontal="center" vertical="center" wrapText="1"/>
    </xf>
    <xf numFmtId="0" fontId="14" fillId="20" borderId="6" xfId="0" applyFont="1" applyFill="1" applyBorder="1" applyAlignment="1">
      <alignment horizontal="center" vertical="center" wrapText="1"/>
    </xf>
    <xf numFmtId="0" fontId="14" fillId="18" borderId="6"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16" borderId="55"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14" fillId="18" borderId="3" xfId="0" applyFont="1" applyFill="1" applyBorder="1" applyAlignment="1">
      <alignment horizontal="center" vertical="center" wrapText="1"/>
    </xf>
    <xf numFmtId="0" fontId="6" fillId="20" borderId="3"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22" fontId="32" fillId="23" borderId="2" xfId="0" applyNumberFormat="1" applyFont="1" applyFill="1" applyBorder="1" applyAlignment="1">
      <alignment horizontal="center" vertical="center"/>
    </xf>
    <xf numFmtId="0" fontId="32" fillId="23" borderId="2" xfId="0" applyFont="1" applyFill="1" applyBorder="1" applyAlignment="1">
      <alignment horizontal="center" vertical="center"/>
    </xf>
    <xf numFmtId="0" fontId="32" fillId="8" borderId="2" xfId="0" applyFont="1" applyFill="1" applyBorder="1" applyAlignment="1">
      <alignment horizontal="center" vertical="center"/>
    </xf>
    <xf numFmtId="0" fontId="32" fillId="8" borderId="6" xfId="0" applyFont="1" applyFill="1" applyBorder="1" applyAlignment="1">
      <alignment horizontal="center" vertical="center"/>
    </xf>
    <xf numFmtId="0" fontId="14" fillId="17" borderId="37" xfId="0" applyFont="1" applyFill="1" applyBorder="1" applyAlignment="1">
      <alignment horizontal="center" vertical="center" wrapText="1"/>
    </xf>
    <xf numFmtId="0" fontId="14" fillId="17" borderId="57" xfId="0" applyFont="1" applyFill="1" applyBorder="1" applyAlignment="1">
      <alignment horizontal="center" vertical="center" wrapText="1"/>
    </xf>
    <xf numFmtId="0" fontId="14" fillId="17" borderId="33" xfId="0" applyFont="1" applyFill="1" applyBorder="1" applyAlignment="1">
      <alignment horizontal="center" vertical="center" wrapText="1"/>
    </xf>
    <xf numFmtId="0" fontId="14" fillId="17" borderId="0" xfId="0" applyFont="1" applyFill="1" applyBorder="1" applyAlignment="1">
      <alignment horizontal="center" vertical="center" wrapText="1"/>
    </xf>
    <xf numFmtId="0" fontId="14" fillId="17" borderId="58" xfId="0" applyFont="1" applyFill="1" applyBorder="1" applyAlignment="1">
      <alignment horizontal="center" vertical="center" wrapText="1"/>
    </xf>
    <xf numFmtId="0" fontId="14" fillId="17" borderId="59"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7" fillId="13" borderId="46"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55" xfId="0" applyFont="1" applyFill="1" applyBorder="1" applyAlignment="1">
      <alignment horizontal="center" vertical="center" wrapText="1"/>
    </xf>
    <xf numFmtId="0" fontId="9" fillId="5" borderId="5" xfId="0" applyFont="1" applyFill="1" applyBorder="1" applyAlignment="1" applyProtection="1">
      <alignment horizontal="center" vertical="center" wrapText="1"/>
    </xf>
    <xf numFmtId="0" fontId="9" fillId="5" borderId="56" xfId="0" applyFont="1" applyFill="1" applyBorder="1" applyAlignment="1" applyProtection="1">
      <alignment horizontal="center" vertical="center" wrapText="1"/>
    </xf>
    <xf numFmtId="0" fontId="25" fillId="7" borderId="0" xfId="0" applyFont="1" applyFill="1" applyBorder="1" applyAlignment="1">
      <alignment horizontal="center" vertical="center"/>
    </xf>
    <xf numFmtId="0" fontId="27" fillId="7" borderId="37" xfId="0" applyFont="1" applyFill="1" applyBorder="1" applyAlignment="1" applyProtection="1">
      <alignment horizontal="center" vertical="center" wrapText="1"/>
    </xf>
    <xf numFmtId="0" fontId="27" fillId="7" borderId="33" xfId="0" applyFont="1" applyFill="1" applyBorder="1" applyAlignment="1" applyProtection="1">
      <alignment horizontal="center" vertical="center" wrapText="1"/>
    </xf>
    <xf numFmtId="0" fontId="27" fillId="7" borderId="38" xfId="0" applyFont="1" applyFill="1" applyBorder="1" applyAlignment="1" applyProtection="1">
      <alignment horizontal="center" vertical="center" wrapText="1"/>
    </xf>
    <xf numFmtId="0" fontId="27" fillId="7" borderId="60" xfId="0" applyFont="1" applyFill="1" applyBorder="1" applyAlignment="1" applyProtection="1">
      <alignment horizontal="center" vertical="center" textRotation="90" wrapText="1"/>
    </xf>
    <xf numFmtId="0" fontId="27" fillId="7" borderId="61" xfId="0" applyFont="1" applyFill="1" applyBorder="1" applyAlignment="1" applyProtection="1">
      <alignment horizontal="center" vertical="center" textRotation="90" wrapText="1"/>
    </xf>
    <xf numFmtId="0" fontId="27" fillId="24" borderId="22" xfId="0" applyFont="1" applyFill="1" applyBorder="1" applyAlignment="1" applyProtection="1">
      <alignment horizontal="center" vertical="center" wrapText="1"/>
    </xf>
    <xf numFmtId="0" fontId="27" fillId="19" borderId="22" xfId="0" applyFont="1" applyFill="1" applyBorder="1" applyAlignment="1" applyProtection="1">
      <alignment horizontal="center" vertical="center" wrapText="1"/>
    </xf>
    <xf numFmtId="0" fontId="27" fillId="9" borderId="22" xfId="0" applyFont="1" applyFill="1" applyBorder="1" applyAlignment="1" applyProtection="1">
      <alignment horizontal="center" vertical="center" wrapText="1"/>
    </xf>
    <xf numFmtId="0" fontId="27" fillId="19" borderId="52" xfId="0"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36" xfId="0" applyFont="1" applyFill="1" applyBorder="1" applyAlignment="1" applyProtection="1">
      <alignment horizontal="center" vertical="center" wrapText="1"/>
    </xf>
    <xf numFmtId="0" fontId="27" fillId="22" borderId="62" xfId="0" applyFont="1" applyFill="1" applyBorder="1" applyAlignment="1" applyProtection="1">
      <alignment horizontal="center" vertical="center" wrapText="1"/>
    </xf>
    <xf numFmtId="0" fontId="26" fillId="0" borderId="39" xfId="0" applyFont="1" applyBorder="1" applyAlignment="1"/>
    <xf numFmtId="0" fontId="6" fillId="18" borderId="12"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15" borderId="63" xfId="0" applyFont="1" applyFill="1" applyBorder="1" applyAlignment="1">
      <alignment horizontal="center" vertical="center" wrapText="1"/>
    </xf>
    <xf numFmtId="0" fontId="6" fillId="15" borderId="57" xfId="0" applyFont="1" applyFill="1" applyBorder="1" applyAlignment="1">
      <alignment horizontal="center" vertical="center" wrapText="1"/>
    </xf>
    <xf numFmtId="0" fontId="6" fillId="15" borderId="9" xfId="0" applyFont="1" applyFill="1" applyBorder="1" applyAlignment="1">
      <alignment horizontal="center" vertical="center" wrapText="1"/>
    </xf>
    <xf numFmtId="10" fontId="9" fillId="9" borderId="3" xfId="11" applyNumberFormat="1" applyFont="1" applyFill="1" applyBorder="1" applyAlignment="1">
      <alignment horizontal="center" vertical="center" wrapText="1"/>
    </xf>
    <xf numFmtId="9" fontId="9" fillId="9" borderId="25" xfId="11" applyNumberFormat="1" applyFont="1" applyFill="1" applyBorder="1" applyAlignment="1">
      <alignment horizontal="center" vertical="center" wrapText="1"/>
    </xf>
  </cellXfs>
  <cellStyles count="16">
    <cellStyle name="Amarillo" xfId="1" xr:uid="{00000000-0005-0000-0000-000000000000}"/>
    <cellStyle name="Hipervínculo" xfId="2" builtinId="8"/>
    <cellStyle name="Millares [0] 2" xfId="3" xr:uid="{00000000-0005-0000-0000-000002000000}"/>
    <cellStyle name="Millares [0] 3" xfId="4" xr:uid="{00000000-0005-0000-0000-000003000000}"/>
    <cellStyle name="Millares 2" xfId="5" xr:uid="{00000000-0005-0000-0000-000004000000}"/>
    <cellStyle name="Millares 3" xfId="6" xr:uid="{00000000-0005-0000-0000-000005000000}"/>
    <cellStyle name="Millares 4" xfId="7" xr:uid="{00000000-0005-0000-0000-000006000000}"/>
    <cellStyle name="Millares 5" xfId="8" xr:uid="{00000000-0005-0000-0000-000007000000}"/>
    <cellStyle name="Millares 6" xfId="9" xr:uid="{00000000-0005-0000-0000-000008000000}"/>
    <cellStyle name="Normal" xfId="0" builtinId="0"/>
    <cellStyle name="Normal 2" xfId="10" xr:uid="{00000000-0005-0000-0000-00000A000000}"/>
    <cellStyle name="Porcentaje" xfId="11" builtinId="5"/>
    <cellStyle name="Porcentaje 2" xfId="12" xr:uid="{00000000-0005-0000-0000-00000C000000}"/>
    <cellStyle name="Porcentual 2" xfId="13" xr:uid="{00000000-0005-0000-0000-00000D000000}"/>
    <cellStyle name="Rojo" xfId="14" xr:uid="{00000000-0005-0000-0000-00000E000000}"/>
    <cellStyle name="Verde" xfId="15" xr:uid="{00000000-0005-0000-0000-00000F000000}"/>
  </cellStyles>
  <dxfs count="14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1427871</xdr:colOff>
      <xdr:row>62</xdr:row>
      <xdr:rowOff>0</xdr:rowOff>
    </xdr:from>
    <xdr:to>
      <xdr:col>1</xdr:col>
      <xdr:colOff>3127274</xdr:colOff>
      <xdr:row>62</xdr:row>
      <xdr:rowOff>17323</xdr:rowOff>
    </xdr:to>
    <xdr:sp macro="" textlink="">
      <xdr:nvSpPr>
        <xdr:cNvPr id="6" name="5 Rectángulo">
          <a:extLst>
            <a:ext uri="{FF2B5EF4-FFF2-40B4-BE49-F238E27FC236}">
              <a16:creationId xmlns:a16="http://schemas.microsoft.com/office/drawing/2014/main" id="{5E2C7933-C739-4142-9C6D-79AF055735B4}"/>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1401041</xdr:colOff>
      <xdr:row>64</xdr:row>
      <xdr:rowOff>34637</xdr:rowOff>
    </xdr:from>
    <xdr:to>
      <xdr:col>1</xdr:col>
      <xdr:colOff>3109991</xdr:colOff>
      <xdr:row>67</xdr:row>
      <xdr:rowOff>121228</xdr:rowOff>
    </xdr:to>
    <xdr:sp macro="" textlink="">
      <xdr:nvSpPr>
        <xdr:cNvPr id="8" name="7 Rectángulo">
          <a:extLst>
            <a:ext uri="{FF2B5EF4-FFF2-40B4-BE49-F238E27FC236}">
              <a16:creationId xmlns:a16="http://schemas.microsoft.com/office/drawing/2014/main" id="{12111DA6-2E6B-4FAB-847E-F14B75ECD7E0}"/>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3126811</xdr:colOff>
      <xdr:row>64</xdr:row>
      <xdr:rowOff>121223</xdr:rowOff>
    </xdr:from>
    <xdr:to>
      <xdr:col>2</xdr:col>
      <xdr:colOff>743174</xdr:colOff>
      <xdr:row>67</xdr:row>
      <xdr:rowOff>51950</xdr:rowOff>
    </xdr:to>
    <xdr:sp macro="" textlink="">
      <xdr:nvSpPr>
        <xdr:cNvPr id="9" name="8 CuadroTexto">
          <a:extLst>
            <a:ext uri="{FF2B5EF4-FFF2-40B4-BE49-F238E27FC236}">
              <a16:creationId xmlns:a16="http://schemas.microsoft.com/office/drawing/2014/main" id="{158B1251-3845-4971-8968-D35433F5126C}"/>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IVC</a:t>
          </a:r>
        </a:p>
      </xdr:txBody>
    </xdr:sp>
    <xdr:clientData/>
  </xdr:twoCellAnchor>
  <xdr:twoCellAnchor>
    <xdr:from>
      <xdr:col>1</xdr:col>
      <xdr:colOff>1445203</xdr:colOff>
      <xdr:row>69</xdr:row>
      <xdr:rowOff>121227</xdr:rowOff>
    </xdr:from>
    <xdr:to>
      <xdr:col>1</xdr:col>
      <xdr:colOff>3125511</xdr:colOff>
      <xdr:row>73</xdr:row>
      <xdr:rowOff>17318</xdr:rowOff>
    </xdr:to>
    <xdr:sp macro="" textlink="">
      <xdr:nvSpPr>
        <xdr:cNvPr id="10" name="9 Rectángulo">
          <a:extLst>
            <a:ext uri="{FF2B5EF4-FFF2-40B4-BE49-F238E27FC236}">
              <a16:creationId xmlns:a16="http://schemas.microsoft.com/office/drawing/2014/main" id="{1549EDC9-81AC-4ADC-8110-9585396F5795}"/>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3123348</xdr:colOff>
      <xdr:row>70</xdr:row>
      <xdr:rowOff>17313</xdr:rowOff>
    </xdr:from>
    <xdr:to>
      <xdr:col>2</xdr:col>
      <xdr:colOff>787205</xdr:colOff>
      <xdr:row>72</xdr:row>
      <xdr:rowOff>138540</xdr:rowOff>
    </xdr:to>
    <xdr:sp macro="" textlink="">
      <xdr:nvSpPr>
        <xdr:cNvPr id="11" name="10 CuadroTexto">
          <a:extLst>
            <a:ext uri="{FF2B5EF4-FFF2-40B4-BE49-F238E27FC236}">
              <a16:creationId xmlns:a16="http://schemas.microsoft.com/office/drawing/2014/main" id="{F4457241-D169-4FBA-A3FD-A5343980F2EA}"/>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1445203</xdr:colOff>
      <xdr:row>74</xdr:row>
      <xdr:rowOff>138545</xdr:rowOff>
    </xdr:from>
    <xdr:to>
      <xdr:col>1</xdr:col>
      <xdr:colOff>3125511</xdr:colOff>
      <xdr:row>78</xdr:row>
      <xdr:rowOff>34636</xdr:rowOff>
    </xdr:to>
    <xdr:sp macro="" textlink="">
      <xdr:nvSpPr>
        <xdr:cNvPr id="12" name="11 Rectángulo">
          <a:extLst>
            <a:ext uri="{FF2B5EF4-FFF2-40B4-BE49-F238E27FC236}">
              <a16:creationId xmlns:a16="http://schemas.microsoft.com/office/drawing/2014/main" id="{9B4C0351-B23A-4648-875D-7B164734450C}"/>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3123348</xdr:colOff>
      <xdr:row>75</xdr:row>
      <xdr:rowOff>34631</xdr:rowOff>
    </xdr:from>
    <xdr:to>
      <xdr:col>2</xdr:col>
      <xdr:colOff>787205</xdr:colOff>
      <xdr:row>77</xdr:row>
      <xdr:rowOff>155858</xdr:rowOff>
    </xdr:to>
    <xdr:sp macro="" textlink="">
      <xdr:nvSpPr>
        <xdr:cNvPr id="13" name="12 CuadroTexto">
          <a:extLst>
            <a:ext uri="{FF2B5EF4-FFF2-40B4-BE49-F238E27FC236}">
              <a16:creationId xmlns:a16="http://schemas.microsoft.com/office/drawing/2014/main" id="{557FFB6B-4048-411A-88E3-FA456DD1B347}"/>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1479839</xdr:colOff>
      <xdr:row>81</xdr:row>
      <xdr:rowOff>0</xdr:rowOff>
    </xdr:from>
    <xdr:to>
      <xdr:col>1</xdr:col>
      <xdr:colOff>3120985</xdr:colOff>
      <xdr:row>84</xdr:row>
      <xdr:rowOff>86591</xdr:rowOff>
    </xdr:to>
    <xdr:sp macro="" textlink="">
      <xdr:nvSpPr>
        <xdr:cNvPr id="14" name="13 Rectángulo">
          <a:extLst>
            <a:ext uri="{FF2B5EF4-FFF2-40B4-BE49-F238E27FC236}">
              <a16:creationId xmlns:a16="http://schemas.microsoft.com/office/drawing/2014/main" id="{893A7712-629B-4D24-B07E-9E3B20C31F2F}"/>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3119884</xdr:colOff>
      <xdr:row>81</xdr:row>
      <xdr:rowOff>86586</xdr:rowOff>
    </xdr:from>
    <xdr:to>
      <xdr:col>3</xdr:col>
      <xdr:colOff>5175</xdr:colOff>
      <xdr:row>84</xdr:row>
      <xdr:rowOff>17313</xdr:rowOff>
    </xdr:to>
    <xdr:sp macro="" textlink="">
      <xdr:nvSpPr>
        <xdr:cNvPr id="15" name="14 CuadroTexto">
          <a:extLst>
            <a:ext uri="{FF2B5EF4-FFF2-40B4-BE49-F238E27FC236}">
              <a16:creationId xmlns:a16="http://schemas.microsoft.com/office/drawing/2014/main" id="{05217285-BA02-4039-8776-1446B31EC144}"/>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1445202</xdr:colOff>
      <xdr:row>86</xdr:row>
      <xdr:rowOff>103909</xdr:rowOff>
    </xdr:from>
    <xdr:to>
      <xdr:col>1</xdr:col>
      <xdr:colOff>3125510</xdr:colOff>
      <xdr:row>90</xdr:row>
      <xdr:rowOff>0</xdr:rowOff>
    </xdr:to>
    <xdr:sp macro="" textlink="">
      <xdr:nvSpPr>
        <xdr:cNvPr id="16" name="15 Rectángulo">
          <a:extLst>
            <a:ext uri="{FF2B5EF4-FFF2-40B4-BE49-F238E27FC236}">
              <a16:creationId xmlns:a16="http://schemas.microsoft.com/office/drawing/2014/main" id="{B78C7E1A-5CF6-4CAF-9029-0B5D543C4884}"/>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3123347</xdr:colOff>
      <xdr:row>86</xdr:row>
      <xdr:rowOff>190495</xdr:rowOff>
    </xdr:from>
    <xdr:to>
      <xdr:col>2</xdr:col>
      <xdr:colOff>787204</xdr:colOff>
      <xdr:row>89</xdr:row>
      <xdr:rowOff>121222</xdr:rowOff>
    </xdr:to>
    <xdr:sp macro="" textlink="">
      <xdr:nvSpPr>
        <xdr:cNvPr id="17" name="16 CuadroTexto">
          <a:extLst>
            <a:ext uri="{FF2B5EF4-FFF2-40B4-BE49-F238E27FC236}">
              <a16:creationId xmlns:a16="http://schemas.microsoft.com/office/drawing/2014/main" id="{BA9056DC-9420-4CA1-8B6B-8A43F7AB588F}"/>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304800</xdr:colOff>
      <xdr:row>10</xdr:row>
      <xdr:rowOff>104775</xdr:rowOff>
    </xdr:to>
    <xdr:sp macro="" textlink="">
      <xdr:nvSpPr>
        <xdr:cNvPr id="11321" name="AutoShape 38" descr="Resultado de imagen para boton agregar icono">
          <a:extLst>
            <a:ext uri="{FF2B5EF4-FFF2-40B4-BE49-F238E27FC236}">
              <a16:creationId xmlns:a16="http://schemas.microsoft.com/office/drawing/2014/main" id="{8FD71221-43E3-402B-B133-137768B4F010}"/>
            </a:ext>
          </a:extLst>
        </xdr:cNvPr>
        <xdr:cNvSpPr>
          <a:spLocks noChangeAspect="1" noChangeArrowheads="1"/>
        </xdr:cNvSpPr>
      </xdr:nvSpPr>
      <xdr:spPr bwMode="auto">
        <a:xfrm>
          <a:off x="1876425" y="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304800</xdr:colOff>
      <xdr:row>10</xdr:row>
      <xdr:rowOff>104775</xdr:rowOff>
    </xdr:to>
    <xdr:sp macro="" textlink="">
      <xdr:nvSpPr>
        <xdr:cNvPr id="11322" name="AutoShape 39" descr="Resultado de imagen para boton agregar icono">
          <a:extLst>
            <a:ext uri="{FF2B5EF4-FFF2-40B4-BE49-F238E27FC236}">
              <a16:creationId xmlns:a16="http://schemas.microsoft.com/office/drawing/2014/main" id="{4A3CB92C-C0A8-4896-9795-42BBEAACFF8F}"/>
            </a:ext>
          </a:extLst>
        </xdr:cNvPr>
        <xdr:cNvSpPr>
          <a:spLocks noChangeAspect="1" noChangeArrowheads="1"/>
        </xdr:cNvSpPr>
      </xdr:nvSpPr>
      <xdr:spPr bwMode="auto">
        <a:xfrm>
          <a:off x="1876425" y="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304800</xdr:colOff>
      <xdr:row>10</xdr:row>
      <xdr:rowOff>104775</xdr:rowOff>
    </xdr:to>
    <xdr:sp macro="" textlink="">
      <xdr:nvSpPr>
        <xdr:cNvPr id="11323" name="AutoShape 40" descr="Resultado de imagen para boton agregar icono">
          <a:extLst>
            <a:ext uri="{FF2B5EF4-FFF2-40B4-BE49-F238E27FC236}">
              <a16:creationId xmlns:a16="http://schemas.microsoft.com/office/drawing/2014/main" id="{1C0216C0-4047-4CD4-9B2E-8B0885AAC8A0}"/>
            </a:ext>
          </a:extLst>
        </xdr:cNvPr>
        <xdr:cNvSpPr>
          <a:spLocks noChangeAspect="1" noChangeArrowheads="1"/>
        </xdr:cNvSpPr>
      </xdr:nvSpPr>
      <xdr:spPr bwMode="auto">
        <a:xfrm>
          <a:off x="1876425" y="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304800</xdr:colOff>
      <xdr:row>10</xdr:row>
      <xdr:rowOff>104775</xdr:rowOff>
    </xdr:to>
    <xdr:sp macro="" textlink="">
      <xdr:nvSpPr>
        <xdr:cNvPr id="11324" name="AutoShape 42" descr="Z">
          <a:extLst>
            <a:ext uri="{FF2B5EF4-FFF2-40B4-BE49-F238E27FC236}">
              <a16:creationId xmlns:a16="http://schemas.microsoft.com/office/drawing/2014/main" id="{AE308E8D-F40A-4B41-92B4-A837204A611F}"/>
            </a:ext>
          </a:extLst>
        </xdr:cNvPr>
        <xdr:cNvSpPr>
          <a:spLocks noChangeAspect="1" noChangeArrowheads="1"/>
        </xdr:cNvSpPr>
      </xdr:nvSpPr>
      <xdr:spPr bwMode="auto">
        <a:xfrm>
          <a:off x="1876425" y="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pp.powerbi.com/view?r=eyJrIjoiYWEwYzQ4NGQtMWJmZi00YmZjLWE3NjktMWI5NDUxM2M4NTA0IiwidCI6IjE0ZGUxNTVmLWUxOTItNDRkYS05OTRkLTE5MTNkODY1ODM3MiIsImMiOjR9" TargetMode="External"/><Relationship Id="rId7" Type="http://schemas.openxmlformats.org/officeDocument/2006/relationships/vmlDrawing" Target="../drawings/vmlDrawing1.vml"/><Relationship Id="rId2" Type="http://schemas.openxmlformats.org/officeDocument/2006/relationships/hyperlink" Target="http://engativa.gov.co/transparencia/instrumentos-gestion-informacion-publica/relacionados-informacion" TargetMode="External"/><Relationship Id="rId1" Type="http://schemas.openxmlformats.org/officeDocument/2006/relationships/hyperlink" Target="http://engativa.gov.co/transparencia/instrumentos-gestion-informacion-publica/relacionados-informac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ngativa.gov.co/transparencia/instrumentos-gestion-informacion-publica/relacionados-la-informacion/registro-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60"/>
  <sheetViews>
    <sheetView showGridLines="0" tabSelected="1" topLeftCell="AS60" zoomScale="55" zoomScaleNormal="55" zoomScaleSheetLayoutView="25" workbookViewId="0" xr3:uid="{AEA406A1-0E4B-5B11-9CD5-51D6E497D94C}">
      <pane xSplit="1920" ySplit="990" topLeftCell="AN55" activePane="bottomRight"/>
      <selection pane="bottomRight" activeCell="AY60" sqref="AY60:BA60"/>
      <selection pane="bottomLeft" activeCell="D15" sqref="D15"/>
      <selection pane="topRight" activeCell="Q10" sqref="Q10"/>
    </sheetView>
  </sheetViews>
  <sheetFormatPr defaultColWidth="11.42578125" defaultRowHeight="15"/>
  <cols>
    <col min="1" max="1" width="9.5703125" style="64" hidden="1" customWidth="1"/>
    <col min="2" max="2" width="41" style="64" hidden="1" customWidth="1"/>
    <col min="3" max="3" width="10.42578125" style="64" hidden="1" customWidth="1"/>
    <col min="4" max="4" width="28.140625" style="290" customWidth="1"/>
    <col min="5" max="5" width="16.42578125" style="64" customWidth="1"/>
    <col min="6" max="6" width="15.42578125" style="64" customWidth="1"/>
    <col min="7" max="7" width="42.42578125" style="64" customWidth="1"/>
    <col min="8" max="8" width="37.5703125" style="64" customWidth="1"/>
    <col min="9" max="9" width="15.42578125" style="64" customWidth="1"/>
    <col min="10" max="10" width="13.140625" style="64" customWidth="1"/>
    <col min="11" max="11" width="20.85546875" style="64" customWidth="1"/>
    <col min="12" max="12" width="8.42578125" style="64" bestFit="1" customWidth="1"/>
    <col min="13" max="13" width="9.28515625" style="64" bestFit="1" customWidth="1"/>
    <col min="14" max="14" width="10" style="64" bestFit="1" customWidth="1"/>
    <col min="15" max="15" width="10.28515625" style="64" customWidth="1"/>
    <col min="16" max="16" width="17.5703125" style="64" customWidth="1"/>
    <col min="17" max="17" width="17.140625" style="64" customWidth="1"/>
    <col min="18" max="18" width="12.85546875" style="64" customWidth="1"/>
    <col min="19" max="19" width="22.28515625" style="64" customWidth="1"/>
    <col min="20" max="20" width="31.85546875" style="64" customWidth="1"/>
    <col min="21" max="21" width="4.42578125" style="64" customWidth="1"/>
    <col min="22" max="22" width="6.85546875" style="64" customWidth="1"/>
    <col min="23" max="23" width="8" style="64" customWidth="1"/>
    <col min="24" max="24" width="7" style="64" customWidth="1"/>
    <col min="25" max="25" width="30.42578125" style="64" customWidth="1"/>
    <col min="26" max="26" width="23.5703125" style="64" customWidth="1"/>
    <col min="27" max="27" width="30.85546875" style="64" customWidth="1"/>
    <col min="28" max="28" width="7.5703125" style="64" customWidth="1"/>
    <col min="29" max="29" width="9.7109375" style="64" customWidth="1"/>
    <col min="30" max="30" width="44.5703125" style="64" customWidth="1"/>
    <col min="31" max="31" width="86.140625" style="64" customWidth="1"/>
    <col min="32" max="32" width="37.85546875" style="64" customWidth="1"/>
    <col min="33" max="33" width="30.85546875" style="64" customWidth="1"/>
    <col min="34" max="34" width="7.5703125" style="64" customWidth="1"/>
    <col min="35" max="35" width="12.7109375" style="64" customWidth="1"/>
    <col min="36" max="36" width="44.5703125" style="64" customWidth="1"/>
    <col min="37" max="37" width="94.140625" style="64" customWidth="1"/>
    <col min="38" max="38" width="37.85546875" style="64" customWidth="1"/>
    <col min="39" max="39" width="30.85546875" style="64" bestFit="1" customWidth="1"/>
    <col min="40" max="41" width="11.42578125" style="64" customWidth="1"/>
    <col min="42" max="42" width="16.85546875" style="64" customWidth="1"/>
    <col min="43" max="43" width="56.140625" style="64" customWidth="1"/>
    <col min="44" max="44" width="38.28515625" style="64" customWidth="1"/>
    <col min="45" max="45" width="29.5703125" style="64" customWidth="1"/>
    <col min="46" max="46" width="11.42578125" style="64" customWidth="1"/>
    <col min="47" max="47" width="21.7109375" style="64" customWidth="1"/>
    <col min="48" max="48" width="26.42578125" style="64" customWidth="1"/>
    <col min="49" max="49" width="52" style="64" customWidth="1"/>
    <col min="50" max="50" width="20.7109375" style="64" customWidth="1"/>
    <col min="51" max="51" width="24.140625" style="64" customWidth="1"/>
    <col min="52" max="52" width="12.7109375" style="64" customWidth="1"/>
    <col min="53" max="53" width="12.85546875" style="64" customWidth="1"/>
    <col min="54" max="55" width="21.85546875" style="64" customWidth="1"/>
    <col min="56" max="56" width="65" style="64" customWidth="1"/>
    <col min="57" max="16384" width="11.42578125" style="64"/>
  </cols>
  <sheetData>
    <row r="1" spans="1:56" s="34" customFormat="1" ht="40.5" hidden="1" customHeight="1">
      <c r="A1" s="456"/>
      <c r="B1" s="457"/>
      <c r="C1" s="457"/>
      <c r="D1" s="457"/>
      <c r="E1" s="457"/>
      <c r="F1" s="457"/>
      <c r="G1" s="457"/>
      <c r="H1" s="457"/>
      <c r="I1" s="457"/>
      <c r="J1" s="457"/>
      <c r="K1" s="457"/>
      <c r="L1" s="457"/>
      <c r="M1" s="457"/>
      <c r="N1" s="457"/>
      <c r="O1" s="457"/>
      <c r="P1" s="457"/>
      <c r="Q1" s="457"/>
      <c r="R1" s="457"/>
      <c r="S1" s="457"/>
      <c r="T1" s="457"/>
      <c r="U1" s="457"/>
      <c r="V1" s="457"/>
      <c r="W1" s="457"/>
      <c r="X1" s="457"/>
      <c r="Y1" s="457"/>
      <c r="Z1" s="457"/>
      <c r="BA1" s="64"/>
    </row>
    <row r="2" spans="1:56" s="34" customFormat="1" ht="40.5" hidden="1" customHeight="1" thickBot="1">
      <c r="A2" s="458" t="s">
        <v>0</v>
      </c>
      <c r="B2" s="458"/>
      <c r="C2" s="459"/>
      <c r="D2" s="459"/>
      <c r="E2" s="459"/>
      <c r="F2" s="459"/>
      <c r="G2" s="459"/>
      <c r="H2" s="459"/>
      <c r="I2" s="458"/>
      <c r="J2" s="458"/>
      <c r="K2" s="458"/>
      <c r="L2" s="458"/>
      <c r="M2" s="458"/>
      <c r="N2" s="458"/>
      <c r="O2" s="458"/>
      <c r="P2" s="458"/>
      <c r="Q2" s="458"/>
      <c r="R2" s="458"/>
      <c r="S2" s="458"/>
      <c r="T2" s="458"/>
      <c r="U2" s="458"/>
      <c r="V2" s="458"/>
      <c r="W2" s="458"/>
      <c r="X2" s="458"/>
      <c r="Y2" s="458"/>
      <c r="Z2" s="458"/>
      <c r="BA2" s="64"/>
    </row>
    <row r="3" spans="1:56" s="34" customFormat="1" ht="36.75" hidden="1" customHeight="1">
      <c r="A3" s="35" t="s">
        <v>1</v>
      </c>
      <c r="B3" s="36">
        <v>2018</v>
      </c>
      <c r="C3" s="467" t="s">
        <v>2</v>
      </c>
      <c r="D3" s="468"/>
      <c r="E3" s="468"/>
      <c r="F3" s="468"/>
      <c r="G3" s="468"/>
      <c r="H3" s="469"/>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287"/>
      <c r="BB3" s="39"/>
      <c r="BC3" s="39"/>
      <c r="BD3" s="39"/>
    </row>
    <row r="4" spans="1:56" s="34" customFormat="1" ht="36.75" hidden="1" customHeight="1">
      <c r="A4" s="35" t="s">
        <v>3</v>
      </c>
      <c r="B4" s="36"/>
      <c r="C4" s="40" t="s">
        <v>4</v>
      </c>
      <c r="D4" s="425" t="s">
        <v>5</v>
      </c>
      <c r="E4" s="470" t="s">
        <v>6</v>
      </c>
      <c r="F4" s="470"/>
      <c r="G4" s="470"/>
      <c r="H4" s="471"/>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287"/>
      <c r="BB4" s="39"/>
      <c r="BC4" s="39"/>
      <c r="BD4" s="39"/>
    </row>
    <row r="5" spans="1:56" s="34" customFormat="1" ht="36.75" hidden="1" customHeight="1" thickBot="1">
      <c r="A5" s="35" t="s">
        <v>7</v>
      </c>
      <c r="B5" s="36"/>
      <c r="C5" s="42"/>
      <c r="D5" s="43"/>
      <c r="E5" s="472"/>
      <c r="F5" s="472"/>
      <c r="G5" s="472"/>
      <c r="H5" s="473"/>
      <c r="I5" s="37"/>
      <c r="J5" s="37"/>
      <c r="K5" s="37"/>
      <c r="L5" s="37"/>
      <c r="M5" s="37"/>
      <c r="N5" s="37"/>
      <c r="O5" s="37"/>
      <c r="P5" s="37"/>
      <c r="Q5" s="37"/>
      <c r="R5" s="37"/>
      <c r="S5" s="37"/>
      <c r="T5" s="37"/>
      <c r="U5" s="37"/>
      <c r="V5" s="37"/>
      <c r="W5" s="37"/>
      <c r="X5" s="37"/>
      <c r="Y5" s="37"/>
      <c r="Z5" s="38"/>
      <c r="AA5" s="44"/>
      <c r="AB5" s="45"/>
      <c r="AC5" s="45"/>
      <c r="AD5" s="45"/>
      <c r="AE5" s="45"/>
      <c r="AF5" s="45"/>
      <c r="AG5" s="45"/>
      <c r="AH5" s="45"/>
      <c r="AI5" s="45"/>
      <c r="AJ5" s="45"/>
      <c r="AK5" s="45"/>
      <c r="AL5" s="45"/>
      <c r="AM5" s="448"/>
      <c r="AN5" s="448"/>
      <c r="AO5" s="448"/>
      <c r="AP5" s="448"/>
      <c r="AQ5" s="448"/>
      <c r="AR5" s="448"/>
      <c r="AS5" s="448"/>
      <c r="AT5" s="448"/>
      <c r="AU5" s="448"/>
      <c r="AV5" s="448"/>
      <c r="AW5" s="448"/>
      <c r="AX5" s="448"/>
      <c r="AY5" s="448"/>
      <c r="AZ5" s="448"/>
      <c r="BA5" s="448"/>
      <c r="BB5" s="448"/>
      <c r="BC5" s="448"/>
      <c r="BD5" s="448"/>
    </row>
    <row r="6" spans="1:56" s="34" customFormat="1" ht="14.25" hidden="1">
      <c r="A6" s="46"/>
      <c r="B6" s="41"/>
      <c r="C6" s="41"/>
      <c r="D6" s="47"/>
      <c r="E6" s="41"/>
      <c r="F6" s="41"/>
      <c r="G6" s="41"/>
      <c r="H6" s="41"/>
      <c r="I6" s="41"/>
      <c r="J6" s="41"/>
      <c r="K6" s="41"/>
      <c r="L6" s="41"/>
      <c r="M6" s="41"/>
      <c r="N6" s="41"/>
      <c r="O6" s="41"/>
      <c r="P6" s="41"/>
      <c r="Q6" s="39"/>
      <c r="R6" s="39"/>
      <c r="S6" s="39"/>
      <c r="T6" s="39"/>
      <c r="U6" s="39"/>
      <c r="V6" s="39"/>
      <c r="W6" s="39"/>
      <c r="X6" s="39"/>
      <c r="Y6" s="39"/>
      <c r="Z6" s="39"/>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row>
    <row r="7" spans="1:56" s="34" customFormat="1" hidden="1">
      <c r="A7" s="41"/>
      <c r="B7" s="41"/>
      <c r="C7" s="41"/>
      <c r="D7" s="474"/>
      <c r="E7" s="474"/>
      <c r="F7" s="474"/>
      <c r="G7" s="474"/>
      <c r="H7" s="474"/>
      <c r="I7" s="474"/>
      <c r="J7" s="474"/>
      <c r="K7" s="474"/>
      <c r="L7" s="474"/>
      <c r="M7" s="474"/>
      <c r="N7" s="474"/>
      <c r="O7" s="474"/>
      <c r="P7" s="474"/>
      <c r="Q7" s="474"/>
      <c r="R7" s="474"/>
      <c r="S7" s="474"/>
      <c r="T7" s="426"/>
      <c r="U7" s="48"/>
      <c r="V7" s="39"/>
      <c r="W7" s="39"/>
      <c r="X7" s="39"/>
      <c r="Y7" s="39"/>
      <c r="Z7" s="39"/>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295"/>
      <c r="BB7" s="421"/>
      <c r="BC7" s="421"/>
      <c r="BD7" s="421"/>
    </row>
    <row r="8" spans="1:56" s="34" customFormat="1" ht="14.25" hidden="1">
      <c r="A8" s="49"/>
      <c r="B8" s="39"/>
      <c r="C8" s="39"/>
      <c r="D8" s="428"/>
      <c r="E8" s="428"/>
      <c r="F8" s="428"/>
      <c r="G8" s="428"/>
      <c r="H8" s="428"/>
      <c r="I8" s="428"/>
      <c r="J8" s="428"/>
      <c r="K8" s="428"/>
      <c r="L8" s="427"/>
      <c r="M8" s="427"/>
      <c r="N8" s="427"/>
      <c r="O8" s="427"/>
      <c r="P8" s="421"/>
      <c r="Q8" s="421"/>
      <c r="R8" s="421"/>
      <c r="S8" s="421"/>
      <c r="T8" s="421"/>
      <c r="U8" s="421"/>
      <c r="V8" s="39"/>
      <c r="W8" s="39"/>
      <c r="X8" s="39"/>
      <c r="Y8" s="39"/>
      <c r="Z8" s="39"/>
      <c r="AA8" s="427"/>
      <c r="AB8" s="427"/>
      <c r="AC8" s="427"/>
      <c r="AD8" s="422"/>
      <c r="AE8" s="422"/>
      <c r="AF8" s="422"/>
      <c r="AG8" s="427"/>
      <c r="AH8" s="427"/>
      <c r="AI8" s="427"/>
      <c r="AJ8" s="422"/>
      <c r="AK8" s="422"/>
      <c r="AL8" s="422"/>
      <c r="AM8" s="427"/>
      <c r="AN8" s="427"/>
      <c r="AO8" s="427"/>
      <c r="AP8" s="422"/>
      <c r="AQ8" s="422"/>
      <c r="AR8" s="422"/>
      <c r="AS8" s="427"/>
      <c r="AT8" s="427"/>
      <c r="AU8" s="427"/>
      <c r="AV8" s="422"/>
      <c r="AW8" s="422"/>
      <c r="AX8" s="422"/>
      <c r="AY8" s="427"/>
      <c r="AZ8" s="427"/>
      <c r="BA8" s="427"/>
      <c r="BB8" s="422"/>
      <c r="BC8" s="422"/>
      <c r="BD8" s="422"/>
    </row>
    <row r="9" spans="1:56" s="34" customFormat="1" ht="15.75" hidden="1" thickBot="1">
      <c r="A9" s="39"/>
      <c r="B9" s="39"/>
      <c r="C9" s="39"/>
      <c r="D9" s="50"/>
      <c r="E9" s="39"/>
      <c r="F9" s="39"/>
      <c r="G9" s="39"/>
      <c r="H9" s="39"/>
      <c r="I9" s="39"/>
      <c r="J9" s="39"/>
      <c r="K9" s="39"/>
      <c r="L9" s="39"/>
      <c r="M9" s="39"/>
      <c r="N9" s="39"/>
      <c r="O9" s="39"/>
      <c r="P9" s="39"/>
      <c r="Q9" s="39"/>
      <c r="R9" s="39"/>
      <c r="S9" s="39"/>
      <c r="T9" s="39"/>
      <c r="U9" s="39"/>
      <c r="V9" s="39"/>
      <c r="W9" s="39"/>
      <c r="X9" s="39"/>
      <c r="Y9" s="39"/>
      <c r="Z9" s="39"/>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295"/>
      <c r="BB9" s="421"/>
      <c r="BC9" s="421"/>
      <c r="BD9" s="421"/>
    </row>
    <row r="10" spans="1:56" ht="15" customHeight="1">
      <c r="A10" s="460" t="s">
        <v>8</v>
      </c>
      <c r="B10" s="461"/>
      <c r="C10" s="63"/>
      <c r="D10" s="434"/>
      <c r="E10" s="435"/>
      <c r="F10" s="435"/>
      <c r="G10" s="435"/>
      <c r="H10" s="435"/>
      <c r="I10" s="435"/>
      <c r="J10" s="435"/>
      <c r="K10" s="435"/>
      <c r="L10" s="435"/>
      <c r="M10" s="435"/>
      <c r="N10" s="435"/>
      <c r="O10" s="435"/>
      <c r="P10" s="435"/>
      <c r="Q10" s="435"/>
      <c r="R10" s="435"/>
      <c r="S10" s="435"/>
      <c r="T10" s="435"/>
      <c r="U10" s="435"/>
      <c r="V10" s="435"/>
      <c r="W10" s="435"/>
      <c r="X10" s="435"/>
      <c r="Y10" s="435"/>
      <c r="Z10" s="435"/>
      <c r="AA10" s="438" t="s">
        <v>9</v>
      </c>
      <c r="AB10" s="438"/>
      <c r="AC10" s="438"/>
      <c r="AD10" s="438"/>
      <c r="AE10" s="438"/>
      <c r="AF10" s="438"/>
      <c r="AG10" s="439" t="s">
        <v>9</v>
      </c>
      <c r="AH10" s="439"/>
      <c r="AI10" s="439"/>
      <c r="AJ10" s="439"/>
      <c r="AK10" s="439"/>
      <c r="AL10" s="439"/>
      <c r="AM10" s="438" t="s">
        <v>9</v>
      </c>
      <c r="AN10" s="438"/>
      <c r="AO10" s="438"/>
      <c r="AP10" s="438"/>
      <c r="AQ10" s="438"/>
      <c r="AR10" s="438"/>
      <c r="AS10" s="449" t="s">
        <v>9</v>
      </c>
      <c r="AT10" s="449"/>
      <c r="AU10" s="449"/>
      <c r="AV10" s="449"/>
      <c r="AW10" s="449"/>
      <c r="AX10" s="449"/>
      <c r="AY10" s="447" t="s">
        <v>9</v>
      </c>
      <c r="AZ10" s="447"/>
      <c r="BA10" s="447"/>
      <c r="BB10" s="447"/>
      <c r="BC10" s="447"/>
      <c r="BD10" s="447"/>
    </row>
    <row r="11" spans="1:56" ht="15.75" thickBot="1">
      <c r="A11" s="462"/>
      <c r="B11" s="463"/>
      <c r="C11" s="65"/>
      <c r="D11" s="436"/>
      <c r="E11" s="437"/>
      <c r="F11" s="437"/>
      <c r="G11" s="437"/>
      <c r="H11" s="437"/>
      <c r="I11" s="437"/>
      <c r="J11" s="437"/>
      <c r="K11" s="437"/>
      <c r="L11" s="437"/>
      <c r="M11" s="437"/>
      <c r="N11" s="437"/>
      <c r="O11" s="437"/>
      <c r="P11" s="437"/>
      <c r="Q11" s="437"/>
      <c r="R11" s="437"/>
      <c r="S11" s="437"/>
      <c r="T11" s="437"/>
      <c r="U11" s="437"/>
      <c r="V11" s="437"/>
      <c r="W11" s="437"/>
      <c r="X11" s="437"/>
      <c r="Y11" s="437"/>
      <c r="Z11" s="437"/>
      <c r="AA11" s="440" t="s">
        <v>10</v>
      </c>
      <c r="AB11" s="440"/>
      <c r="AC11" s="440"/>
      <c r="AD11" s="440"/>
      <c r="AE11" s="440"/>
      <c r="AF11" s="440"/>
      <c r="AG11" s="441" t="s">
        <v>11</v>
      </c>
      <c r="AH11" s="441"/>
      <c r="AI11" s="441"/>
      <c r="AJ11" s="441"/>
      <c r="AK11" s="441"/>
      <c r="AL11" s="441"/>
      <c r="AM11" s="440" t="s">
        <v>12</v>
      </c>
      <c r="AN11" s="440"/>
      <c r="AO11" s="440"/>
      <c r="AP11" s="440"/>
      <c r="AQ11" s="440"/>
      <c r="AR11" s="440"/>
      <c r="AS11" s="429" t="s">
        <v>13</v>
      </c>
      <c r="AT11" s="429"/>
      <c r="AU11" s="429"/>
      <c r="AV11" s="429"/>
      <c r="AW11" s="429"/>
      <c r="AX11" s="429"/>
      <c r="AY11" s="430" t="s">
        <v>14</v>
      </c>
      <c r="AZ11" s="430"/>
      <c r="BA11" s="430"/>
      <c r="BB11" s="430"/>
      <c r="BC11" s="430"/>
      <c r="BD11" s="430"/>
    </row>
    <row r="12" spans="1:56" ht="15" customHeight="1" thickBot="1">
      <c r="A12" s="464"/>
      <c r="B12" s="465"/>
      <c r="C12" s="65"/>
      <c r="D12" s="490" t="s">
        <v>15</v>
      </c>
      <c r="E12" s="491"/>
      <c r="F12" s="490"/>
      <c r="G12" s="490"/>
      <c r="H12" s="490"/>
      <c r="I12" s="490"/>
      <c r="J12" s="490"/>
      <c r="K12" s="490"/>
      <c r="L12" s="490"/>
      <c r="M12" s="490"/>
      <c r="N12" s="490"/>
      <c r="O12" s="490"/>
      <c r="P12" s="490"/>
      <c r="Q12" s="490"/>
      <c r="R12" s="490"/>
      <c r="S12" s="492"/>
      <c r="T12" s="419"/>
      <c r="U12" s="419"/>
      <c r="V12" s="451" t="s">
        <v>16</v>
      </c>
      <c r="W12" s="451"/>
      <c r="X12" s="451"/>
      <c r="Y12" s="451"/>
      <c r="Z12" s="451"/>
      <c r="AA12" s="452" t="s">
        <v>17</v>
      </c>
      <c r="AB12" s="452"/>
      <c r="AC12" s="452"/>
      <c r="AD12" s="453" t="s">
        <v>18</v>
      </c>
      <c r="AE12" s="452" t="s">
        <v>19</v>
      </c>
      <c r="AF12" s="452" t="s">
        <v>20</v>
      </c>
      <c r="AG12" s="442" t="s">
        <v>17</v>
      </c>
      <c r="AH12" s="442"/>
      <c r="AI12" s="442"/>
      <c r="AJ12" s="442" t="s">
        <v>18</v>
      </c>
      <c r="AK12" s="442" t="s">
        <v>19</v>
      </c>
      <c r="AL12" s="442" t="s">
        <v>20</v>
      </c>
      <c r="AM12" s="452" t="s">
        <v>17</v>
      </c>
      <c r="AN12" s="452"/>
      <c r="AO12" s="452"/>
      <c r="AP12" s="452" t="s">
        <v>18</v>
      </c>
      <c r="AQ12" s="452" t="s">
        <v>19</v>
      </c>
      <c r="AR12" s="452" t="s">
        <v>20</v>
      </c>
      <c r="AS12" s="432" t="s">
        <v>17</v>
      </c>
      <c r="AT12" s="432"/>
      <c r="AU12" s="432"/>
      <c r="AV12" s="432" t="s">
        <v>18</v>
      </c>
      <c r="AW12" s="432" t="s">
        <v>19</v>
      </c>
      <c r="AX12" s="432" t="s">
        <v>20</v>
      </c>
      <c r="AY12" s="431" t="s">
        <v>17</v>
      </c>
      <c r="AZ12" s="431"/>
      <c r="BA12" s="431"/>
      <c r="BB12" s="431" t="s">
        <v>18</v>
      </c>
      <c r="BC12" s="66"/>
      <c r="BD12" s="445" t="s">
        <v>21</v>
      </c>
    </row>
    <row r="13" spans="1:56" ht="28.5" customHeight="1" thickBot="1">
      <c r="A13" s="67" t="s">
        <v>22</v>
      </c>
      <c r="B13" s="68" t="s">
        <v>23</v>
      </c>
      <c r="C13" s="466" t="s">
        <v>24</v>
      </c>
      <c r="D13" s="69" t="s">
        <v>25</v>
      </c>
      <c r="E13" s="70" t="s">
        <v>26</v>
      </c>
      <c r="F13" s="71" t="s">
        <v>27</v>
      </c>
      <c r="G13" s="72" t="s">
        <v>28</v>
      </c>
      <c r="H13" s="72" t="s">
        <v>29</v>
      </c>
      <c r="I13" s="72" t="s">
        <v>30</v>
      </c>
      <c r="J13" s="72" t="s">
        <v>31</v>
      </c>
      <c r="K13" s="72" t="s">
        <v>32</v>
      </c>
      <c r="L13" s="72" t="s">
        <v>33</v>
      </c>
      <c r="M13" s="72" t="s">
        <v>34</v>
      </c>
      <c r="N13" s="72" t="s">
        <v>35</v>
      </c>
      <c r="O13" s="72" t="s">
        <v>36</v>
      </c>
      <c r="P13" s="72" t="s">
        <v>37</v>
      </c>
      <c r="Q13" s="72" t="s">
        <v>38</v>
      </c>
      <c r="R13" s="72"/>
      <c r="S13" s="72" t="s">
        <v>39</v>
      </c>
      <c r="T13" s="72" t="s">
        <v>40</v>
      </c>
      <c r="U13" s="72" t="s">
        <v>41</v>
      </c>
      <c r="V13" s="418" t="s">
        <v>42</v>
      </c>
      <c r="W13" s="418" t="s">
        <v>43</v>
      </c>
      <c r="X13" s="488" t="s">
        <v>44</v>
      </c>
      <c r="Y13" s="489"/>
      <c r="Z13" s="418" t="s">
        <v>45</v>
      </c>
      <c r="AA13" s="420" t="s">
        <v>28</v>
      </c>
      <c r="AB13" s="417" t="s">
        <v>46</v>
      </c>
      <c r="AC13" s="417" t="s">
        <v>47</v>
      </c>
      <c r="AD13" s="454"/>
      <c r="AE13" s="455"/>
      <c r="AF13" s="455"/>
      <c r="AG13" s="418" t="s">
        <v>28</v>
      </c>
      <c r="AH13" s="418" t="s">
        <v>46</v>
      </c>
      <c r="AI13" s="418" t="s">
        <v>47</v>
      </c>
      <c r="AJ13" s="443"/>
      <c r="AK13" s="443"/>
      <c r="AL13" s="443"/>
      <c r="AM13" s="417" t="s">
        <v>28</v>
      </c>
      <c r="AN13" s="417" t="s">
        <v>46</v>
      </c>
      <c r="AO13" s="417" t="s">
        <v>47</v>
      </c>
      <c r="AP13" s="455"/>
      <c r="AQ13" s="455"/>
      <c r="AR13" s="455"/>
      <c r="AS13" s="424" t="s">
        <v>28</v>
      </c>
      <c r="AT13" s="424" t="s">
        <v>46</v>
      </c>
      <c r="AU13" s="424" t="s">
        <v>47</v>
      </c>
      <c r="AV13" s="433"/>
      <c r="AW13" s="433"/>
      <c r="AX13" s="433"/>
      <c r="AY13" s="423" t="s">
        <v>28</v>
      </c>
      <c r="AZ13" s="423" t="s">
        <v>46</v>
      </c>
      <c r="BA13" s="423" t="s">
        <v>47</v>
      </c>
      <c r="BB13" s="444"/>
      <c r="BC13" s="73" t="s">
        <v>48</v>
      </c>
      <c r="BD13" s="446"/>
    </row>
    <row r="14" spans="1:56" ht="30.75" thickBot="1">
      <c r="A14" s="74"/>
      <c r="B14" s="75"/>
      <c r="C14" s="466"/>
      <c r="D14" s="76" t="s">
        <v>49</v>
      </c>
      <c r="E14" s="77"/>
      <c r="F14" s="78" t="s">
        <v>49</v>
      </c>
      <c r="G14" s="79" t="s">
        <v>49</v>
      </c>
      <c r="H14" s="79" t="s">
        <v>49</v>
      </c>
      <c r="I14" s="79" t="s">
        <v>49</v>
      </c>
      <c r="J14" s="79" t="s">
        <v>49</v>
      </c>
      <c r="K14" s="79" t="s">
        <v>49</v>
      </c>
      <c r="L14" s="80" t="s">
        <v>49</v>
      </c>
      <c r="M14" s="80" t="s">
        <v>49</v>
      </c>
      <c r="N14" s="80" t="s">
        <v>49</v>
      </c>
      <c r="O14" s="80" t="s">
        <v>49</v>
      </c>
      <c r="P14" s="79" t="s">
        <v>49</v>
      </c>
      <c r="Q14" s="79" t="s">
        <v>49</v>
      </c>
      <c r="R14" s="79" t="s">
        <v>49</v>
      </c>
      <c r="S14" s="79" t="s">
        <v>49</v>
      </c>
      <c r="T14" s="79"/>
      <c r="U14" s="79"/>
      <c r="V14" s="81" t="s">
        <v>50</v>
      </c>
      <c r="W14" s="81" t="s">
        <v>49</v>
      </c>
      <c r="X14" s="81" t="s">
        <v>51</v>
      </c>
      <c r="Y14" s="81" t="s">
        <v>52</v>
      </c>
      <c r="Z14" s="81" t="s">
        <v>49</v>
      </c>
      <c r="AA14" s="82" t="s">
        <v>49</v>
      </c>
      <c r="AB14" s="82" t="s">
        <v>49</v>
      </c>
      <c r="AC14" s="82"/>
      <c r="AD14" s="83" t="s">
        <v>49</v>
      </c>
      <c r="AE14" s="82" t="s">
        <v>49</v>
      </c>
      <c r="AF14" s="82" t="s">
        <v>49</v>
      </c>
      <c r="AG14" s="81" t="s">
        <v>49</v>
      </c>
      <c r="AH14" s="81" t="s">
        <v>49</v>
      </c>
      <c r="AI14" s="81" t="s">
        <v>49</v>
      </c>
      <c r="AJ14" s="81" t="s">
        <v>49</v>
      </c>
      <c r="AK14" s="81" t="s">
        <v>49</v>
      </c>
      <c r="AL14" s="81" t="s">
        <v>49</v>
      </c>
      <c r="AM14" s="82" t="s">
        <v>49</v>
      </c>
      <c r="AN14" s="82" t="s">
        <v>49</v>
      </c>
      <c r="AO14" s="82" t="s">
        <v>49</v>
      </c>
      <c r="AP14" s="82"/>
      <c r="AQ14" s="82" t="s">
        <v>49</v>
      </c>
      <c r="AR14" s="82" t="s">
        <v>49</v>
      </c>
      <c r="AS14" s="84" t="s">
        <v>49</v>
      </c>
      <c r="AT14" s="84" t="s">
        <v>49</v>
      </c>
      <c r="AU14" s="84" t="s">
        <v>49</v>
      </c>
      <c r="AV14" s="84" t="s">
        <v>49</v>
      </c>
      <c r="AW14" s="84" t="s">
        <v>49</v>
      </c>
      <c r="AX14" s="84" t="s">
        <v>49</v>
      </c>
      <c r="AY14" s="85" t="s">
        <v>49</v>
      </c>
      <c r="AZ14" s="85"/>
      <c r="BA14" s="85" t="s">
        <v>49</v>
      </c>
      <c r="BB14" s="85" t="s">
        <v>49</v>
      </c>
      <c r="BC14" s="86"/>
      <c r="BD14" s="87" t="s">
        <v>49</v>
      </c>
    </row>
    <row r="15" spans="1:56" s="321" customFormat="1" ht="159.75" customHeight="1" thickBot="1">
      <c r="A15" s="299">
        <v>1</v>
      </c>
      <c r="B15" s="300" t="s">
        <v>53</v>
      </c>
      <c r="C15" s="137" t="s">
        <v>54</v>
      </c>
      <c r="D15" s="301" t="s">
        <v>55</v>
      </c>
      <c r="E15" s="302">
        <v>7.0000000000000007E-2</v>
      </c>
      <c r="F15" s="303" t="s">
        <v>56</v>
      </c>
      <c r="G15" s="304" t="s">
        <v>57</v>
      </c>
      <c r="H15" s="304" t="s">
        <v>58</v>
      </c>
      <c r="I15" s="305">
        <v>0.94</v>
      </c>
      <c r="J15" s="306" t="s">
        <v>59</v>
      </c>
      <c r="K15" s="306" t="s">
        <v>60</v>
      </c>
      <c r="L15" s="307">
        <v>0</v>
      </c>
      <c r="M15" s="307">
        <v>0</v>
      </c>
      <c r="N15" s="307">
        <v>0</v>
      </c>
      <c r="O15" s="307">
        <v>0.95</v>
      </c>
      <c r="P15" s="305">
        <v>0.95</v>
      </c>
      <c r="Q15" s="303" t="s">
        <v>61</v>
      </c>
      <c r="R15" s="303" t="s">
        <v>62</v>
      </c>
      <c r="S15" s="303" t="s">
        <v>63</v>
      </c>
      <c r="T15" s="303" t="s">
        <v>64</v>
      </c>
      <c r="U15" s="303" t="s">
        <v>65</v>
      </c>
      <c r="V15" s="303" t="s">
        <v>66</v>
      </c>
      <c r="W15" s="303" t="s">
        <v>67</v>
      </c>
      <c r="X15" s="303">
        <v>1501</v>
      </c>
      <c r="Y15" s="308" t="s">
        <v>68</v>
      </c>
      <c r="Z15" s="309">
        <v>7700000</v>
      </c>
      <c r="AA15" s="293" t="str">
        <f>$G$15</f>
        <v>Porcentaje de Ejecución del Plan de Acción del Consejo Local de Gobierno</v>
      </c>
      <c r="AB15" s="307">
        <f>L15</f>
        <v>0</v>
      </c>
      <c r="AC15" s="307">
        <v>0</v>
      </c>
      <c r="AD15" s="310"/>
      <c r="AE15" s="311" t="s">
        <v>69</v>
      </c>
      <c r="AF15" s="311" t="s">
        <v>70</v>
      </c>
      <c r="AG15" s="312" t="str">
        <f>$G$15</f>
        <v>Porcentaje de Ejecución del Plan de Acción del Consejo Local de Gobierno</v>
      </c>
      <c r="AH15" s="313">
        <f>M15</f>
        <v>0</v>
      </c>
      <c r="AI15" s="305">
        <v>0</v>
      </c>
      <c r="AJ15" s="314"/>
      <c r="AK15" s="303" t="s">
        <v>71</v>
      </c>
      <c r="AL15" s="303"/>
      <c r="AM15" s="312" t="str">
        <f>$G$15</f>
        <v>Porcentaje de Ejecución del Plan de Acción del Consejo Local de Gobierno</v>
      </c>
      <c r="AN15" s="313">
        <f>N15</f>
        <v>0</v>
      </c>
      <c r="AO15" s="305"/>
      <c r="AP15" s="303" t="s">
        <v>72</v>
      </c>
      <c r="AQ15" s="315" t="s">
        <v>71</v>
      </c>
      <c r="AR15" s="315" t="s">
        <v>73</v>
      </c>
      <c r="AS15" s="312" t="str">
        <f>$G$15</f>
        <v>Porcentaje de Ejecución del Plan de Acción del Consejo Local de Gobierno</v>
      </c>
      <c r="AT15" s="313">
        <f>O15</f>
        <v>0.95</v>
      </c>
      <c r="AU15" s="316">
        <f>40/40</f>
        <v>1</v>
      </c>
      <c r="AV15" s="317">
        <v>1</v>
      </c>
      <c r="AW15" s="315" t="s">
        <v>74</v>
      </c>
      <c r="AX15" s="303"/>
      <c r="AY15" s="312" t="str">
        <f>$G$15</f>
        <v>Porcentaje de Ejecución del Plan de Acción del Consejo Local de Gobierno</v>
      </c>
      <c r="AZ15" s="313">
        <f>P15</f>
        <v>0.95</v>
      </c>
      <c r="BA15" s="318">
        <f>IF(K15="CONSTANTE",AVERAGE(AC15,AI15,AO15,AU15),(SUM(AC15,AI15,AO15,AU15)))</f>
        <v>1</v>
      </c>
      <c r="BB15" s="313">
        <v>1</v>
      </c>
      <c r="BC15" s="319">
        <f>BB15*E15</f>
        <v>7.0000000000000007E-2</v>
      </c>
      <c r="BD15" s="320" t="s">
        <v>75</v>
      </c>
    </row>
    <row r="16" spans="1:56" ht="105" customHeight="1" thickBot="1">
      <c r="A16" s="102">
        <v>2</v>
      </c>
      <c r="B16" s="103"/>
      <c r="C16" s="104"/>
      <c r="D16" s="105" t="s">
        <v>76</v>
      </c>
      <c r="E16" s="106">
        <v>0.05</v>
      </c>
      <c r="F16" s="107" t="s">
        <v>77</v>
      </c>
      <c r="G16" s="108" t="s">
        <v>78</v>
      </c>
      <c r="H16" s="108" t="s">
        <v>79</v>
      </c>
      <c r="I16" s="107">
        <v>287</v>
      </c>
      <c r="J16" s="91" t="s">
        <v>80</v>
      </c>
      <c r="K16" s="91" t="s">
        <v>81</v>
      </c>
      <c r="L16" s="92">
        <v>0</v>
      </c>
      <c r="M16" s="92">
        <v>0.4</v>
      </c>
      <c r="N16" s="92">
        <v>0</v>
      </c>
      <c r="O16" s="92">
        <v>0</v>
      </c>
      <c r="P16" s="90">
        <v>0.4</v>
      </c>
      <c r="Q16" s="107" t="s">
        <v>61</v>
      </c>
      <c r="R16" s="107" t="s">
        <v>82</v>
      </c>
      <c r="S16" s="89" t="s">
        <v>83</v>
      </c>
      <c r="T16" s="109" t="s">
        <v>84</v>
      </c>
      <c r="U16" s="89" t="s">
        <v>65</v>
      </c>
      <c r="V16" s="89" t="s">
        <v>66</v>
      </c>
      <c r="W16" s="107" t="s">
        <v>67</v>
      </c>
      <c r="X16" s="107">
        <v>1501</v>
      </c>
      <c r="Y16" s="61" t="s">
        <v>68</v>
      </c>
      <c r="Z16" s="110">
        <f>(9300000*3)+9360000+16400000+4400000+8800000+8270000+17200000</f>
        <v>92330000</v>
      </c>
      <c r="AA16" s="94" t="str">
        <f>$G$16</f>
        <v>Porcentaje de Participación de los Ciudadanos en la Audiencia de Rendición de Cuentas</v>
      </c>
      <c r="AB16" s="92">
        <f>L16</f>
        <v>0</v>
      </c>
      <c r="AC16" s="92">
        <v>0</v>
      </c>
      <c r="AD16" s="95"/>
      <c r="AE16" s="96" t="s">
        <v>85</v>
      </c>
      <c r="AF16" s="96" t="s">
        <v>86</v>
      </c>
      <c r="AG16" s="97" t="str">
        <f>$G$16</f>
        <v>Porcentaje de Participación de los Ciudadanos en la Audiencia de Rendición de Cuentas</v>
      </c>
      <c r="AH16" s="98">
        <f t="shared" ref="AH16:AH58" si="0">M16</f>
        <v>0.4</v>
      </c>
      <c r="AI16" s="111">
        <f>929/296</f>
        <v>3.1385135135135136</v>
      </c>
      <c r="AJ16" s="112">
        <v>1</v>
      </c>
      <c r="AK16" s="89" t="s">
        <v>87</v>
      </c>
      <c r="AL16" s="89" t="s">
        <v>88</v>
      </c>
      <c r="AM16" s="97" t="str">
        <f>$G$16</f>
        <v>Porcentaje de Participación de los Ciudadanos en la Audiencia de Rendición de Cuentas</v>
      </c>
      <c r="AN16" s="98">
        <f t="shared" ref="AN16:AN58" si="1">N16</f>
        <v>0</v>
      </c>
      <c r="AO16" s="90"/>
      <c r="AP16" s="89" t="s">
        <v>72</v>
      </c>
      <c r="AQ16" s="51" t="s">
        <v>71</v>
      </c>
      <c r="AR16" s="89"/>
      <c r="AS16" s="97" t="str">
        <f>$G$16</f>
        <v>Porcentaje de Participación de los Ciudadanos en la Audiencia de Rendición de Cuentas</v>
      </c>
      <c r="AT16" s="98">
        <f>O16</f>
        <v>0</v>
      </c>
      <c r="AU16" s="90">
        <v>0</v>
      </c>
      <c r="AV16" s="51" t="s">
        <v>71</v>
      </c>
      <c r="AW16" s="51" t="s">
        <v>71</v>
      </c>
      <c r="AX16" s="89"/>
      <c r="AY16" s="97" t="str">
        <f>$G$16</f>
        <v>Porcentaje de Participación de los Ciudadanos en la Audiencia de Rendición de Cuentas</v>
      </c>
      <c r="AZ16" s="98">
        <f t="shared" ref="AZ16:AZ58" si="2">P16</f>
        <v>0.4</v>
      </c>
      <c r="BA16" s="296">
        <f>IF(K16="CONSTANTE",AVERAGE(AC16,AI16,AO16,AU16),(SUM(AC16,AI16,AO16,AU16)))</f>
        <v>3.1385135135135136</v>
      </c>
      <c r="BB16" s="98">
        <v>1</v>
      </c>
      <c r="BC16" s="98">
        <f>BB16*E16</f>
        <v>0.05</v>
      </c>
      <c r="BD16" s="52" t="s">
        <v>89</v>
      </c>
    </row>
    <row r="17" spans="1:56" s="368" customFormat="1" ht="207" customHeight="1">
      <c r="A17" s="342">
        <v>3</v>
      </c>
      <c r="B17" s="343"/>
      <c r="C17" s="344"/>
      <c r="D17" s="345" t="s">
        <v>90</v>
      </c>
      <c r="E17" s="346">
        <v>0.05</v>
      </c>
      <c r="F17" s="347" t="s">
        <v>77</v>
      </c>
      <c r="G17" s="348" t="s">
        <v>91</v>
      </c>
      <c r="H17" s="349" t="s">
        <v>92</v>
      </c>
      <c r="I17" s="350" t="s">
        <v>93</v>
      </c>
      <c r="J17" s="351" t="s">
        <v>94</v>
      </c>
      <c r="K17" s="351" t="s">
        <v>95</v>
      </c>
      <c r="L17" s="352">
        <v>0.123</v>
      </c>
      <c r="M17" s="352">
        <v>0.183</v>
      </c>
      <c r="N17" s="352">
        <v>0.24299999999999999</v>
      </c>
      <c r="O17" s="352">
        <v>0.4</v>
      </c>
      <c r="P17" s="353">
        <v>0.4</v>
      </c>
      <c r="Q17" s="350" t="s">
        <v>96</v>
      </c>
      <c r="R17" s="350" t="s">
        <v>97</v>
      </c>
      <c r="S17" s="350" t="s">
        <v>98</v>
      </c>
      <c r="T17" s="350" t="s">
        <v>97</v>
      </c>
      <c r="U17" s="354" t="s">
        <v>99</v>
      </c>
      <c r="V17" s="354" t="s">
        <v>66</v>
      </c>
      <c r="W17" s="350" t="s">
        <v>67</v>
      </c>
      <c r="X17" s="347" t="s">
        <v>100</v>
      </c>
      <c r="Y17" s="355" t="s">
        <v>101</v>
      </c>
      <c r="Z17" s="356">
        <f>520700000+64000000</f>
        <v>584700000</v>
      </c>
      <c r="AA17" s="357" t="str">
        <f>$G$17</f>
        <v>Porcentaje de Avance en el Cumplimiento Fisico del Plan de Desarrollo Local</v>
      </c>
      <c r="AB17" s="358">
        <f>L17</f>
        <v>0.123</v>
      </c>
      <c r="AC17" s="359">
        <v>0.19500000000000001</v>
      </c>
      <c r="AD17" s="360">
        <v>1</v>
      </c>
      <c r="AE17" s="361" t="s">
        <v>102</v>
      </c>
      <c r="AF17" s="361" t="s">
        <v>103</v>
      </c>
      <c r="AG17" s="362" t="str">
        <f>$G$17</f>
        <v>Porcentaje de Avance en el Cumplimiento Fisico del Plan de Desarrollo Local</v>
      </c>
      <c r="AH17" s="363">
        <f t="shared" si="0"/>
        <v>0.183</v>
      </c>
      <c r="AI17" s="364">
        <v>0.23400000000000001</v>
      </c>
      <c r="AJ17" s="365">
        <v>1</v>
      </c>
      <c r="AK17" s="351" t="s">
        <v>104</v>
      </c>
      <c r="AL17" s="351" t="s">
        <v>105</v>
      </c>
      <c r="AM17" s="362" t="str">
        <f>$G$17</f>
        <v>Porcentaje de Avance en el Cumplimiento Fisico del Plan de Desarrollo Local</v>
      </c>
      <c r="AN17" s="363">
        <f t="shared" si="1"/>
        <v>0.24299999999999999</v>
      </c>
      <c r="AO17" s="364">
        <v>0.251</v>
      </c>
      <c r="AP17" s="365">
        <v>1</v>
      </c>
      <c r="AQ17" s="366" t="s">
        <v>106</v>
      </c>
      <c r="AR17" s="351" t="s">
        <v>105</v>
      </c>
      <c r="AS17" s="362" t="str">
        <f>$G$17</f>
        <v>Porcentaje de Avance en el Cumplimiento Fisico del Plan de Desarrollo Local</v>
      </c>
      <c r="AT17" s="363">
        <f>O17</f>
        <v>0.4</v>
      </c>
      <c r="AU17" s="364">
        <v>0.36399999999999999</v>
      </c>
      <c r="AV17" s="493">
        <f>AU17/AT17</f>
        <v>0.90999999999999992</v>
      </c>
      <c r="AW17" s="366" t="s">
        <v>107</v>
      </c>
      <c r="AX17" s="351" t="s">
        <v>108</v>
      </c>
      <c r="AY17" s="362" t="str">
        <f>$G$17</f>
        <v>Porcentaje de Avance en el Cumplimiento Fisico del Plan de Desarrollo Local</v>
      </c>
      <c r="AZ17" s="363">
        <f t="shared" si="2"/>
        <v>0.4</v>
      </c>
      <c r="BA17" s="367">
        <v>0.36399999999999999</v>
      </c>
      <c r="BB17" s="363">
        <f>BA17/AZ17</f>
        <v>0.90999999999999992</v>
      </c>
      <c r="BC17" s="494">
        <f>BB17*E17</f>
        <v>4.5499999999999999E-2</v>
      </c>
      <c r="BD17" s="366" t="s">
        <v>107</v>
      </c>
    </row>
    <row r="18" spans="1:56" ht="77.25" customHeight="1" thickBot="1">
      <c r="A18" s="121"/>
      <c r="B18" s="103"/>
      <c r="C18" s="122"/>
      <c r="D18" s="123" t="s">
        <v>109</v>
      </c>
      <c r="E18" s="124">
        <v>0.17</v>
      </c>
      <c r="F18" s="125"/>
      <c r="G18" s="126"/>
      <c r="H18" s="127"/>
      <c r="I18" s="128"/>
      <c r="J18" s="91"/>
      <c r="K18" s="91"/>
      <c r="L18" s="129"/>
      <c r="M18" s="129"/>
      <c r="N18" s="129"/>
      <c r="O18" s="129"/>
      <c r="P18" s="130"/>
      <c r="Q18" s="128"/>
      <c r="R18" s="128"/>
      <c r="S18" s="128"/>
      <c r="T18" s="128"/>
      <c r="U18" s="128"/>
      <c r="V18" s="128"/>
      <c r="W18" s="128"/>
      <c r="X18" s="128"/>
      <c r="Y18" s="62"/>
      <c r="Z18" s="131"/>
      <c r="AA18" s="132"/>
      <c r="AB18" s="92"/>
      <c r="AC18" s="133"/>
      <c r="AD18" s="95"/>
      <c r="AE18" s="134"/>
      <c r="AF18" s="134"/>
      <c r="AG18" s="135"/>
      <c r="AH18" s="98"/>
      <c r="AI18" s="136"/>
      <c r="AJ18" s="99"/>
      <c r="AK18" s="128"/>
      <c r="AL18" s="128"/>
      <c r="AM18" s="135"/>
      <c r="AN18" s="98"/>
      <c r="AO18" s="136"/>
      <c r="AP18" s="99"/>
      <c r="AQ18" s="128"/>
      <c r="AR18" s="128"/>
      <c r="AS18" s="135"/>
      <c r="AT18" s="98"/>
      <c r="AU18" s="136"/>
      <c r="AV18" s="99"/>
      <c r="AW18" s="55"/>
      <c r="AX18" s="128"/>
      <c r="AY18" s="135"/>
      <c r="AZ18" s="98"/>
      <c r="BA18" s="136"/>
      <c r="BB18" s="99"/>
      <c r="BC18" s="101"/>
      <c r="BD18" s="56"/>
    </row>
    <row r="19" spans="1:56" ht="201" customHeight="1" thickBot="1">
      <c r="A19" s="88">
        <v>4</v>
      </c>
      <c r="B19" s="103"/>
      <c r="C19" s="137" t="s">
        <v>110</v>
      </c>
      <c r="D19" s="138" t="s">
        <v>111</v>
      </c>
      <c r="E19" s="139">
        <v>0.04</v>
      </c>
      <c r="F19" s="89" t="s">
        <v>56</v>
      </c>
      <c r="G19" s="96" t="s">
        <v>112</v>
      </c>
      <c r="H19" s="96" t="s">
        <v>113</v>
      </c>
      <c r="I19" s="89"/>
      <c r="J19" s="91" t="s">
        <v>114</v>
      </c>
      <c r="K19" s="91" t="s">
        <v>115</v>
      </c>
      <c r="L19" s="92">
        <v>1</v>
      </c>
      <c r="M19" s="92">
        <v>1</v>
      </c>
      <c r="N19" s="92">
        <v>1</v>
      </c>
      <c r="O19" s="92">
        <v>1</v>
      </c>
      <c r="P19" s="90">
        <v>1</v>
      </c>
      <c r="Q19" s="89" t="s">
        <v>61</v>
      </c>
      <c r="R19" s="89" t="s">
        <v>116</v>
      </c>
      <c r="S19" s="89" t="s">
        <v>117</v>
      </c>
      <c r="T19" s="89" t="s">
        <v>116</v>
      </c>
      <c r="U19" s="89" t="s">
        <v>65</v>
      </c>
      <c r="V19" s="89" t="s">
        <v>66</v>
      </c>
      <c r="W19" s="115" t="s">
        <v>67</v>
      </c>
      <c r="X19" s="89">
        <v>1501</v>
      </c>
      <c r="Y19" s="59" t="s">
        <v>68</v>
      </c>
      <c r="Z19" s="93">
        <v>28000000</v>
      </c>
      <c r="AA19" s="94" t="str">
        <f>$G$19</f>
        <v xml:space="preserve">Porcentaje de Respuestas Oportunas de los ejercicios de control politico, derechos de petición y/o solicitudes de información que realice el Concejo de Bogota D.C y el Congreso de la República </v>
      </c>
      <c r="AB19" s="92">
        <f>L19</f>
        <v>1</v>
      </c>
      <c r="AC19" s="140">
        <f>43/48</f>
        <v>0.89583333333333337</v>
      </c>
      <c r="AD19" s="118">
        <f>AC19/AB19</f>
        <v>0.89583333333333337</v>
      </c>
      <c r="AE19" s="96" t="s">
        <v>118</v>
      </c>
      <c r="AF19" s="96" t="s">
        <v>119</v>
      </c>
      <c r="AG19" s="97" t="str">
        <f>$G$19</f>
        <v xml:space="preserve">Porcentaje de Respuestas Oportunas de los ejercicios de control politico, derechos de petición y/o solicitudes de información que realice el Concejo de Bogota D.C y el Congreso de la República </v>
      </c>
      <c r="AH19" s="98">
        <f t="shared" si="0"/>
        <v>1</v>
      </c>
      <c r="AI19" s="90">
        <v>1</v>
      </c>
      <c r="AJ19" s="112">
        <v>1</v>
      </c>
      <c r="AK19" s="89" t="s">
        <v>120</v>
      </c>
      <c r="AL19" s="96" t="s">
        <v>119</v>
      </c>
      <c r="AM19" s="97" t="str">
        <f>$G$19</f>
        <v xml:space="preserve">Porcentaje de Respuestas Oportunas de los ejercicios de control politico, derechos de petición y/o solicitudes de información que realice el Concejo de Bogota D.C y el Congreso de la República </v>
      </c>
      <c r="AN19" s="98">
        <f t="shared" si="1"/>
        <v>1</v>
      </c>
      <c r="AO19" s="90">
        <f>43/43</f>
        <v>1</v>
      </c>
      <c r="AP19" s="112">
        <f>AO19/AN19</f>
        <v>1</v>
      </c>
      <c r="AQ19" s="51" t="s">
        <v>121</v>
      </c>
      <c r="AR19" s="89" t="s">
        <v>119</v>
      </c>
      <c r="AS19" s="97" t="str">
        <f>$G$19</f>
        <v xml:space="preserve">Porcentaje de Respuestas Oportunas de los ejercicios de control politico, derechos de petición y/o solicitudes de información que realice el Concejo de Bogota D.C y el Congreso de la República </v>
      </c>
      <c r="AT19" s="98">
        <f>O19</f>
        <v>1</v>
      </c>
      <c r="AU19" s="111">
        <f>36/48</f>
        <v>0.75</v>
      </c>
      <c r="AV19" s="165">
        <f>AU19/AT19</f>
        <v>0.75</v>
      </c>
      <c r="AW19" s="51" t="s">
        <v>122</v>
      </c>
      <c r="AX19" s="89" t="s">
        <v>119</v>
      </c>
      <c r="AY19" s="97" t="str">
        <f>$G$19</f>
        <v xml:space="preserve">Porcentaje de Respuestas Oportunas de los ejercicios de control politico, derechos de petición y/o solicitudes de información que realice el Concejo de Bogota D.C y el Congreso de la República </v>
      </c>
      <c r="AZ19" s="98">
        <f t="shared" si="2"/>
        <v>1</v>
      </c>
      <c r="BA19" s="296">
        <f>AVERAGE(AC19,AI19,AO19,AU19)</f>
        <v>0.91145833333333337</v>
      </c>
      <c r="BB19" s="98">
        <f>BA19/AZ19</f>
        <v>0.91145833333333337</v>
      </c>
      <c r="BC19" s="98">
        <f t="shared" ref="BC19:BC50" si="3">BB19*E19</f>
        <v>3.6458333333333336E-2</v>
      </c>
      <c r="BD19" s="52" t="s">
        <v>123</v>
      </c>
    </row>
    <row r="20" spans="1:56" ht="122.25" customHeight="1" thickBot="1">
      <c r="A20" s="121"/>
      <c r="B20" s="103"/>
      <c r="C20" s="141"/>
      <c r="D20" s="123" t="s">
        <v>109</v>
      </c>
      <c r="E20" s="142">
        <v>0.04</v>
      </c>
      <c r="F20" s="143"/>
      <c r="G20" s="144"/>
      <c r="H20" s="145"/>
      <c r="I20" s="146"/>
      <c r="J20" s="91"/>
      <c r="K20" s="91"/>
      <c r="L20" s="147"/>
      <c r="M20" s="147"/>
      <c r="N20" s="147"/>
      <c r="O20" s="129"/>
      <c r="P20" s="128"/>
      <c r="Q20" s="128"/>
      <c r="R20" s="128"/>
      <c r="S20" s="148"/>
      <c r="T20" s="148"/>
      <c r="U20" s="128"/>
      <c r="V20" s="128"/>
      <c r="W20" s="128"/>
      <c r="X20" s="128"/>
      <c r="Y20" s="62"/>
      <c r="Z20" s="131"/>
      <c r="AA20" s="132"/>
      <c r="AB20" s="92"/>
      <c r="AC20" s="133"/>
      <c r="AD20" s="95"/>
      <c r="AE20" s="134"/>
      <c r="AF20" s="134"/>
      <c r="AG20" s="135"/>
      <c r="AH20" s="98"/>
      <c r="AI20" s="136"/>
      <c r="AJ20" s="99"/>
      <c r="AK20" s="128"/>
      <c r="AL20" s="128"/>
      <c r="AM20" s="135"/>
      <c r="AN20" s="98"/>
      <c r="AO20" s="136"/>
      <c r="AP20" s="99"/>
      <c r="AQ20" s="128"/>
      <c r="AR20" s="128"/>
      <c r="AS20" s="135"/>
      <c r="AT20" s="98"/>
      <c r="AU20" s="136"/>
      <c r="AV20" s="99"/>
      <c r="AW20" s="55"/>
      <c r="AX20" s="128"/>
      <c r="AY20" s="135"/>
      <c r="AZ20" s="98"/>
      <c r="BA20" s="136"/>
      <c r="BB20" s="99"/>
      <c r="BC20" s="101"/>
      <c r="BD20" s="56"/>
    </row>
    <row r="21" spans="1:56" ht="236.25" customHeight="1" thickBot="1">
      <c r="A21" s="88">
        <v>5</v>
      </c>
      <c r="B21" s="103"/>
      <c r="C21" s="149" t="s">
        <v>124</v>
      </c>
      <c r="D21" s="150" t="s">
        <v>125</v>
      </c>
      <c r="E21" s="151">
        <v>0.03</v>
      </c>
      <c r="F21" s="89" t="s">
        <v>56</v>
      </c>
      <c r="G21" s="97" t="s">
        <v>126</v>
      </c>
      <c r="H21" s="96" t="s">
        <v>127</v>
      </c>
      <c r="I21" s="89" t="s">
        <v>128</v>
      </c>
      <c r="J21" s="91" t="s">
        <v>59</v>
      </c>
      <c r="K21" s="91" t="s">
        <v>129</v>
      </c>
      <c r="L21" s="92">
        <v>1</v>
      </c>
      <c r="M21" s="152"/>
      <c r="N21" s="92"/>
      <c r="O21" s="92"/>
      <c r="P21" s="90">
        <v>1</v>
      </c>
      <c r="Q21" s="89" t="s">
        <v>61</v>
      </c>
      <c r="R21" s="89" t="s">
        <v>62</v>
      </c>
      <c r="S21" s="89" t="s">
        <v>130</v>
      </c>
      <c r="T21" s="89" t="s">
        <v>131</v>
      </c>
      <c r="U21" s="89" t="s">
        <v>65</v>
      </c>
      <c r="V21" s="89" t="s">
        <v>66</v>
      </c>
      <c r="W21" s="115" t="s">
        <v>67</v>
      </c>
      <c r="X21" s="89">
        <v>1501</v>
      </c>
      <c r="Y21" s="59" t="s">
        <v>68</v>
      </c>
      <c r="Z21" s="93">
        <v>111600000</v>
      </c>
      <c r="AA21" s="94" t="str">
        <f>$G$21</f>
        <v>Plan de Comunicaciones Formulado e Implementado</v>
      </c>
      <c r="AB21" s="153">
        <f>L21</f>
        <v>1</v>
      </c>
      <c r="AC21" s="153">
        <v>1</v>
      </c>
      <c r="AD21" s="154">
        <v>1</v>
      </c>
      <c r="AE21" s="96" t="s">
        <v>132</v>
      </c>
      <c r="AF21" s="96" t="s">
        <v>133</v>
      </c>
      <c r="AG21" s="97" t="str">
        <f>$G$21</f>
        <v>Plan de Comunicaciones Formulado e Implementado</v>
      </c>
      <c r="AH21" s="155">
        <f t="shared" si="0"/>
        <v>0</v>
      </c>
      <c r="AI21" s="156"/>
      <c r="AJ21" s="99" t="s">
        <v>72</v>
      </c>
      <c r="AK21" s="157" t="s">
        <v>134</v>
      </c>
      <c r="AL21" s="89" t="s">
        <v>135</v>
      </c>
      <c r="AM21" s="97" t="str">
        <f>$G$21</f>
        <v>Plan de Comunicaciones Formulado e Implementado</v>
      </c>
      <c r="AN21" s="155">
        <f t="shared" si="1"/>
        <v>0</v>
      </c>
      <c r="AO21" s="90"/>
      <c r="AP21" s="89" t="s">
        <v>72</v>
      </c>
      <c r="AQ21" s="51" t="s">
        <v>136</v>
      </c>
      <c r="AR21" s="89" t="s">
        <v>135</v>
      </c>
      <c r="AS21" s="97" t="str">
        <f>$G$21</f>
        <v>Plan de Comunicaciones Formulado e Implementado</v>
      </c>
      <c r="AT21" s="155">
        <f>O21</f>
        <v>0</v>
      </c>
      <c r="AU21" s="99"/>
      <c r="AV21" s="99" t="s">
        <v>72</v>
      </c>
      <c r="AW21" s="51" t="s">
        <v>137</v>
      </c>
      <c r="AX21" s="89" t="s">
        <v>135</v>
      </c>
      <c r="AY21" s="97" t="str">
        <f>$G$21</f>
        <v>Plan de Comunicaciones Formulado e Implementado</v>
      </c>
      <c r="AZ21" s="98">
        <f>P21</f>
        <v>1</v>
      </c>
      <c r="BA21" s="296">
        <f>IF(K21="CONSTANTE",AVERAGE(AC21,AI21,AO21,AU21),(SUM(AC21,AI21,AO21,AU21)))</f>
        <v>1</v>
      </c>
      <c r="BB21" s="98">
        <f>BA21/AZ21</f>
        <v>1</v>
      </c>
      <c r="BC21" s="98">
        <f t="shared" si="3"/>
        <v>0.03</v>
      </c>
      <c r="BD21" s="52" t="s">
        <v>138</v>
      </c>
    </row>
    <row r="22" spans="1:56" ht="183.75" customHeight="1" thickBot="1">
      <c r="A22" s="102">
        <v>6</v>
      </c>
      <c r="B22" s="103"/>
      <c r="C22" s="158"/>
      <c r="D22" s="159" t="s">
        <v>139</v>
      </c>
      <c r="E22" s="160">
        <v>0.02</v>
      </c>
      <c r="F22" s="107" t="s">
        <v>56</v>
      </c>
      <c r="G22" s="161" t="s">
        <v>140</v>
      </c>
      <c r="H22" s="162" t="s">
        <v>141</v>
      </c>
      <c r="I22" s="109" t="s">
        <v>128</v>
      </c>
      <c r="J22" s="91" t="s">
        <v>59</v>
      </c>
      <c r="K22" s="91" t="s">
        <v>142</v>
      </c>
      <c r="L22" s="163"/>
      <c r="M22" s="163">
        <v>1</v>
      </c>
      <c r="N22" s="163">
        <v>1</v>
      </c>
      <c r="O22" s="163">
        <v>1</v>
      </c>
      <c r="P22" s="164">
        <f>SUM(L22:O22)</f>
        <v>3</v>
      </c>
      <c r="Q22" s="109" t="s">
        <v>61</v>
      </c>
      <c r="R22" s="109" t="s">
        <v>62</v>
      </c>
      <c r="S22" s="89" t="s">
        <v>130</v>
      </c>
      <c r="T22" s="89" t="s">
        <v>131</v>
      </c>
      <c r="U22" s="89" t="s">
        <v>65</v>
      </c>
      <c r="V22" s="89" t="s">
        <v>66</v>
      </c>
      <c r="W22" s="115" t="s">
        <v>67</v>
      </c>
      <c r="X22" s="89">
        <v>1501</v>
      </c>
      <c r="Y22" s="59" t="s">
        <v>68</v>
      </c>
      <c r="Z22" s="93">
        <v>111600000</v>
      </c>
      <c r="AA22" s="94" t="str">
        <f>$G$22</f>
        <v>Campañas Externas Realizadas</v>
      </c>
      <c r="AB22" s="153">
        <f>L22</f>
        <v>0</v>
      </c>
      <c r="AC22" s="153">
        <v>0</v>
      </c>
      <c r="AD22" s="95"/>
      <c r="AE22" s="96" t="s">
        <v>143</v>
      </c>
      <c r="AF22" s="96"/>
      <c r="AG22" s="97" t="str">
        <f>$G$22</f>
        <v>Campañas Externas Realizadas</v>
      </c>
      <c r="AH22" s="155">
        <f t="shared" si="0"/>
        <v>1</v>
      </c>
      <c r="AI22" s="100">
        <v>1</v>
      </c>
      <c r="AJ22" s="165">
        <f>AI22/AH22</f>
        <v>1</v>
      </c>
      <c r="AK22" s="51" t="s">
        <v>144</v>
      </c>
      <c r="AL22" s="89" t="s">
        <v>145</v>
      </c>
      <c r="AM22" s="97" t="str">
        <f>$G$22</f>
        <v>Campañas Externas Realizadas</v>
      </c>
      <c r="AN22" s="155">
        <f t="shared" si="1"/>
        <v>1</v>
      </c>
      <c r="AO22" s="100">
        <v>1</v>
      </c>
      <c r="AP22" s="90">
        <f>AO22/AN22</f>
        <v>1</v>
      </c>
      <c r="AQ22" s="51" t="s">
        <v>146</v>
      </c>
      <c r="AR22" s="89" t="s">
        <v>147</v>
      </c>
      <c r="AS22" s="97" t="str">
        <f>$G$22</f>
        <v>Campañas Externas Realizadas</v>
      </c>
      <c r="AT22" s="155">
        <f>O22</f>
        <v>1</v>
      </c>
      <c r="AU22" s="100">
        <v>1</v>
      </c>
      <c r="AV22" s="165">
        <f>AU22/AT22</f>
        <v>1</v>
      </c>
      <c r="AW22" s="51" t="s">
        <v>148</v>
      </c>
      <c r="AX22" s="89" t="s">
        <v>149</v>
      </c>
      <c r="AY22" s="97" t="str">
        <f>$G$22</f>
        <v>Campañas Externas Realizadas</v>
      </c>
      <c r="AZ22" s="155">
        <f t="shared" si="2"/>
        <v>3</v>
      </c>
      <c r="BA22" s="370">
        <f>IF(K22="CONSTANTE",AVERAGE(AC22,AI22,AO22,AU22),(SUM(AC22,AI22,AO22,AU22)))</f>
        <v>3</v>
      </c>
      <c r="BB22" s="98">
        <f>BA22/AZ22</f>
        <v>1</v>
      </c>
      <c r="BC22" s="98">
        <f t="shared" si="3"/>
        <v>0.02</v>
      </c>
      <c r="BD22" s="52" t="s">
        <v>150</v>
      </c>
    </row>
    <row r="23" spans="1:56" ht="170.25" customHeight="1" thickBot="1">
      <c r="A23" s="88">
        <v>7</v>
      </c>
      <c r="B23" s="103"/>
      <c r="C23" s="158"/>
      <c r="D23" s="159" t="s">
        <v>151</v>
      </c>
      <c r="E23" s="160">
        <v>0.02</v>
      </c>
      <c r="F23" s="107" t="s">
        <v>56</v>
      </c>
      <c r="G23" s="166" t="s">
        <v>152</v>
      </c>
      <c r="H23" s="162" t="s">
        <v>153</v>
      </c>
      <c r="I23" s="109" t="s">
        <v>128</v>
      </c>
      <c r="J23" s="91" t="s">
        <v>59</v>
      </c>
      <c r="K23" s="91" t="s">
        <v>154</v>
      </c>
      <c r="L23" s="163">
        <v>2</v>
      </c>
      <c r="M23" s="163">
        <v>2</v>
      </c>
      <c r="N23" s="163">
        <v>3</v>
      </c>
      <c r="O23" s="163">
        <v>2</v>
      </c>
      <c r="P23" s="164">
        <f>SUM(L23:O23)</f>
        <v>9</v>
      </c>
      <c r="Q23" s="109" t="s">
        <v>61</v>
      </c>
      <c r="R23" s="109" t="s">
        <v>62</v>
      </c>
      <c r="S23" s="89" t="s">
        <v>130</v>
      </c>
      <c r="T23" s="89" t="s">
        <v>131</v>
      </c>
      <c r="U23" s="89" t="s">
        <v>65</v>
      </c>
      <c r="V23" s="89" t="s">
        <v>66</v>
      </c>
      <c r="W23" s="115" t="s">
        <v>67</v>
      </c>
      <c r="X23" s="89">
        <v>1501</v>
      </c>
      <c r="Y23" s="59" t="s">
        <v>68</v>
      </c>
      <c r="Z23" s="93">
        <v>111600000</v>
      </c>
      <c r="AA23" s="94" t="str">
        <f>$G$23</f>
        <v>Campañas Internas Realizadas</v>
      </c>
      <c r="AB23" s="153">
        <f>L23</f>
        <v>2</v>
      </c>
      <c r="AC23" s="153">
        <v>2</v>
      </c>
      <c r="AD23" s="118">
        <f>AC23/AB23</f>
        <v>1</v>
      </c>
      <c r="AE23" s="96" t="s">
        <v>155</v>
      </c>
      <c r="AF23" s="96" t="s">
        <v>156</v>
      </c>
      <c r="AG23" s="97" t="str">
        <f>$G$23</f>
        <v>Campañas Internas Realizadas</v>
      </c>
      <c r="AH23" s="155">
        <f t="shared" si="0"/>
        <v>2</v>
      </c>
      <c r="AI23" s="100">
        <v>2</v>
      </c>
      <c r="AJ23" s="165">
        <f>AI23/AH23</f>
        <v>1</v>
      </c>
      <c r="AK23" s="51" t="s">
        <v>157</v>
      </c>
      <c r="AL23" s="89" t="s">
        <v>158</v>
      </c>
      <c r="AM23" s="97" t="str">
        <f>$G$23</f>
        <v>Campañas Internas Realizadas</v>
      </c>
      <c r="AN23" s="155">
        <f t="shared" si="1"/>
        <v>3</v>
      </c>
      <c r="AO23" s="100">
        <v>3</v>
      </c>
      <c r="AP23" s="90">
        <f>AO23/AN23</f>
        <v>1</v>
      </c>
      <c r="AQ23" s="51" t="s">
        <v>159</v>
      </c>
      <c r="AR23" s="89" t="s">
        <v>147</v>
      </c>
      <c r="AS23" s="97" t="str">
        <f>$G$23</f>
        <v>Campañas Internas Realizadas</v>
      </c>
      <c r="AT23" s="155">
        <f>O23</f>
        <v>2</v>
      </c>
      <c r="AU23" s="100">
        <v>2</v>
      </c>
      <c r="AV23" s="165">
        <f>AU23/AT23</f>
        <v>1</v>
      </c>
      <c r="AW23" s="51" t="s">
        <v>160</v>
      </c>
      <c r="AX23" s="89" t="s">
        <v>161</v>
      </c>
      <c r="AY23" s="97" t="str">
        <f>$G$23</f>
        <v>Campañas Internas Realizadas</v>
      </c>
      <c r="AZ23" s="155">
        <f t="shared" si="2"/>
        <v>9</v>
      </c>
      <c r="BA23" s="370">
        <f>IF(K23="CONSTANTE",AVERAGE(AC23,AI23,AO23,AU23),(SUM(AC23,AI23,AO23,AU23)))</f>
        <v>9</v>
      </c>
      <c r="BB23" s="98">
        <f>BA23/AZ23</f>
        <v>1</v>
      </c>
      <c r="BC23" s="98">
        <f t="shared" si="3"/>
        <v>0.02</v>
      </c>
      <c r="BD23" s="52" t="s">
        <v>162</v>
      </c>
    </row>
    <row r="24" spans="1:56" ht="97.5" customHeight="1" thickBot="1">
      <c r="A24" s="121"/>
      <c r="B24" s="103"/>
      <c r="C24" s="167"/>
      <c r="D24" s="168" t="s">
        <v>109</v>
      </c>
      <c r="E24" s="169">
        <v>7.0000000000000007E-2</v>
      </c>
      <c r="F24" s="143"/>
      <c r="G24" s="170"/>
      <c r="H24" s="145"/>
      <c r="I24" s="146"/>
      <c r="J24" s="91"/>
      <c r="K24" s="91"/>
      <c r="L24" s="147"/>
      <c r="M24" s="147"/>
      <c r="N24" s="147"/>
      <c r="O24" s="129"/>
      <c r="P24" s="128"/>
      <c r="Q24" s="128"/>
      <c r="R24" s="128"/>
      <c r="S24" s="148"/>
      <c r="T24" s="148"/>
      <c r="U24" s="128"/>
      <c r="V24" s="128"/>
      <c r="W24" s="128"/>
      <c r="X24" s="128"/>
      <c r="Y24" s="62"/>
      <c r="Z24" s="131"/>
      <c r="AA24" s="132"/>
      <c r="AB24" s="92"/>
      <c r="AC24" s="133"/>
      <c r="AD24" s="95"/>
      <c r="AE24" s="134"/>
      <c r="AF24" s="134"/>
      <c r="AG24" s="135"/>
      <c r="AH24" s="98"/>
      <c r="AI24" s="136"/>
      <c r="AJ24" s="99"/>
      <c r="AK24" s="128"/>
      <c r="AL24" s="128"/>
      <c r="AM24" s="135"/>
      <c r="AN24" s="98"/>
      <c r="AO24" s="136"/>
      <c r="AP24" s="99"/>
      <c r="AQ24" s="128"/>
      <c r="AR24" s="128"/>
      <c r="AS24" s="135"/>
      <c r="AT24" s="98"/>
      <c r="AU24" s="136"/>
      <c r="AV24" s="99"/>
      <c r="AW24" s="55"/>
      <c r="AX24" s="128"/>
      <c r="AY24" s="135"/>
      <c r="AZ24" s="98"/>
      <c r="BA24" s="136"/>
      <c r="BB24" s="99"/>
      <c r="BC24" s="101"/>
      <c r="BD24" s="56"/>
    </row>
    <row r="25" spans="1:56" s="185" customFormat="1" ht="198.75" customHeight="1" thickBot="1">
      <c r="A25" s="171">
        <v>8</v>
      </c>
      <c r="B25" s="172"/>
      <c r="C25" s="173" t="s">
        <v>163</v>
      </c>
      <c r="D25" s="174" t="s">
        <v>164</v>
      </c>
      <c r="E25" s="175">
        <v>0.02</v>
      </c>
      <c r="F25" s="176" t="s">
        <v>77</v>
      </c>
      <c r="G25" s="177" t="s">
        <v>165</v>
      </c>
      <c r="H25" s="177" t="s">
        <v>166</v>
      </c>
      <c r="I25" s="176">
        <v>2606</v>
      </c>
      <c r="J25" s="178" t="s">
        <v>59</v>
      </c>
      <c r="K25" s="176" t="s">
        <v>167</v>
      </c>
      <c r="L25" s="179">
        <v>267</v>
      </c>
      <c r="M25" s="179">
        <v>0</v>
      </c>
      <c r="N25" s="163">
        <v>226</v>
      </c>
      <c r="O25" s="163">
        <v>226</v>
      </c>
      <c r="P25" s="163">
        <f>SUM(L25:O25)</f>
        <v>719</v>
      </c>
      <c r="Q25" s="176" t="s">
        <v>61</v>
      </c>
      <c r="R25" s="176" t="s">
        <v>168</v>
      </c>
      <c r="S25" s="180" t="s">
        <v>169</v>
      </c>
      <c r="T25" s="178" t="s">
        <v>170</v>
      </c>
      <c r="U25" s="176" t="s">
        <v>99</v>
      </c>
      <c r="V25" s="94" t="s">
        <v>66</v>
      </c>
      <c r="W25" s="181" t="s">
        <v>67</v>
      </c>
      <c r="X25" s="94">
        <v>1501</v>
      </c>
      <c r="Y25" s="59" t="s">
        <v>68</v>
      </c>
      <c r="Z25" s="182">
        <v>212400000</v>
      </c>
      <c r="AA25" s="94" t="str">
        <f>$G$25</f>
        <v>Actuaciones de obras anteriores a la ley 1801/2016 archivadas en la vigencia 2018</v>
      </c>
      <c r="AB25" s="153">
        <f t="shared" ref="AB25:AB33" si="4">L25</f>
        <v>267</v>
      </c>
      <c r="AC25" s="153">
        <v>267</v>
      </c>
      <c r="AD25" s="118">
        <f>AC25/AB25</f>
        <v>1</v>
      </c>
      <c r="AE25" s="59" t="s">
        <v>171</v>
      </c>
      <c r="AF25" s="183" t="s">
        <v>172</v>
      </c>
      <c r="AG25" s="94" t="str">
        <f>$G$25</f>
        <v>Actuaciones de obras anteriores a la ley 1801/2016 archivadas en la vigencia 2018</v>
      </c>
      <c r="AH25" s="92">
        <f t="shared" si="0"/>
        <v>0</v>
      </c>
      <c r="AI25" s="153"/>
      <c r="AJ25" s="99" t="s">
        <v>72</v>
      </c>
      <c r="AK25" s="94"/>
      <c r="AL25" s="94"/>
      <c r="AM25" s="94" t="str">
        <f>$G$25</f>
        <v>Actuaciones de obras anteriores a la ley 1801/2016 archivadas en la vigencia 2018</v>
      </c>
      <c r="AN25" s="153">
        <f t="shared" si="1"/>
        <v>226</v>
      </c>
      <c r="AO25" s="153">
        <v>264</v>
      </c>
      <c r="AP25" s="90">
        <v>1</v>
      </c>
      <c r="AQ25" s="94" t="s">
        <v>173</v>
      </c>
      <c r="AR25" s="96" t="s">
        <v>174</v>
      </c>
      <c r="AS25" s="94" t="str">
        <f>$G$25</f>
        <v>Actuaciones de obras anteriores a la ley 1801/2016 archivadas en la vigencia 2018</v>
      </c>
      <c r="AT25" s="153">
        <f t="shared" ref="AT25:AT31" si="5">O25</f>
        <v>226</v>
      </c>
      <c r="AU25" s="153">
        <v>95</v>
      </c>
      <c r="AV25" s="118">
        <f t="shared" ref="AV25:AV33" si="6">AU25/AT25</f>
        <v>0.42035398230088494</v>
      </c>
      <c r="AW25" s="59" t="s">
        <v>175</v>
      </c>
      <c r="AX25" s="94" t="s">
        <v>176</v>
      </c>
      <c r="AY25" s="94" t="str">
        <f>$G$25</f>
        <v>Actuaciones de obras anteriores a la ley 1801/2016 archivadas en la vigencia 2018</v>
      </c>
      <c r="AZ25" s="155">
        <f t="shared" si="2"/>
        <v>719</v>
      </c>
      <c r="BA25" s="369">
        <f>95+262+395+55</f>
        <v>807</v>
      </c>
      <c r="BB25" s="98">
        <v>1</v>
      </c>
      <c r="BC25" s="98">
        <f t="shared" si="3"/>
        <v>0.02</v>
      </c>
      <c r="BD25" s="59" t="s">
        <v>177</v>
      </c>
    </row>
    <row r="26" spans="1:56" s="185" customFormat="1" ht="217.5" customHeight="1" thickBot="1">
      <c r="A26" s="186">
        <v>9</v>
      </c>
      <c r="B26" s="172"/>
      <c r="C26" s="173"/>
      <c r="D26" s="174" t="s">
        <v>178</v>
      </c>
      <c r="E26" s="187">
        <v>0.02</v>
      </c>
      <c r="F26" s="178" t="s">
        <v>56</v>
      </c>
      <c r="G26" s="177" t="s">
        <v>179</v>
      </c>
      <c r="H26" s="177" t="s">
        <v>180</v>
      </c>
      <c r="I26" s="178">
        <v>2750</v>
      </c>
      <c r="J26" s="176" t="s">
        <v>59</v>
      </c>
      <c r="K26" s="176" t="s">
        <v>167</v>
      </c>
      <c r="L26" s="188">
        <v>183</v>
      </c>
      <c r="M26" s="189">
        <v>0</v>
      </c>
      <c r="N26" s="163">
        <v>171</v>
      </c>
      <c r="O26" s="188">
        <v>171</v>
      </c>
      <c r="P26" s="190">
        <f>SUM(L26:O26)</f>
        <v>525</v>
      </c>
      <c r="Q26" s="178" t="s">
        <v>61</v>
      </c>
      <c r="R26" s="176" t="s">
        <v>168</v>
      </c>
      <c r="S26" s="178" t="s">
        <v>169</v>
      </c>
      <c r="T26" s="178" t="s">
        <v>170</v>
      </c>
      <c r="U26" s="178" t="s">
        <v>99</v>
      </c>
      <c r="V26" s="94" t="s">
        <v>66</v>
      </c>
      <c r="W26" s="181" t="s">
        <v>67</v>
      </c>
      <c r="X26" s="94">
        <v>1501</v>
      </c>
      <c r="Y26" s="59" t="s">
        <v>68</v>
      </c>
      <c r="Z26" s="191">
        <v>92826667</v>
      </c>
      <c r="AA26" s="94" t="str">
        <f>$G$26</f>
        <v>Actuaciones de establecimiento de comercio anteriores a la ley 1801/2016 archivadas en la vigencia 2018</v>
      </c>
      <c r="AB26" s="153">
        <f t="shared" si="4"/>
        <v>183</v>
      </c>
      <c r="AC26" s="192">
        <v>183</v>
      </c>
      <c r="AD26" s="118">
        <f>AC26/AB26</f>
        <v>1</v>
      </c>
      <c r="AE26" s="59" t="s">
        <v>181</v>
      </c>
      <c r="AF26" s="183" t="s">
        <v>172</v>
      </c>
      <c r="AG26" s="94" t="str">
        <f>$G$26</f>
        <v>Actuaciones de establecimiento de comercio anteriores a la ley 1801/2016 archivadas en la vigencia 2018</v>
      </c>
      <c r="AH26" s="92">
        <f t="shared" si="0"/>
        <v>0</v>
      </c>
      <c r="AI26" s="153"/>
      <c r="AJ26" s="99" t="s">
        <v>72</v>
      </c>
      <c r="AK26" s="94"/>
      <c r="AL26" s="94"/>
      <c r="AM26" s="94" t="str">
        <f>$G$26</f>
        <v>Actuaciones de establecimiento de comercio anteriores a la ley 1801/2016 archivadas en la vigencia 2018</v>
      </c>
      <c r="AN26" s="153">
        <f t="shared" si="1"/>
        <v>171</v>
      </c>
      <c r="AO26" s="153">
        <v>82</v>
      </c>
      <c r="AP26" s="90">
        <f>+AO26/AN26</f>
        <v>0.47953216374269003</v>
      </c>
      <c r="AQ26" s="94" t="s">
        <v>182</v>
      </c>
      <c r="AR26" s="94" t="s">
        <v>174</v>
      </c>
      <c r="AS26" s="94" t="str">
        <f>$G$26</f>
        <v>Actuaciones de establecimiento de comercio anteriores a la ley 1801/2016 archivadas en la vigencia 2018</v>
      </c>
      <c r="AT26" s="153">
        <f t="shared" si="5"/>
        <v>171</v>
      </c>
      <c r="AU26" s="153">
        <v>6</v>
      </c>
      <c r="AV26" s="118">
        <f t="shared" si="6"/>
        <v>3.5087719298245612E-2</v>
      </c>
      <c r="AW26" s="59" t="s">
        <v>183</v>
      </c>
      <c r="AX26" s="94" t="s">
        <v>176</v>
      </c>
      <c r="AY26" s="94" t="str">
        <f>$G$26</f>
        <v>Actuaciones de establecimiento de comercio anteriores a la ley 1801/2016 archivadas en la vigencia 2018</v>
      </c>
      <c r="AZ26" s="155">
        <f t="shared" si="2"/>
        <v>525</v>
      </c>
      <c r="BA26" s="369">
        <f>6+82+132+134</f>
        <v>354</v>
      </c>
      <c r="BB26" s="98">
        <f>BA26/AZ26</f>
        <v>0.67428571428571427</v>
      </c>
      <c r="BC26" s="98">
        <f t="shared" si="3"/>
        <v>1.3485714285714285E-2</v>
      </c>
      <c r="BD26" s="59" t="s">
        <v>184</v>
      </c>
    </row>
    <row r="27" spans="1:56" ht="334.5" customHeight="1" thickBot="1">
      <c r="A27" s="88">
        <v>10</v>
      </c>
      <c r="B27" s="103"/>
      <c r="C27" s="193"/>
      <c r="D27" s="113" t="s">
        <v>185</v>
      </c>
      <c r="E27" s="194">
        <v>0.02</v>
      </c>
      <c r="F27" s="195" t="s">
        <v>56</v>
      </c>
      <c r="G27" s="196" t="s">
        <v>186</v>
      </c>
      <c r="H27" s="196" t="s">
        <v>187</v>
      </c>
      <c r="I27" s="107">
        <v>30</v>
      </c>
      <c r="J27" s="91" t="s">
        <v>59</v>
      </c>
      <c r="K27" s="91" t="s">
        <v>188</v>
      </c>
      <c r="L27" s="188">
        <v>10</v>
      </c>
      <c r="M27" s="188">
        <v>10</v>
      </c>
      <c r="N27" s="188">
        <v>10</v>
      </c>
      <c r="O27" s="188">
        <v>10</v>
      </c>
      <c r="P27" s="164">
        <f t="shared" ref="P27:P37" si="7">SUM(L27:O27)</f>
        <v>40</v>
      </c>
      <c r="Q27" s="89" t="s">
        <v>61</v>
      </c>
      <c r="R27" s="107" t="s">
        <v>189</v>
      </c>
      <c r="S27" s="89" t="s">
        <v>190</v>
      </c>
      <c r="T27" s="107" t="s">
        <v>191</v>
      </c>
      <c r="U27" s="89" t="s">
        <v>65</v>
      </c>
      <c r="V27" s="89" t="s">
        <v>66</v>
      </c>
      <c r="W27" s="115" t="s">
        <v>67</v>
      </c>
      <c r="X27" s="89">
        <v>1501</v>
      </c>
      <c r="Y27" s="59" t="s">
        <v>68</v>
      </c>
      <c r="Z27" s="110">
        <v>163280000</v>
      </c>
      <c r="AA27" s="94" t="str">
        <f>$G$27</f>
        <v>Acciones de Control u Operativos en Materia de Urbanimos Relacionados con la Integridad del Espacio Público Realizados</v>
      </c>
      <c r="AB27" s="153">
        <f t="shared" si="4"/>
        <v>10</v>
      </c>
      <c r="AC27" s="153">
        <v>11</v>
      </c>
      <c r="AD27" s="118">
        <v>1</v>
      </c>
      <c r="AE27" s="96" t="s">
        <v>192</v>
      </c>
      <c r="AF27" s="96" t="s">
        <v>193</v>
      </c>
      <c r="AG27" s="97" t="str">
        <f>$G$27</f>
        <v>Acciones de Control u Operativos en Materia de Urbanimos Relacionados con la Integridad del Espacio Público Realizados</v>
      </c>
      <c r="AH27" s="155">
        <f t="shared" si="0"/>
        <v>10</v>
      </c>
      <c r="AI27" s="100">
        <v>20</v>
      </c>
      <c r="AJ27" s="165">
        <v>1</v>
      </c>
      <c r="AK27" s="51" t="s">
        <v>194</v>
      </c>
      <c r="AL27" s="96" t="s">
        <v>193</v>
      </c>
      <c r="AM27" s="97" t="str">
        <f>$G$27</f>
        <v>Acciones de Control u Operativos en Materia de Urbanimos Relacionados con la Integridad del Espacio Público Realizados</v>
      </c>
      <c r="AN27" s="155">
        <f t="shared" si="1"/>
        <v>10</v>
      </c>
      <c r="AO27" s="100">
        <v>14</v>
      </c>
      <c r="AP27" s="90">
        <v>1</v>
      </c>
      <c r="AQ27" s="51" t="s">
        <v>195</v>
      </c>
      <c r="AR27" s="96" t="s">
        <v>193</v>
      </c>
      <c r="AS27" s="97" t="str">
        <f>$G$27</f>
        <v>Acciones de Control u Operativos en Materia de Urbanimos Relacionados con la Integridad del Espacio Público Realizados</v>
      </c>
      <c r="AT27" s="155">
        <f t="shared" si="5"/>
        <v>10</v>
      </c>
      <c r="AU27" s="100">
        <v>14</v>
      </c>
      <c r="AV27" s="165">
        <v>1</v>
      </c>
      <c r="AW27" s="51" t="s">
        <v>196</v>
      </c>
      <c r="AX27" s="96" t="s">
        <v>193</v>
      </c>
      <c r="AY27" s="97" t="str">
        <f>$G$27</f>
        <v>Acciones de Control u Operativos en Materia de Urbanimos Relacionados con la Integridad del Espacio Público Realizados</v>
      </c>
      <c r="AZ27" s="155">
        <f t="shared" si="2"/>
        <v>40</v>
      </c>
      <c r="BA27" s="370">
        <f>IF(K27="CONSTANTE",AVERAGE(AC27,AI27,AO27,AU27),(SUM(AC27,AI27,AO27,AU27)))</f>
        <v>59</v>
      </c>
      <c r="BB27" s="98">
        <v>1</v>
      </c>
      <c r="BC27" s="98">
        <f t="shared" si="3"/>
        <v>0.02</v>
      </c>
      <c r="BD27" s="52" t="s">
        <v>197</v>
      </c>
    </row>
    <row r="28" spans="1:56" ht="409.5" customHeight="1" thickBot="1">
      <c r="A28" s="102">
        <v>11</v>
      </c>
      <c r="B28" s="103"/>
      <c r="C28" s="193"/>
      <c r="D28" s="113" t="s">
        <v>198</v>
      </c>
      <c r="E28" s="194">
        <v>0.02</v>
      </c>
      <c r="F28" s="195" t="s">
        <v>56</v>
      </c>
      <c r="G28" s="196" t="s">
        <v>199</v>
      </c>
      <c r="H28" s="196" t="s">
        <v>200</v>
      </c>
      <c r="I28" s="107">
        <v>42</v>
      </c>
      <c r="J28" s="91" t="s">
        <v>59</v>
      </c>
      <c r="K28" s="91" t="s">
        <v>201</v>
      </c>
      <c r="L28" s="188">
        <v>10</v>
      </c>
      <c r="M28" s="188">
        <v>16</v>
      </c>
      <c r="N28" s="188">
        <v>16</v>
      </c>
      <c r="O28" s="188">
        <v>15</v>
      </c>
      <c r="P28" s="164">
        <f t="shared" si="7"/>
        <v>57</v>
      </c>
      <c r="Q28" s="89" t="s">
        <v>61</v>
      </c>
      <c r="R28" s="107" t="s">
        <v>202</v>
      </c>
      <c r="S28" s="89" t="s">
        <v>203</v>
      </c>
      <c r="T28" s="107" t="s">
        <v>191</v>
      </c>
      <c r="U28" s="89" t="s">
        <v>65</v>
      </c>
      <c r="V28" s="89" t="s">
        <v>66</v>
      </c>
      <c r="W28" s="115" t="s">
        <v>67</v>
      </c>
      <c r="X28" s="89">
        <v>1501</v>
      </c>
      <c r="Y28" s="59" t="s">
        <v>68</v>
      </c>
      <c r="Z28" s="110">
        <v>92826667</v>
      </c>
      <c r="AA28" s="94" t="str">
        <f>$G$28</f>
        <v>Acciones de Control u Operativos en materia de actividad economica Realizados</v>
      </c>
      <c r="AB28" s="153">
        <f t="shared" si="4"/>
        <v>10</v>
      </c>
      <c r="AC28" s="153">
        <v>10</v>
      </c>
      <c r="AD28" s="118">
        <f>AC28/AB28</f>
        <v>1</v>
      </c>
      <c r="AE28" s="96" t="s">
        <v>204</v>
      </c>
      <c r="AF28" s="96" t="s">
        <v>193</v>
      </c>
      <c r="AG28" s="97" t="str">
        <f>$G$28</f>
        <v>Acciones de Control u Operativos en materia de actividad economica Realizados</v>
      </c>
      <c r="AH28" s="155">
        <f t="shared" si="0"/>
        <v>16</v>
      </c>
      <c r="AI28" s="100">
        <v>17</v>
      </c>
      <c r="AJ28" s="112">
        <v>1</v>
      </c>
      <c r="AK28" s="51" t="s">
        <v>205</v>
      </c>
      <c r="AL28" s="96" t="s">
        <v>193</v>
      </c>
      <c r="AM28" s="97" t="str">
        <f>$G$28</f>
        <v>Acciones de Control u Operativos en materia de actividad economica Realizados</v>
      </c>
      <c r="AN28" s="155">
        <f t="shared" si="1"/>
        <v>16</v>
      </c>
      <c r="AO28" s="100">
        <v>26</v>
      </c>
      <c r="AP28" s="90">
        <v>1</v>
      </c>
      <c r="AQ28" s="51" t="s">
        <v>206</v>
      </c>
      <c r="AR28" s="96" t="s">
        <v>193</v>
      </c>
      <c r="AS28" s="97" t="str">
        <f>$G$28</f>
        <v>Acciones de Control u Operativos en materia de actividad economica Realizados</v>
      </c>
      <c r="AT28" s="155">
        <f t="shared" si="5"/>
        <v>15</v>
      </c>
      <c r="AU28" s="100">
        <v>15</v>
      </c>
      <c r="AV28" s="165">
        <f t="shared" si="6"/>
        <v>1</v>
      </c>
      <c r="AW28" s="51" t="s">
        <v>207</v>
      </c>
      <c r="AX28" s="96" t="s">
        <v>193</v>
      </c>
      <c r="AY28" s="97" t="str">
        <f>$G$28</f>
        <v>Acciones de Control u Operativos en materia de actividad economica Realizados</v>
      </c>
      <c r="AZ28" s="155">
        <f t="shared" si="2"/>
        <v>57</v>
      </c>
      <c r="BA28" s="370">
        <f>IF(K28="CONSTANTE",AVERAGE(AC28,AI28,AO28,AU28),(SUM(AC28,AI28,AO28,AU28)))</f>
        <v>68</v>
      </c>
      <c r="BB28" s="98">
        <v>1</v>
      </c>
      <c r="BC28" s="98">
        <f t="shared" si="3"/>
        <v>0.02</v>
      </c>
      <c r="BD28" s="52" t="s">
        <v>208</v>
      </c>
    </row>
    <row r="29" spans="1:56" ht="375.75" customHeight="1" thickBot="1">
      <c r="A29" s="88">
        <v>12</v>
      </c>
      <c r="B29" s="103"/>
      <c r="C29" s="193"/>
      <c r="D29" s="113" t="s">
        <v>209</v>
      </c>
      <c r="E29" s="194">
        <v>0.04</v>
      </c>
      <c r="F29" s="195" t="s">
        <v>56</v>
      </c>
      <c r="G29" s="196" t="s">
        <v>210</v>
      </c>
      <c r="H29" s="196" t="s">
        <v>211</v>
      </c>
      <c r="I29" s="107">
        <v>24</v>
      </c>
      <c r="J29" s="91" t="s">
        <v>59</v>
      </c>
      <c r="K29" s="91" t="s">
        <v>212</v>
      </c>
      <c r="L29" s="188">
        <v>2</v>
      </c>
      <c r="M29" s="188">
        <v>4</v>
      </c>
      <c r="N29" s="188">
        <v>10</v>
      </c>
      <c r="O29" s="188">
        <v>8</v>
      </c>
      <c r="P29" s="164">
        <f t="shared" si="7"/>
        <v>24</v>
      </c>
      <c r="Q29" s="89" t="s">
        <v>61</v>
      </c>
      <c r="R29" s="107" t="s">
        <v>213</v>
      </c>
      <c r="S29" s="89" t="s">
        <v>214</v>
      </c>
      <c r="T29" s="107" t="s">
        <v>191</v>
      </c>
      <c r="U29" s="89" t="s">
        <v>65</v>
      </c>
      <c r="V29" s="89" t="s">
        <v>66</v>
      </c>
      <c r="W29" s="115" t="s">
        <v>67</v>
      </c>
      <c r="X29" s="89">
        <v>1501</v>
      </c>
      <c r="Y29" s="59" t="s">
        <v>68</v>
      </c>
      <c r="Z29" s="110">
        <v>295040000</v>
      </c>
      <c r="AA29" s="94" t="str">
        <f>$G$29</f>
        <v>Acciones de control u operativos en materia de urbanismo relacionados con la integridad urbanistica Realizados</v>
      </c>
      <c r="AB29" s="153">
        <f t="shared" si="4"/>
        <v>2</v>
      </c>
      <c r="AC29" s="153">
        <v>5</v>
      </c>
      <c r="AD29" s="118">
        <v>1</v>
      </c>
      <c r="AE29" s="96" t="s">
        <v>215</v>
      </c>
      <c r="AF29" s="96" t="s">
        <v>193</v>
      </c>
      <c r="AG29" s="97" t="str">
        <f>$G$29</f>
        <v>Acciones de control u operativos en materia de urbanismo relacionados con la integridad urbanistica Realizados</v>
      </c>
      <c r="AH29" s="155">
        <f t="shared" si="0"/>
        <v>4</v>
      </c>
      <c r="AI29" s="100">
        <v>8</v>
      </c>
      <c r="AJ29" s="112">
        <v>1</v>
      </c>
      <c r="AK29" s="51" t="s">
        <v>216</v>
      </c>
      <c r="AL29" s="96" t="s">
        <v>193</v>
      </c>
      <c r="AM29" s="97" t="str">
        <f>$G$29</f>
        <v>Acciones de control u operativos en materia de urbanismo relacionados con la integridad urbanistica Realizados</v>
      </c>
      <c r="AN29" s="155">
        <f t="shared" si="1"/>
        <v>10</v>
      </c>
      <c r="AO29" s="100">
        <v>19</v>
      </c>
      <c r="AP29" s="90">
        <v>1</v>
      </c>
      <c r="AQ29" s="51" t="s">
        <v>217</v>
      </c>
      <c r="AR29" s="96" t="s">
        <v>193</v>
      </c>
      <c r="AS29" s="97" t="str">
        <f>$G$29</f>
        <v>Acciones de control u operativos en materia de urbanismo relacionados con la integridad urbanistica Realizados</v>
      </c>
      <c r="AT29" s="155">
        <f t="shared" si="5"/>
        <v>8</v>
      </c>
      <c r="AU29" s="100">
        <v>12</v>
      </c>
      <c r="AV29" s="165">
        <v>1</v>
      </c>
      <c r="AW29" s="51" t="s">
        <v>218</v>
      </c>
      <c r="AX29" s="96" t="s">
        <v>193</v>
      </c>
      <c r="AY29" s="97" t="str">
        <f>$G$29</f>
        <v>Acciones de control u operativos en materia de urbanismo relacionados con la integridad urbanistica Realizados</v>
      </c>
      <c r="AZ29" s="155">
        <f t="shared" si="2"/>
        <v>24</v>
      </c>
      <c r="BA29" s="370">
        <f>IF(K29="CONSTANTE",AVERAGE(AC29,AI29,AO29,AU29),(SUM(AC29,AI29,AO29,AU29)))</f>
        <v>44</v>
      </c>
      <c r="BB29" s="98">
        <v>1</v>
      </c>
      <c r="BC29" s="98">
        <f t="shared" si="3"/>
        <v>0.04</v>
      </c>
      <c r="BD29" s="52" t="s">
        <v>219</v>
      </c>
    </row>
    <row r="30" spans="1:56" ht="257.25" customHeight="1" thickBot="1">
      <c r="A30" s="102">
        <v>13</v>
      </c>
      <c r="B30" s="103"/>
      <c r="C30" s="193"/>
      <c r="D30" s="113" t="s">
        <v>220</v>
      </c>
      <c r="E30" s="194">
        <v>0.02</v>
      </c>
      <c r="F30" s="195" t="s">
        <v>56</v>
      </c>
      <c r="G30" s="196" t="s">
        <v>221</v>
      </c>
      <c r="H30" s="196" t="s">
        <v>222</v>
      </c>
      <c r="I30" s="107">
        <v>12</v>
      </c>
      <c r="J30" s="91" t="s">
        <v>59</v>
      </c>
      <c r="K30" s="91" t="s">
        <v>223</v>
      </c>
      <c r="L30" s="188">
        <v>4</v>
      </c>
      <c r="M30" s="188">
        <v>6</v>
      </c>
      <c r="N30" s="188">
        <v>4</v>
      </c>
      <c r="O30" s="188">
        <v>3</v>
      </c>
      <c r="P30" s="197">
        <f t="shared" si="7"/>
        <v>17</v>
      </c>
      <c r="Q30" s="89" t="s">
        <v>61</v>
      </c>
      <c r="R30" s="107" t="s">
        <v>224</v>
      </c>
      <c r="S30" s="89" t="s">
        <v>225</v>
      </c>
      <c r="T30" s="107" t="s">
        <v>191</v>
      </c>
      <c r="U30" s="89" t="s">
        <v>65</v>
      </c>
      <c r="V30" s="89" t="s">
        <v>66</v>
      </c>
      <c r="W30" s="115" t="s">
        <v>67</v>
      </c>
      <c r="X30" s="89">
        <v>1501</v>
      </c>
      <c r="Y30" s="59" t="s">
        <v>68</v>
      </c>
      <c r="Z30" s="110">
        <v>28800000</v>
      </c>
      <c r="AA30" s="94" t="str">
        <f>$G$30</f>
        <v>Acciones de control u operativos en materia de ambiente, mineria y relaciones con los animales Realizados</v>
      </c>
      <c r="AB30" s="153">
        <f t="shared" si="4"/>
        <v>4</v>
      </c>
      <c r="AC30" s="153">
        <v>6</v>
      </c>
      <c r="AD30" s="118">
        <v>1</v>
      </c>
      <c r="AE30" s="96" t="s">
        <v>226</v>
      </c>
      <c r="AF30" s="96" t="s">
        <v>193</v>
      </c>
      <c r="AG30" s="97" t="str">
        <f>$G$30</f>
        <v>Acciones de control u operativos en materia de ambiente, mineria y relaciones con los animales Realizados</v>
      </c>
      <c r="AH30" s="155">
        <f t="shared" si="0"/>
        <v>6</v>
      </c>
      <c r="AI30" s="100">
        <v>6</v>
      </c>
      <c r="AJ30" s="112">
        <v>1</v>
      </c>
      <c r="AK30" s="51" t="s">
        <v>227</v>
      </c>
      <c r="AL30" s="96" t="s">
        <v>193</v>
      </c>
      <c r="AM30" s="97" t="str">
        <f>$G$30</f>
        <v>Acciones de control u operativos en materia de ambiente, mineria y relaciones con los animales Realizados</v>
      </c>
      <c r="AN30" s="155">
        <f t="shared" si="1"/>
        <v>4</v>
      </c>
      <c r="AO30" s="100">
        <v>12</v>
      </c>
      <c r="AP30" s="90">
        <v>1</v>
      </c>
      <c r="AQ30" s="51" t="s">
        <v>228</v>
      </c>
      <c r="AR30" s="96" t="s">
        <v>193</v>
      </c>
      <c r="AS30" s="97" t="str">
        <f>$G$30</f>
        <v>Acciones de control u operativos en materia de ambiente, mineria y relaciones con los animales Realizados</v>
      </c>
      <c r="AT30" s="155">
        <f t="shared" si="5"/>
        <v>3</v>
      </c>
      <c r="AU30" s="100">
        <v>3</v>
      </c>
      <c r="AV30" s="165">
        <f t="shared" si="6"/>
        <v>1</v>
      </c>
      <c r="AW30" s="51" t="s">
        <v>229</v>
      </c>
      <c r="AX30" s="96" t="s">
        <v>193</v>
      </c>
      <c r="AY30" s="97" t="str">
        <f>$G$30</f>
        <v>Acciones de control u operativos en materia de ambiente, mineria y relaciones con los animales Realizados</v>
      </c>
      <c r="AZ30" s="155">
        <f t="shared" si="2"/>
        <v>17</v>
      </c>
      <c r="BA30" s="370">
        <f>IF(K30="CONSTANTE",AVERAGE(AC30,AI30,AO30,AU30),(SUM(AC30,AI30,AO30,AU30)))</f>
        <v>27</v>
      </c>
      <c r="BB30" s="98">
        <v>1</v>
      </c>
      <c r="BC30" s="98">
        <f t="shared" si="3"/>
        <v>0.02</v>
      </c>
      <c r="BD30" s="52" t="s">
        <v>230</v>
      </c>
    </row>
    <row r="31" spans="1:56" ht="259.5" customHeight="1" thickBot="1">
      <c r="A31" s="88">
        <v>14</v>
      </c>
      <c r="B31" s="103"/>
      <c r="C31" s="193"/>
      <c r="D31" s="113" t="s">
        <v>231</v>
      </c>
      <c r="E31" s="194">
        <v>0.02</v>
      </c>
      <c r="F31" s="195" t="s">
        <v>56</v>
      </c>
      <c r="G31" s="196" t="s">
        <v>232</v>
      </c>
      <c r="H31" s="196" t="s">
        <v>233</v>
      </c>
      <c r="I31" s="107">
        <v>2</v>
      </c>
      <c r="J31" s="91" t="s">
        <v>59</v>
      </c>
      <c r="K31" s="91" t="s">
        <v>234</v>
      </c>
      <c r="L31" s="198"/>
      <c r="M31" s="198"/>
      <c r="N31" s="198"/>
      <c r="O31" s="188">
        <v>10</v>
      </c>
      <c r="P31" s="197">
        <f t="shared" si="7"/>
        <v>10</v>
      </c>
      <c r="Q31" s="89" t="s">
        <v>61</v>
      </c>
      <c r="R31" s="107" t="s">
        <v>235</v>
      </c>
      <c r="S31" s="89" t="s">
        <v>203</v>
      </c>
      <c r="T31" s="107" t="s">
        <v>191</v>
      </c>
      <c r="U31" s="89" t="s">
        <v>65</v>
      </c>
      <c r="V31" s="89" t="s">
        <v>66</v>
      </c>
      <c r="W31" s="115" t="s">
        <v>67</v>
      </c>
      <c r="X31" s="89">
        <v>1501</v>
      </c>
      <c r="Y31" s="59" t="s">
        <v>68</v>
      </c>
      <c r="Z31" s="110">
        <v>92826667</v>
      </c>
      <c r="AA31" s="94" t="str">
        <f>$G$31</f>
        <v>Acciones de control u operativos en materia de convivencia relacionados con articulos pirotécnicos y sustancias peligrosas Realizados</v>
      </c>
      <c r="AB31" s="153">
        <f t="shared" si="4"/>
        <v>0</v>
      </c>
      <c r="AC31" s="153">
        <v>0</v>
      </c>
      <c r="AD31" s="95"/>
      <c r="AE31" s="96" t="s">
        <v>143</v>
      </c>
      <c r="AF31" s="96"/>
      <c r="AG31" s="97" t="str">
        <f>$G$31</f>
        <v>Acciones de control u operativos en materia de convivencia relacionados con articulos pirotécnicos y sustancias peligrosas Realizados</v>
      </c>
      <c r="AH31" s="155">
        <f t="shared" si="0"/>
        <v>0</v>
      </c>
      <c r="AI31" s="100"/>
      <c r="AJ31" s="99" t="s">
        <v>72</v>
      </c>
      <c r="AK31" s="89"/>
      <c r="AL31" s="89"/>
      <c r="AM31" s="97" t="str">
        <f>$G$31</f>
        <v>Acciones de control u operativos en materia de convivencia relacionados con articulos pirotécnicos y sustancias peligrosas Realizados</v>
      </c>
      <c r="AN31" s="155">
        <f t="shared" si="1"/>
        <v>0</v>
      </c>
      <c r="AO31" s="100">
        <v>0</v>
      </c>
      <c r="AP31" s="99" t="s">
        <v>72</v>
      </c>
      <c r="AQ31" s="99" t="s">
        <v>72</v>
      </c>
      <c r="AR31" s="89"/>
      <c r="AS31" s="97" t="str">
        <f>$G$31</f>
        <v>Acciones de control u operativos en materia de convivencia relacionados con articulos pirotécnicos y sustancias peligrosas Realizados</v>
      </c>
      <c r="AT31" s="155">
        <f t="shared" si="5"/>
        <v>10</v>
      </c>
      <c r="AU31" s="100">
        <v>11</v>
      </c>
      <c r="AV31" s="165">
        <f t="shared" si="6"/>
        <v>1.1000000000000001</v>
      </c>
      <c r="AW31" s="51" t="s">
        <v>236</v>
      </c>
      <c r="AX31" s="96" t="s">
        <v>193</v>
      </c>
      <c r="AY31" s="97" t="str">
        <f>$G$31</f>
        <v>Acciones de control u operativos en materia de convivencia relacionados con articulos pirotécnicos y sustancias peligrosas Realizados</v>
      </c>
      <c r="AZ31" s="155">
        <f t="shared" si="2"/>
        <v>10</v>
      </c>
      <c r="BA31" s="370">
        <f>IF(K31="CONSTANTE",AVERAGE(AC31,AI31,AO31,AU31),(SUM(AC31,AI31,AO31,AU31)))</f>
        <v>11</v>
      </c>
      <c r="BB31" s="98">
        <v>1</v>
      </c>
      <c r="BC31" s="98">
        <f>BB31*E31</f>
        <v>0.02</v>
      </c>
      <c r="BD31" s="52" t="s">
        <v>237</v>
      </c>
    </row>
    <row r="32" spans="1:56" ht="129" customHeight="1" thickBot="1">
      <c r="A32" s="121">
        <v>15</v>
      </c>
      <c r="B32" s="103"/>
      <c r="C32" s="193"/>
      <c r="D32" s="199" t="s">
        <v>238</v>
      </c>
      <c r="E32" s="114">
        <v>0.01</v>
      </c>
      <c r="F32" s="107" t="s">
        <v>56</v>
      </c>
      <c r="G32" s="196" t="s">
        <v>239</v>
      </c>
      <c r="H32" s="200" t="s">
        <v>240</v>
      </c>
      <c r="I32" s="107" t="s">
        <v>241</v>
      </c>
      <c r="J32" s="107" t="s">
        <v>59</v>
      </c>
      <c r="K32" s="107" t="s">
        <v>242</v>
      </c>
      <c r="L32" s="198">
        <v>0</v>
      </c>
      <c r="M32" s="198">
        <v>0</v>
      </c>
      <c r="N32" s="198">
        <v>0</v>
      </c>
      <c r="O32" s="198">
        <v>0.85</v>
      </c>
      <c r="P32" s="198">
        <v>0.85</v>
      </c>
      <c r="Q32" s="107" t="s">
        <v>61</v>
      </c>
      <c r="R32" s="107" t="s">
        <v>243</v>
      </c>
      <c r="S32" s="107" t="s">
        <v>169</v>
      </c>
      <c r="T32" s="107" t="s">
        <v>244</v>
      </c>
      <c r="U32" s="107" t="s">
        <v>99</v>
      </c>
      <c r="V32" s="89"/>
      <c r="W32" s="115"/>
      <c r="X32" s="89"/>
      <c r="Y32" s="59"/>
      <c r="Z32" s="110"/>
      <c r="AA32" s="94"/>
      <c r="AB32" s="153"/>
      <c r="AC32" s="140" t="s">
        <v>245</v>
      </c>
      <c r="AD32" s="140" t="s">
        <v>245</v>
      </c>
      <c r="AE32" s="140" t="s">
        <v>245</v>
      </c>
      <c r="AF32" s="140" t="s">
        <v>245</v>
      </c>
      <c r="AG32" s="97"/>
      <c r="AH32" s="155"/>
      <c r="AI32" s="100"/>
      <c r="AJ32" s="99"/>
      <c r="AK32" s="89"/>
      <c r="AL32" s="89"/>
      <c r="AM32" s="196" t="s">
        <v>239</v>
      </c>
      <c r="AN32" s="98">
        <f>N32</f>
        <v>0</v>
      </c>
      <c r="AO32" s="111">
        <v>0</v>
      </c>
      <c r="AP32" s="99" t="s">
        <v>72</v>
      </c>
      <c r="AQ32" s="99" t="s">
        <v>72</v>
      </c>
      <c r="AR32" s="89"/>
      <c r="AS32" s="196" t="s">
        <v>239</v>
      </c>
      <c r="AT32" s="98">
        <v>0.85</v>
      </c>
      <c r="AU32" s="205">
        <v>0.3095</v>
      </c>
      <c r="AV32" s="165">
        <f>+AU32/AT32</f>
        <v>0.36411764705882355</v>
      </c>
      <c r="AW32" s="51" t="s">
        <v>246</v>
      </c>
      <c r="AX32" s="89" t="s">
        <v>247</v>
      </c>
      <c r="AY32" s="196" t="s">
        <v>239</v>
      </c>
      <c r="AZ32" s="98">
        <f t="shared" si="2"/>
        <v>0.85</v>
      </c>
      <c r="BA32" s="409">
        <v>0.3095</v>
      </c>
      <c r="BB32" s="98">
        <f>BA32/AZ32</f>
        <v>0.36411764705882355</v>
      </c>
      <c r="BC32" s="98">
        <f t="shared" si="3"/>
        <v>3.6411764705882354E-3</v>
      </c>
      <c r="BD32" s="51" t="s">
        <v>246</v>
      </c>
    </row>
    <row r="33" spans="1:56" ht="382.5" customHeight="1" thickBot="1">
      <c r="A33" s="102">
        <v>16</v>
      </c>
      <c r="B33" s="103"/>
      <c r="C33" s="193"/>
      <c r="D33" s="201" t="s">
        <v>248</v>
      </c>
      <c r="E33" s="114">
        <v>0.01</v>
      </c>
      <c r="F33" s="107" t="s">
        <v>56</v>
      </c>
      <c r="G33" s="196" t="s">
        <v>249</v>
      </c>
      <c r="H33" s="202" t="s">
        <v>250</v>
      </c>
      <c r="I33" s="107" t="s">
        <v>241</v>
      </c>
      <c r="J33" s="107" t="s">
        <v>59</v>
      </c>
      <c r="K33" s="107" t="s">
        <v>251</v>
      </c>
      <c r="L33" s="198">
        <v>0</v>
      </c>
      <c r="M33" s="198">
        <v>0</v>
      </c>
      <c r="N33" s="198">
        <v>0</v>
      </c>
      <c r="O33" s="198">
        <v>0.5</v>
      </c>
      <c r="P33" s="198">
        <v>0.5</v>
      </c>
      <c r="Q33" s="107" t="s">
        <v>61</v>
      </c>
      <c r="R33" s="107"/>
      <c r="S33" s="107" t="s">
        <v>252</v>
      </c>
      <c r="T33" s="107"/>
      <c r="U33" s="107" t="s">
        <v>253</v>
      </c>
      <c r="V33" s="89" t="s">
        <v>66</v>
      </c>
      <c r="W33" s="115" t="s">
        <v>67</v>
      </c>
      <c r="X33" s="89">
        <v>1501</v>
      </c>
      <c r="Y33" s="59" t="s">
        <v>68</v>
      </c>
      <c r="Z33" s="110">
        <v>177400000</v>
      </c>
      <c r="AA33" s="94" t="str">
        <f>$G$33</f>
        <v>Porcentaje de actuaciones policivas resuletas</v>
      </c>
      <c r="AB33" s="92">
        <f t="shared" si="4"/>
        <v>0</v>
      </c>
      <c r="AC33" s="140" t="s">
        <v>245</v>
      </c>
      <c r="AD33" s="140" t="s">
        <v>245</v>
      </c>
      <c r="AE33" s="140" t="s">
        <v>245</v>
      </c>
      <c r="AF33" s="140" t="s">
        <v>245</v>
      </c>
      <c r="AG33" s="97" t="str">
        <f>$G$33</f>
        <v>Porcentaje de actuaciones policivas resuletas</v>
      </c>
      <c r="AH33" s="98">
        <f t="shared" si="0"/>
        <v>0</v>
      </c>
      <c r="AI33" s="100"/>
      <c r="AJ33" s="99" t="s">
        <v>72</v>
      </c>
      <c r="AK33" s="89"/>
      <c r="AL33" s="89"/>
      <c r="AM33" s="97" t="str">
        <f>$G$33</f>
        <v>Porcentaje de actuaciones policivas resuletas</v>
      </c>
      <c r="AN33" s="98">
        <f t="shared" si="1"/>
        <v>0</v>
      </c>
      <c r="AO33" s="90">
        <v>0</v>
      </c>
      <c r="AP33" s="99" t="s">
        <v>72</v>
      </c>
      <c r="AQ33" s="99" t="s">
        <v>72</v>
      </c>
      <c r="AR33" s="89"/>
      <c r="AS33" s="97" t="str">
        <f>$G$33</f>
        <v>Porcentaje de actuaciones policivas resuletas</v>
      </c>
      <c r="AT33" s="98">
        <f t="shared" ref="AT33:AT44" si="8">O33</f>
        <v>0.5</v>
      </c>
      <c r="AU33" s="205">
        <v>0.496</v>
      </c>
      <c r="AV33" s="165">
        <f t="shared" si="6"/>
        <v>0.99199999999999999</v>
      </c>
      <c r="AW33" s="51" t="s">
        <v>254</v>
      </c>
      <c r="AX33" s="89" t="s">
        <v>247</v>
      </c>
      <c r="AY33" s="97" t="str">
        <f>$G$33</f>
        <v>Porcentaje de actuaciones policivas resuletas</v>
      </c>
      <c r="AZ33" s="98">
        <f t="shared" si="2"/>
        <v>0.5</v>
      </c>
      <c r="BA33" s="371">
        <v>0.496</v>
      </c>
      <c r="BB33" s="98">
        <f>BA33/AZ33</f>
        <v>0.99199999999999999</v>
      </c>
      <c r="BC33" s="98">
        <f t="shared" si="3"/>
        <v>9.92E-3</v>
      </c>
      <c r="BD33" s="51" t="s">
        <v>254</v>
      </c>
    </row>
    <row r="34" spans="1:56" ht="93.75" customHeight="1" thickBot="1">
      <c r="A34" s="121"/>
      <c r="B34" s="103"/>
      <c r="C34" s="203"/>
      <c r="D34" s="123" t="s">
        <v>109</v>
      </c>
      <c r="E34" s="142">
        <v>0.18</v>
      </c>
      <c r="F34" s="143"/>
      <c r="G34" s="144"/>
      <c r="H34" s="145"/>
      <c r="I34" s="146"/>
      <c r="J34" s="91"/>
      <c r="K34" s="91"/>
      <c r="L34" s="147"/>
      <c r="M34" s="147"/>
      <c r="N34" s="147"/>
      <c r="O34" s="129"/>
      <c r="P34" s="128"/>
      <c r="Q34" s="128"/>
      <c r="R34" s="128"/>
      <c r="S34" s="148"/>
      <c r="T34" s="148"/>
      <c r="U34" s="128"/>
      <c r="V34" s="128"/>
      <c r="W34" s="128"/>
      <c r="X34" s="128"/>
      <c r="Y34" s="62"/>
      <c r="Z34" s="131"/>
      <c r="AA34" s="132"/>
      <c r="AB34" s="92"/>
      <c r="AC34" s="133"/>
      <c r="AD34" s="95"/>
      <c r="AE34" s="134"/>
      <c r="AF34" s="134"/>
      <c r="AG34" s="135"/>
      <c r="AH34" s="98"/>
      <c r="AI34" s="136"/>
      <c r="AJ34" s="99"/>
      <c r="AK34" s="128"/>
      <c r="AL34" s="128"/>
      <c r="AM34" s="135"/>
      <c r="AN34" s="98"/>
      <c r="AO34" s="136"/>
      <c r="AP34" s="99"/>
      <c r="AQ34" s="128"/>
      <c r="AR34" s="128"/>
      <c r="AS34" s="135"/>
      <c r="AT34" s="98">
        <f t="shared" si="8"/>
        <v>0</v>
      </c>
      <c r="AU34" s="136"/>
      <c r="AV34" s="99"/>
      <c r="AW34" s="55"/>
      <c r="AX34" s="128"/>
      <c r="AY34" s="135"/>
      <c r="AZ34" s="98"/>
      <c r="BA34" s="136"/>
      <c r="BB34" s="99"/>
      <c r="BC34" s="101"/>
      <c r="BD34" s="56"/>
    </row>
    <row r="35" spans="1:56" s="321" customFormat="1" ht="307.5" customHeight="1" thickBot="1">
      <c r="A35" s="299">
        <v>17</v>
      </c>
      <c r="B35" s="323"/>
      <c r="C35" s="406" t="s">
        <v>255</v>
      </c>
      <c r="D35" s="330" t="s">
        <v>256</v>
      </c>
      <c r="E35" s="331">
        <v>5.0000000000000001E-3</v>
      </c>
      <c r="F35" s="407" t="s">
        <v>77</v>
      </c>
      <c r="G35" s="333" t="s">
        <v>257</v>
      </c>
      <c r="H35" s="333" t="s">
        <v>258</v>
      </c>
      <c r="I35" s="400">
        <v>0.97609999999999997</v>
      </c>
      <c r="J35" s="306" t="s">
        <v>59</v>
      </c>
      <c r="K35" s="306" t="s">
        <v>259</v>
      </c>
      <c r="L35" s="307"/>
      <c r="M35" s="307">
        <v>0.5</v>
      </c>
      <c r="N35" s="307"/>
      <c r="O35" s="307">
        <v>0.45</v>
      </c>
      <c r="P35" s="402">
        <f t="shared" si="7"/>
        <v>0.95</v>
      </c>
      <c r="Q35" s="303" t="s">
        <v>260</v>
      </c>
      <c r="R35" s="303" t="s">
        <v>261</v>
      </c>
      <c r="S35" s="303" t="s">
        <v>262</v>
      </c>
      <c r="T35" s="303" t="s">
        <v>263</v>
      </c>
      <c r="U35" s="303" t="s">
        <v>99</v>
      </c>
      <c r="V35" s="303" t="s">
        <v>66</v>
      </c>
      <c r="W35" s="326" t="s">
        <v>67</v>
      </c>
      <c r="X35" s="303">
        <v>1501</v>
      </c>
      <c r="Y35" s="308" t="s">
        <v>68</v>
      </c>
      <c r="Z35" s="309">
        <v>2240387499.9999995</v>
      </c>
      <c r="AA35" s="293" t="str">
        <f>$G$35</f>
        <v>Porcentaje de Compromisos del Presupuesto de Inversión Directa Disponible a la Vigencia para el FDL</v>
      </c>
      <c r="AB35" s="307">
        <f t="shared" ref="AB35:AB44" si="9">L35</f>
        <v>0</v>
      </c>
      <c r="AC35" s="408">
        <v>0.19170000000000001</v>
      </c>
      <c r="AD35" s="383" t="s">
        <v>72</v>
      </c>
      <c r="AE35" s="311" t="s">
        <v>264</v>
      </c>
      <c r="AF35" s="311" t="s">
        <v>265</v>
      </c>
      <c r="AG35" s="312" t="str">
        <f>$G$35</f>
        <v>Porcentaje de Compromisos del Presupuesto de Inversión Directa Disponible a la Vigencia para el FDL</v>
      </c>
      <c r="AH35" s="313">
        <f t="shared" si="0"/>
        <v>0.5</v>
      </c>
      <c r="AI35" s="305">
        <v>0.2</v>
      </c>
      <c r="AJ35" s="317">
        <f>AI35/AH35</f>
        <v>0.4</v>
      </c>
      <c r="AK35" s="315" t="s">
        <v>266</v>
      </c>
      <c r="AL35" s="311" t="s">
        <v>267</v>
      </c>
      <c r="AM35" s="312" t="str">
        <f>$G$35</f>
        <v>Porcentaje de Compromisos del Presupuesto de Inversión Directa Disponible a la Vigencia para el FDL</v>
      </c>
      <c r="AN35" s="313">
        <f t="shared" si="1"/>
        <v>0</v>
      </c>
      <c r="AO35" s="313">
        <v>0.81110000000000004</v>
      </c>
      <c r="AP35" s="383" t="s">
        <v>72</v>
      </c>
      <c r="AQ35" s="315" t="s">
        <v>268</v>
      </c>
      <c r="AR35" s="303" t="s">
        <v>269</v>
      </c>
      <c r="AS35" s="312" t="str">
        <f>$G$35</f>
        <v>Porcentaje de Compromisos del Presupuesto de Inversión Directa Disponible a la Vigencia para el FDL</v>
      </c>
      <c r="AT35" s="313">
        <f t="shared" si="8"/>
        <v>0.45</v>
      </c>
      <c r="AU35" s="404">
        <v>0.79520000000000002</v>
      </c>
      <c r="AV35" s="317">
        <v>1</v>
      </c>
      <c r="AW35" s="315" t="s">
        <v>270</v>
      </c>
      <c r="AX35" s="303" t="s">
        <v>271</v>
      </c>
      <c r="AY35" s="312" t="str">
        <f>$G$35</f>
        <v>Porcentaje de Compromisos del Presupuesto de Inversión Directa Disponible a la Vigencia para el FDL</v>
      </c>
      <c r="AZ35" s="313">
        <f>P35</f>
        <v>0.95</v>
      </c>
      <c r="BA35" s="400">
        <v>0.99519999999999997</v>
      </c>
      <c r="BB35" s="328">
        <v>1</v>
      </c>
      <c r="BC35" s="410">
        <f>BB35*E35</f>
        <v>5.0000000000000001E-3</v>
      </c>
      <c r="BD35" s="320" t="s">
        <v>272</v>
      </c>
    </row>
    <row r="36" spans="1:56" s="321" customFormat="1" ht="388.5" customHeight="1" thickBot="1">
      <c r="A36" s="322">
        <v>18</v>
      </c>
      <c r="B36" s="323"/>
      <c r="C36" s="329"/>
      <c r="D36" s="330" t="s">
        <v>273</v>
      </c>
      <c r="E36" s="331">
        <v>5.0000000000000001E-3</v>
      </c>
      <c r="F36" s="332" t="s">
        <v>56</v>
      </c>
      <c r="G36" s="333" t="s">
        <v>274</v>
      </c>
      <c r="H36" s="333" t="s">
        <v>275</v>
      </c>
      <c r="I36" s="401">
        <v>0.24410000000000001</v>
      </c>
      <c r="J36" s="306" t="s">
        <v>59</v>
      </c>
      <c r="K36" s="306" t="s">
        <v>276</v>
      </c>
      <c r="L36" s="335"/>
      <c r="M36" s="335"/>
      <c r="N36" s="335"/>
      <c r="O36" s="335">
        <v>0.3</v>
      </c>
      <c r="P36" s="402">
        <f t="shared" si="7"/>
        <v>0.3</v>
      </c>
      <c r="Q36" s="303" t="s">
        <v>260</v>
      </c>
      <c r="R36" s="303" t="s">
        <v>261</v>
      </c>
      <c r="S36" s="303" t="s">
        <v>262</v>
      </c>
      <c r="T36" s="303" t="s">
        <v>263</v>
      </c>
      <c r="U36" s="303" t="s">
        <v>99</v>
      </c>
      <c r="V36" s="303" t="s">
        <v>66</v>
      </c>
      <c r="W36" s="326" t="s">
        <v>67</v>
      </c>
      <c r="X36" s="303">
        <v>1501</v>
      </c>
      <c r="Y36" s="308" t="s">
        <v>68</v>
      </c>
      <c r="Z36" s="403">
        <v>1313497499.9999995</v>
      </c>
      <c r="AA36" s="293" t="str">
        <f>$G$36</f>
        <v>Porcentaje de Giros de Presupuesto de Inversión Directa Realizados</v>
      </c>
      <c r="AB36" s="307">
        <f t="shared" si="9"/>
        <v>0</v>
      </c>
      <c r="AC36" s="338">
        <v>2.6499999999999999E-2</v>
      </c>
      <c r="AD36" s="383">
        <v>1</v>
      </c>
      <c r="AE36" s="311" t="s">
        <v>277</v>
      </c>
      <c r="AF36" s="311" t="s">
        <v>265</v>
      </c>
      <c r="AG36" s="312" t="str">
        <f>$G$36</f>
        <v>Porcentaje de Giros de Presupuesto de Inversión Directa Realizados</v>
      </c>
      <c r="AH36" s="313">
        <f t="shared" si="0"/>
        <v>0</v>
      </c>
      <c r="AI36" s="337" t="s">
        <v>143</v>
      </c>
      <c r="AJ36" s="314" t="s">
        <v>72</v>
      </c>
      <c r="AK36" s="337" t="s">
        <v>143</v>
      </c>
      <c r="AL36" s="337" t="s">
        <v>143</v>
      </c>
      <c r="AM36" s="312" t="str">
        <f>$G$36</f>
        <v>Porcentaje de Giros de Presupuesto de Inversión Directa Realizados</v>
      </c>
      <c r="AN36" s="313">
        <f t="shared" si="1"/>
        <v>0</v>
      </c>
      <c r="AO36" s="313">
        <v>0.25290000000000001</v>
      </c>
      <c r="AP36" s="314" t="s">
        <v>72</v>
      </c>
      <c r="AQ36" s="315" t="s">
        <v>278</v>
      </c>
      <c r="AR36" s="303" t="s">
        <v>269</v>
      </c>
      <c r="AS36" s="312" t="str">
        <f>$G$36</f>
        <v>Porcentaje de Giros de Presupuesto de Inversión Directa Realizados</v>
      </c>
      <c r="AT36" s="313">
        <f t="shared" si="8"/>
        <v>0.3</v>
      </c>
      <c r="AU36" s="404">
        <f>19549691655/56613639696</f>
        <v>0.34531769658295386</v>
      </c>
      <c r="AV36" s="317">
        <v>1</v>
      </c>
      <c r="AW36" s="315" t="s">
        <v>279</v>
      </c>
      <c r="AX36" s="303" t="s">
        <v>271</v>
      </c>
      <c r="AY36" s="312" t="str">
        <f>$G$36</f>
        <v>Porcentaje de Giros de Presupuesto de Inversión Directa Realizados</v>
      </c>
      <c r="AZ36" s="313">
        <f>P36</f>
        <v>0.3</v>
      </c>
      <c r="BA36" s="411">
        <v>0.35</v>
      </c>
      <c r="BB36" s="313">
        <v>1</v>
      </c>
      <c r="BC36" s="313">
        <f>BB36*E36</f>
        <v>5.0000000000000001E-3</v>
      </c>
      <c r="BD36" s="320" t="s">
        <v>280</v>
      </c>
    </row>
    <row r="37" spans="1:56" s="321" customFormat="1" ht="158.25" customHeight="1" thickBot="1">
      <c r="A37" s="299">
        <v>19</v>
      </c>
      <c r="B37" s="323"/>
      <c r="C37" s="329"/>
      <c r="D37" s="330" t="s">
        <v>281</v>
      </c>
      <c r="E37" s="331">
        <v>4.4999999999999998E-2</v>
      </c>
      <c r="F37" s="332" t="s">
        <v>56</v>
      </c>
      <c r="G37" s="333" t="s">
        <v>282</v>
      </c>
      <c r="H37" s="333" t="s">
        <v>283</v>
      </c>
      <c r="I37" s="405">
        <v>0.55249999999999999</v>
      </c>
      <c r="J37" s="306" t="s">
        <v>59</v>
      </c>
      <c r="K37" s="306" t="s">
        <v>284</v>
      </c>
      <c r="L37" s="335"/>
      <c r="M37" s="335">
        <v>0.25</v>
      </c>
      <c r="N37" s="335"/>
      <c r="O37" s="335">
        <v>0.25</v>
      </c>
      <c r="P37" s="402">
        <f t="shared" si="7"/>
        <v>0.5</v>
      </c>
      <c r="Q37" s="303" t="s">
        <v>260</v>
      </c>
      <c r="R37" s="303" t="s">
        <v>261</v>
      </c>
      <c r="S37" s="303" t="s">
        <v>262</v>
      </c>
      <c r="T37" s="303" t="s">
        <v>263</v>
      </c>
      <c r="U37" s="303" t="s">
        <v>99</v>
      </c>
      <c r="V37" s="303" t="s">
        <v>66</v>
      </c>
      <c r="W37" s="326" t="s">
        <v>67</v>
      </c>
      <c r="X37" s="303">
        <v>1501</v>
      </c>
      <c r="Y37" s="308" t="s">
        <v>68</v>
      </c>
      <c r="Z37" s="336">
        <v>842117500.00000012</v>
      </c>
      <c r="AA37" s="293" t="str">
        <f>$G$37</f>
        <v>Porcentaje de Giros de Presupuesto Comprometido Constituido como Obligaciones por Pagar de la Vigencia 2017 Realizados</v>
      </c>
      <c r="AB37" s="307">
        <f t="shared" si="9"/>
        <v>0</v>
      </c>
      <c r="AC37" s="307">
        <v>0.13</v>
      </c>
      <c r="AD37" s="383">
        <v>1</v>
      </c>
      <c r="AE37" s="311" t="s">
        <v>285</v>
      </c>
      <c r="AF37" s="311" t="s">
        <v>265</v>
      </c>
      <c r="AG37" s="312" t="str">
        <f>$G$37</f>
        <v>Porcentaje de Giros de Presupuesto Comprometido Constituido como Obligaciones por Pagar de la Vigencia 2017 Realizados</v>
      </c>
      <c r="AH37" s="313">
        <f t="shared" si="0"/>
        <v>0.25</v>
      </c>
      <c r="AI37" s="305">
        <v>0.21</v>
      </c>
      <c r="AJ37" s="317">
        <f>AI37/AH37</f>
        <v>0.84</v>
      </c>
      <c r="AK37" s="303" t="s">
        <v>286</v>
      </c>
      <c r="AL37" s="311" t="s">
        <v>267</v>
      </c>
      <c r="AM37" s="312" t="str">
        <f>$G$37</f>
        <v>Porcentaje de Giros de Presupuesto Comprometido Constituido como Obligaciones por Pagar de la Vigencia 2017 Realizados</v>
      </c>
      <c r="AN37" s="313">
        <f t="shared" si="1"/>
        <v>0</v>
      </c>
      <c r="AO37" s="305"/>
      <c r="AP37" s="314" t="s">
        <v>72</v>
      </c>
      <c r="AQ37" s="315" t="s">
        <v>287</v>
      </c>
      <c r="AR37" s="303" t="s">
        <v>269</v>
      </c>
      <c r="AS37" s="312" t="str">
        <f>$G$37</f>
        <v>Porcentaje de Giros de Presupuesto Comprometido Constituido como Obligaciones por Pagar de la Vigencia 2017 Realizados</v>
      </c>
      <c r="AT37" s="313">
        <f t="shared" si="8"/>
        <v>0.25</v>
      </c>
      <c r="AU37" s="400">
        <v>0.38319999999999999</v>
      </c>
      <c r="AV37" s="317">
        <v>1</v>
      </c>
      <c r="AW37" s="315" t="s">
        <v>288</v>
      </c>
      <c r="AX37" s="303" t="s">
        <v>271</v>
      </c>
      <c r="AY37" s="312" t="str">
        <f>$G$37</f>
        <v>Porcentaje de Giros de Presupuesto Comprometido Constituido como Obligaciones por Pagar de la Vigencia 2017 Realizados</v>
      </c>
      <c r="AZ37" s="313">
        <f>P37</f>
        <v>0.5</v>
      </c>
      <c r="BA37" s="318">
        <f>IF(K37="CONSTANTE",AVERAGE(AI37,AO37,AU37),(SUM(AI37,AO37,AU37)))</f>
        <v>0.59319999999999995</v>
      </c>
      <c r="BB37" s="313">
        <v>1</v>
      </c>
      <c r="BC37" s="313">
        <f>BB37*E37</f>
        <v>4.4999999999999998E-2</v>
      </c>
      <c r="BD37" s="315" t="s">
        <v>289</v>
      </c>
    </row>
    <row r="38" spans="1:56" s="321" customFormat="1" ht="156.75" customHeight="1" thickBot="1">
      <c r="A38" s="322">
        <v>20</v>
      </c>
      <c r="B38" s="323"/>
      <c r="C38" s="329"/>
      <c r="D38" s="330" t="s">
        <v>290</v>
      </c>
      <c r="E38" s="331">
        <v>4.4999999999999998E-2</v>
      </c>
      <c r="F38" s="332" t="s">
        <v>56</v>
      </c>
      <c r="G38" s="333" t="s">
        <v>291</v>
      </c>
      <c r="H38" s="333" t="s">
        <v>292</v>
      </c>
      <c r="I38" s="334">
        <v>1</v>
      </c>
      <c r="J38" s="306" t="s">
        <v>59</v>
      </c>
      <c r="K38" s="306" t="s">
        <v>293</v>
      </c>
      <c r="L38" s="335"/>
      <c r="M38" s="335"/>
      <c r="N38" s="335"/>
      <c r="O38" s="335">
        <v>1</v>
      </c>
      <c r="P38" s="334">
        <v>1</v>
      </c>
      <c r="Q38" s="324" t="s">
        <v>61</v>
      </c>
      <c r="R38" s="324" t="s">
        <v>294</v>
      </c>
      <c r="S38" s="324" t="s">
        <v>295</v>
      </c>
      <c r="T38" s="324" t="s">
        <v>294</v>
      </c>
      <c r="U38" s="303" t="s">
        <v>99</v>
      </c>
      <c r="V38" s="303" t="s">
        <v>66</v>
      </c>
      <c r="W38" s="326" t="s">
        <v>67</v>
      </c>
      <c r="X38" s="303">
        <v>1501</v>
      </c>
      <c r="Y38" s="308" t="s">
        <v>68</v>
      </c>
      <c r="Z38" s="336">
        <v>216116667</v>
      </c>
      <c r="AA38" s="293" t="str">
        <f>$G$38</f>
        <v>Porcentaje de Procesos Contractuales de Malla Vial y Parques de la Vigencia 2018 Realizados Utilizando los Pliegos Tipo</v>
      </c>
      <c r="AB38" s="307">
        <f t="shared" si="9"/>
        <v>0</v>
      </c>
      <c r="AC38" s="291">
        <v>0</v>
      </c>
      <c r="AD38" s="310"/>
      <c r="AE38" s="311" t="s">
        <v>296</v>
      </c>
      <c r="AF38" s="311" t="s">
        <v>297</v>
      </c>
      <c r="AG38" s="312" t="str">
        <f>$G$38</f>
        <v>Porcentaje de Procesos Contractuales de Malla Vial y Parques de la Vigencia 2018 Realizados Utilizando los Pliegos Tipo</v>
      </c>
      <c r="AH38" s="313">
        <f t="shared" si="0"/>
        <v>0</v>
      </c>
      <c r="AI38" s="337" t="s">
        <v>143</v>
      </c>
      <c r="AJ38" s="314" t="s">
        <v>72</v>
      </c>
      <c r="AK38" s="337" t="s">
        <v>143</v>
      </c>
      <c r="AL38" s="337" t="s">
        <v>143</v>
      </c>
      <c r="AM38" s="312" t="str">
        <f>$G$38</f>
        <v>Porcentaje de Procesos Contractuales de Malla Vial y Parques de la Vigencia 2018 Realizados Utilizando los Pliegos Tipo</v>
      </c>
      <c r="AN38" s="313">
        <f t="shared" si="1"/>
        <v>0</v>
      </c>
      <c r="AO38" s="337"/>
      <c r="AP38" s="314" t="s">
        <v>72</v>
      </c>
      <c r="AQ38" s="337" t="s">
        <v>143</v>
      </c>
      <c r="AR38" s="337" t="s">
        <v>298</v>
      </c>
      <c r="AS38" s="312" t="str">
        <f>$G$38</f>
        <v>Porcentaje de Procesos Contractuales de Malla Vial y Parques de la Vigencia 2018 Realizados Utilizando los Pliegos Tipo</v>
      </c>
      <c r="AT38" s="313">
        <f t="shared" si="8"/>
        <v>1</v>
      </c>
      <c r="AU38" s="313">
        <f>2/2</f>
        <v>1</v>
      </c>
      <c r="AV38" s="313">
        <f t="shared" ref="AV38:AV44" si="10">AU38/AT38</f>
        <v>1</v>
      </c>
      <c r="AW38" s="315" t="s">
        <v>299</v>
      </c>
      <c r="AX38" s="303" t="s">
        <v>300</v>
      </c>
      <c r="AY38" s="312" t="str">
        <f>$G$38</f>
        <v>Porcentaje de Procesos Contractuales de Malla Vial y Parques de la Vigencia 2018 Realizados Utilizando los Pliegos Tipo</v>
      </c>
      <c r="AZ38" s="313">
        <f t="shared" si="2"/>
        <v>1</v>
      </c>
      <c r="BA38" s="318">
        <f>IF(K38="CONSTANTE",AVERAGE(AC38,AI38,AO38,AU38),(SUM(AC38,AI38,AO38,AU38)))</f>
        <v>1</v>
      </c>
      <c r="BB38" s="313">
        <f>BA38/AZ38</f>
        <v>1</v>
      </c>
      <c r="BC38" s="313">
        <f t="shared" si="3"/>
        <v>4.4999999999999998E-2</v>
      </c>
      <c r="BD38" s="320" t="s">
        <v>301</v>
      </c>
    </row>
    <row r="39" spans="1:56" s="321" customFormat="1" ht="251.25" customHeight="1" thickBot="1">
      <c r="A39" s="299">
        <v>21</v>
      </c>
      <c r="B39" s="323"/>
      <c r="C39" s="329"/>
      <c r="D39" s="330" t="s">
        <v>302</v>
      </c>
      <c r="E39" s="331">
        <v>5.0000000000000001E-3</v>
      </c>
      <c r="F39" s="332" t="s">
        <v>56</v>
      </c>
      <c r="G39" s="333" t="s">
        <v>303</v>
      </c>
      <c r="H39" s="333" t="s">
        <v>304</v>
      </c>
      <c r="I39" s="334">
        <v>1</v>
      </c>
      <c r="J39" s="306" t="s">
        <v>114</v>
      </c>
      <c r="K39" s="306" t="s">
        <v>305</v>
      </c>
      <c r="L39" s="335">
        <v>1</v>
      </c>
      <c r="M39" s="335">
        <v>1</v>
      </c>
      <c r="N39" s="335">
        <v>1</v>
      </c>
      <c r="O39" s="335">
        <v>1</v>
      </c>
      <c r="P39" s="334">
        <v>1</v>
      </c>
      <c r="Q39" s="324" t="s">
        <v>61</v>
      </c>
      <c r="R39" s="324" t="s">
        <v>306</v>
      </c>
      <c r="S39" s="324" t="s">
        <v>295</v>
      </c>
      <c r="T39" s="324" t="s">
        <v>294</v>
      </c>
      <c r="U39" s="303" t="s">
        <v>99</v>
      </c>
      <c r="V39" s="303" t="s">
        <v>66</v>
      </c>
      <c r="W39" s="326" t="s">
        <v>67</v>
      </c>
      <c r="X39" s="303">
        <v>1501</v>
      </c>
      <c r="Y39" s="308" t="s">
        <v>68</v>
      </c>
      <c r="Z39" s="336">
        <v>239893333</v>
      </c>
      <c r="AA39" s="293" t="str">
        <f>$G$39</f>
        <v>Porcentaje de Publicación de los Procesos Contractuales del FDL y Modificaciones Contractuales Realizado</v>
      </c>
      <c r="AB39" s="307">
        <f t="shared" si="9"/>
        <v>1</v>
      </c>
      <c r="AC39" s="338">
        <f>228/228</f>
        <v>1</v>
      </c>
      <c r="AD39" s="292">
        <f>AC39/AB39</f>
        <v>1</v>
      </c>
      <c r="AE39" s="311" t="s">
        <v>307</v>
      </c>
      <c r="AF39" s="311" t="s">
        <v>308</v>
      </c>
      <c r="AG39" s="312" t="str">
        <f>$G$39</f>
        <v>Porcentaje de Publicación de los Procesos Contractuales del FDL y Modificaciones Contractuales Realizado</v>
      </c>
      <c r="AH39" s="313">
        <f t="shared" si="0"/>
        <v>1</v>
      </c>
      <c r="AI39" s="316">
        <f>7/7</f>
        <v>1</v>
      </c>
      <c r="AJ39" s="317">
        <f>AI39/AH39</f>
        <v>1</v>
      </c>
      <c r="AK39" s="311" t="s">
        <v>309</v>
      </c>
      <c r="AL39" s="311" t="s">
        <v>308</v>
      </c>
      <c r="AM39" s="312" t="str">
        <f>$G$39</f>
        <v>Porcentaje de Publicación de los Procesos Contractuales del FDL y Modificaciones Contractuales Realizado</v>
      </c>
      <c r="AN39" s="313">
        <f t="shared" si="1"/>
        <v>1</v>
      </c>
      <c r="AO39" s="305">
        <v>1</v>
      </c>
      <c r="AP39" s="305">
        <f>AO39/AN39</f>
        <v>1</v>
      </c>
      <c r="AQ39" s="315" t="s">
        <v>310</v>
      </c>
      <c r="AR39" s="311" t="s">
        <v>308</v>
      </c>
      <c r="AS39" s="312" t="str">
        <f>$G$39</f>
        <v>Porcentaje de Publicación de los Procesos Contractuales del FDL y Modificaciones Contractuales Realizado</v>
      </c>
      <c r="AT39" s="313">
        <f t="shared" si="8"/>
        <v>1</v>
      </c>
      <c r="AU39" s="313">
        <f>P39</f>
        <v>1</v>
      </c>
      <c r="AV39" s="305">
        <f>AU39/AT39</f>
        <v>1</v>
      </c>
      <c r="AW39" s="315" t="s">
        <v>311</v>
      </c>
      <c r="AX39" s="303" t="s">
        <v>312</v>
      </c>
      <c r="AY39" s="312" t="str">
        <f>$G$39</f>
        <v>Porcentaje de Publicación de los Procesos Contractuales del FDL y Modificaciones Contractuales Realizado</v>
      </c>
      <c r="AZ39" s="313">
        <f t="shared" si="2"/>
        <v>1</v>
      </c>
      <c r="BA39" s="318">
        <v>1</v>
      </c>
      <c r="BB39" s="313">
        <f>BA39/AZ39</f>
        <v>1</v>
      </c>
      <c r="BC39" s="313">
        <f t="shared" si="3"/>
        <v>5.0000000000000001E-3</v>
      </c>
      <c r="BD39" s="320" t="s">
        <v>313</v>
      </c>
    </row>
    <row r="40" spans="1:56" s="321" customFormat="1" ht="93.75" customHeight="1" thickBot="1">
      <c r="A40" s="322">
        <v>22</v>
      </c>
      <c r="B40" s="323"/>
      <c r="C40" s="329"/>
      <c r="D40" s="330" t="s">
        <v>314</v>
      </c>
      <c r="E40" s="331">
        <v>5.0000000000000001E-3</v>
      </c>
      <c r="F40" s="332" t="s">
        <v>56</v>
      </c>
      <c r="G40" s="325" t="s">
        <v>315</v>
      </c>
      <c r="H40" s="325" t="s">
        <v>315</v>
      </c>
      <c r="I40" s="334">
        <v>1</v>
      </c>
      <c r="J40" s="306" t="s">
        <v>59</v>
      </c>
      <c r="K40" s="306" t="s">
        <v>316</v>
      </c>
      <c r="L40" s="335"/>
      <c r="M40" s="335"/>
      <c r="N40" s="335"/>
      <c r="O40" s="335">
        <v>0.8</v>
      </c>
      <c r="P40" s="334">
        <v>0.8</v>
      </c>
      <c r="Q40" s="324" t="s">
        <v>61</v>
      </c>
      <c r="R40" s="324" t="s">
        <v>317</v>
      </c>
      <c r="S40" s="324" t="s">
        <v>295</v>
      </c>
      <c r="T40" s="324" t="s">
        <v>317</v>
      </c>
      <c r="U40" s="303" t="s">
        <v>99</v>
      </c>
      <c r="V40" s="303" t="s">
        <v>66</v>
      </c>
      <c r="W40" s="326" t="s">
        <v>67</v>
      </c>
      <c r="X40" s="303">
        <v>1501</v>
      </c>
      <c r="Y40" s="308" t="s">
        <v>68</v>
      </c>
      <c r="Z40" s="336">
        <v>239893333</v>
      </c>
      <c r="AA40" s="293" t="str">
        <f>$G$40</f>
        <v>Porcentaje de bienes de caracteristicas tecnicas uniformes de común utilización aquiridos a través del portal CCE</v>
      </c>
      <c r="AB40" s="307">
        <f t="shared" si="9"/>
        <v>0</v>
      </c>
      <c r="AC40" s="291">
        <v>0</v>
      </c>
      <c r="AD40" s="310"/>
      <c r="AE40" s="311" t="s">
        <v>318</v>
      </c>
      <c r="AF40" s="311"/>
      <c r="AG40" s="312" t="str">
        <f>$G$40</f>
        <v>Porcentaje de bienes de caracteristicas tecnicas uniformes de común utilización aquiridos a través del portal CCE</v>
      </c>
      <c r="AH40" s="313">
        <f t="shared" si="0"/>
        <v>0</v>
      </c>
      <c r="AI40" s="337" t="s">
        <v>143</v>
      </c>
      <c r="AJ40" s="314" t="s">
        <v>72</v>
      </c>
      <c r="AK40" s="337" t="s">
        <v>143</v>
      </c>
      <c r="AL40" s="337" t="s">
        <v>143</v>
      </c>
      <c r="AM40" s="312" t="str">
        <f>$G$40</f>
        <v>Porcentaje de bienes de caracteristicas tecnicas uniformes de común utilización aquiridos a través del portal CCE</v>
      </c>
      <c r="AN40" s="313">
        <f t="shared" si="1"/>
        <v>0</v>
      </c>
      <c r="AO40" s="337"/>
      <c r="AP40" s="314" t="s">
        <v>72</v>
      </c>
      <c r="AQ40" s="337" t="s">
        <v>143</v>
      </c>
      <c r="AR40" s="312" t="str">
        <f>$G$40</f>
        <v>Porcentaje de bienes de caracteristicas tecnicas uniformes de común utilización aquiridos a través del portal CCE</v>
      </c>
      <c r="AS40" s="312" t="str">
        <f>$G$40</f>
        <v>Porcentaje de bienes de caracteristicas tecnicas uniformes de común utilización aquiridos a través del portal CCE</v>
      </c>
      <c r="AT40" s="313">
        <f t="shared" si="8"/>
        <v>0.8</v>
      </c>
      <c r="AU40" s="313">
        <f>P40</f>
        <v>0.8</v>
      </c>
      <c r="AV40" s="305">
        <f>AU40/AT40</f>
        <v>1</v>
      </c>
      <c r="AW40" s="315" t="s">
        <v>319</v>
      </c>
      <c r="AX40" s="303" t="s">
        <v>320</v>
      </c>
      <c r="AY40" s="312" t="str">
        <f>$G$40</f>
        <v>Porcentaje de bienes de caracteristicas tecnicas uniformes de común utilización aquiridos a través del portal CCE</v>
      </c>
      <c r="AZ40" s="313">
        <f t="shared" si="2"/>
        <v>0.8</v>
      </c>
      <c r="BA40" s="318">
        <f>IF(K40="CONSTANTE",AVERAGE(AC40,AI40,AO40,AU40),(SUM(AC40,AI40,AO40,AU40)))</f>
        <v>0.8</v>
      </c>
      <c r="BB40" s="313">
        <f>BA40/AZ40</f>
        <v>1</v>
      </c>
      <c r="BC40" s="313">
        <f>BB40*E40</f>
        <v>5.0000000000000001E-3</v>
      </c>
      <c r="BD40" s="320" t="s">
        <v>321</v>
      </c>
    </row>
    <row r="41" spans="1:56" s="321" customFormat="1" ht="408.75" customHeight="1" thickBot="1">
      <c r="A41" s="299">
        <v>23</v>
      </c>
      <c r="B41" s="323"/>
      <c r="C41" s="329"/>
      <c r="D41" s="330" t="s">
        <v>322</v>
      </c>
      <c r="E41" s="339">
        <v>0.03</v>
      </c>
      <c r="F41" s="332" t="s">
        <v>56</v>
      </c>
      <c r="G41" s="325" t="s">
        <v>323</v>
      </c>
      <c r="H41" s="325" t="s">
        <v>324</v>
      </c>
      <c r="I41" s="334">
        <v>1</v>
      </c>
      <c r="J41" s="306" t="s">
        <v>114</v>
      </c>
      <c r="K41" s="306" t="s">
        <v>325</v>
      </c>
      <c r="L41" s="335">
        <v>1</v>
      </c>
      <c r="M41" s="335">
        <v>1</v>
      </c>
      <c r="N41" s="335">
        <v>1</v>
      </c>
      <c r="O41" s="335">
        <v>1</v>
      </c>
      <c r="P41" s="334">
        <v>1</v>
      </c>
      <c r="Q41" s="324" t="s">
        <v>61</v>
      </c>
      <c r="R41" s="326" t="s">
        <v>326</v>
      </c>
      <c r="S41" s="326" t="s">
        <v>327</v>
      </c>
      <c r="T41" s="326" t="s">
        <v>326</v>
      </c>
      <c r="U41" s="303" t="s">
        <v>99</v>
      </c>
      <c r="V41" s="303" t="s">
        <v>66</v>
      </c>
      <c r="W41" s="326" t="s">
        <v>67</v>
      </c>
      <c r="X41" s="303">
        <v>1501</v>
      </c>
      <c r="Y41" s="308" t="s">
        <v>68</v>
      </c>
      <c r="Z41" s="327">
        <v>216516667</v>
      </c>
      <c r="AA41" s="293" t="str">
        <f>$G$41</f>
        <v>Porcentaje de Lineamientos Establecidos en la Directiva 12 de 2016 o Aquella que la Modifique Aplicados</v>
      </c>
      <c r="AB41" s="307">
        <f t="shared" si="9"/>
        <v>1</v>
      </c>
      <c r="AC41" s="338">
        <f>11/11</f>
        <v>1</v>
      </c>
      <c r="AD41" s="292">
        <f>AC41/AB41</f>
        <v>1</v>
      </c>
      <c r="AE41" s="311" t="s">
        <v>328</v>
      </c>
      <c r="AF41" s="311" t="s">
        <v>329</v>
      </c>
      <c r="AG41" s="312" t="str">
        <f>$G$41</f>
        <v>Porcentaje de Lineamientos Establecidos en la Directiva 12 de 2016 o Aquella que la Modifique Aplicados</v>
      </c>
      <c r="AH41" s="313">
        <f t="shared" si="0"/>
        <v>1</v>
      </c>
      <c r="AI41" s="340">
        <v>1</v>
      </c>
      <c r="AJ41" s="328">
        <f>AI41/AH41</f>
        <v>1</v>
      </c>
      <c r="AK41" s="341" t="s">
        <v>330</v>
      </c>
      <c r="AL41" s="303" t="s">
        <v>329</v>
      </c>
      <c r="AM41" s="312" t="str">
        <f>$G$41</f>
        <v>Porcentaje de Lineamientos Establecidos en la Directiva 12 de 2016 o Aquella que la Modifique Aplicados</v>
      </c>
      <c r="AN41" s="313">
        <f t="shared" si="1"/>
        <v>1</v>
      </c>
      <c r="AO41" s="305">
        <f>18/18</f>
        <v>1</v>
      </c>
      <c r="AP41" s="305">
        <f>AO41/AN41</f>
        <v>1</v>
      </c>
      <c r="AQ41" s="315" t="s">
        <v>331</v>
      </c>
      <c r="AR41" s="303" t="s">
        <v>329</v>
      </c>
      <c r="AS41" s="312" t="str">
        <f>$G$41</f>
        <v>Porcentaje de Lineamientos Establecidos en la Directiva 12 de 2016 o Aquella que la Modifique Aplicados</v>
      </c>
      <c r="AT41" s="313">
        <f t="shared" si="8"/>
        <v>1</v>
      </c>
      <c r="AU41" s="313">
        <f>16/16</f>
        <v>1</v>
      </c>
      <c r="AV41" s="313">
        <f t="shared" si="10"/>
        <v>1</v>
      </c>
      <c r="AW41" s="315" t="s">
        <v>332</v>
      </c>
      <c r="AX41" s="303" t="s">
        <v>329</v>
      </c>
      <c r="AY41" s="312" t="str">
        <f>$G$41</f>
        <v>Porcentaje de Lineamientos Establecidos en la Directiva 12 de 2016 o Aquella que la Modifique Aplicados</v>
      </c>
      <c r="AZ41" s="313">
        <f t="shared" si="2"/>
        <v>1</v>
      </c>
      <c r="BA41" s="318">
        <v>1</v>
      </c>
      <c r="BB41" s="313">
        <f>BA41/AZ41</f>
        <v>1</v>
      </c>
      <c r="BC41" s="313">
        <f>BB41*E41</f>
        <v>0.03</v>
      </c>
      <c r="BD41" s="320" t="s">
        <v>333</v>
      </c>
    </row>
    <row r="42" spans="1:56" s="185" customFormat="1" ht="93.75" customHeight="1" thickBot="1">
      <c r="A42" s="186">
        <v>24</v>
      </c>
      <c r="B42" s="172"/>
      <c r="C42" s="208"/>
      <c r="D42" s="209" t="s">
        <v>334</v>
      </c>
      <c r="E42" s="210">
        <v>5.0000000000000001E-3</v>
      </c>
      <c r="F42" s="211" t="s">
        <v>56</v>
      </c>
      <c r="G42" s="212" t="s">
        <v>335</v>
      </c>
      <c r="H42" s="181" t="s">
        <v>336</v>
      </c>
      <c r="I42" s="198"/>
      <c r="J42" s="213" t="s">
        <v>59</v>
      </c>
      <c r="K42" s="213" t="s">
        <v>337</v>
      </c>
      <c r="L42" s="214"/>
      <c r="M42" s="198">
        <v>1</v>
      </c>
      <c r="N42" s="198">
        <v>1</v>
      </c>
      <c r="O42" s="198">
        <v>1</v>
      </c>
      <c r="P42" s="198">
        <v>1</v>
      </c>
      <c r="Q42" s="178" t="s">
        <v>61</v>
      </c>
      <c r="R42" s="181" t="s">
        <v>338</v>
      </c>
      <c r="S42" s="181" t="s">
        <v>327</v>
      </c>
      <c r="T42" s="181" t="s">
        <v>339</v>
      </c>
      <c r="U42" s="94" t="s">
        <v>99</v>
      </c>
      <c r="V42" s="94" t="s">
        <v>66</v>
      </c>
      <c r="W42" s="181" t="s">
        <v>67</v>
      </c>
      <c r="X42" s="94">
        <v>1501</v>
      </c>
      <c r="Y42" s="59" t="s">
        <v>68</v>
      </c>
      <c r="Z42" s="215">
        <v>216516667</v>
      </c>
      <c r="AA42" s="94" t="str">
        <f>$G$42</f>
        <v>Porcentaje de Ejecución del Plan de Implementación del SIPSE Local</v>
      </c>
      <c r="AB42" s="92">
        <f t="shared" si="9"/>
        <v>0</v>
      </c>
      <c r="AC42" s="216">
        <v>0</v>
      </c>
      <c r="AD42" s="95"/>
      <c r="AE42" s="217" t="s">
        <v>340</v>
      </c>
      <c r="AF42" s="217"/>
      <c r="AG42" s="94" t="str">
        <f>$G$42</f>
        <v>Porcentaje de Ejecución del Plan de Implementación del SIPSE Local</v>
      </c>
      <c r="AH42" s="92">
        <f t="shared" si="0"/>
        <v>1</v>
      </c>
      <c r="AI42" s="216">
        <v>1</v>
      </c>
      <c r="AJ42" s="216">
        <v>1</v>
      </c>
      <c r="AK42" s="213" t="s">
        <v>341</v>
      </c>
      <c r="AL42" s="213" t="s">
        <v>342</v>
      </c>
      <c r="AM42" s="94" t="str">
        <f>$G$42</f>
        <v>Porcentaje de Ejecución del Plan de Implementación del SIPSE Local</v>
      </c>
      <c r="AN42" s="92">
        <f t="shared" si="1"/>
        <v>1</v>
      </c>
      <c r="AO42" s="216">
        <v>1</v>
      </c>
      <c r="AP42" s="154">
        <v>1</v>
      </c>
      <c r="AQ42" s="213" t="s">
        <v>343</v>
      </c>
      <c r="AR42" s="213" t="s">
        <v>344</v>
      </c>
      <c r="AS42" s="94" t="str">
        <f>$G$42</f>
        <v>Porcentaje de Ejecución del Plan de Implementación del SIPSE Local</v>
      </c>
      <c r="AT42" s="92">
        <f t="shared" si="8"/>
        <v>1</v>
      </c>
      <c r="AU42" s="216">
        <v>1</v>
      </c>
      <c r="AV42" s="154">
        <v>1</v>
      </c>
      <c r="AW42" s="60" t="s">
        <v>345</v>
      </c>
      <c r="AX42" s="213"/>
      <c r="AY42" s="94" t="str">
        <f>$G$42</f>
        <v>Porcentaje de Ejecución del Plan de Implementación del SIPSE Local</v>
      </c>
      <c r="AZ42" s="92">
        <f t="shared" si="2"/>
        <v>1</v>
      </c>
      <c r="BA42" s="296">
        <v>1</v>
      </c>
      <c r="BB42" s="154">
        <v>1</v>
      </c>
      <c r="BC42" s="412">
        <f>BB42*E42</f>
        <v>5.0000000000000001E-3</v>
      </c>
      <c r="BD42" s="60" t="s">
        <v>345</v>
      </c>
    </row>
    <row r="43" spans="1:56" s="185" customFormat="1" ht="129" customHeight="1" thickBot="1">
      <c r="A43" s="171">
        <v>25</v>
      </c>
      <c r="B43" s="172"/>
      <c r="C43" s="219"/>
      <c r="D43" s="220" t="s">
        <v>346</v>
      </c>
      <c r="E43" s="221">
        <v>0.02</v>
      </c>
      <c r="F43" s="211" t="s">
        <v>56</v>
      </c>
      <c r="G43" s="222" t="s">
        <v>347</v>
      </c>
      <c r="H43" s="178" t="s">
        <v>348</v>
      </c>
      <c r="I43" s="198"/>
      <c r="J43" s="213" t="s">
        <v>114</v>
      </c>
      <c r="K43" s="213" t="s">
        <v>349</v>
      </c>
      <c r="L43" s="198">
        <v>1</v>
      </c>
      <c r="M43" s="198">
        <v>1</v>
      </c>
      <c r="N43" s="198">
        <v>1</v>
      </c>
      <c r="O43" s="198">
        <v>1</v>
      </c>
      <c r="P43" s="198">
        <v>1</v>
      </c>
      <c r="Q43" s="178" t="s">
        <v>61</v>
      </c>
      <c r="R43" s="178" t="s">
        <v>350</v>
      </c>
      <c r="S43" s="178" t="s">
        <v>351</v>
      </c>
      <c r="T43" s="178" t="s">
        <v>350</v>
      </c>
      <c r="U43" s="94" t="s">
        <v>99</v>
      </c>
      <c r="V43" s="94" t="s">
        <v>66</v>
      </c>
      <c r="W43" s="181" t="s">
        <v>67</v>
      </c>
      <c r="X43" s="94">
        <v>1501</v>
      </c>
      <c r="Y43" s="59" t="s">
        <v>68</v>
      </c>
      <c r="Z43" s="191">
        <v>45147500</v>
      </c>
      <c r="AA43" s="94" t="str">
        <f>$G$43</f>
        <v>Porcentaje de asistencia a las jornadas programadas por la Dirección Financiera de la SDG</v>
      </c>
      <c r="AB43" s="223">
        <f t="shared" si="9"/>
        <v>1</v>
      </c>
      <c r="AC43" s="224">
        <f>1/1</f>
        <v>1</v>
      </c>
      <c r="AD43" s="118">
        <f>AC43/AB43</f>
        <v>1</v>
      </c>
      <c r="AE43" s="225" t="s">
        <v>352</v>
      </c>
      <c r="AF43" s="225" t="s">
        <v>353</v>
      </c>
      <c r="AG43" s="94" t="str">
        <f>$G$43</f>
        <v>Porcentaje de asistencia a las jornadas programadas por la Dirección Financiera de la SDG</v>
      </c>
      <c r="AH43" s="92">
        <f t="shared" si="0"/>
        <v>1</v>
      </c>
      <c r="AI43" s="198">
        <v>1</v>
      </c>
      <c r="AJ43" s="154">
        <v>1</v>
      </c>
      <c r="AK43" s="178" t="s">
        <v>354</v>
      </c>
      <c r="AL43" s="178" t="s">
        <v>353</v>
      </c>
      <c r="AM43" s="94" t="str">
        <f>$G$43</f>
        <v>Porcentaje de asistencia a las jornadas programadas por la Dirección Financiera de la SDG</v>
      </c>
      <c r="AN43" s="92">
        <f t="shared" si="1"/>
        <v>1</v>
      </c>
      <c r="AO43" s="198">
        <v>1</v>
      </c>
      <c r="AP43" s="154">
        <v>1</v>
      </c>
      <c r="AQ43" s="178" t="s">
        <v>354</v>
      </c>
      <c r="AR43" s="178" t="s">
        <v>355</v>
      </c>
      <c r="AS43" s="94" t="str">
        <f>$G$43</f>
        <v>Porcentaje de asistencia a las jornadas programadas por la Dirección Financiera de la SDG</v>
      </c>
      <c r="AT43" s="92">
        <f t="shared" si="8"/>
        <v>1</v>
      </c>
      <c r="AU43" s="98">
        <f>1/1</f>
        <v>1</v>
      </c>
      <c r="AV43" s="92">
        <f t="shared" si="10"/>
        <v>1</v>
      </c>
      <c r="AW43" s="178" t="s">
        <v>356</v>
      </c>
      <c r="AX43" s="178" t="s">
        <v>357</v>
      </c>
      <c r="AY43" s="94" t="str">
        <f>$G$43</f>
        <v>Porcentaje de asistencia a las jornadas programadas por la Dirección Financiera de la SDG</v>
      </c>
      <c r="AZ43" s="92">
        <f t="shared" si="2"/>
        <v>1</v>
      </c>
      <c r="BA43" s="296">
        <v>1</v>
      </c>
      <c r="BB43" s="154">
        <v>1</v>
      </c>
      <c r="BC43" s="184">
        <f t="shared" si="3"/>
        <v>0.02</v>
      </c>
      <c r="BD43" s="178" t="s">
        <v>356</v>
      </c>
    </row>
    <row r="44" spans="1:56" ht="211.5" customHeight="1" thickBot="1">
      <c r="A44" s="102">
        <v>26</v>
      </c>
      <c r="B44" s="103"/>
      <c r="C44" s="104"/>
      <c r="D44" s="226" t="s">
        <v>358</v>
      </c>
      <c r="E44" s="204">
        <v>5.0000000000000001E-3</v>
      </c>
      <c r="F44" s="107" t="s">
        <v>77</v>
      </c>
      <c r="G44" s="196" t="s">
        <v>359</v>
      </c>
      <c r="H44" s="107" t="s">
        <v>360</v>
      </c>
      <c r="I44" s="107"/>
      <c r="J44" s="91" t="s">
        <v>114</v>
      </c>
      <c r="K44" s="91" t="s">
        <v>361</v>
      </c>
      <c r="L44" s="198">
        <v>1</v>
      </c>
      <c r="M44" s="198">
        <v>1</v>
      </c>
      <c r="N44" s="198">
        <v>1</v>
      </c>
      <c r="O44" s="198">
        <v>1</v>
      </c>
      <c r="P44" s="207">
        <v>1</v>
      </c>
      <c r="Q44" s="107" t="s">
        <v>61</v>
      </c>
      <c r="R44" s="115" t="s">
        <v>362</v>
      </c>
      <c r="S44" s="107" t="s">
        <v>351</v>
      </c>
      <c r="T44" s="115" t="s">
        <v>362</v>
      </c>
      <c r="U44" s="89" t="s">
        <v>99</v>
      </c>
      <c r="V44" s="89" t="s">
        <v>66</v>
      </c>
      <c r="W44" s="115" t="s">
        <v>67</v>
      </c>
      <c r="X44" s="89">
        <v>1501</v>
      </c>
      <c r="Y44" s="59" t="s">
        <v>68</v>
      </c>
      <c r="Z44" s="110">
        <v>45147500</v>
      </c>
      <c r="AA44" s="94" t="str">
        <f>$G$44</f>
        <v>Porcentaje de reporte de información insumo para contabilidad</v>
      </c>
      <c r="AB44" s="224">
        <f t="shared" si="9"/>
        <v>1</v>
      </c>
      <c r="AC44" s="140">
        <v>1</v>
      </c>
      <c r="AD44" s="118">
        <f>AC44/AB44</f>
        <v>1</v>
      </c>
      <c r="AE44" s="96" t="s">
        <v>363</v>
      </c>
      <c r="AF44" s="227"/>
      <c r="AG44" s="97" t="str">
        <f>$G$44</f>
        <v>Porcentaje de reporte de información insumo para contabilidad</v>
      </c>
      <c r="AH44" s="98">
        <f t="shared" si="0"/>
        <v>1</v>
      </c>
      <c r="AI44" s="116">
        <f>14/15</f>
        <v>0.93333333333333335</v>
      </c>
      <c r="AJ44" s="165">
        <f>AI44/AH44</f>
        <v>0.93333333333333335</v>
      </c>
      <c r="AK44" s="57" t="s">
        <v>364</v>
      </c>
      <c r="AL44" s="115" t="s">
        <v>365</v>
      </c>
      <c r="AM44" s="97" t="str">
        <f>$G$44</f>
        <v>Porcentaje de reporte de información insumo para contabilidad</v>
      </c>
      <c r="AN44" s="98">
        <f t="shared" si="1"/>
        <v>1</v>
      </c>
      <c r="AO44" s="90">
        <v>0.83299999999999996</v>
      </c>
      <c r="AP44" s="90">
        <f>AO44/AN44</f>
        <v>0.83299999999999996</v>
      </c>
      <c r="AQ44" s="57" t="s">
        <v>366</v>
      </c>
      <c r="AR44" s="115" t="s">
        <v>365</v>
      </c>
      <c r="AS44" s="97" t="str">
        <f>$G$44</f>
        <v>Porcentaje de reporte de información insumo para contabilidad</v>
      </c>
      <c r="AT44" s="98">
        <f t="shared" si="8"/>
        <v>1</v>
      </c>
      <c r="AU44" s="98">
        <f>P44</f>
        <v>1</v>
      </c>
      <c r="AV44" s="98">
        <f t="shared" si="10"/>
        <v>1</v>
      </c>
      <c r="AW44" s="57" t="s">
        <v>367</v>
      </c>
      <c r="AX44" s="115" t="s">
        <v>365</v>
      </c>
      <c r="AY44" s="97" t="str">
        <f>$G$44</f>
        <v>Porcentaje de reporte de información insumo para contabilidad</v>
      </c>
      <c r="AZ44" s="98">
        <f t="shared" si="2"/>
        <v>1</v>
      </c>
      <c r="BA44" s="296">
        <f>AVERAGE(AC44,AI44,AO44,AU44)</f>
        <v>0.94158333333333333</v>
      </c>
      <c r="BB44" s="98">
        <f>BA44/AZ44</f>
        <v>0.94158333333333333</v>
      </c>
      <c r="BC44" s="98">
        <f t="shared" si="3"/>
        <v>4.7079166666666667E-3</v>
      </c>
      <c r="BD44" s="298" t="s">
        <v>368</v>
      </c>
    </row>
    <row r="45" spans="1:56" ht="93.75" customHeight="1" thickBot="1">
      <c r="A45" s="228"/>
      <c r="B45" s="103"/>
      <c r="C45" s="104"/>
      <c r="D45" s="229" t="s">
        <v>109</v>
      </c>
      <c r="E45" s="142">
        <v>0.17</v>
      </c>
      <c r="F45" s="230"/>
      <c r="G45" s="231"/>
      <c r="H45" s="231"/>
      <c r="I45" s="230"/>
      <c r="J45" s="91"/>
      <c r="K45" s="91"/>
      <c r="L45" s="232"/>
      <c r="M45" s="232"/>
      <c r="N45" s="232"/>
      <c r="O45" s="232"/>
      <c r="P45" s="230"/>
      <c r="Q45" s="233"/>
      <c r="R45" s="233"/>
      <c r="S45" s="233"/>
      <c r="T45" s="233"/>
      <c r="U45" s="233"/>
      <c r="V45" s="233"/>
      <c r="W45" s="233"/>
      <c r="X45" s="233"/>
      <c r="Y45" s="234"/>
      <c r="Z45" s="235"/>
      <c r="AA45" s="94"/>
      <c r="AB45" s="92"/>
      <c r="AC45" s="218"/>
      <c r="AD45" s="95"/>
      <c r="AE45" s="119"/>
      <c r="AF45" s="119"/>
      <c r="AG45" s="97"/>
      <c r="AH45" s="98"/>
      <c r="AI45" s="120"/>
      <c r="AJ45" s="99"/>
      <c r="AK45" s="91"/>
      <c r="AL45" s="91"/>
      <c r="AM45" s="97"/>
      <c r="AN45" s="98"/>
      <c r="AO45" s="120"/>
      <c r="AP45" s="99"/>
      <c r="AQ45" s="91"/>
      <c r="AR45" s="91"/>
      <c r="AS45" s="97"/>
      <c r="AT45" s="98"/>
      <c r="AU45" s="120"/>
      <c r="AV45" s="99"/>
      <c r="AW45" s="53"/>
      <c r="AX45" s="91"/>
      <c r="AY45" s="97"/>
      <c r="AZ45" s="98"/>
      <c r="BA45" s="120"/>
      <c r="BB45" s="99"/>
      <c r="BC45" s="101"/>
      <c r="BD45" s="297"/>
    </row>
    <row r="46" spans="1:56" ht="159" customHeight="1" thickBot="1">
      <c r="A46" s="88">
        <v>27</v>
      </c>
      <c r="B46" s="103"/>
      <c r="C46" s="236" t="s">
        <v>369</v>
      </c>
      <c r="D46" s="237" t="s">
        <v>370</v>
      </c>
      <c r="E46" s="139">
        <v>7.0000000000000007E-2</v>
      </c>
      <c r="F46" s="91" t="s">
        <v>56</v>
      </c>
      <c r="G46" s="119" t="s">
        <v>371</v>
      </c>
      <c r="H46" s="238" t="s">
        <v>372</v>
      </c>
      <c r="I46" s="239">
        <v>0.91</v>
      </c>
      <c r="J46" s="91" t="s">
        <v>114</v>
      </c>
      <c r="K46" s="91" t="s">
        <v>373</v>
      </c>
      <c r="L46" s="216">
        <v>1</v>
      </c>
      <c r="M46" s="216">
        <v>1</v>
      </c>
      <c r="N46" s="216">
        <v>1</v>
      </c>
      <c r="O46" s="198">
        <v>1</v>
      </c>
      <c r="P46" s="207">
        <v>1</v>
      </c>
      <c r="Q46" s="91" t="s">
        <v>61</v>
      </c>
      <c r="R46" s="91" t="s">
        <v>374</v>
      </c>
      <c r="S46" s="91" t="s">
        <v>375</v>
      </c>
      <c r="T46" s="91" t="s">
        <v>374</v>
      </c>
      <c r="U46" s="89" t="s">
        <v>99</v>
      </c>
      <c r="V46" s="89" t="s">
        <v>66</v>
      </c>
      <c r="W46" s="115" t="s">
        <v>67</v>
      </c>
      <c r="X46" s="89">
        <v>1501</v>
      </c>
      <c r="Y46" s="59" t="s">
        <v>68</v>
      </c>
      <c r="Z46" s="235">
        <f>28800000+28000000</f>
        <v>56800000</v>
      </c>
      <c r="AA46" s="94" t="str">
        <f>$G$46</f>
        <v>Porcentaje de Requerimientos Asignados a la Alcaldia Local Respondidos</v>
      </c>
      <c r="AB46" s="223">
        <f>L46</f>
        <v>1</v>
      </c>
      <c r="AC46" s="117">
        <f>158/412</f>
        <v>0.38349514563106796</v>
      </c>
      <c r="AD46" s="118">
        <f>AC46/AB46</f>
        <v>0.38349514563106796</v>
      </c>
      <c r="AE46" s="119" t="s">
        <v>376</v>
      </c>
      <c r="AF46" s="119" t="s">
        <v>377</v>
      </c>
      <c r="AG46" s="97" t="str">
        <f>$G$46</f>
        <v>Porcentaje de Requerimientos Asignados a la Alcaldia Local Respondidos</v>
      </c>
      <c r="AH46" s="240">
        <f t="shared" si="0"/>
        <v>1</v>
      </c>
      <c r="AI46" s="241">
        <f>274/573</f>
        <v>0.4781849912739965</v>
      </c>
      <c r="AJ46" s="165">
        <f>AI46/AH46</f>
        <v>0.4781849912739965</v>
      </c>
      <c r="AK46" s="119" t="s">
        <v>378</v>
      </c>
      <c r="AL46" s="119" t="s">
        <v>377</v>
      </c>
      <c r="AM46" s="97" t="str">
        <f>$G$46</f>
        <v>Porcentaje de Requerimientos Asignados a la Alcaldia Local Respondidos</v>
      </c>
      <c r="AN46" s="98">
        <f t="shared" si="1"/>
        <v>1</v>
      </c>
      <c r="AO46" s="241">
        <f>202/408</f>
        <v>0.49509803921568629</v>
      </c>
      <c r="AP46" s="241">
        <f>AO46/AN46</f>
        <v>0.49509803921568629</v>
      </c>
      <c r="AQ46" s="53" t="s">
        <v>379</v>
      </c>
      <c r="AR46" s="119" t="s">
        <v>377</v>
      </c>
      <c r="AS46" s="97" t="str">
        <f>$G$46</f>
        <v>Porcentaje de Requerimientos Asignados a la Alcaldia Local Respondidos</v>
      </c>
      <c r="AT46" s="98">
        <f>O46</f>
        <v>1</v>
      </c>
      <c r="AU46" s="98">
        <f>88/413</f>
        <v>0.21307506053268765</v>
      </c>
      <c r="AV46" s="98">
        <f>AU46/AT46</f>
        <v>0.21307506053268765</v>
      </c>
      <c r="AW46" s="53" t="s">
        <v>380</v>
      </c>
      <c r="AX46" s="91" t="s">
        <v>377</v>
      </c>
      <c r="AY46" s="97" t="str">
        <f>$G$46</f>
        <v>Porcentaje de Requerimientos Asignados a la Alcaldia Local Respondidos</v>
      </c>
      <c r="AZ46" s="98">
        <f t="shared" si="2"/>
        <v>1</v>
      </c>
      <c r="BA46" s="296">
        <f>AVERAGE(AC46,AI46,AO46,AU46)</f>
        <v>0.39246330916335959</v>
      </c>
      <c r="BB46" s="98">
        <f>BA46/AZ46</f>
        <v>0.39246330916335959</v>
      </c>
      <c r="BC46" s="98">
        <f t="shared" si="3"/>
        <v>2.7472431641435174E-2</v>
      </c>
      <c r="BD46" s="237" t="s">
        <v>381</v>
      </c>
    </row>
    <row r="47" spans="1:56" ht="93.75" customHeight="1" thickBot="1">
      <c r="A47" s="88"/>
      <c r="B47" s="103"/>
      <c r="C47" s="242"/>
      <c r="D47" s="243" t="s">
        <v>109</v>
      </c>
      <c r="E47" s="139">
        <v>7.0000000000000007E-2</v>
      </c>
      <c r="F47" s="128"/>
      <c r="G47" s="134"/>
      <c r="H47" s="134"/>
      <c r="I47" s="128"/>
      <c r="J47" s="91"/>
      <c r="K47" s="91"/>
      <c r="L47" s="133"/>
      <c r="M47" s="133"/>
      <c r="N47" s="133"/>
      <c r="O47" s="133"/>
      <c r="P47" s="136"/>
      <c r="Q47" s="128"/>
      <c r="R47" s="128"/>
      <c r="S47" s="128"/>
      <c r="T47" s="128"/>
      <c r="U47" s="128"/>
      <c r="V47" s="244"/>
      <c r="W47" s="244"/>
      <c r="X47" s="244"/>
      <c r="Y47" s="245"/>
      <c r="Z47" s="246"/>
      <c r="AA47" s="94"/>
      <c r="AB47" s="92"/>
      <c r="AC47" s="133"/>
      <c r="AD47" s="95"/>
      <c r="AE47" s="134"/>
      <c r="AF47" s="134"/>
      <c r="AG47" s="97"/>
      <c r="AH47" s="98"/>
      <c r="AI47" s="136"/>
      <c r="AJ47" s="99"/>
      <c r="AK47" s="128"/>
      <c r="AL47" s="128"/>
      <c r="AM47" s="97"/>
      <c r="AN47" s="98"/>
      <c r="AO47" s="136"/>
      <c r="AP47" s="99"/>
      <c r="AQ47" s="128"/>
      <c r="AR47" s="128"/>
      <c r="AS47" s="97"/>
      <c r="AT47" s="98"/>
      <c r="AU47" s="136"/>
      <c r="AV47" s="99"/>
      <c r="AW47" s="55"/>
      <c r="AX47" s="128"/>
      <c r="AY47" s="97"/>
      <c r="AZ47" s="98"/>
      <c r="BA47" s="136"/>
      <c r="BB47" s="99"/>
      <c r="BC47" s="101"/>
      <c r="BD47" s="56"/>
    </row>
    <row r="48" spans="1:56" s="185" customFormat="1" ht="177.75" customHeight="1" thickBot="1">
      <c r="A48" s="171">
        <v>28</v>
      </c>
      <c r="B48" s="172"/>
      <c r="C48" s="247" t="s">
        <v>382</v>
      </c>
      <c r="D48" s="248" t="s">
        <v>383</v>
      </c>
      <c r="E48" s="249">
        <v>0.05</v>
      </c>
      <c r="F48" s="250" t="s">
        <v>77</v>
      </c>
      <c r="G48" s="251" t="s">
        <v>384</v>
      </c>
      <c r="H48" s="251" t="s">
        <v>385</v>
      </c>
      <c r="I48" s="250" t="s">
        <v>241</v>
      </c>
      <c r="J48" s="94" t="s">
        <v>59</v>
      </c>
      <c r="K48" s="94">
        <v>2844</v>
      </c>
      <c r="L48" s="250"/>
      <c r="M48" s="250"/>
      <c r="N48" s="223" t="s">
        <v>386</v>
      </c>
      <c r="O48" s="223" t="s">
        <v>386</v>
      </c>
      <c r="P48" s="223">
        <v>1</v>
      </c>
      <c r="Q48" s="250" t="s">
        <v>61</v>
      </c>
      <c r="R48" s="250" t="s">
        <v>387</v>
      </c>
      <c r="S48" s="250" t="s">
        <v>388</v>
      </c>
      <c r="T48" s="94" t="s">
        <v>389</v>
      </c>
      <c r="U48" s="94" t="s">
        <v>99</v>
      </c>
      <c r="V48" s="94" t="s">
        <v>66</v>
      </c>
      <c r="W48" s="181" t="s">
        <v>67</v>
      </c>
      <c r="X48" s="94">
        <v>1501</v>
      </c>
      <c r="Y48" s="59" t="s">
        <v>68</v>
      </c>
      <c r="Z48" s="182">
        <f>44800000/3</f>
        <v>14933333.333333334</v>
      </c>
      <c r="AA48" s="94" t="str">
        <f>$G$48</f>
        <v>TRD de contratos aplicada para la serie de contratos en la alcaldía local para la documentación producida entre el 29 de diciembre de 2006 al 29 de septiembre de 2016</v>
      </c>
      <c r="AB48" s="252">
        <f>L48</f>
        <v>0</v>
      </c>
      <c r="AC48" s="153" t="s">
        <v>245</v>
      </c>
      <c r="AD48" s="153" t="s">
        <v>245</v>
      </c>
      <c r="AE48" s="153" t="s">
        <v>245</v>
      </c>
      <c r="AF48" s="153" t="s">
        <v>245</v>
      </c>
      <c r="AG48" s="94" t="str">
        <f>$G$48</f>
        <v>TRD de contratos aplicada para la serie de contratos en la alcaldía local para la documentación producida entre el 29 de diciembre de 2006 al 29 de septiembre de 2016</v>
      </c>
      <c r="AH48" s="153">
        <f t="shared" si="0"/>
        <v>0</v>
      </c>
      <c r="AI48" s="153"/>
      <c r="AJ48" s="95" t="s">
        <v>72</v>
      </c>
      <c r="AK48" s="94"/>
      <c r="AL48" s="94"/>
      <c r="AM48" s="94" t="str">
        <f>$G$48</f>
        <v>TRD de contratos aplicada para la serie de contratos en la alcaldía local para la documentación producida entre el 29 de diciembre de 2006 al 29 de septiembre de 2016</v>
      </c>
      <c r="AN48" s="153" t="str">
        <f t="shared" si="1"/>
        <v>50% (1422)</v>
      </c>
      <c r="AO48" s="241" t="s">
        <v>390</v>
      </c>
      <c r="AP48" s="241">
        <v>1</v>
      </c>
      <c r="AQ48" s="94" t="s">
        <v>391</v>
      </c>
      <c r="AR48" s="94" t="s">
        <v>392</v>
      </c>
      <c r="AS48" s="94" t="str">
        <f>$G$48</f>
        <v>TRD de contratos aplicada para la serie de contratos en la alcaldía local para la documentación producida entre el 29 de diciembre de 2006 al 29 de septiembre de 2016</v>
      </c>
      <c r="AT48" s="153" t="str">
        <f>O48</f>
        <v>50% (1422)</v>
      </c>
      <c r="AU48" s="140">
        <v>8.7900000000000006E-2</v>
      </c>
      <c r="AV48" s="98">
        <f>+AU48/50%</f>
        <v>0.17580000000000001</v>
      </c>
      <c r="AW48" s="59" t="s">
        <v>393</v>
      </c>
      <c r="AX48" s="94" t="s">
        <v>394</v>
      </c>
      <c r="AY48" s="94" t="str">
        <f>$G$48</f>
        <v>TRD de contratos aplicada para la serie de contratos en la alcaldía local para la documentación producida entre el 29 de diciembre de 2006 al 29 de septiembre de 2016</v>
      </c>
      <c r="AZ48" s="92">
        <v>1</v>
      </c>
      <c r="BA48" s="371">
        <v>0.66349999999999998</v>
      </c>
      <c r="BB48" s="98">
        <f>BA48/AZ48</f>
        <v>0.66349999999999998</v>
      </c>
      <c r="BC48" s="98">
        <f t="shared" si="3"/>
        <v>3.3175000000000003E-2</v>
      </c>
      <c r="BD48" s="59" t="s">
        <v>395</v>
      </c>
    </row>
    <row r="49" spans="1:61" ht="81" customHeight="1" thickBot="1">
      <c r="A49" s="228"/>
      <c r="B49" s="103"/>
      <c r="C49" s="253"/>
      <c r="D49" s="254" t="s">
        <v>109</v>
      </c>
      <c r="E49" s="255">
        <v>0.05</v>
      </c>
      <c r="F49" s="91"/>
      <c r="G49" s="119"/>
      <c r="H49" s="119"/>
      <c r="I49" s="91"/>
      <c r="J49" s="91"/>
      <c r="K49" s="91"/>
      <c r="L49" s="216"/>
      <c r="M49" s="216"/>
      <c r="N49" s="216"/>
      <c r="O49" s="216"/>
      <c r="P49" s="91"/>
      <c r="Q49" s="91"/>
      <c r="R49" s="91"/>
      <c r="S49" s="91"/>
      <c r="T49" s="91"/>
      <c r="U49" s="91"/>
      <c r="V49" s="91"/>
      <c r="W49" s="91"/>
      <c r="X49" s="91"/>
      <c r="Y49" s="60"/>
      <c r="Z49" s="256"/>
      <c r="AA49" s="94"/>
      <c r="AB49" s="92"/>
      <c r="AC49" s="218"/>
      <c r="AD49" s="95"/>
      <c r="AE49" s="119"/>
      <c r="AF49" s="119"/>
      <c r="AG49" s="97"/>
      <c r="AH49" s="98"/>
      <c r="AI49" s="120"/>
      <c r="AJ49" s="99"/>
      <c r="AK49" s="91"/>
      <c r="AL49" s="91"/>
      <c r="AM49" s="97"/>
      <c r="AN49" s="98"/>
      <c r="AO49" s="120"/>
      <c r="AP49" s="99"/>
      <c r="AQ49" s="91"/>
      <c r="AR49" s="91"/>
      <c r="AS49" s="97"/>
      <c r="AT49" s="98"/>
      <c r="AU49" s="120"/>
      <c r="AV49" s="99"/>
      <c r="AW49" s="53"/>
      <c r="AX49" s="91"/>
      <c r="AY49" s="97"/>
      <c r="AZ49" s="98"/>
      <c r="BA49" s="120"/>
      <c r="BB49" s="99"/>
      <c r="BC49" s="101"/>
      <c r="BD49" s="54"/>
    </row>
    <row r="50" spans="1:61" s="185" customFormat="1" ht="128.25" customHeight="1" thickBot="1">
      <c r="A50" s="171">
        <v>29</v>
      </c>
      <c r="B50" s="172"/>
      <c r="C50" s="257" t="s">
        <v>396</v>
      </c>
      <c r="D50" s="248" t="s">
        <v>397</v>
      </c>
      <c r="E50" s="249">
        <v>0.05</v>
      </c>
      <c r="F50" s="94" t="s">
        <v>56</v>
      </c>
      <c r="G50" s="183" t="s">
        <v>398</v>
      </c>
      <c r="H50" s="94" t="s">
        <v>399</v>
      </c>
      <c r="I50" s="94" t="s">
        <v>241</v>
      </c>
      <c r="J50" s="94" t="s">
        <v>114</v>
      </c>
      <c r="K50" s="94" t="s">
        <v>400</v>
      </c>
      <c r="L50" s="92"/>
      <c r="M50" s="92"/>
      <c r="N50" s="92">
        <v>1</v>
      </c>
      <c r="O50" s="92">
        <v>1</v>
      </c>
      <c r="P50" s="92">
        <v>1</v>
      </c>
      <c r="Q50" s="94" t="s">
        <v>61</v>
      </c>
      <c r="R50" s="94" t="s">
        <v>401</v>
      </c>
      <c r="S50" s="94" t="s">
        <v>402</v>
      </c>
      <c r="T50" s="94" t="s">
        <v>403</v>
      </c>
      <c r="U50" s="94" t="s">
        <v>99</v>
      </c>
      <c r="V50" s="213"/>
      <c r="W50" s="213"/>
      <c r="X50" s="213"/>
      <c r="Y50" s="60"/>
      <c r="Z50" s="258"/>
      <c r="AA50" s="94" t="str">
        <f>$G$50</f>
        <v>Porcentaje del lineamientos de gestión de TIC Impartidas por la DTI del nivel central Cumplidas</v>
      </c>
      <c r="AB50" s="92">
        <f>L50</f>
        <v>0</v>
      </c>
      <c r="AC50" s="259">
        <v>1</v>
      </c>
      <c r="AD50" s="118">
        <v>1</v>
      </c>
      <c r="AE50" s="217" t="s">
        <v>404</v>
      </c>
      <c r="AF50" s="217"/>
      <c r="AG50" s="94" t="str">
        <f>$G$50</f>
        <v>Porcentaje del lineamientos de gestión de TIC Impartidas por la DTI del nivel central Cumplidas</v>
      </c>
      <c r="AH50" s="92">
        <f t="shared" si="0"/>
        <v>0</v>
      </c>
      <c r="AI50" s="260"/>
      <c r="AJ50" s="95" t="s">
        <v>72</v>
      </c>
      <c r="AK50" s="213"/>
      <c r="AL50" s="213"/>
      <c r="AM50" s="94" t="str">
        <f>$G$50</f>
        <v>Porcentaje del lineamientos de gestión de TIC Impartidas por la DTI del nivel central Cumplidas</v>
      </c>
      <c r="AN50" s="92">
        <f t="shared" si="1"/>
        <v>1</v>
      </c>
      <c r="AO50" s="259">
        <v>0.43</v>
      </c>
      <c r="AP50" s="118">
        <f>AO50/AN50</f>
        <v>0.43</v>
      </c>
      <c r="AQ50" s="213" t="s">
        <v>405</v>
      </c>
      <c r="AR50" s="213" t="s">
        <v>406</v>
      </c>
      <c r="AS50" s="94" t="str">
        <f>$G$50</f>
        <v>Porcentaje del lineamientos de gestión de TIC Impartidas por la DTI del nivel central Cumplidas</v>
      </c>
      <c r="AT50" s="92">
        <f>O50</f>
        <v>1</v>
      </c>
      <c r="AU50" s="372">
        <v>0.76</v>
      </c>
      <c r="AV50" s="98">
        <f>AU50/AT50</f>
        <v>0.76</v>
      </c>
      <c r="AW50" s="60" t="s">
        <v>407</v>
      </c>
      <c r="AX50" s="213" t="s">
        <v>408</v>
      </c>
      <c r="AY50" s="94" t="str">
        <f>$G$50</f>
        <v>Porcentaje del lineamientos de gestión de TIC Impartidas por la DTI del nivel central Cumplidas</v>
      </c>
      <c r="AZ50" s="92">
        <f t="shared" si="2"/>
        <v>1</v>
      </c>
      <c r="BA50" s="296">
        <f>AVERAGE(AO50,AU50)</f>
        <v>0.59499999999999997</v>
      </c>
      <c r="BB50" s="98">
        <f>BA50/AZ50</f>
        <v>0.59499999999999997</v>
      </c>
      <c r="BC50" s="98">
        <f t="shared" si="3"/>
        <v>2.9749999999999999E-2</v>
      </c>
      <c r="BD50" s="60" t="s">
        <v>409</v>
      </c>
    </row>
    <row r="51" spans="1:61" ht="93.75" customHeight="1" thickBot="1">
      <c r="A51" s="88"/>
      <c r="B51" s="261"/>
      <c r="C51" s="262"/>
      <c r="D51" s="263" t="s">
        <v>109</v>
      </c>
      <c r="E51" s="255">
        <v>0.05</v>
      </c>
      <c r="F51" s="107"/>
      <c r="G51" s="119"/>
      <c r="H51" s="91"/>
      <c r="I51" s="91"/>
      <c r="J51" s="91"/>
      <c r="K51" s="91"/>
      <c r="L51" s="216"/>
      <c r="M51" s="216"/>
      <c r="N51" s="216"/>
      <c r="O51" s="216"/>
      <c r="P51" s="239"/>
      <c r="Q51" s="91"/>
      <c r="R51" s="91"/>
      <c r="S51" s="91"/>
      <c r="T51" s="91"/>
      <c r="U51" s="91"/>
      <c r="V51" s="91"/>
      <c r="W51" s="91"/>
      <c r="X51" s="91"/>
      <c r="Y51" s="60"/>
      <c r="Z51" s="256"/>
      <c r="AA51" s="94"/>
      <c r="AB51" s="92"/>
      <c r="AC51" s="260"/>
      <c r="AD51" s="95"/>
      <c r="AE51" s="119"/>
      <c r="AF51" s="119"/>
      <c r="AG51" s="97"/>
      <c r="AH51" s="98"/>
      <c r="AI51" s="264"/>
      <c r="AJ51" s="99"/>
      <c r="AK51" s="91"/>
      <c r="AL51" s="91"/>
      <c r="AM51" s="97"/>
      <c r="AN51" s="98"/>
      <c r="AO51" s="264"/>
      <c r="AP51" s="99"/>
      <c r="AQ51" s="91"/>
      <c r="AR51" s="91"/>
      <c r="AS51" s="97"/>
      <c r="AT51" s="98"/>
      <c r="AU51" s="264"/>
      <c r="AV51" s="99"/>
      <c r="AW51" s="53"/>
      <c r="AX51" s="91"/>
      <c r="AY51" s="97"/>
      <c r="AZ51" s="98"/>
      <c r="BA51" s="264"/>
      <c r="BB51" s="99"/>
      <c r="BC51" s="101"/>
      <c r="BD51" s="54"/>
    </row>
    <row r="52" spans="1:61" s="185" customFormat="1" ht="218.25" customHeight="1" thickBot="1">
      <c r="A52" s="171">
        <v>30</v>
      </c>
      <c r="B52" s="478" t="s">
        <v>410</v>
      </c>
      <c r="C52" s="475" t="s">
        <v>411</v>
      </c>
      <c r="D52" s="199" t="s">
        <v>412</v>
      </c>
      <c r="E52" s="265">
        <v>0.03</v>
      </c>
      <c r="F52" s="266" t="s">
        <v>413</v>
      </c>
      <c r="G52" s="267" t="s">
        <v>414</v>
      </c>
      <c r="H52" s="267" t="s">
        <v>415</v>
      </c>
      <c r="I52" s="250"/>
      <c r="J52" s="213" t="s">
        <v>59</v>
      </c>
      <c r="K52" s="213" t="s">
        <v>416</v>
      </c>
      <c r="L52" s="153"/>
      <c r="M52" s="153"/>
      <c r="N52" s="192"/>
      <c r="O52" s="192">
        <v>1</v>
      </c>
      <c r="P52" s="268">
        <v>1</v>
      </c>
      <c r="Q52" s="94" t="s">
        <v>61</v>
      </c>
      <c r="R52" s="94" t="s">
        <v>417</v>
      </c>
      <c r="S52" s="94"/>
      <c r="T52" s="94"/>
      <c r="U52" s="94"/>
      <c r="V52" s="94"/>
      <c r="W52" s="94"/>
      <c r="X52" s="94"/>
      <c r="Y52" s="62"/>
      <c r="Z52" s="182"/>
      <c r="AA52" s="94" t="str">
        <f>$G$52</f>
        <v>Ejercicios de evaluación de los requisitos legales aplicables el proceso/Alcaldía realizados</v>
      </c>
      <c r="AB52" s="153">
        <f>L52</f>
        <v>0</v>
      </c>
      <c r="AC52" s="153"/>
      <c r="AD52" s="95"/>
      <c r="AE52" s="183" t="s">
        <v>71</v>
      </c>
      <c r="AF52" s="183"/>
      <c r="AG52" s="94" t="str">
        <f>$G$52</f>
        <v>Ejercicios de evaluación de los requisitos legales aplicables el proceso/Alcaldía realizados</v>
      </c>
      <c r="AH52" s="153">
        <f t="shared" si="0"/>
        <v>0</v>
      </c>
      <c r="AI52" s="153"/>
      <c r="AJ52" s="95" t="s">
        <v>72</v>
      </c>
      <c r="AK52" s="94"/>
      <c r="AL52" s="94"/>
      <c r="AM52" s="94" t="str">
        <f>$G$52</f>
        <v>Ejercicios de evaluación de los requisitos legales aplicables el proceso/Alcaldía realizados</v>
      </c>
      <c r="AN52" s="153">
        <f t="shared" si="1"/>
        <v>0</v>
      </c>
      <c r="AO52" s="153"/>
      <c r="AP52" s="95" t="s">
        <v>418</v>
      </c>
      <c r="AQ52" s="94" t="s">
        <v>418</v>
      </c>
      <c r="AR52" s="94"/>
      <c r="AS52" s="94" t="str">
        <f>$G$52</f>
        <v>Ejercicios de evaluación de los requisitos legales aplicables el proceso/Alcaldía realizados</v>
      </c>
      <c r="AT52" s="153">
        <f>O52</f>
        <v>1</v>
      </c>
      <c r="AU52" s="153">
        <v>1</v>
      </c>
      <c r="AV52" s="98">
        <f t="shared" ref="AV52:AV58" si="11">AU52/AT52</f>
        <v>1</v>
      </c>
      <c r="AW52" s="59" t="s">
        <v>419</v>
      </c>
      <c r="AX52" s="94" t="s">
        <v>420</v>
      </c>
      <c r="AY52" s="94" t="str">
        <f>$G$52</f>
        <v>Ejercicios de evaluación de los requisitos legales aplicables el proceso/Alcaldía realizados</v>
      </c>
      <c r="AZ52" s="153">
        <f t="shared" si="2"/>
        <v>1</v>
      </c>
      <c r="BA52" s="370">
        <f>IF(K52="CONSTANTE",AVERAGE(AC52,AI52,AO52,AU52),(SUM(AC52,AI52,AO52,AU52)))</f>
        <v>1</v>
      </c>
      <c r="BB52" s="98">
        <f t="shared" ref="BB52:BB58" si="12">BA52/AZ52</f>
        <v>1</v>
      </c>
      <c r="BC52" s="98">
        <f t="shared" ref="BC52:BC58" si="13">BB52*E52</f>
        <v>0.03</v>
      </c>
      <c r="BD52" s="59" t="s">
        <v>419</v>
      </c>
    </row>
    <row r="53" spans="1:61" s="185" customFormat="1" ht="162" customHeight="1" thickBot="1">
      <c r="A53" s="171">
        <v>32</v>
      </c>
      <c r="B53" s="479"/>
      <c r="C53" s="476"/>
      <c r="D53" s="199" t="s">
        <v>421</v>
      </c>
      <c r="E53" s="265">
        <v>0.03</v>
      </c>
      <c r="F53" s="266" t="s">
        <v>413</v>
      </c>
      <c r="G53" s="267" t="s">
        <v>422</v>
      </c>
      <c r="H53" s="267" t="s">
        <v>423</v>
      </c>
      <c r="I53" s="178"/>
      <c r="J53" s="178" t="s">
        <v>59</v>
      </c>
      <c r="K53" s="213" t="s">
        <v>422</v>
      </c>
      <c r="L53" s="189"/>
      <c r="M53" s="189">
        <v>1</v>
      </c>
      <c r="N53" s="189"/>
      <c r="O53" s="269">
        <v>1</v>
      </c>
      <c r="P53" s="269">
        <v>2</v>
      </c>
      <c r="Q53" s="178" t="s">
        <v>61</v>
      </c>
      <c r="R53" s="178" t="s">
        <v>424</v>
      </c>
      <c r="S53" s="178"/>
      <c r="T53" s="178"/>
      <c r="U53" s="178"/>
      <c r="V53" s="178"/>
      <c r="W53" s="178"/>
      <c r="X53" s="178"/>
      <c r="Y53" s="270"/>
      <c r="Z53" s="191"/>
      <c r="AA53" s="94" t="str">
        <f>$G$53</f>
        <v>Mediciones de desempeño ambiental realizadas en el proceso/alcaldia local</v>
      </c>
      <c r="AB53" s="153">
        <f>L53</f>
        <v>0</v>
      </c>
      <c r="AC53" s="153"/>
      <c r="AD53" s="95"/>
      <c r="AE53" s="183" t="s">
        <v>71</v>
      </c>
      <c r="AF53" s="183"/>
      <c r="AG53" s="94" t="str">
        <f>$G$53</f>
        <v>Mediciones de desempeño ambiental realizadas en el proceso/alcaldia local</v>
      </c>
      <c r="AH53" s="153">
        <f t="shared" si="0"/>
        <v>1</v>
      </c>
      <c r="AI53" s="153">
        <v>1</v>
      </c>
      <c r="AJ53" s="154">
        <v>1</v>
      </c>
      <c r="AK53" s="94" t="s">
        <v>425</v>
      </c>
      <c r="AL53" s="94" t="s">
        <v>426</v>
      </c>
      <c r="AM53" s="94" t="str">
        <f>$G$53</f>
        <v>Mediciones de desempeño ambiental realizadas en el proceso/alcaldia local</v>
      </c>
      <c r="AN53" s="153">
        <f t="shared" si="1"/>
        <v>0</v>
      </c>
      <c r="AO53" s="153"/>
      <c r="AP53" s="95" t="s">
        <v>418</v>
      </c>
      <c r="AQ53" s="95" t="s">
        <v>418</v>
      </c>
      <c r="AR53" s="94"/>
      <c r="AS53" s="94" t="str">
        <f>$G$53</f>
        <v>Mediciones de desempeño ambiental realizadas en el proceso/alcaldia local</v>
      </c>
      <c r="AT53" s="153">
        <f>O53</f>
        <v>1</v>
      </c>
      <c r="AU53" s="153">
        <v>1</v>
      </c>
      <c r="AV53" s="154">
        <v>1</v>
      </c>
      <c r="AW53" s="59" t="s">
        <v>427</v>
      </c>
      <c r="AX53" s="94" t="s">
        <v>428</v>
      </c>
      <c r="AY53" s="94" t="str">
        <f>$G$53</f>
        <v>Mediciones de desempeño ambiental realizadas en el proceso/alcaldia local</v>
      </c>
      <c r="AZ53" s="153">
        <f t="shared" si="2"/>
        <v>2</v>
      </c>
      <c r="BA53" s="370">
        <f>IF(K53="CONSTANTE",AVERAGE(AC53,AI53,AO53,AU53),(SUM(AC53,AI53,AO53,AU53)))</f>
        <v>2</v>
      </c>
      <c r="BB53" s="98">
        <f t="shared" si="12"/>
        <v>1</v>
      </c>
      <c r="BC53" s="98">
        <f t="shared" si="13"/>
        <v>0.03</v>
      </c>
      <c r="BD53" s="59" t="s">
        <v>429</v>
      </c>
    </row>
    <row r="54" spans="1:61" s="185" customFormat="1" ht="408.75" customHeight="1" thickBot="1">
      <c r="A54" s="186">
        <v>33</v>
      </c>
      <c r="B54" s="479"/>
      <c r="C54" s="476"/>
      <c r="D54" s="199" t="s">
        <v>430</v>
      </c>
      <c r="E54" s="271">
        <v>2.5000000000000001E-2</v>
      </c>
      <c r="F54" s="266" t="s">
        <v>413</v>
      </c>
      <c r="G54" s="267" t="s">
        <v>431</v>
      </c>
      <c r="H54" s="267" t="s">
        <v>432</v>
      </c>
      <c r="I54" s="178">
        <v>357</v>
      </c>
      <c r="J54" s="178" t="s">
        <v>59</v>
      </c>
      <c r="K54" s="213" t="s">
        <v>433</v>
      </c>
      <c r="L54" s="189">
        <v>0</v>
      </c>
      <c r="M54" s="189">
        <v>0</v>
      </c>
      <c r="N54" s="189">
        <v>0</v>
      </c>
      <c r="O54" s="294">
        <v>1</v>
      </c>
      <c r="P54" s="294">
        <v>1</v>
      </c>
      <c r="Q54" s="178" t="s">
        <v>61</v>
      </c>
      <c r="R54" s="178" t="s">
        <v>434</v>
      </c>
      <c r="S54" s="178"/>
      <c r="T54" s="178"/>
      <c r="U54" s="178"/>
      <c r="V54" s="178"/>
      <c r="W54" s="178"/>
      <c r="X54" s="178"/>
      <c r="Y54" s="270"/>
      <c r="Z54" s="191"/>
      <c r="AA54" s="94" t="str">
        <f>$G$54</f>
        <v>Porcentaje de requerimientos ciudadanos con respuesta de fondo ingresados en la vigencia 2017, según verificación efectuada por el proceso de Servicio a la Ciudadanía</v>
      </c>
      <c r="AB54" s="153">
        <v>0</v>
      </c>
      <c r="AC54" s="153">
        <v>0</v>
      </c>
      <c r="AD54" s="118" t="s">
        <v>72</v>
      </c>
      <c r="AE54" s="118" t="s">
        <v>72</v>
      </c>
      <c r="AF54" s="183"/>
      <c r="AG54" s="94" t="str">
        <f>$G$54</f>
        <v>Porcentaje de requerimientos ciudadanos con respuesta de fondo ingresados en la vigencia 2017, según verificación efectuada por el proceso de Servicio a la Ciudadanía</v>
      </c>
      <c r="AH54" s="153">
        <f>N54</f>
        <v>0</v>
      </c>
      <c r="AI54" s="153">
        <v>0</v>
      </c>
      <c r="AJ54" s="154" t="s">
        <v>72</v>
      </c>
      <c r="AK54" s="154" t="s">
        <v>72</v>
      </c>
      <c r="AL54" s="94"/>
      <c r="AM54" s="94" t="str">
        <f>$G$54</f>
        <v>Porcentaje de requerimientos ciudadanos con respuesta de fondo ingresados en la vigencia 2017, según verificación efectuada por el proceso de Servicio a la Ciudadanía</v>
      </c>
      <c r="AN54" s="291">
        <v>0</v>
      </c>
      <c r="AO54" s="291">
        <v>0</v>
      </c>
      <c r="AP54" s="292" t="s">
        <v>418</v>
      </c>
      <c r="AQ54" s="292" t="s">
        <v>418</v>
      </c>
      <c r="AR54" s="293"/>
      <c r="AS54" s="94" t="str">
        <f>$G$54</f>
        <v>Porcentaje de requerimientos ciudadanos con respuesta de fondo ingresados en la vigencia 2017, según verificación efectuada por el proceso de Servicio a la Ciudadanía</v>
      </c>
      <c r="AT54" s="92">
        <v>1</v>
      </c>
      <c r="AU54" s="206">
        <v>0.996</v>
      </c>
      <c r="AV54" s="118">
        <f>+AU54/AT54</f>
        <v>0.996</v>
      </c>
      <c r="AW54" s="59" t="s">
        <v>435</v>
      </c>
      <c r="AX54" s="94" t="s">
        <v>436</v>
      </c>
      <c r="AY54" s="94" t="str">
        <f>$G$54</f>
        <v>Porcentaje de requerimientos ciudadanos con respuesta de fondo ingresados en la vigencia 2017, según verificación efectuada por el proceso de Servicio a la Ciudadanía</v>
      </c>
      <c r="AZ54" s="153">
        <f t="shared" si="2"/>
        <v>1</v>
      </c>
      <c r="BA54" s="371">
        <v>0.996</v>
      </c>
      <c r="BB54" s="413">
        <f t="shared" si="12"/>
        <v>0.996</v>
      </c>
      <c r="BC54" s="98">
        <f t="shared" si="13"/>
        <v>2.4900000000000002E-2</v>
      </c>
      <c r="BD54" s="59" t="s">
        <v>435</v>
      </c>
    </row>
    <row r="55" spans="1:61" s="185" customFormat="1" ht="150" customHeight="1" thickBot="1">
      <c r="A55" s="171">
        <v>34</v>
      </c>
      <c r="B55" s="479"/>
      <c r="C55" s="476"/>
      <c r="D55" s="199" t="s">
        <v>437</v>
      </c>
      <c r="E55" s="272">
        <v>2.5000000000000001E-2</v>
      </c>
      <c r="F55" s="266" t="s">
        <v>413</v>
      </c>
      <c r="G55" s="267" t="s">
        <v>438</v>
      </c>
      <c r="H55" s="267" t="s">
        <v>439</v>
      </c>
      <c r="I55" s="178"/>
      <c r="J55" s="178" t="s">
        <v>59</v>
      </c>
      <c r="K55" s="213" t="s">
        <v>440</v>
      </c>
      <c r="L55" s="178"/>
      <c r="M55" s="178">
        <v>1</v>
      </c>
      <c r="N55" s="178"/>
      <c r="O55" s="178">
        <v>1</v>
      </c>
      <c r="P55" s="178">
        <v>2</v>
      </c>
      <c r="Q55" s="178" t="s">
        <v>61</v>
      </c>
      <c r="R55" s="178" t="s">
        <v>441</v>
      </c>
      <c r="S55" s="178"/>
      <c r="T55" s="178"/>
      <c r="U55" s="178"/>
      <c r="V55" s="178"/>
      <c r="W55" s="178"/>
      <c r="X55" s="178"/>
      <c r="Y55" s="270"/>
      <c r="Z55" s="191"/>
      <c r="AA55" s="94" t="str">
        <f>$G$55</f>
        <v>Buenas practicas y lecciones aprendidas identificadas por proceso o Alcaldía Local en la herramienta de gestión del conocimiento (AGORA)</v>
      </c>
      <c r="AB55" s="153">
        <f>L55</f>
        <v>0</v>
      </c>
      <c r="AC55" s="153"/>
      <c r="AD55" s="95"/>
      <c r="AE55" s="183" t="s">
        <v>71</v>
      </c>
      <c r="AF55" s="183"/>
      <c r="AG55" s="94" t="str">
        <f>$G$55</f>
        <v>Buenas practicas y lecciones aprendidas identificadas por proceso o Alcaldía Local en la herramienta de gestión del conocimiento (AGORA)</v>
      </c>
      <c r="AH55" s="153">
        <f t="shared" si="0"/>
        <v>1</v>
      </c>
      <c r="AI55" s="153">
        <v>1</v>
      </c>
      <c r="AJ55" s="154">
        <v>1</v>
      </c>
      <c r="AK55" s="94" t="s">
        <v>442</v>
      </c>
      <c r="AL55" s="94" t="s">
        <v>443</v>
      </c>
      <c r="AM55" s="94" t="str">
        <f>$G$55</f>
        <v>Buenas practicas y lecciones aprendidas identificadas por proceso o Alcaldía Local en la herramienta de gestión del conocimiento (AGORA)</v>
      </c>
      <c r="AN55" s="153">
        <f t="shared" si="1"/>
        <v>0</v>
      </c>
      <c r="AO55" s="153"/>
      <c r="AP55" s="95" t="s">
        <v>418</v>
      </c>
      <c r="AQ55" s="95" t="s">
        <v>418</v>
      </c>
      <c r="AR55" s="94"/>
      <c r="AS55" s="94" t="str">
        <f>$G$55</f>
        <v>Buenas practicas y lecciones aprendidas identificadas por proceso o Alcaldía Local en la herramienta de gestión del conocimiento (AGORA)</v>
      </c>
      <c r="AT55" s="153">
        <f>O55</f>
        <v>1</v>
      </c>
      <c r="AU55" s="153">
        <v>1</v>
      </c>
      <c r="AV55" s="154">
        <v>1</v>
      </c>
      <c r="AW55" s="59" t="s">
        <v>444</v>
      </c>
      <c r="AX55" s="94"/>
      <c r="AY55" s="94" t="str">
        <f>$G$55</f>
        <v>Buenas practicas y lecciones aprendidas identificadas por proceso o Alcaldía Local en la herramienta de gestión del conocimiento (AGORA)</v>
      </c>
      <c r="AZ55" s="153">
        <f t="shared" si="2"/>
        <v>2</v>
      </c>
      <c r="BA55" s="370">
        <f>IF(K55="CONSTANTE",AVERAGE(AC55,AI55,AO55,AU55),(SUM(AC55,AI55,AO55,AU55)))</f>
        <v>2</v>
      </c>
      <c r="BB55" s="98">
        <f t="shared" si="12"/>
        <v>1</v>
      </c>
      <c r="BC55" s="98">
        <f t="shared" si="13"/>
        <v>2.5000000000000001E-2</v>
      </c>
      <c r="BD55" s="59" t="s">
        <v>444</v>
      </c>
    </row>
    <row r="56" spans="1:61" s="390" customFormat="1" ht="150" customHeight="1" thickBot="1">
      <c r="A56" s="373">
        <v>35</v>
      </c>
      <c r="B56" s="479"/>
      <c r="C56" s="476"/>
      <c r="D56" s="199" t="s">
        <v>445</v>
      </c>
      <c r="E56" s="391">
        <v>0.03</v>
      </c>
      <c r="F56" s="375" t="s">
        <v>413</v>
      </c>
      <c r="G56" s="199" t="s">
        <v>446</v>
      </c>
      <c r="H56" s="199" t="s">
        <v>447</v>
      </c>
      <c r="I56" s="392">
        <v>2328</v>
      </c>
      <c r="J56" s="392" t="s">
        <v>59</v>
      </c>
      <c r="K56" s="377" t="s">
        <v>448</v>
      </c>
      <c r="L56" s="379"/>
      <c r="M56" s="335">
        <v>0.5</v>
      </c>
      <c r="N56" s="379"/>
      <c r="O56" s="335">
        <v>0.5</v>
      </c>
      <c r="P56" s="335">
        <v>1</v>
      </c>
      <c r="Q56" s="379" t="s">
        <v>61</v>
      </c>
      <c r="R56" s="379" t="s">
        <v>449</v>
      </c>
      <c r="S56" s="392"/>
      <c r="T56" s="392"/>
      <c r="U56" s="392"/>
      <c r="V56" s="392"/>
      <c r="W56" s="392"/>
      <c r="X56" s="392"/>
      <c r="Y56" s="380"/>
      <c r="Z56" s="393"/>
      <c r="AA56" s="293" t="str">
        <f>$G$56</f>
        <v>Porcentaje de depuración de las comunicaciones en el aplicatio de gestión documental</v>
      </c>
      <c r="AB56" s="307">
        <f>L56</f>
        <v>0</v>
      </c>
      <c r="AC56" s="394">
        <v>0</v>
      </c>
      <c r="AD56" s="310"/>
      <c r="AE56" s="395" t="s">
        <v>71</v>
      </c>
      <c r="AF56" s="396"/>
      <c r="AG56" s="293" t="str">
        <f>$G$56</f>
        <v>Porcentaje de depuración de las comunicaciones en el aplicatio de gestión documental</v>
      </c>
      <c r="AH56" s="307">
        <f t="shared" si="0"/>
        <v>0.5</v>
      </c>
      <c r="AI56" s="394">
        <v>0.01</v>
      </c>
      <c r="AJ56" s="383">
        <f>AI56/AH56</f>
        <v>0.02</v>
      </c>
      <c r="AK56" s="377" t="s">
        <v>450</v>
      </c>
      <c r="AL56" s="377" t="s">
        <v>451</v>
      </c>
      <c r="AM56" s="293" t="str">
        <f>$G$56</f>
        <v>Porcentaje de depuración de las comunicaciones en el aplicatio de gestión documental</v>
      </c>
      <c r="AN56" s="307">
        <f t="shared" si="1"/>
        <v>0</v>
      </c>
      <c r="AO56" s="397"/>
      <c r="AP56" s="310" t="s">
        <v>418</v>
      </c>
      <c r="AQ56" s="310" t="s">
        <v>418</v>
      </c>
      <c r="AR56" s="377"/>
      <c r="AS56" s="293" t="str">
        <f>$G$56</f>
        <v>Porcentaje de depuración de las comunicaciones en el aplicatio de gestión documental</v>
      </c>
      <c r="AT56" s="307">
        <f>O56</f>
        <v>0.5</v>
      </c>
      <c r="AU56" s="307">
        <v>0.33</v>
      </c>
      <c r="AV56" s="307">
        <f t="shared" si="11"/>
        <v>0.66</v>
      </c>
      <c r="AW56" s="398" t="s">
        <v>452</v>
      </c>
      <c r="AX56" s="377" t="s">
        <v>453</v>
      </c>
      <c r="AY56" s="293" t="str">
        <f>$G$56</f>
        <v>Porcentaje de depuración de las comunicaciones en el aplicatio de gestión documental</v>
      </c>
      <c r="AZ56" s="307">
        <f t="shared" si="2"/>
        <v>1</v>
      </c>
      <c r="BA56" s="318">
        <f>IF(K56="CONSTANTE",AVERAGE(AC56,AI56,AO56,AU56),(SUM(AC56,AI56,AO56,AU56)))</f>
        <v>0.34</v>
      </c>
      <c r="BB56" s="292">
        <f t="shared" si="12"/>
        <v>0.34</v>
      </c>
      <c r="BC56" s="414">
        <f t="shared" si="13"/>
        <v>1.0200000000000001E-2</v>
      </c>
      <c r="BD56" s="399" t="s">
        <v>454</v>
      </c>
    </row>
    <row r="57" spans="1:61" s="185" customFormat="1" ht="206.25" customHeight="1" thickBot="1">
      <c r="A57" s="171">
        <v>38</v>
      </c>
      <c r="B57" s="479"/>
      <c r="C57" s="476"/>
      <c r="D57" s="199" t="s">
        <v>455</v>
      </c>
      <c r="E57" s="265">
        <v>0.03</v>
      </c>
      <c r="F57" s="266" t="s">
        <v>413</v>
      </c>
      <c r="G57" s="267" t="s">
        <v>456</v>
      </c>
      <c r="H57" s="267" t="s">
        <v>457</v>
      </c>
      <c r="I57" s="213" t="s">
        <v>241</v>
      </c>
      <c r="J57" s="213" t="s">
        <v>114</v>
      </c>
      <c r="K57" s="213" t="s">
        <v>458</v>
      </c>
      <c r="L57" s="273">
        <v>1</v>
      </c>
      <c r="M57" s="273">
        <v>1</v>
      </c>
      <c r="N57" s="273">
        <v>1</v>
      </c>
      <c r="O57" s="273">
        <v>1</v>
      </c>
      <c r="P57" s="273">
        <v>1</v>
      </c>
      <c r="Q57" s="178" t="s">
        <v>61</v>
      </c>
      <c r="R57" s="178" t="s">
        <v>459</v>
      </c>
      <c r="S57" s="181"/>
      <c r="T57" s="181"/>
      <c r="U57" s="181"/>
      <c r="V57" s="181"/>
      <c r="W57" s="181"/>
      <c r="X57" s="181"/>
      <c r="Y57" s="270"/>
      <c r="Z57" s="215"/>
      <c r="AA57" s="94" t="str">
        <f>$G$57</f>
        <v>Acciones correctivas documentadas y vigentes</v>
      </c>
      <c r="AB57" s="92">
        <f>L57</f>
        <v>1</v>
      </c>
      <c r="AC57" s="216">
        <f>(1-BF57)*0.5+(1-BH57)*0.5</f>
        <v>0.64500000000000002</v>
      </c>
      <c r="AD57" s="118">
        <f>AC57/AB57</f>
        <v>0.64500000000000002</v>
      </c>
      <c r="AE57" s="217" t="s">
        <v>460</v>
      </c>
      <c r="AF57" s="217"/>
      <c r="AG57" s="94" t="str">
        <f>$G$57</f>
        <v>Acciones correctivas documentadas y vigentes</v>
      </c>
      <c r="AH57" s="92">
        <f t="shared" si="0"/>
        <v>1</v>
      </c>
      <c r="AI57" s="216">
        <v>0.4</v>
      </c>
      <c r="AJ57" s="216">
        <f>AI57/AH57</f>
        <v>0.4</v>
      </c>
      <c r="AK57" s="213" t="s">
        <v>461</v>
      </c>
      <c r="AL57" s="213" t="s">
        <v>462</v>
      </c>
      <c r="AM57" s="94" t="str">
        <f>$G$57</f>
        <v>Acciones correctivas documentadas y vigentes</v>
      </c>
      <c r="AN57" s="92">
        <f t="shared" si="1"/>
        <v>1</v>
      </c>
      <c r="AO57" s="216">
        <v>0.22</v>
      </c>
      <c r="AP57" s="118">
        <f>AO57/AN57</f>
        <v>0.22</v>
      </c>
      <c r="AQ57" s="213" t="s">
        <v>463</v>
      </c>
      <c r="AR57" s="213"/>
      <c r="AS57" s="94" t="str">
        <f>$G$57</f>
        <v>Acciones correctivas documentadas y vigentes</v>
      </c>
      <c r="AT57" s="92">
        <f>O57</f>
        <v>1</v>
      </c>
      <c r="AU57" s="216">
        <v>0.56999999999999995</v>
      </c>
      <c r="AV57" s="118">
        <f t="shared" si="11"/>
        <v>0.56999999999999995</v>
      </c>
      <c r="AW57" s="60" t="s">
        <v>464</v>
      </c>
      <c r="AX57" s="213" t="s">
        <v>428</v>
      </c>
      <c r="AY57" s="94" t="str">
        <f>$G$57</f>
        <v>Acciones correctivas documentadas y vigentes</v>
      </c>
      <c r="AZ57" s="92">
        <f t="shared" si="2"/>
        <v>1</v>
      </c>
      <c r="BA57" s="296">
        <v>0.56999999999999995</v>
      </c>
      <c r="BB57" s="118">
        <f t="shared" si="12"/>
        <v>0.56999999999999995</v>
      </c>
      <c r="BC57" s="412">
        <f t="shared" si="13"/>
        <v>1.7099999999999997E-2</v>
      </c>
      <c r="BD57" s="60" t="s">
        <v>465</v>
      </c>
      <c r="BF57" s="274">
        <v>0.28999999999999998</v>
      </c>
      <c r="BG57" s="185" t="s">
        <v>466</v>
      </c>
      <c r="BH57" s="274">
        <v>0.42</v>
      </c>
      <c r="BI57" s="185" t="s">
        <v>467</v>
      </c>
    </row>
    <row r="58" spans="1:61" s="390" customFormat="1" ht="163.5" customHeight="1" thickBot="1">
      <c r="A58" s="373">
        <v>39</v>
      </c>
      <c r="B58" s="479"/>
      <c r="C58" s="477"/>
      <c r="D58" s="199" t="s">
        <v>468</v>
      </c>
      <c r="E58" s="374">
        <v>0.03</v>
      </c>
      <c r="F58" s="375" t="s">
        <v>413</v>
      </c>
      <c r="G58" s="199" t="s">
        <v>469</v>
      </c>
      <c r="H58" s="199" t="s">
        <v>470</v>
      </c>
      <c r="I58" s="376"/>
      <c r="J58" s="376" t="s">
        <v>114</v>
      </c>
      <c r="K58" s="377" t="s">
        <v>471</v>
      </c>
      <c r="L58" s="378">
        <v>1</v>
      </c>
      <c r="M58" s="378">
        <v>1</v>
      </c>
      <c r="N58" s="378">
        <v>1</v>
      </c>
      <c r="O58" s="378">
        <v>1</v>
      </c>
      <c r="P58" s="378">
        <v>1</v>
      </c>
      <c r="Q58" s="379" t="s">
        <v>61</v>
      </c>
      <c r="R58" s="379" t="s">
        <v>472</v>
      </c>
      <c r="S58" s="376"/>
      <c r="T58" s="376"/>
      <c r="U58" s="376"/>
      <c r="V58" s="376"/>
      <c r="W58" s="376"/>
      <c r="X58" s="376"/>
      <c r="Y58" s="380"/>
      <c r="Z58" s="381"/>
      <c r="AA58" s="293" t="str">
        <f>$G$58</f>
        <v>Información publicada según lineamientos de la ley de transparencia 1712 de 2014</v>
      </c>
      <c r="AB58" s="307">
        <f>L58</f>
        <v>1</v>
      </c>
      <c r="AC58" s="382">
        <v>0.98</v>
      </c>
      <c r="AD58" s="383">
        <f>AC58/AB58</f>
        <v>0.98</v>
      </c>
      <c r="AE58" s="384" t="s">
        <v>473</v>
      </c>
      <c r="AF58" s="384" t="s">
        <v>474</v>
      </c>
      <c r="AG58" s="293" t="str">
        <f>$G$58</f>
        <v>Información publicada según lineamientos de la ley de transparencia 1712 de 2014</v>
      </c>
      <c r="AH58" s="307">
        <f t="shared" si="0"/>
        <v>1</v>
      </c>
      <c r="AI58" s="385">
        <v>0.98</v>
      </c>
      <c r="AJ58" s="383">
        <f>AI58/AH58</f>
        <v>0.98</v>
      </c>
      <c r="AK58" s="386" t="s">
        <v>475</v>
      </c>
      <c r="AL58" s="387" t="s">
        <v>474</v>
      </c>
      <c r="AM58" s="293" t="str">
        <f>$G$58</f>
        <v>Información publicada según lineamientos de la ley de transparencia 1712 de 2014</v>
      </c>
      <c r="AN58" s="307">
        <f t="shared" si="1"/>
        <v>1</v>
      </c>
      <c r="AO58" s="385">
        <v>0.98</v>
      </c>
      <c r="AP58" s="383">
        <f>AO58/AN58</f>
        <v>0.98</v>
      </c>
      <c r="AQ58" s="386" t="s">
        <v>476</v>
      </c>
      <c r="AR58" s="387" t="s">
        <v>474</v>
      </c>
      <c r="AS58" s="293" t="str">
        <f>$G$58</f>
        <v>Información publicada según lineamientos de la ley de transparencia 1712 de 2014</v>
      </c>
      <c r="AT58" s="307">
        <f>O58</f>
        <v>1</v>
      </c>
      <c r="AU58" s="385">
        <v>0.98</v>
      </c>
      <c r="AV58" s="385">
        <f t="shared" si="11"/>
        <v>0.98</v>
      </c>
      <c r="AW58" s="388" t="s">
        <v>477</v>
      </c>
      <c r="AX58" s="389" t="s">
        <v>478</v>
      </c>
      <c r="AY58" s="293" t="str">
        <f>$G$58</f>
        <v>Información publicada según lineamientos de la ley de transparencia 1712 de 2014</v>
      </c>
      <c r="AZ58" s="307">
        <f t="shared" si="2"/>
        <v>1</v>
      </c>
      <c r="BA58" s="318">
        <v>0.98</v>
      </c>
      <c r="BB58" s="292">
        <f t="shared" si="12"/>
        <v>0.98</v>
      </c>
      <c r="BC58" s="414">
        <f>BB58*E58</f>
        <v>2.9399999999999999E-2</v>
      </c>
      <c r="BD58" s="388" t="s">
        <v>477</v>
      </c>
    </row>
    <row r="59" spans="1:61" ht="112.5" customHeight="1" thickBot="1">
      <c r="A59" s="275"/>
      <c r="B59" s="486" t="s">
        <v>479</v>
      </c>
      <c r="C59" s="487"/>
      <c r="D59" s="487"/>
      <c r="E59" s="276">
        <f>SUM(E52:E58,E51,E49,E47,E45,E34,E24,E20,E18)</f>
        <v>1</v>
      </c>
      <c r="F59" s="277"/>
      <c r="G59" s="278"/>
      <c r="H59" s="58"/>
      <c r="I59" s="58"/>
      <c r="J59" s="58"/>
      <c r="K59" s="58"/>
      <c r="L59" s="58"/>
      <c r="M59" s="58"/>
      <c r="N59" s="58"/>
      <c r="O59" s="58"/>
      <c r="P59" s="279"/>
      <c r="Q59" s="58"/>
      <c r="R59" s="58"/>
      <c r="S59" s="58"/>
      <c r="T59" s="58"/>
      <c r="U59" s="58"/>
      <c r="V59" s="58"/>
      <c r="W59" s="58"/>
      <c r="X59" s="58"/>
      <c r="Y59" s="58"/>
      <c r="Z59" s="58"/>
      <c r="AA59" s="481" t="s">
        <v>480</v>
      </c>
      <c r="AB59" s="481"/>
      <c r="AC59" s="481"/>
      <c r="AD59" s="280">
        <f>AVERAGE(AD15:AD58)</f>
        <v>0.94521642394822014</v>
      </c>
      <c r="AE59" s="280"/>
      <c r="AF59" s="58"/>
      <c r="AG59" s="480" t="s">
        <v>481</v>
      </c>
      <c r="AH59" s="480"/>
      <c r="AI59" s="480"/>
      <c r="AJ59" s="280">
        <f>AVERAGE(AJ15:AJ58)</f>
        <v>0.86597810566396949</v>
      </c>
      <c r="AK59" s="280"/>
      <c r="AL59" s="58"/>
      <c r="AM59" s="481" t="s">
        <v>482</v>
      </c>
      <c r="AN59" s="481"/>
      <c r="AO59" s="481"/>
      <c r="AP59" s="280">
        <f>AVERAGE(AP15:AP58)</f>
        <v>0.8718815101479187</v>
      </c>
      <c r="AQ59" s="280"/>
      <c r="AR59" s="58"/>
      <c r="AS59" s="482" t="s">
        <v>483</v>
      </c>
      <c r="AT59" s="482"/>
      <c r="AU59" s="482"/>
      <c r="AV59" s="416">
        <f>AVERAGE(AV15:AV58)</f>
        <v>0.85077748262325414</v>
      </c>
      <c r="AW59" s="280"/>
      <c r="AX59" s="483" t="s">
        <v>484</v>
      </c>
      <c r="AY59" s="484"/>
      <c r="AZ59" s="485"/>
      <c r="BA59" s="415">
        <f>SUM(BC15:BC17,BC19,BC21:BC23,BC25:BC33,BC35:BC44,BC46,BC48:BC48,BC50,BC52:BC58)</f>
        <v>0.86571057239773785</v>
      </c>
      <c r="BB59" s="281"/>
      <c r="BC59" s="282"/>
      <c r="BD59" s="283"/>
    </row>
    <row r="60" spans="1:61" ht="15.75" customHeight="1">
      <c r="A60" s="284"/>
      <c r="B60" s="285"/>
      <c r="C60" s="285"/>
      <c r="D60" s="286"/>
      <c r="E60" s="196"/>
      <c r="F60" s="285"/>
      <c r="G60" s="285"/>
      <c r="H60" s="287"/>
      <c r="I60" s="287"/>
      <c r="J60" s="287"/>
      <c r="K60" s="287"/>
      <c r="L60" s="287"/>
      <c r="M60" s="287"/>
      <c r="N60" s="287"/>
      <c r="O60" s="287"/>
      <c r="P60" s="287"/>
      <c r="Q60" s="287"/>
      <c r="R60" s="287"/>
      <c r="S60" s="287"/>
      <c r="T60" s="287"/>
      <c r="U60" s="287"/>
      <c r="V60" s="287"/>
      <c r="W60" s="287"/>
      <c r="X60" s="287"/>
      <c r="Y60" s="287"/>
      <c r="Z60" s="287"/>
      <c r="AA60" s="450"/>
      <c r="AB60" s="450"/>
      <c r="AC60" s="450"/>
      <c r="AD60" s="288"/>
      <c r="AE60" s="289"/>
      <c r="AF60" s="289"/>
      <c r="AG60" s="450"/>
      <c r="AH60" s="450"/>
      <c r="AI60" s="450"/>
      <c r="AJ60" s="288"/>
      <c r="AK60" s="289"/>
      <c r="AL60" s="289"/>
      <c r="AM60" s="450"/>
      <c r="AN60" s="450"/>
      <c r="AO60" s="450"/>
      <c r="AP60" s="288"/>
      <c r="AQ60" s="289"/>
      <c r="AR60" s="289"/>
      <c r="AS60" s="450"/>
      <c r="AT60" s="450"/>
      <c r="AU60" s="450"/>
      <c r="AV60" s="288"/>
      <c r="AW60" s="289"/>
      <c r="AX60" s="289"/>
      <c r="AY60" s="450"/>
      <c r="AZ60" s="450"/>
      <c r="BA60" s="450"/>
      <c r="BB60" s="288"/>
      <c r="BC60" s="288"/>
      <c r="BD60" s="289"/>
    </row>
  </sheetData>
  <autoFilter ref="A10:BD59"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50" showButton="0"/>
    <filterColumn colId="51" showButton="0"/>
    <filterColumn colId="52" showButton="0"/>
    <filterColumn colId="53" showButton="0"/>
    <filterColumn colId="54" showButton="0"/>
  </autoFilter>
  <mergeCells count="69">
    <mergeCell ref="C52:C58"/>
    <mergeCell ref="B52:B58"/>
    <mergeCell ref="AQ12:AQ13"/>
    <mergeCell ref="AR12:AR13"/>
    <mergeCell ref="AY60:BA60"/>
    <mergeCell ref="AG59:AI59"/>
    <mergeCell ref="AA59:AC59"/>
    <mergeCell ref="AM59:AO59"/>
    <mergeCell ref="AS59:AU59"/>
    <mergeCell ref="AX59:AZ59"/>
    <mergeCell ref="AA60:AC60"/>
    <mergeCell ref="AG60:AI60"/>
    <mergeCell ref="B59:D59"/>
    <mergeCell ref="X13:Y13"/>
    <mergeCell ref="AL12:AL13"/>
    <mergeCell ref="D12:S12"/>
    <mergeCell ref="A1:Z1"/>
    <mergeCell ref="A2:Z2"/>
    <mergeCell ref="A10:B12"/>
    <mergeCell ref="C13:C14"/>
    <mergeCell ref="AM11:AR11"/>
    <mergeCell ref="AF12:AF13"/>
    <mergeCell ref="AG12:AI12"/>
    <mergeCell ref="AA6:AF6"/>
    <mergeCell ref="AG6:AL6"/>
    <mergeCell ref="AM6:AR6"/>
    <mergeCell ref="AG8:AI8"/>
    <mergeCell ref="AA8:AC8"/>
    <mergeCell ref="C3:H3"/>
    <mergeCell ref="E4:H4"/>
    <mergeCell ref="E5:H5"/>
    <mergeCell ref="D7:S7"/>
    <mergeCell ref="AS60:AU60"/>
    <mergeCell ref="V12:Z12"/>
    <mergeCell ref="AA12:AC12"/>
    <mergeCell ref="AD12:AD13"/>
    <mergeCell ref="AE12:AE13"/>
    <mergeCell ref="AM12:AO12"/>
    <mergeCell ref="AP12:AP13"/>
    <mergeCell ref="AM60:AO60"/>
    <mergeCell ref="AS12:AU12"/>
    <mergeCell ref="AV12:AV13"/>
    <mergeCell ref="AY10:BD10"/>
    <mergeCell ref="AS5:AX5"/>
    <mergeCell ref="AM8:AO8"/>
    <mergeCell ref="AY5:BD5"/>
    <mergeCell ref="AS8:AU8"/>
    <mergeCell ref="AY8:BA8"/>
    <mergeCell ref="AY6:BD6"/>
    <mergeCell ref="AS6:AX6"/>
    <mergeCell ref="AM5:AR5"/>
    <mergeCell ref="AS10:AX10"/>
    <mergeCell ref="AM10:AR10"/>
    <mergeCell ref="L8:O8"/>
    <mergeCell ref="D8:K8"/>
    <mergeCell ref="AS11:AX11"/>
    <mergeCell ref="AY11:BD11"/>
    <mergeCell ref="AY12:BA12"/>
    <mergeCell ref="AX12:AX13"/>
    <mergeCell ref="D10:Z11"/>
    <mergeCell ref="AA10:AF10"/>
    <mergeCell ref="AG10:AL10"/>
    <mergeCell ref="AA11:AF11"/>
    <mergeCell ref="AG11:AL11"/>
    <mergeCell ref="AJ12:AJ13"/>
    <mergeCell ref="AK12:AK13"/>
    <mergeCell ref="BB12:BB13"/>
    <mergeCell ref="BD12:BD13"/>
    <mergeCell ref="AW12:AW13"/>
  </mergeCells>
  <conditionalFormatting sqref="AD59:AE59 AJ59:AK59 AP59:AQ59 AV59:AW59 BA59:BD59 AD16:AD30 AD34 AD39 AD41:AD42 AD54 AD45 AD47 AD49:AD51 AJ58:AJ60 AD57:AD60 AJ15:AJ41 AJ43:AJ56 AP24 AP31 AP33:AP34 AP36:AP37 AP17:AP20 AP42 AP45 AP47 AP49:AP60 AV15 BB18:BC18 BC15 BB20:BC20 BB24:BC24 BB34:BC34 BC17 BB42:BC43 BB45:BC45 BB47:BC47 BB49:BC49 BB51:BC51 BB56:BC60 AV17:AV20 AV22:AV34 AV42 AV45 AV47 AV51 AV53:AV55 AV59:AV60 AV57 AV49">
    <cfRule type="containsText" dxfId="139" priority="524" operator="containsText" text="N/A">
      <formula>NOT(ISERROR(SEARCH("N/A",AD15)))</formula>
    </cfRule>
    <cfRule type="cellIs" dxfId="138" priority="525" operator="between">
      <formula>#REF!</formula>
      <formula>#REF!</formula>
    </cfRule>
    <cfRule type="cellIs" dxfId="137" priority="526" operator="between">
      <formula>#REF!</formula>
      <formula>#REF!</formula>
    </cfRule>
    <cfRule type="cellIs" dxfId="136" priority="527" operator="between">
      <formula>#REF!</formula>
      <formula>#REF!</formula>
    </cfRule>
  </conditionalFormatting>
  <conditionalFormatting sqref="AP60 AV60 BB60:BC60 AJ60 AD60">
    <cfRule type="containsText" dxfId="135" priority="588" operator="containsText" text="N/A">
      <formula>NOT(ISERROR(SEARCH("N/A",AD60)))</formula>
    </cfRule>
    <cfRule type="cellIs" dxfId="134" priority="589" operator="between">
      <formula>$B$11</formula>
      <formula>#REF!</formula>
    </cfRule>
    <cfRule type="cellIs" dxfId="133" priority="590" operator="between">
      <formula>$B$9</formula>
      <formula>#REF!</formula>
    </cfRule>
    <cfRule type="cellIs" dxfId="132" priority="591" operator="between">
      <formula>#REF!</formula>
      <formula>#REF!</formula>
    </cfRule>
  </conditionalFormatting>
  <conditionalFormatting sqref="BB60:BC60 AP60 AV60 AJ60 AD60">
    <cfRule type="containsText" dxfId="131" priority="628" operator="containsText" text="N/A">
      <formula>NOT(ISERROR(SEARCH("N/A",AD60)))</formula>
    </cfRule>
    <cfRule type="cellIs" dxfId="130" priority="629" operator="between">
      <formula>#REF!</formula>
      <formula>#REF!</formula>
    </cfRule>
    <cfRule type="cellIs" dxfId="129" priority="630" operator="between">
      <formula>$B$9</formula>
      <formula>#REF!</formula>
    </cfRule>
    <cfRule type="cellIs" dxfId="128" priority="631" operator="between">
      <formula>#REF!</formula>
      <formula>#REF!</formula>
    </cfRule>
  </conditionalFormatting>
  <conditionalFormatting sqref="AE59">
    <cfRule type="colorScale" priority="303">
      <colorScale>
        <cfvo type="min"/>
        <cfvo type="percentile" val="50"/>
        <cfvo type="max"/>
        <color rgb="FFF8696B"/>
        <color rgb="FFFFEB84"/>
        <color rgb="FF63BE7B"/>
      </colorScale>
    </cfRule>
  </conditionalFormatting>
  <conditionalFormatting sqref="AK59">
    <cfRule type="colorScale" priority="302">
      <colorScale>
        <cfvo type="min"/>
        <cfvo type="percentile" val="50"/>
        <cfvo type="max"/>
        <color rgb="FFF8696B"/>
        <color rgb="FFFFEB84"/>
        <color rgb="FF63BE7B"/>
      </colorScale>
    </cfRule>
  </conditionalFormatting>
  <conditionalFormatting sqref="AQ59">
    <cfRule type="colorScale" priority="301">
      <colorScale>
        <cfvo type="min"/>
        <cfvo type="percentile" val="50"/>
        <cfvo type="max"/>
        <color rgb="FFF8696B"/>
        <color rgb="FFFFEB84"/>
        <color rgb="FF63BE7B"/>
      </colorScale>
    </cfRule>
  </conditionalFormatting>
  <conditionalFormatting sqref="AW59">
    <cfRule type="colorScale" priority="300">
      <colorScale>
        <cfvo type="min"/>
        <cfvo type="percentile" val="50"/>
        <cfvo type="max"/>
        <color rgb="FFF8696B"/>
        <color rgb="FFFFEB84"/>
        <color rgb="FF63BE7B"/>
      </colorScale>
    </cfRule>
  </conditionalFormatting>
  <conditionalFormatting sqref="BB59:BC59">
    <cfRule type="colorScale" priority="299">
      <colorScale>
        <cfvo type="min"/>
        <cfvo type="percentile" val="50"/>
        <cfvo type="max"/>
        <color rgb="FFF8696B"/>
        <color rgb="FFFFEB84"/>
        <color rgb="FF63BE7B"/>
      </colorScale>
    </cfRule>
  </conditionalFormatting>
  <conditionalFormatting sqref="AD59">
    <cfRule type="colorScale" priority="290">
      <colorScale>
        <cfvo type="min"/>
        <cfvo type="percentile" val="50"/>
        <cfvo type="max"/>
        <color rgb="FFF8696B"/>
        <color rgb="FFFFEB84"/>
        <color rgb="FF63BE7B"/>
      </colorScale>
    </cfRule>
  </conditionalFormatting>
  <conditionalFormatting sqref="AJ59">
    <cfRule type="colorScale" priority="281">
      <colorScale>
        <cfvo type="min"/>
        <cfvo type="percentile" val="50"/>
        <cfvo type="max"/>
        <color rgb="FFF8696B"/>
        <color rgb="FFFFEB84"/>
        <color rgb="FF63BE7B"/>
      </colorScale>
    </cfRule>
  </conditionalFormatting>
  <conditionalFormatting sqref="AP59">
    <cfRule type="colorScale" priority="272">
      <colorScale>
        <cfvo type="min"/>
        <cfvo type="percentile" val="50"/>
        <cfvo type="max"/>
        <color rgb="FFF8696B"/>
        <color rgb="FFFFEB84"/>
        <color rgb="FF63BE7B"/>
      </colorScale>
    </cfRule>
  </conditionalFormatting>
  <conditionalFormatting sqref="AV59">
    <cfRule type="colorScale" priority="263">
      <colorScale>
        <cfvo type="min"/>
        <cfvo type="percentile" val="50"/>
        <cfvo type="max"/>
        <color rgb="FFF8696B"/>
        <color rgb="FFFFEB84"/>
        <color rgb="FF63BE7B"/>
      </colorScale>
    </cfRule>
  </conditionalFormatting>
  <conditionalFormatting sqref="BA59">
    <cfRule type="colorScale" priority="251">
      <colorScale>
        <cfvo type="min"/>
        <cfvo type="percentile" val="50"/>
        <cfvo type="max"/>
        <color rgb="FF63BE7B"/>
        <color rgb="FFFFEB84"/>
        <color rgb="FFF8696B"/>
      </colorScale>
    </cfRule>
  </conditionalFormatting>
  <conditionalFormatting sqref="AV59">
    <cfRule type="iconSet" priority="2188">
      <iconSet iconSet="4Arrows">
        <cfvo type="percent" val="0"/>
        <cfvo type="percent" val="25"/>
        <cfvo type="percent" val="50"/>
        <cfvo type="percent" val="75"/>
      </iconSet>
    </cfRule>
  </conditionalFormatting>
  <conditionalFormatting sqref="BA59">
    <cfRule type="colorScale" priority="2193">
      <colorScale>
        <cfvo type="num" val="0.45"/>
        <cfvo type="percent" val="0.65"/>
        <cfvo type="percent" val="100"/>
        <color rgb="FFF8696B"/>
        <color rgb="FFFFEB84"/>
        <color rgb="FF63BE7B"/>
      </colorScale>
    </cfRule>
  </conditionalFormatting>
  <conditionalFormatting sqref="AD15">
    <cfRule type="containsText" dxfId="127" priority="206" operator="containsText" text="N/A">
      <formula>NOT(ISERROR(SEARCH("N/A",AD15)))</formula>
    </cfRule>
    <cfRule type="cellIs" dxfId="126" priority="207" operator="between">
      <formula>#REF!</formula>
      <formula>#REF!</formula>
    </cfRule>
    <cfRule type="cellIs" dxfId="125" priority="208" operator="between">
      <formula>#REF!</formula>
      <formula>#REF!</formula>
    </cfRule>
    <cfRule type="cellIs" dxfId="124" priority="209" operator="between">
      <formula>#REF!</formula>
      <formula>#REF!</formula>
    </cfRule>
  </conditionalFormatting>
  <conditionalFormatting sqref="AD31">
    <cfRule type="containsText" dxfId="123" priority="202" operator="containsText" text="N/A">
      <formula>NOT(ISERROR(SEARCH("N/A",AD31)))</formula>
    </cfRule>
    <cfRule type="cellIs" dxfId="122" priority="203" operator="between">
      <formula>#REF!</formula>
      <formula>#REF!</formula>
    </cfRule>
    <cfRule type="cellIs" dxfId="121" priority="204" operator="between">
      <formula>#REF!</formula>
      <formula>#REF!</formula>
    </cfRule>
    <cfRule type="cellIs" dxfId="120" priority="205" operator="between">
      <formula>#REF!</formula>
      <formula>#REF!</formula>
    </cfRule>
  </conditionalFormatting>
  <conditionalFormatting sqref="AD35">
    <cfRule type="containsText" dxfId="119" priority="194" operator="containsText" text="N/A">
      <formula>NOT(ISERROR(SEARCH("N/A",AD35)))</formula>
    </cfRule>
    <cfRule type="cellIs" dxfId="118" priority="195" operator="between">
      <formula>#REF!</formula>
      <formula>#REF!</formula>
    </cfRule>
    <cfRule type="cellIs" dxfId="117" priority="196" operator="between">
      <formula>#REF!</formula>
      <formula>#REF!</formula>
    </cfRule>
    <cfRule type="cellIs" dxfId="116" priority="197" operator="between">
      <formula>#REF!</formula>
      <formula>#REF!</formula>
    </cfRule>
  </conditionalFormatting>
  <conditionalFormatting sqref="AD36">
    <cfRule type="containsText" dxfId="115" priority="190" operator="containsText" text="N/A">
      <formula>NOT(ISERROR(SEARCH("N/A",AD36)))</formula>
    </cfRule>
    <cfRule type="cellIs" dxfId="114" priority="191" operator="between">
      <formula>#REF!</formula>
      <formula>#REF!</formula>
    </cfRule>
    <cfRule type="cellIs" dxfId="113" priority="192" operator="between">
      <formula>#REF!</formula>
      <formula>#REF!</formula>
    </cfRule>
    <cfRule type="cellIs" dxfId="112" priority="193" operator="between">
      <formula>#REF!</formula>
      <formula>#REF!</formula>
    </cfRule>
  </conditionalFormatting>
  <conditionalFormatting sqref="AD37">
    <cfRule type="containsText" dxfId="111" priority="186" operator="containsText" text="N/A">
      <formula>NOT(ISERROR(SEARCH("N/A",AD37)))</formula>
    </cfRule>
    <cfRule type="cellIs" dxfId="110" priority="187" operator="between">
      <formula>#REF!</formula>
      <formula>#REF!</formula>
    </cfRule>
    <cfRule type="cellIs" dxfId="109" priority="188" operator="between">
      <formula>#REF!</formula>
      <formula>#REF!</formula>
    </cfRule>
    <cfRule type="cellIs" dxfId="108" priority="189" operator="between">
      <formula>#REF!</formula>
      <formula>#REF!</formula>
    </cfRule>
  </conditionalFormatting>
  <conditionalFormatting sqref="AD38">
    <cfRule type="containsText" dxfId="107" priority="182" operator="containsText" text="N/A">
      <formula>NOT(ISERROR(SEARCH("N/A",AD38)))</formula>
    </cfRule>
    <cfRule type="cellIs" dxfId="106" priority="183" operator="between">
      <formula>#REF!</formula>
      <formula>#REF!</formula>
    </cfRule>
    <cfRule type="cellIs" dxfId="105" priority="184" operator="between">
      <formula>#REF!</formula>
      <formula>#REF!</formula>
    </cfRule>
    <cfRule type="cellIs" dxfId="104" priority="185" operator="between">
      <formula>#REF!</formula>
      <formula>#REF!</formula>
    </cfRule>
  </conditionalFormatting>
  <conditionalFormatting sqref="AD40">
    <cfRule type="containsText" dxfId="103" priority="178" operator="containsText" text="N/A">
      <formula>NOT(ISERROR(SEARCH("N/A",AD40)))</formula>
    </cfRule>
    <cfRule type="cellIs" dxfId="102" priority="179" operator="between">
      <formula>#REF!</formula>
      <formula>#REF!</formula>
    </cfRule>
    <cfRule type="cellIs" dxfId="101" priority="180" operator="between">
      <formula>#REF!</formula>
      <formula>#REF!</formula>
    </cfRule>
    <cfRule type="cellIs" dxfId="100" priority="181" operator="between">
      <formula>#REF!</formula>
      <formula>#REF!</formula>
    </cfRule>
  </conditionalFormatting>
  <conditionalFormatting sqref="AD56">
    <cfRule type="containsText" dxfId="99" priority="174" operator="containsText" text="N/A">
      <formula>NOT(ISERROR(SEARCH("N/A",AD56)))</formula>
    </cfRule>
    <cfRule type="cellIs" dxfId="98" priority="175" operator="between">
      <formula>#REF!</formula>
      <formula>#REF!</formula>
    </cfRule>
    <cfRule type="cellIs" dxfId="97" priority="176" operator="between">
      <formula>#REF!</formula>
      <formula>#REF!</formula>
    </cfRule>
    <cfRule type="cellIs" dxfId="96" priority="177" operator="between">
      <formula>#REF!</formula>
      <formula>#REF!</formula>
    </cfRule>
  </conditionalFormatting>
  <conditionalFormatting sqref="AD53">
    <cfRule type="containsText" dxfId="95" priority="162" operator="containsText" text="N/A">
      <formula>NOT(ISERROR(SEARCH("N/A",AD53)))</formula>
    </cfRule>
    <cfRule type="cellIs" dxfId="94" priority="163" operator="between">
      <formula>#REF!</formula>
      <formula>#REF!</formula>
    </cfRule>
    <cfRule type="cellIs" dxfId="93" priority="164" operator="between">
      <formula>#REF!</formula>
      <formula>#REF!</formula>
    </cfRule>
    <cfRule type="cellIs" dxfId="92" priority="165" operator="between">
      <formula>#REF!</formula>
      <formula>#REF!</formula>
    </cfRule>
  </conditionalFormatting>
  <conditionalFormatting sqref="AD52">
    <cfRule type="containsText" dxfId="91" priority="158" operator="containsText" text="N/A">
      <formula>NOT(ISERROR(SEARCH("N/A",AD52)))</formula>
    </cfRule>
    <cfRule type="cellIs" dxfId="90" priority="159" operator="between">
      <formula>#REF!</formula>
      <formula>#REF!</formula>
    </cfRule>
    <cfRule type="cellIs" dxfId="89" priority="160" operator="between">
      <formula>#REF!</formula>
      <formula>#REF!</formula>
    </cfRule>
    <cfRule type="cellIs" dxfId="88" priority="161" operator="between">
      <formula>#REF!</formula>
      <formula>#REF!</formula>
    </cfRule>
  </conditionalFormatting>
  <conditionalFormatting sqref="AD55">
    <cfRule type="containsText" dxfId="87" priority="154" operator="containsText" text="N/A">
      <formula>NOT(ISERROR(SEARCH("N/A",AD55)))</formula>
    </cfRule>
    <cfRule type="cellIs" dxfId="86" priority="155" operator="between">
      <formula>#REF!</formula>
      <formula>#REF!</formula>
    </cfRule>
    <cfRule type="cellIs" dxfId="85" priority="156" operator="between">
      <formula>#REF!</formula>
      <formula>#REF!</formula>
    </cfRule>
    <cfRule type="cellIs" dxfId="84" priority="157" operator="between">
      <formula>#REF!</formula>
      <formula>#REF!</formula>
    </cfRule>
  </conditionalFormatting>
  <conditionalFormatting sqref="AD43">
    <cfRule type="containsText" dxfId="83" priority="146" operator="containsText" text="N/A">
      <formula>NOT(ISERROR(SEARCH("N/A",AD43)))</formula>
    </cfRule>
    <cfRule type="cellIs" dxfId="82" priority="147" operator="between">
      <formula>#REF!</formula>
      <formula>#REF!</formula>
    </cfRule>
    <cfRule type="cellIs" dxfId="81" priority="148" operator="between">
      <formula>#REF!</formula>
      <formula>#REF!</formula>
    </cfRule>
    <cfRule type="cellIs" dxfId="80" priority="149" operator="between">
      <formula>#REF!</formula>
      <formula>#REF!</formula>
    </cfRule>
  </conditionalFormatting>
  <conditionalFormatting sqref="AD44">
    <cfRule type="containsText" dxfId="79" priority="142" operator="containsText" text="N/A">
      <formula>NOT(ISERROR(SEARCH("N/A",AD44)))</formula>
    </cfRule>
    <cfRule type="cellIs" dxfId="78" priority="143" operator="between">
      <formula>#REF!</formula>
      <formula>#REF!</formula>
    </cfRule>
    <cfRule type="cellIs" dxfId="77" priority="144" operator="between">
      <formula>#REF!</formula>
      <formula>#REF!</formula>
    </cfRule>
    <cfRule type="cellIs" dxfId="76" priority="145" operator="between">
      <formula>#REF!</formula>
      <formula>#REF!</formula>
    </cfRule>
  </conditionalFormatting>
  <conditionalFormatting sqref="AD46">
    <cfRule type="containsText" dxfId="75" priority="138" operator="containsText" text="N/A">
      <formula>NOT(ISERROR(SEARCH("N/A",AD46)))</formula>
    </cfRule>
    <cfRule type="cellIs" dxfId="74" priority="139" operator="between">
      <formula>#REF!</formula>
      <formula>#REF!</formula>
    </cfRule>
    <cfRule type="cellIs" dxfId="73" priority="140" operator="between">
      <formula>#REF!</formula>
      <formula>#REF!</formula>
    </cfRule>
    <cfRule type="cellIs" dxfId="72" priority="141" operator="between">
      <formula>#REF!</formula>
      <formula>#REF!</formula>
    </cfRule>
  </conditionalFormatting>
  <conditionalFormatting sqref="AQ31">
    <cfRule type="containsText" dxfId="71" priority="130" operator="containsText" text="N/A">
      <formula>NOT(ISERROR(SEARCH("N/A",AQ31)))</formula>
    </cfRule>
    <cfRule type="cellIs" dxfId="70" priority="131" operator="between">
      <formula>#REF!</formula>
      <formula>#REF!</formula>
    </cfRule>
    <cfRule type="cellIs" dxfId="69" priority="132" operator="between">
      <formula>#REF!</formula>
      <formula>#REF!</formula>
    </cfRule>
    <cfRule type="cellIs" dxfId="68" priority="133" operator="between">
      <formula>#REF!</formula>
      <formula>#REF!</formula>
    </cfRule>
  </conditionalFormatting>
  <conditionalFormatting sqref="AP32">
    <cfRule type="containsText" dxfId="67" priority="126" operator="containsText" text="N/A">
      <formula>NOT(ISERROR(SEARCH("N/A",AP32)))</formula>
    </cfRule>
    <cfRule type="cellIs" dxfId="66" priority="127" operator="between">
      <formula>#REF!</formula>
      <formula>#REF!</formula>
    </cfRule>
    <cfRule type="cellIs" dxfId="65" priority="128" operator="between">
      <formula>#REF!</formula>
      <formula>#REF!</formula>
    </cfRule>
    <cfRule type="cellIs" dxfId="64" priority="129" operator="between">
      <formula>#REF!</formula>
      <formula>#REF!</formula>
    </cfRule>
  </conditionalFormatting>
  <conditionalFormatting sqref="AP35">
    <cfRule type="containsText" dxfId="63" priority="122" operator="containsText" text="N/A">
      <formula>NOT(ISERROR(SEARCH("N/A",AP35)))</formula>
    </cfRule>
    <cfRule type="cellIs" dxfId="62" priority="123" operator="between">
      <formula>#REF!</formula>
      <formula>#REF!</formula>
    </cfRule>
    <cfRule type="cellIs" dxfId="61" priority="124" operator="between">
      <formula>#REF!</formula>
      <formula>#REF!</formula>
    </cfRule>
    <cfRule type="cellIs" dxfId="60" priority="125" operator="between">
      <formula>#REF!</formula>
      <formula>#REF!</formula>
    </cfRule>
  </conditionalFormatting>
  <conditionalFormatting sqref="AP38">
    <cfRule type="containsText" dxfId="59" priority="118" operator="containsText" text="N/A">
      <formula>NOT(ISERROR(SEARCH("N/A",AP38)))</formula>
    </cfRule>
    <cfRule type="cellIs" dxfId="58" priority="119" operator="between">
      <formula>#REF!</formula>
      <formula>#REF!</formula>
    </cfRule>
    <cfRule type="cellIs" dxfId="57" priority="120" operator="between">
      <formula>#REF!</formula>
      <formula>#REF!</formula>
    </cfRule>
    <cfRule type="cellIs" dxfId="56" priority="121" operator="between">
      <formula>#REF!</formula>
      <formula>#REF!</formula>
    </cfRule>
  </conditionalFormatting>
  <conditionalFormatting sqref="AP40">
    <cfRule type="containsText" dxfId="55" priority="114" operator="containsText" text="N/A">
      <formula>NOT(ISERROR(SEARCH("N/A",AP40)))</formula>
    </cfRule>
    <cfRule type="cellIs" dxfId="54" priority="115" operator="between">
      <formula>#REF!</formula>
      <formula>#REF!</formula>
    </cfRule>
    <cfRule type="cellIs" dxfId="53" priority="116" operator="between">
      <formula>#REF!</formula>
      <formula>#REF!</formula>
    </cfRule>
    <cfRule type="cellIs" dxfId="52" priority="117" operator="between">
      <formula>#REF!</formula>
      <formula>#REF!</formula>
    </cfRule>
  </conditionalFormatting>
  <conditionalFormatting sqref="AP43">
    <cfRule type="containsText" dxfId="51" priority="110" operator="containsText" text="N/A">
      <formula>NOT(ISERROR(SEARCH("N/A",AP43)))</formula>
    </cfRule>
    <cfRule type="cellIs" dxfId="50" priority="111" operator="between">
      <formula>#REF!</formula>
      <formula>#REF!</formula>
    </cfRule>
    <cfRule type="cellIs" dxfId="49" priority="112" operator="between">
      <formula>#REF!</formula>
      <formula>#REF!</formula>
    </cfRule>
    <cfRule type="cellIs" dxfId="48" priority="113" operator="between">
      <formula>#REF!</formula>
      <formula>#REF!</formula>
    </cfRule>
  </conditionalFormatting>
  <conditionalFormatting sqref="AQ53">
    <cfRule type="containsText" dxfId="47" priority="106" operator="containsText" text="N/A">
      <formula>NOT(ISERROR(SEARCH("N/A",AQ53)))</formula>
    </cfRule>
    <cfRule type="cellIs" dxfId="46" priority="107" operator="between">
      <formula>#REF!</formula>
      <formula>#REF!</formula>
    </cfRule>
    <cfRule type="cellIs" dxfId="45" priority="108" operator="between">
      <formula>#REF!</formula>
      <formula>#REF!</formula>
    </cfRule>
    <cfRule type="cellIs" dxfId="44" priority="109" operator="between">
      <formula>#REF!</formula>
      <formula>#REF!</formula>
    </cfRule>
  </conditionalFormatting>
  <conditionalFormatting sqref="AQ55">
    <cfRule type="containsText" dxfId="43" priority="102" operator="containsText" text="N/A">
      <formula>NOT(ISERROR(SEARCH("N/A",AQ55)))</formula>
    </cfRule>
    <cfRule type="cellIs" dxfId="42" priority="103" operator="between">
      <formula>#REF!</formula>
      <formula>#REF!</formula>
    </cfRule>
    <cfRule type="cellIs" dxfId="41" priority="104" operator="between">
      <formula>#REF!</formula>
      <formula>#REF!</formula>
    </cfRule>
    <cfRule type="cellIs" dxfId="40" priority="105" operator="between">
      <formula>#REF!</formula>
      <formula>#REF!</formula>
    </cfRule>
  </conditionalFormatting>
  <conditionalFormatting sqref="AQ56">
    <cfRule type="containsText" dxfId="39" priority="98" operator="containsText" text="N/A">
      <formula>NOT(ISERROR(SEARCH("N/A",AQ56)))</formula>
    </cfRule>
    <cfRule type="cellIs" dxfId="38" priority="99" operator="between">
      <formula>#REF!</formula>
      <formula>#REF!</formula>
    </cfRule>
    <cfRule type="cellIs" dxfId="37" priority="100" operator="between">
      <formula>#REF!</formula>
      <formula>#REF!</formula>
    </cfRule>
    <cfRule type="cellIs" dxfId="36" priority="101" operator="between">
      <formula>#REF!</formula>
      <formula>#REF!</formula>
    </cfRule>
  </conditionalFormatting>
  <conditionalFormatting sqref="AQ32">
    <cfRule type="containsText" dxfId="35" priority="94" operator="containsText" text="N/A">
      <formula>NOT(ISERROR(SEARCH("N/A",AQ32)))</formula>
    </cfRule>
    <cfRule type="cellIs" dxfId="34" priority="95" operator="between">
      <formula>#REF!</formula>
      <formula>#REF!</formula>
    </cfRule>
    <cfRule type="cellIs" dxfId="33" priority="96" operator="between">
      <formula>#REF!</formula>
      <formula>#REF!</formula>
    </cfRule>
    <cfRule type="cellIs" dxfId="32" priority="97" operator="between">
      <formula>#REF!</formula>
      <formula>#REF!</formula>
    </cfRule>
  </conditionalFormatting>
  <conditionalFormatting sqref="AQ33">
    <cfRule type="containsText" dxfId="31" priority="90" operator="containsText" text="N/A">
      <formula>NOT(ISERROR(SEARCH("N/A",AQ33)))</formula>
    </cfRule>
    <cfRule type="cellIs" dxfId="30" priority="91" operator="between">
      <formula>#REF!</formula>
      <formula>#REF!</formula>
    </cfRule>
    <cfRule type="cellIs" dxfId="29" priority="92" operator="between">
      <formula>#REF!</formula>
      <formula>#REF!</formula>
    </cfRule>
    <cfRule type="cellIs" dxfId="28" priority="93" operator="between">
      <formula>#REF!</formula>
      <formula>#REF!</formula>
    </cfRule>
  </conditionalFormatting>
  <conditionalFormatting sqref="AE54">
    <cfRule type="containsText" dxfId="27" priority="86" operator="containsText" text="N/A">
      <formula>NOT(ISERROR(SEARCH("N/A",AE54)))</formula>
    </cfRule>
    <cfRule type="cellIs" dxfId="26" priority="87" operator="between">
      <formula>#REF!</formula>
      <formula>#REF!</formula>
    </cfRule>
    <cfRule type="cellIs" dxfId="25" priority="88" operator="between">
      <formula>#REF!</formula>
      <formula>#REF!</formula>
    </cfRule>
    <cfRule type="cellIs" dxfId="24" priority="89" operator="between">
      <formula>#REF!</formula>
      <formula>#REF!</formula>
    </cfRule>
  </conditionalFormatting>
  <conditionalFormatting sqref="AK54">
    <cfRule type="containsText" dxfId="23" priority="82" operator="containsText" text="N/A">
      <formula>NOT(ISERROR(SEARCH("N/A",AK54)))</formula>
    </cfRule>
    <cfRule type="cellIs" dxfId="22" priority="83" operator="between">
      <formula>#REF!</formula>
      <formula>#REF!</formula>
    </cfRule>
    <cfRule type="cellIs" dxfId="21" priority="84" operator="between">
      <formula>#REF!</formula>
      <formula>#REF!</formula>
    </cfRule>
    <cfRule type="cellIs" dxfId="20" priority="85" operator="between">
      <formula>#REF!</formula>
      <formula>#REF!</formula>
    </cfRule>
  </conditionalFormatting>
  <conditionalFormatting sqref="AQ54">
    <cfRule type="containsText" dxfId="19" priority="78" operator="containsText" text="N/A">
      <formula>NOT(ISERROR(SEARCH("N/A",AQ54)))</formula>
    </cfRule>
    <cfRule type="cellIs" dxfId="18" priority="79" operator="between">
      <formula>#REF!</formula>
      <formula>#REF!</formula>
    </cfRule>
    <cfRule type="cellIs" dxfId="17" priority="80" operator="between">
      <formula>#REF!</formula>
      <formula>#REF!</formula>
    </cfRule>
    <cfRule type="cellIs" dxfId="16" priority="81" operator="between">
      <formula>#REF!</formula>
      <formula>#REF!</formula>
    </cfRule>
  </conditionalFormatting>
  <conditionalFormatting sqref="BA15">
    <cfRule type="colorScale" priority="77">
      <colorScale>
        <cfvo type="num" val="0.45"/>
        <cfvo type="percent" val="0.65"/>
        <cfvo type="percent" val="100"/>
        <color rgb="FFF8696B"/>
        <color rgb="FFFFEB84"/>
        <color rgb="FF63BE7B"/>
      </colorScale>
    </cfRule>
  </conditionalFormatting>
  <conditionalFormatting sqref="BA16">
    <cfRule type="colorScale" priority="76">
      <colorScale>
        <cfvo type="num" val="0.45"/>
        <cfvo type="percent" val="0.65"/>
        <cfvo type="percent" val="100"/>
        <color rgb="FFF8696B"/>
        <color rgb="FFFFEB84"/>
        <color rgb="FF63BE7B"/>
      </colorScale>
    </cfRule>
  </conditionalFormatting>
  <conditionalFormatting sqref="BA17">
    <cfRule type="colorScale" priority="75">
      <colorScale>
        <cfvo type="num" val="0.45"/>
        <cfvo type="percent" val="0.65"/>
        <cfvo type="percent" val="100"/>
        <color rgb="FFF8696B"/>
        <color rgb="FFFFEB84"/>
        <color rgb="FF63BE7B"/>
      </colorScale>
    </cfRule>
  </conditionalFormatting>
  <conditionalFormatting sqref="BA21">
    <cfRule type="colorScale" priority="71">
      <colorScale>
        <cfvo type="num" val="0.45"/>
        <cfvo type="percent" val="0.65"/>
        <cfvo type="percent" val="100"/>
        <color rgb="FFF8696B"/>
        <color rgb="FFFFEB84"/>
        <color rgb="FF63BE7B"/>
      </colorScale>
    </cfRule>
  </conditionalFormatting>
  <conditionalFormatting sqref="BA22">
    <cfRule type="colorScale" priority="70">
      <colorScale>
        <cfvo type="num" val="0.45"/>
        <cfvo type="percent" val="0.65"/>
        <cfvo type="percent" val="100"/>
        <color rgb="FFF8696B"/>
        <color rgb="FFFFEB84"/>
        <color rgb="FF63BE7B"/>
      </colorScale>
    </cfRule>
  </conditionalFormatting>
  <conditionalFormatting sqref="BA23">
    <cfRule type="colorScale" priority="69">
      <colorScale>
        <cfvo type="num" val="0.45"/>
        <cfvo type="percent" val="0.65"/>
        <cfvo type="percent" val="100"/>
        <color rgb="FFF8696B"/>
        <color rgb="FFFFEB84"/>
        <color rgb="FF63BE7B"/>
      </colorScale>
    </cfRule>
  </conditionalFormatting>
  <conditionalFormatting sqref="BA25">
    <cfRule type="colorScale" priority="68">
      <colorScale>
        <cfvo type="num" val="0.45"/>
        <cfvo type="percent" val="0.65"/>
        <cfvo type="percent" val="100"/>
        <color rgb="FFF8696B"/>
        <color rgb="FFFFEB84"/>
        <color rgb="FF63BE7B"/>
      </colorScale>
    </cfRule>
  </conditionalFormatting>
  <conditionalFormatting sqref="BA26">
    <cfRule type="colorScale" priority="67">
      <colorScale>
        <cfvo type="num" val="0.45"/>
        <cfvo type="percent" val="0.65"/>
        <cfvo type="percent" val="100"/>
        <color rgb="FFF8696B"/>
        <color rgb="FFFFEB84"/>
        <color rgb="FF63BE7B"/>
      </colorScale>
    </cfRule>
  </conditionalFormatting>
  <conditionalFormatting sqref="BA27">
    <cfRule type="colorScale" priority="65">
      <colorScale>
        <cfvo type="num" val="0.45"/>
        <cfvo type="percent" val="0.65"/>
        <cfvo type="percent" val="100"/>
        <color rgb="FFF8696B"/>
        <color rgb="FFFFEB84"/>
        <color rgb="FF63BE7B"/>
      </colorScale>
    </cfRule>
  </conditionalFormatting>
  <conditionalFormatting sqref="BA28">
    <cfRule type="colorScale" priority="62">
      <colorScale>
        <cfvo type="num" val="0.45"/>
        <cfvo type="percent" val="0.65"/>
        <cfvo type="percent" val="100"/>
        <color rgb="FFF8696B"/>
        <color rgb="FFFFEB84"/>
        <color rgb="FF63BE7B"/>
      </colorScale>
    </cfRule>
  </conditionalFormatting>
  <conditionalFormatting sqref="BA29">
    <cfRule type="colorScale" priority="61">
      <colorScale>
        <cfvo type="num" val="0.45"/>
        <cfvo type="percent" val="0.65"/>
        <cfvo type="percent" val="100"/>
        <color rgb="FFF8696B"/>
        <color rgb="FFFFEB84"/>
        <color rgb="FF63BE7B"/>
      </colorScale>
    </cfRule>
  </conditionalFormatting>
  <conditionalFormatting sqref="BA30">
    <cfRule type="colorScale" priority="59">
      <colorScale>
        <cfvo type="num" val="0.45"/>
        <cfvo type="percent" val="0.65"/>
        <cfvo type="percent" val="100"/>
        <color rgb="FFF8696B"/>
        <color rgb="FFFFEB84"/>
        <color rgb="FF63BE7B"/>
      </colorScale>
    </cfRule>
  </conditionalFormatting>
  <conditionalFormatting sqref="BA31">
    <cfRule type="colorScale" priority="58">
      <colorScale>
        <cfvo type="num" val="0.45"/>
        <cfvo type="percent" val="0.65"/>
        <cfvo type="percent" val="100"/>
        <color rgb="FFF8696B"/>
        <color rgb="FFFFEB84"/>
        <color rgb="FF63BE7B"/>
      </colorScale>
    </cfRule>
  </conditionalFormatting>
  <conditionalFormatting sqref="BA32">
    <cfRule type="colorScale" priority="56">
      <colorScale>
        <cfvo type="num" val="0.45"/>
        <cfvo type="percent" val="0.65"/>
        <cfvo type="percent" val="100"/>
        <color rgb="FFF8696B"/>
        <color rgb="FFFFEB84"/>
        <color rgb="FF63BE7B"/>
      </colorScale>
    </cfRule>
  </conditionalFormatting>
  <conditionalFormatting sqref="BA33">
    <cfRule type="colorScale" priority="54">
      <colorScale>
        <cfvo type="num" val="0.45"/>
        <cfvo type="percent" val="0.65"/>
        <cfvo type="percent" val="100"/>
        <color rgb="FFF8696B"/>
        <color rgb="FFFFEB84"/>
        <color rgb="FF63BE7B"/>
      </colorScale>
    </cfRule>
  </conditionalFormatting>
  <conditionalFormatting sqref="BA38">
    <cfRule type="colorScale" priority="51">
      <colorScale>
        <cfvo type="num" val="0.45"/>
        <cfvo type="percent" val="0.65"/>
        <cfvo type="percent" val="100"/>
        <color rgb="FFF8696B"/>
        <color rgb="FFFFEB84"/>
        <color rgb="FF63BE7B"/>
      </colorScale>
    </cfRule>
  </conditionalFormatting>
  <conditionalFormatting sqref="BA39">
    <cfRule type="colorScale" priority="50">
      <colorScale>
        <cfvo type="num" val="0.45"/>
        <cfvo type="percent" val="0.65"/>
        <cfvo type="percent" val="100"/>
        <color rgb="FFF8696B"/>
        <color rgb="FFFFEB84"/>
        <color rgb="FF63BE7B"/>
      </colorScale>
    </cfRule>
  </conditionalFormatting>
  <conditionalFormatting sqref="BA40">
    <cfRule type="colorScale" priority="49">
      <colorScale>
        <cfvo type="num" val="0.45"/>
        <cfvo type="percent" val="0.65"/>
        <cfvo type="percent" val="100"/>
        <color rgb="FFF8696B"/>
        <color rgb="FFFFEB84"/>
        <color rgb="FF63BE7B"/>
      </colorScale>
    </cfRule>
  </conditionalFormatting>
  <conditionalFormatting sqref="BA41">
    <cfRule type="colorScale" priority="48">
      <colorScale>
        <cfvo type="num" val="0.45"/>
        <cfvo type="percent" val="0.65"/>
        <cfvo type="percent" val="100"/>
        <color rgb="FFF8696B"/>
        <color rgb="FFFFEB84"/>
        <color rgb="FF63BE7B"/>
      </colorScale>
    </cfRule>
  </conditionalFormatting>
  <conditionalFormatting sqref="BA42">
    <cfRule type="colorScale" priority="47">
      <colorScale>
        <cfvo type="num" val="0.45"/>
        <cfvo type="percent" val="0.65"/>
        <cfvo type="percent" val="100"/>
        <color rgb="FFF8696B"/>
        <color rgb="FFFFEB84"/>
        <color rgb="FF63BE7B"/>
      </colorScale>
    </cfRule>
  </conditionalFormatting>
  <conditionalFormatting sqref="BA43">
    <cfRule type="colorScale" priority="46">
      <colorScale>
        <cfvo type="num" val="0.45"/>
        <cfvo type="percent" val="0.65"/>
        <cfvo type="percent" val="100"/>
        <color rgb="FFF8696B"/>
        <color rgb="FFFFEB84"/>
        <color rgb="FF63BE7B"/>
      </colorScale>
    </cfRule>
  </conditionalFormatting>
  <conditionalFormatting sqref="BA44">
    <cfRule type="colorScale" priority="45">
      <colorScale>
        <cfvo type="num" val="0.45"/>
        <cfvo type="percent" val="0.65"/>
        <cfvo type="percent" val="100"/>
        <color rgb="FFF8696B"/>
        <color rgb="FFFFEB84"/>
        <color rgb="FF63BE7B"/>
      </colorScale>
    </cfRule>
  </conditionalFormatting>
  <conditionalFormatting sqref="BA46">
    <cfRule type="colorScale" priority="44">
      <colorScale>
        <cfvo type="num" val="0.45"/>
        <cfvo type="percent" val="0.65"/>
        <cfvo type="percent" val="100"/>
        <color rgb="FFF8696B"/>
        <color rgb="FFFFEB84"/>
        <color rgb="FF63BE7B"/>
      </colorScale>
    </cfRule>
  </conditionalFormatting>
  <conditionalFormatting sqref="BA48">
    <cfRule type="colorScale" priority="43">
      <colorScale>
        <cfvo type="num" val="0.45"/>
        <cfvo type="percent" val="0.65"/>
        <cfvo type="percent" val="100"/>
        <color rgb="FFF8696B"/>
        <color rgb="FFFFEB84"/>
        <color rgb="FF63BE7B"/>
      </colorScale>
    </cfRule>
  </conditionalFormatting>
  <conditionalFormatting sqref="BA50">
    <cfRule type="colorScale" priority="42">
      <colorScale>
        <cfvo type="num" val="0.45"/>
        <cfvo type="percent" val="0.65"/>
        <cfvo type="percent" val="100"/>
        <color rgb="FFF8696B"/>
        <color rgb="FFFFEB84"/>
        <color rgb="FF63BE7B"/>
      </colorScale>
    </cfRule>
  </conditionalFormatting>
  <conditionalFormatting sqref="BA52">
    <cfRule type="colorScale" priority="40">
      <colorScale>
        <cfvo type="num" val="0.45"/>
        <cfvo type="percent" val="0.65"/>
        <cfvo type="percent" val="100"/>
        <color rgb="FFF8696B"/>
        <color rgb="FFFFEB84"/>
        <color rgb="FF63BE7B"/>
      </colorScale>
    </cfRule>
  </conditionalFormatting>
  <conditionalFormatting sqref="BA53">
    <cfRule type="colorScale" priority="39">
      <colorScale>
        <cfvo type="num" val="0.45"/>
        <cfvo type="percent" val="0.65"/>
        <cfvo type="percent" val="100"/>
        <color rgb="FFF8696B"/>
        <color rgb="FFFFEB84"/>
        <color rgb="FF63BE7B"/>
      </colorScale>
    </cfRule>
  </conditionalFormatting>
  <conditionalFormatting sqref="BA54">
    <cfRule type="colorScale" priority="38">
      <colorScale>
        <cfvo type="num" val="0.45"/>
        <cfvo type="percent" val="0.65"/>
        <cfvo type="percent" val="100"/>
        <color rgb="FFF8696B"/>
        <color rgb="FFFFEB84"/>
        <color rgb="FF63BE7B"/>
      </colorScale>
    </cfRule>
  </conditionalFormatting>
  <conditionalFormatting sqref="BA55">
    <cfRule type="colorScale" priority="37">
      <colorScale>
        <cfvo type="num" val="0.45"/>
        <cfvo type="percent" val="0.65"/>
        <cfvo type="percent" val="100"/>
        <color rgb="FFF8696B"/>
        <color rgb="FFFFEB84"/>
        <color rgb="FF63BE7B"/>
      </colorScale>
    </cfRule>
  </conditionalFormatting>
  <conditionalFormatting sqref="BA56">
    <cfRule type="colorScale" priority="36">
      <colorScale>
        <cfvo type="num" val="0.45"/>
        <cfvo type="percent" val="0.65"/>
        <cfvo type="percent" val="100"/>
        <color rgb="FFF8696B"/>
        <color rgb="FFFFEB84"/>
        <color rgb="FF63BE7B"/>
      </colorScale>
    </cfRule>
  </conditionalFormatting>
  <conditionalFormatting sqref="BA57">
    <cfRule type="colorScale" priority="35">
      <colorScale>
        <cfvo type="num" val="0.45"/>
        <cfvo type="percent" val="0.65"/>
        <cfvo type="percent" val="100"/>
        <color rgb="FFF8696B"/>
        <color rgb="FFFFEB84"/>
        <color rgb="FF63BE7B"/>
      </colorScale>
    </cfRule>
  </conditionalFormatting>
  <conditionalFormatting sqref="BA58">
    <cfRule type="colorScale" priority="34">
      <colorScale>
        <cfvo type="num" val="0.45"/>
        <cfvo type="percent" val="0.65"/>
        <cfvo type="percent" val="100"/>
        <color rgb="FFF8696B"/>
        <color rgb="FFFFEB84"/>
        <color rgb="FF63BE7B"/>
      </colorScale>
    </cfRule>
  </conditionalFormatting>
  <conditionalFormatting sqref="BA19">
    <cfRule type="colorScale" priority="33">
      <colorScale>
        <cfvo type="num" val="0.45"/>
        <cfvo type="percent" val="0.65"/>
        <cfvo type="percent" val="100"/>
        <color rgb="FFF8696B"/>
        <color rgb="FFFFEB84"/>
        <color rgb="FF63BE7B"/>
      </colorScale>
    </cfRule>
  </conditionalFormatting>
  <conditionalFormatting sqref="AU21">
    <cfRule type="containsText" dxfId="15" priority="29" operator="containsText" text="N/A">
      <formula>NOT(ISERROR(SEARCH("N/A",AU21)))</formula>
    </cfRule>
    <cfRule type="cellIs" dxfId="14" priority="30" operator="between">
      <formula>#REF!</formula>
      <formula>#REF!</formula>
    </cfRule>
    <cfRule type="cellIs" dxfId="13" priority="31" operator="between">
      <formula>#REF!</formula>
      <formula>#REF!</formula>
    </cfRule>
    <cfRule type="cellIs" dxfId="12" priority="32" operator="between">
      <formula>#REF!</formula>
      <formula>#REF!</formula>
    </cfRule>
  </conditionalFormatting>
  <conditionalFormatting sqref="AV21">
    <cfRule type="containsText" dxfId="11" priority="25" operator="containsText" text="N/A">
      <formula>NOT(ISERROR(SEARCH("N/A",AV21)))</formula>
    </cfRule>
    <cfRule type="cellIs" dxfId="10" priority="26" operator="between">
      <formula>#REF!</formula>
      <formula>#REF!</formula>
    </cfRule>
    <cfRule type="cellIs" dxfId="9" priority="27" operator="between">
      <formula>#REF!</formula>
      <formula>#REF!</formula>
    </cfRule>
    <cfRule type="cellIs" dxfId="8" priority="28" operator="between">
      <formula>#REF!</formula>
      <formula>#REF!</formula>
    </cfRule>
  </conditionalFormatting>
  <conditionalFormatting sqref="AV35:AV37">
    <cfRule type="containsText" dxfId="7" priority="7" operator="containsText" text="N/A">
      <formula>NOT(ISERROR(SEARCH("N/A",AV35)))</formula>
    </cfRule>
    <cfRule type="cellIs" dxfId="6" priority="8" operator="between">
      <formula>#REF!</formula>
      <formula>#REF!</formula>
    </cfRule>
    <cfRule type="cellIs" dxfId="5" priority="9" operator="between">
      <formula>#REF!</formula>
      <formula>#REF!</formula>
    </cfRule>
    <cfRule type="cellIs" dxfId="4" priority="10" operator="between">
      <formula>#REF!</formula>
      <formula>#REF!</formula>
    </cfRule>
  </conditionalFormatting>
  <conditionalFormatting sqref="BA36">
    <cfRule type="colorScale" priority="6">
      <colorScale>
        <cfvo type="num" val="0.45"/>
        <cfvo type="percent" val="0.65"/>
        <cfvo type="percent" val="100"/>
        <color rgb="FFF8696B"/>
        <color rgb="FFFFEB84"/>
        <color rgb="FF63BE7B"/>
      </colorScale>
    </cfRule>
  </conditionalFormatting>
  <conditionalFormatting sqref="BA37">
    <cfRule type="colorScale" priority="5">
      <colorScale>
        <cfvo type="num" val="0.45"/>
        <cfvo type="percent" val="0.65"/>
        <cfvo type="percent" val="100"/>
        <color rgb="FFF8696B"/>
        <color rgb="FFFFEB84"/>
        <color rgb="FF63BE7B"/>
      </colorScale>
    </cfRule>
  </conditionalFormatting>
  <conditionalFormatting sqref="BB35:BC35">
    <cfRule type="containsText" dxfId="3" priority="1" operator="containsText" text="N/A">
      <formula>NOT(ISERROR(SEARCH("N/A",BB35)))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B4" xr:uid="{00000000-0002-0000-0000-000000000000}">
      <formula1>DEPENDENCIA</formula1>
    </dataValidation>
    <dataValidation type="list" allowBlank="1" showInputMessage="1" showErrorMessage="1" sqref="B5" xr:uid="{00000000-0002-0000-0000-000001000000}">
      <formula1>LIDERPROCESO</formula1>
    </dataValidation>
    <dataValidation type="list" allowBlank="1" showInputMessage="1" showErrorMessage="1" error="Escriba un texto " promptTitle="Cualquier contenido" sqref="F58 F15:F56" xr:uid="{00000000-0002-0000-0000-000002000000}">
      <formula1>META2</formula1>
    </dataValidation>
    <dataValidation type="list" allowBlank="1" showInputMessage="1" showErrorMessage="1" sqref="J19:J58" xr:uid="{00000000-0002-0000-0000-000003000000}">
      <formula1>PROGRAMACION</formula1>
    </dataValidation>
    <dataValidation type="list" allowBlank="1" showInputMessage="1" showErrorMessage="1" sqref="Q15:Q58" xr:uid="{00000000-0002-0000-0000-000004000000}">
      <formula1>INDICADOR</formula1>
    </dataValidation>
    <dataValidation type="list" allowBlank="1" showInputMessage="1" showErrorMessage="1" sqref="V15:V58" xr:uid="{00000000-0002-0000-0000-000005000000}">
      <formula1>FUENTE</formula1>
    </dataValidation>
    <dataValidation type="list" allowBlank="1" showInputMessage="1" showErrorMessage="1" sqref="W15:W58" xr:uid="{00000000-0002-0000-0000-000006000000}">
      <formula1>RUBROS</formula1>
    </dataValidation>
    <dataValidation type="list" allowBlank="1" showInputMessage="1" showErrorMessage="1" sqref="U15:U58" xr:uid="{00000000-0002-0000-0000-000007000000}">
      <formula1>CONTRALORIA</formula1>
    </dataValidation>
  </dataValidations>
  <hyperlinks>
    <hyperlink ref="AL58" r:id="rId1" xr:uid="{00000000-0004-0000-0000-000000000000}"/>
    <hyperlink ref="AR58" r:id="rId2" xr:uid="{00000000-0004-0000-0000-000001000000}"/>
    <hyperlink ref="AR25" r:id="rId3" xr:uid="{00000000-0004-0000-0000-000002000000}"/>
    <hyperlink ref="AX58" r:id="rId4" xr:uid="{00000000-0004-0000-0000-000003000000}"/>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5"/>
  <headerFooter>
    <oddFooter>&amp;RCódigo: PLE-PIN-F018
Versión: 1
Vigencia desde: 8 septiembre de 2017</oddFooter>
  </headerFooter>
  <colBreaks count="1" manualBreakCount="1">
    <brk id="26" max="42" man="1"/>
  </col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zoomScale="55" zoomScaleNormal="55" workbookViewId="0" xr3:uid="{958C4451-9541-5A59-BF78-D2F731DF1C81}">
      <selection activeCell="P15" sqref="P15"/>
    </sheetView>
  </sheetViews>
  <sheetFormatPr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485</v>
      </c>
      <c r="B1" t="s">
        <v>42</v>
      </c>
      <c r="C1" t="s">
        <v>486</v>
      </c>
      <c r="D1" t="s">
        <v>487</v>
      </c>
      <c r="F1" t="s">
        <v>488</v>
      </c>
    </row>
    <row r="2" spans="1:8">
      <c r="A2" t="s">
        <v>489</v>
      </c>
      <c r="B2" t="s">
        <v>490</v>
      </c>
      <c r="C2" t="s">
        <v>77</v>
      </c>
      <c r="D2" t="s">
        <v>59</v>
      </c>
      <c r="F2" t="s">
        <v>260</v>
      </c>
    </row>
    <row r="3" spans="1:8">
      <c r="A3" t="s">
        <v>491</v>
      </c>
      <c r="B3" t="s">
        <v>66</v>
      </c>
      <c r="C3" t="s">
        <v>492</v>
      </c>
      <c r="D3" t="s">
        <v>114</v>
      </c>
      <c r="F3" t="s">
        <v>61</v>
      </c>
    </row>
    <row r="4" spans="1:8">
      <c r="A4" t="s">
        <v>493</v>
      </c>
      <c r="C4" t="s">
        <v>56</v>
      </c>
      <c r="D4" t="s">
        <v>494</v>
      </c>
      <c r="F4" t="s">
        <v>96</v>
      </c>
    </row>
    <row r="5" spans="1:8">
      <c r="A5" t="s">
        <v>495</v>
      </c>
      <c r="C5" t="s">
        <v>413</v>
      </c>
      <c r="D5" t="s">
        <v>496</v>
      </c>
    </row>
    <row r="6" spans="1:8">
      <c r="A6" t="s">
        <v>67</v>
      </c>
      <c r="E6" t="s">
        <v>497</v>
      </c>
      <c r="G6" t="s">
        <v>498</v>
      </c>
    </row>
    <row r="7" spans="1:8">
      <c r="A7" t="s">
        <v>499</v>
      </c>
      <c r="E7" t="s">
        <v>500</v>
      </c>
      <c r="G7" t="s">
        <v>99</v>
      </c>
    </row>
    <row r="8" spans="1:8">
      <c r="E8" t="s">
        <v>501</v>
      </c>
      <c r="G8" t="s">
        <v>65</v>
      </c>
    </row>
    <row r="9" spans="1:8">
      <c r="E9" t="s">
        <v>502</v>
      </c>
    </row>
    <row r="10" spans="1:8">
      <c r="E10" t="s">
        <v>503</v>
      </c>
    </row>
    <row r="12" spans="1:8" s="3" customFormat="1" ht="74.25" customHeight="1">
      <c r="A12" s="11"/>
      <c r="C12" s="12"/>
      <c r="D12" s="6"/>
      <c r="H12" s="3" t="s">
        <v>504</v>
      </c>
    </row>
    <row r="13" spans="1:8" s="3" customFormat="1" ht="74.25" customHeight="1">
      <c r="A13" s="11"/>
      <c r="C13" s="12"/>
      <c r="D13" s="6"/>
      <c r="H13" s="3" t="s">
        <v>505</v>
      </c>
    </row>
    <row r="14" spans="1:8" s="3" customFormat="1" ht="74.25" customHeight="1">
      <c r="A14" s="11"/>
      <c r="C14" s="12"/>
      <c r="D14" s="2"/>
      <c r="H14" s="3" t="s">
        <v>506</v>
      </c>
    </row>
    <row r="15" spans="1:8" s="3" customFormat="1" ht="74.25" customHeight="1">
      <c r="A15" s="11"/>
      <c r="C15" s="12"/>
      <c r="D15" s="2"/>
      <c r="H15" s="3" t="s">
        <v>507</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51</v>
      </c>
      <c r="C99" t="s">
        <v>508</v>
      </c>
    </row>
    <row r="100" spans="2:3" ht="30">
      <c r="B100" s="10">
        <v>1167</v>
      </c>
      <c r="C100" s="3" t="s">
        <v>509</v>
      </c>
    </row>
    <row r="101" spans="2:3" ht="30">
      <c r="B101" s="10">
        <v>1131</v>
      </c>
      <c r="C101" s="3" t="s">
        <v>510</v>
      </c>
    </row>
    <row r="102" spans="2:3" ht="30">
      <c r="B102" s="10">
        <v>1177</v>
      </c>
      <c r="C102" s="3" t="s">
        <v>511</v>
      </c>
    </row>
    <row r="103" spans="2:3" ht="30">
      <c r="B103" s="10">
        <v>1094</v>
      </c>
      <c r="C103" s="3" t="s">
        <v>512</v>
      </c>
    </row>
    <row r="104" spans="2:3">
      <c r="B104" s="10">
        <v>1128</v>
      </c>
      <c r="C104" s="3" t="s">
        <v>513</v>
      </c>
    </row>
    <row r="105" spans="2:3" ht="45">
      <c r="B105" s="10">
        <v>1095</v>
      </c>
      <c r="C105" s="3" t="s">
        <v>514</v>
      </c>
    </row>
    <row r="106" spans="2:3" ht="45">
      <c r="B106" s="10">
        <v>1129</v>
      </c>
      <c r="C106" s="3" t="s">
        <v>515</v>
      </c>
    </row>
    <row r="107" spans="2:3" ht="45">
      <c r="B107" s="10">
        <v>1120</v>
      </c>
      <c r="C107" s="3" t="s">
        <v>516</v>
      </c>
    </row>
    <row r="108" spans="2:3">
      <c r="B108" s="9"/>
    </row>
    <row r="109" spans="2:3">
      <c r="B109" s="9"/>
    </row>
    <row r="117" spans="2:3">
      <c r="B117" t="s">
        <v>3</v>
      </c>
    </row>
    <row r="118" spans="2:3">
      <c r="B118" t="s">
        <v>517</v>
      </c>
      <c r="C118" t="s">
        <v>518</v>
      </c>
    </row>
    <row r="119" spans="2:3">
      <c r="B119" t="s">
        <v>519</v>
      </c>
      <c r="C119" t="s">
        <v>520</v>
      </c>
    </row>
    <row r="120" spans="2:3">
      <c r="B120" t="s">
        <v>521</v>
      </c>
      <c r="C120" t="s">
        <v>522</v>
      </c>
    </row>
    <row r="121" spans="2:3">
      <c r="B121" t="s">
        <v>523</v>
      </c>
      <c r="C121" t="s">
        <v>524</v>
      </c>
    </row>
    <row r="122" spans="2:3">
      <c r="B122" t="s">
        <v>525</v>
      </c>
      <c r="C122" t="s">
        <v>526</v>
      </c>
    </row>
    <row r="123" spans="2:3">
      <c r="B123" t="s">
        <v>527</v>
      </c>
      <c r="C123" t="s">
        <v>528</v>
      </c>
    </row>
    <row r="124" spans="2:3">
      <c r="B124" t="s">
        <v>529</v>
      </c>
      <c r="C124" t="s">
        <v>530</v>
      </c>
    </row>
    <row r="125" spans="2:3">
      <c r="B125" t="s">
        <v>531</v>
      </c>
      <c r="C125" t="s">
        <v>532</v>
      </c>
    </row>
    <row r="126" spans="2:3">
      <c r="B126" t="s">
        <v>533</v>
      </c>
      <c r="C126" t="s">
        <v>534</v>
      </c>
    </row>
    <row r="127" spans="2:3">
      <c r="B127" t="s">
        <v>535</v>
      </c>
      <c r="C127" t="s">
        <v>536</v>
      </c>
    </row>
    <row r="128" spans="2:3">
      <c r="B128" t="s">
        <v>537</v>
      </c>
      <c r="C128" t="s">
        <v>538</v>
      </c>
    </row>
    <row r="129" spans="2:3">
      <c r="B129" t="s">
        <v>539</v>
      </c>
      <c r="C129" t="s">
        <v>540</v>
      </c>
    </row>
    <row r="130" spans="2:3">
      <c r="B130" t="s">
        <v>541</v>
      </c>
      <c r="C130" t="s">
        <v>542</v>
      </c>
    </row>
    <row r="131" spans="2:3">
      <c r="B131" t="s">
        <v>543</v>
      </c>
      <c r="C131" t="s">
        <v>544</v>
      </c>
    </row>
    <row r="132" spans="2:3">
      <c r="B132" t="s">
        <v>545</v>
      </c>
      <c r="C132" t="s">
        <v>546</v>
      </c>
    </row>
    <row r="133" spans="2:3">
      <c r="B133" t="s">
        <v>547</v>
      </c>
      <c r="C133" t="s">
        <v>548</v>
      </c>
    </row>
    <row r="134" spans="2:3">
      <c r="B134" t="s">
        <v>549</v>
      </c>
      <c r="C134" t="s">
        <v>550</v>
      </c>
    </row>
    <row r="135" spans="2:3">
      <c r="B135" t="s">
        <v>551</v>
      </c>
      <c r="C135" t="s">
        <v>552</v>
      </c>
    </row>
    <row r="136" spans="2:3">
      <c r="B136" t="s">
        <v>553</v>
      </c>
      <c r="C136" t="s">
        <v>554</v>
      </c>
    </row>
    <row r="137" spans="2:3">
      <c r="B137" t="s">
        <v>555</v>
      </c>
      <c r="C137" t="s">
        <v>556</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2019-01-30T23:15:43Z</dcterms:modified>
  <cp:category/>
  <cp:contentStatus/>
</cp:coreProperties>
</file>