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3. Marzo/Caso HOLA 238128/"/>
    </mc:Choice>
  </mc:AlternateContent>
  <xr:revisionPtr revIDLastSave="0" documentId="8_{F6251A8A-32F2-4A83-9789-5101D2BAFA26}" xr6:coauthVersionLast="47" xr6:coauthVersionMax="47" xr10:uidLastSave="{00000000-0000-0000-0000-000000000000}"/>
  <bookViews>
    <workbookView xWindow="-120" yWindow="-120" windowWidth="20730" windowHeight="1116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3"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8" i="1" l="1"/>
  <c r="X57" i="1"/>
  <c r="X56" i="1"/>
  <c r="X55" i="1"/>
  <c r="T53" i="1"/>
  <c r="Q53" i="1"/>
  <c r="X54" i="1" s="1"/>
  <c r="X53" i="1" l="1"/>
  <c r="Z53" i="1" s="1"/>
  <c r="AB53" i="1"/>
  <c r="AA53" i="1" s="1"/>
  <c r="Y53" i="1"/>
  <c r="AC53" i="1" l="1"/>
  <c r="Q29" i="1" l="1"/>
  <c r="T29" i="1"/>
  <c r="H29" i="1"/>
  <c r="I29" i="1" s="1"/>
  <c r="K81" i="1"/>
  <c r="K78" i="1"/>
  <c r="K76" i="1"/>
  <c r="K50" i="1"/>
  <c r="K88" i="1"/>
  <c r="K36" i="1"/>
  <c r="K48" i="1"/>
  <c r="K68" i="1"/>
  <c r="K79" i="1"/>
  <c r="K73" i="1"/>
  <c r="K49" i="1"/>
  <c r="K57" i="1"/>
  <c r="K67" i="1"/>
  <c r="K46" i="1"/>
  <c r="K54" i="1"/>
  <c r="K82" i="1"/>
  <c r="K66" i="1"/>
  <c r="K75" i="1"/>
  <c r="K58" i="1"/>
  <c r="K43" i="1"/>
  <c r="K84" i="1"/>
  <c r="K69" i="1"/>
  <c r="K85" i="1"/>
  <c r="K56" i="1"/>
  <c r="K60" i="1"/>
  <c r="K40" i="1"/>
  <c r="K38" i="1"/>
  <c r="K74" i="1"/>
  <c r="K37" i="1"/>
  <c r="K51" i="1"/>
  <c r="K45" i="1"/>
  <c r="K52" i="1"/>
  <c r="K61" i="1"/>
  <c r="K39" i="1"/>
  <c r="K55" i="1"/>
  <c r="K86" i="1"/>
  <c r="K42" i="1"/>
  <c r="K87" i="1"/>
  <c r="K72" i="1"/>
  <c r="K62" i="1"/>
  <c r="K44" i="1"/>
  <c r="K70" i="1"/>
  <c r="K80" i="1"/>
  <c r="K63" i="1"/>
  <c r="K64" i="1"/>
  <c r="F221" i="13" l="1"/>
  <c r="F211" i="13"/>
  <c r="F212" i="13"/>
  <c r="F213" i="13"/>
  <c r="F214" i="13"/>
  <c r="F215" i="13"/>
  <c r="F216" i="13"/>
  <c r="F217" i="13"/>
  <c r="F218" i="13"/>
  <c r="F219" i="13"/>
  <c r="F220" i="13"/>
  <c r="F210" i="13"/>
  <c r="K34" i="1"/>
  <c r="K33" i="1"/>
  <c r="K30" i="1"/>
  <c r="K31" i="1"/>
  <c r="B221" i="13" a="1"/>
  <c r="K32" i="1"/>
  <c r="B221" i="13" l="1"/>
  <c r="Q71" i="1"/>
  <c r="Q66" i="1"/>
  <c r="Q60"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88" i="1" l="1"/>
  <c r="Q88" i="1"/>
  <c r="T87" i="1"/>
  <c r="Q87" i="1"/>
  <c r="T86" i="1"/>
  <c r="Q86" i="1"/>
  <c r="T85" i="1"/>
  <c r="Q85" i="1"/>
  <c r="T84" i="1"/>
  <c r="Q84" i="1"/>
  <c r="T83" i="1"/>
  <c r="Q83" i="1"/>
  <c r="H83" i="1"/>
  <c r="I83" i="1" s="1"/>
  <c r="T82" i="1"/>
  <c r="Q82" i="1"/>
  <c r="T81" i="1"/>
  <c r="Q81" i="1"/>
  <c r="T80" i="1"/>
  <c r="Q80" i="1"/>
  <c r="T79" i="1"/>
  <c r="Q79" i="1"/>
  <c r="T78" i="1"/>
  <c r="Q78" i="1"/>
  <c r="T77" i="1"/>
  <c r="Q77" i="1"/>
  <c r="H77" i="1"/>
  <c r="I77" i="1" s="1"/>
  <c r="T76" i="1"/>
  <c r="Q76" i="1"/>
  <c r="T75" i="1"/>
  <c r="Q75" i="1"/>
  <c r="T74" i="1"/>
  <c r="Q74" i="1"/>
  <c r="T73" i="1"/>
  <c r="Q73" i="1"/>
  <c r="T72" i="1"/>
  <c r="Q72" i="1"/>
  <c r="AB72" i="1" s="1"/>
  <c r="T71" i="1"/>
  <c r="H71" i="1"/>
  <c r="I71" i="1" s="1"/>
  <c r="T70" i="1"/>
  <c r="Q70" i="1"/>
  <c r="T69" i="1"/>
  <c r="Q69" i="1"/>
  <c r="T68" i="1"/>
  <c r="Q68" i="1"/>
  <c r="T67" i="1"/>
  <c r="Q67" i="1"/>
  <c r="T66" i="1"/>
  <c r="T65" i="1"/>
  <c r="Q65" i="1"/>
  <c r="AB66" i="1" s="1"/>
  <c r="H65" i="1"/>
  <c r="I65" i="1" s="1"/>
  <c r="T64" i="1"/>
  <c r="Q64" i="1"/>
  <c r="T63" i="1"/>
  <c r="Q63" i="1"/>
  <c r="T62" i="1"/>
  <c r="Q62" i="1"/>
  <c r="T61" i="1"/>
  <c r="Q61" i="1"/>
  <c r="T60" i="1"/>
  <c r="T59" i="1"/>
  <c r="Q59" i="1"/>
  <c r="AB60" i="1" s="1"/>
  <c r="H59" i="1"/>
  <c r="I59" i="1" s="1"/>
  <c r="H53" i="1"/>
  <c r="I53" i="1" s="1"/>
  <c r="T47" i="1"/>
  <c r="Q47" i="1"/>
  <c r="H47" i="1"/>
  <c r="I47" i="1" s="1"/>
  <c r="T41" i="1"/>
  <c r="Q41" i="1"/>
  <c r="H41" i="1"/>
  <c r="I41" i="1" s="1"/>
  <c r="H35" i="1"/>
  <c r="Q34" i="1"/>
  <c r="T38" i="1"/>
  <c r="Q38" i="1"/>
  <c r="T37" i="1"/>
  <c r="Q37" i="1"/>
  <c r="T36" i="1"/>
  <c r="Q36" i="1"/>
  <c r="T35" i="1"/>
  <c r="Q35" i="1"/>
  <c r="AB84" i="1" l="1"/>
  <c r="AB36" i="1"/>
  <c r="AB78" i="1"/>
  <c r="AB69" i="1"/>
  <c r="AA69" i="1" s="1"/>
  <c r="AB70" i="1"/>
  <c r="AA70" i="1" s="1"/>
  <c r="I35" i="1"/>
  <c r="X83" i="1"/>
  <c r="X77" i="1"/>
  <c r="X71" i="1"/>
  <c r="X65" i="1"/>
  <c r="X69" i="1"/>
  <c r="X70" i="1"/>
  <c r="X59" i="1"/>
  <c r="X47" i="1"/>
  <c r="X41" i="1"/>
  <c r="X35" i="1"/>
  <c r="Y83" i="1" l="1"/>
  <c r="Z83" i="1"/>
  <c r="X84" i="1" s="1"/>
  <c r="Y84" i="1" s="1"/>
  <c r="Y77" i="1"/>
  <c r="Z77" i="1"/>
  <c r="X78" i="1" s="1"/>
  <c r="Z78" i="1" s="1"/>
  <c r="X79" i="1" s="1"/>
  <c r="Y71" i="1"/>
  <c r="Z71" i="1"/>
  <c r="X72" i="1" s="1"/>
  <c r="Z72" i="1" s="1"/>
  <c r="X73" i="1" s="1"/>
  <c r="Y70" i="1"/>
  <c r="Z70" i="1"/>
  <c r="Y69" i="1"/>
  <c r="Z69" i="1"/>
  <c r="Y65" i="1"/>
  <c r="Z65" i="1"/>
  <c r="Y59" i="1"/>
  <c r="Z59" i="1"/>
  <c r="X60" i="1" s="1"/>
  <c r="Z60" i="1" s="1"/>
  <c r="X61" i="1" s="1"/>
  <c r="Y47" i="1"/>
  <c r="Z47" i="1"/>
  <c r="X48" i="1" s="1"/>
  <c r="X49" i="1" s="1"/>
  <c r="Y41" i="1"/>
  <c r="Z41" i="1"/>
  <c r="X42" i="1" s="1"/>
  <c r="Y35" i="1"/>
  <c r="Z35" i="1"/>
  <c r="X36" i="1" s="1"/>
  <c r="Y78" i="1" l="1"/>
  <c r="Y72" i="1"/>
  <c r="X43" i="1"/>
  <c r="Y60" i="1"/>
  <c r="Y61" i="1"/>
  <c r="Z61" i="1"/>
  <c r="Z79" i="1"/>
  <c r="X80" i="1" s="1"/>
  <c r="Y79" i="1"/>
  <c r="Z73" i="1"/>
  <c r="X74" i="1" s="1"/>
  <c r="Y73" i="1"/>
  <c r="Z84" i="1"/>
  <c r="X85" i="1" s="1"/>
  <c r="X66" i="1"/>
  <c r="X6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69" i="1"/>
  <c r="AC70" i="1"/>
  <c r="T30" i="1"/>
  <c r="T34" i="1"/>
  <c r="Y80" i="1" l="1"/>
  <c r="Z80" i="1"/>
  <c r="Y74" i="1"/>
  <c r="Z74" i="1"/>
  <c r="X75" i="1" s="1"/>
  <c r="X44" i="1"/>
  <c r="Y67" i="1"/>
  <c r="Z67" i="1"/>
  <c r="X68" i="1" s="1"/>
  <c r="Y85" i="1"/>
  <c r="Z85" i="1"/>
  <c r="X86" i="1" s="1"/>
  <c r="Y66" i="1"/>
  <c r="Z66" i="1"/>
  <c r="X62" i="1"/>
  <c r="X51" i="1"/>
  <c r="X50" i="1"/>
  <c r="Y36" i="1"/>
  <c r="Z36" i="1"/>
  <c r="X37" i="1" s="1"/>
  <c r="Y37" i="1" s="1"/>
  <c r="Y75" i="1" l="1"/>
  <c r="Z75" i="1"/>
  <c r="X76" i="1" s="1"/>
  <c r="X81" i="1"/>
  <c r="X82" i="1"/>
  <c r="Y62" i="1"/>
  <c r="Z62" i="1"/>
  <c r="X63" i="1" s="1"/>
  <c r="Y63" i="1" s="1"/>
  <c r="Y68" i="1"/>
  <c r="Z68" i="1"/>
  <c r="X45" i="1"/>
  <c r="Z86" i="1"/>
  <c r="Y86" i="1"/>
  <c r="X52" i="1"/>
  <c r="Z37" i="1"/>
  <c r="X38" i="1" s="1"/>
  <c r="Y38" i="1" s="1"/>
  <c r="Y82" i="1" l="1"/>
  <c r="Z82" i="1"/>
  <c r="Y81" i="1"/>
  <c r="Z81" i="1"/>
  <c r="Y76" i="1"/>
  <c r="Z76" i="1"/>
  <c r="X87" i="1"/>
  <c r="X88" i="1"/>
  <c r="Z63" i="1"/>
  <c r="X64" i="1" s="1"/>
  <c r="Y64" i="1" s="1"/>
  <c r="X46" i="1"/>
  <c r="Z38" i="1"/>
  <c r="X39" i="1" s="1"/>
  <c r="X40" i="1" s="1"/>
  <c r="X29" i="1"/>
  <c r="Y29" i="1" s="1"/>
  <c r="Y88" i="1" l="1"/>
  <c r="Z88" i="1"/>
  <c r="Y87" i="1"/>
  <c r="Z87" i="1"/>
  <c r="Z64" i="1"/>
  <c r="Q30" i="1"/>
  <c r="Z29" i="1" l="1"/>
  <c r="X30" i="1" s="1"/>
  <c r="Y30" i="1" l="1"/>
  <c r="Z30" i="1" l="1"/>
  <c r="X31" i="1" s="1"/>
  <c r="X32" i="1" l="1"/>
  <c r="X33" i="1" l="1"/>
  <c r="X34" i="1" l="1"/>
  <c r="Y34" i="1" l="1"/>
  <c r="Z34" i="1"/>
  <c r="AB47" i="1" l="1"/>
  <c r="AA47" i="1" s="1"/>
  <c r="AB85" i="1"/>
  <c r="AB77" i="1"/>
  <c r="AB59" i="1"/>
  <c r="AA59" i="1" s="1"/>
  <c r="AB71" i="1"/>
  <c r="AA71" i="1" s="1"/>
  <c r="AB35" i="1"/>
  <c r="AA35" i="1" s="1"/>
  <c r="AB41" i="1"/>
  <c r="AA41" i="1" s="1"/>
  <c r="AB65" i="1"/>
  <c r="AA65"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59" i="1"/>
  <c r="AH41" i="19"/>
  <c r="P41" i="19"/>
  <c r="J21" i="19"/>
  <c r="AB31" i="19"/>
  <c r="AB51" i="19"/>
  <c r="P21" i="19"/>
  <c r="V41" i="19"/>
  <c r="V31" i="19"/>
  <c r="AH21" i="19"/>
  <c r="AB11" i="19"/>
  <c r="P51" i="19"/>
  <c r="V21" i="19"/>
  <c r="AH31" i="19"/>
  <c r="V51" i="19"/>
  <c r="J51" i="19"/>
  <c r="AH51" i="19"/>
  <c r="AH11" i="19"/>
  <c r="J41" i="19"/>
  <c r="P11" i="19"/>
  <c r="J47" i="19"/>
  <c r="V27" i="19"/>
  <c r="AH7" i="19"/>
  <c r="P47" i="19"/>
  <c r="AB27" i="19"/>
  <c r="J17" i="19"/>
  <c r="V47" i="19"/>
  <c r="J37" i="19"/>
  <c r="AC35" i="1"/>
  <c r="AB37" i="19"/>
  <c r="J27" i="19"/>
  <c r="V7" i="19"/>
  <c r="AH37" i="19"/>
  <c r="P27" i="19"/>
  <c r="AB7" i="19"/>
  <c r="P17" i="19"/>
  <c r="V17" i="19"/>
  <c r="AH47" i="19"/>
  <c r="P37" i="19"/>
  <c r="AB17" i="19"/>
  <c r="J7" i="19"/>
  <c r="V37" i="19"/>
  <c r="AH17" i="19"/>
  <c r="P7" i="19"/>
  <c r="AH27" i="19"/>
  <c r="AB47" i="19"/>
  <c r="AC7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77" i="1"/>
  <c r="AA84" i="1"/>
  <c r="AC4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4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85" i="1"/>
  <c r="AB86" i="1"/>
  <c r="AA60" i="1"/>
  <c r="AB61" i="1"/>
  <c r="AA61" i="1" s="1"/>
  <c r="AB62" i="1"/>
  <c r="V32" i="19"/>
  <c r="P42" i="19"/>
  <c r="J12" i="19"/>
  <c r="J32" i="19"/>
  <c r="AB52" i="19"/>
  <c r="AC65" i="1"/>
  <c r="J22" i="19"/>
  <c r="V22" i="19"/>
  <c r="J52" i="19"/>
  <c r="AH12" i="19"/>
  <c r="J42" i="19"/>
  <c r="AH42" i="19"/>
  <c r="P32" i="19"/>
  <c r="AB12" i="19"/>
  <c r="AH32" i="19"/>
  <c r="AB32" i="19"/>
  <c r="AB42" i="19"/>
  <c r="V42" i="19"/>
  <c r="V12" i="19"/>
  <c r="V52" i="19"/>
  <c r="AB22" i="19"/>
  <c r="AH52" i="19"/>
  <c r="AH22" i="19"/>
  <c r="P22" i="19"/>
  <c r="P12" i="19"/>
  <c r="P52" i="19"/>
  <c r="AB67" i="1"/>
  <c r="AA67" i="1" s="1"/>
  <c r="AB68" i="1"/>
  <c r="AA68" i="1" s="1"/>
  <c r="AA66" i="1"/>
  <c r="AB37" i="1"/>
  <c r="AA36" i="1"/>
  <c r="AA72" i="1"/>
  <c r="AB73" i="1"/>
  <c r="AA78" i="1"/>
  <c r="AB79" i="1"/>
  <c r="W37" i="19" l="1"/>
  <c r="AI7" i="19"/>
  <c r="W17" i="19"/>
  <c r="W27" i="19"/>
  <c r="Q47" i="19"/>
  <c r="W7" i="19"/>
  <c r="AI17" i="19"/>
  <c r="K47" i="19"/>
  <c r="AI47" i="19"/>
  <c r="Q27" i="19"/>
  <c r="AC27" i="19"/>
  <c r="AC47" i="19"/>
  <c r="AC37" i="19"/>
  <c r="AI37" i="19"/>
  <c r="AC36" i="1"/>
  <c r="AC17" i="19"/>
  <c r="K37" i="19"/>
  <c r="AC7" i="19"/>
  <c r="W47" i="19"/>
  <c r="Q37" i="19"/>
  <c r="AI27" i="19"/>
  <c r="Q7" i="19"/>
  <c r="K27" i="19"/>
  <c r="K17" i="19"/>
  <c r="K7" i="19"/>
  <c r="Q17" i="19"/>
  <c r="AA86" i="1"/>
  <c r="AB87" i="1"/>
  <c r="K35" i="19"/>
  <c r="AC25" i="19"/>
  <c r="K45" i="19"/>
  <c r="AI45" i="19"/>
  <c r="W45" i="19"/>
  <c r="Q35" i="19"/>
  <c r="K55" i="19"/>
  <c r="AC15" i="19"/>
  <c r="Q15" i="19"/>
  <c r="AC35" i="19"/>
  <c r="AI35" i="19"/>
  <c r="Q55" i="19"/>
  <c r="AI25" i="19"/>
  <c r="AC8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7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60" i="1"/>
  <c r="AD55" i="19"/>
  <c r="R15" i="19"/>
  <c r="AJ35" i="19"/>
  <c r="AC8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7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67" i="1"/>
  <c r="AD12" i="19"/>
  <c r="AD32" i="19"/>
  <c r="AD22" i="19"/>
  <c r="X52" i="19"/>
  <c r="AD52" i="19"/>
  <c r="L42" i="19"/>
  <c r="R42" i="19"/>
  <c r="AJ21" i="19"/>
  <c r="AD31" i="19"/>
  <c r="R21" i="19"/>
  <c r="AD41" i="19"/>
  <c r="AJ11" i="19"/>
  <c r="AJ51" i="19"/>
  <c r="AC61" i="1"/>
  <c r="L41" i="19"/>
  <c r="AD11" i="19"/>
  <c r="L21" i="19"/>
  <c r="L11" i="19"/>
  <c r="X51" i="19"/>
  <c r="X21" i="19"/>
  <c r="R11" i="19"/>
  <c r="R31" i="19"/>
  <c r="AJ41" i="19"/>
  <c r="L31" i="19"/>
  <c r="R51" i="19"/>
  <c r="X31" i="19"/>
  <c r="X11" i="19"/>
  <c r="X41" i="19"/>
  <c r="AJ31" i="19"/>
  <c r="AD51" i="19"/>
  <c r="R41" i="19"/>
  <c r="AD21" i="19"/>
  <c r="L51" i="19"/>
  <c r="AB38" i="1"/>
  <c r="AA37" i="1"/>
  <c r="AA73" i="1"/>
  <c r="AB74" i="1"/>
  <c r="K42" i="19"/>
  <c r="AC32" i="19"/>
  <c r="W42" i="19"/>
  <c r="AI52" i="19"/>
  <c r="K22" i="19"/>
  <c r="Q32" i="19"/>
  <c r="AI12" i="19"/>
  <c r="AC52" i="19"/>
  <c r="Q42" i="19"/>
  <c r="AC42" i="19"/>
  <c r="K12" i="19"/>
  <c r="Q22" i="19"/>
  <c r="W52" i="19"/>
  <c r="AI42" i="19"/>
  <c r="W32" i="19"/>
  <c r="AI22" i="19"/>
  <c r="W12" i="19"/>
  <c r="AI32" i="19"/>
  <c r="AC12" i="19"/>
  <c r="Q12" i="19"/>
  <c r="Q52" i="19"/>
  <c r="AC66"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A79" i="1"/>
  <c r="AB80"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72" i="1"/>
  <c r="Q33" i="19"/>
  <c r="AI23" i="19"/>
  <c r="K53" i="19"/>
  <c r="AC23" i="19"/>
  <c r="AC13" i="19"/>
  <c r="W23" i="19"/>
  <c r="W33" i="19"/>
  <c r="Q13" i="19"/>
  <c r="W13" i="19"/>
  <c r="AI13" i="19"/>
  <c r="Q43" i="19"/>
  <c r="Q23" i="19"/>
  <c r="W53" i="19"/>
  <c r="M12" i="19"/>
  <c r="AK42" i="19"/>
  <c r="AE32" i="19"/>
  <c r="AC68" i="1"/>
  <c r="M52" i="19"/>
  <c r="S12" i="19"/>
  <c r="M32" i="19"/>
  <c r="S52" i="19"/>
  <c r="Y52" i="19"/>
  <c r="Y42" i="19"/>
  <c r="AK12" i="19"/>
  <c r="S22" i="19"/>
  <c r="AE12" i="19"/>
  <c r="Y22" i="19"/>
  <c r="S32" i="19"/>
  <c r="AK52" i="19"/>
  <c r="M22" i="19"/>
  <c r="AK32" i="19"/>
  <c r="AE22" i="19"/>
  <c r="AE42" i="19"/>
  <c r="Y32" i="19"/>
  <c r="M42" i="19"/>
  <c r="Y12" i="19"/>
  <c r="AE52" i="19"/>
  <c r="AK22" i="19"/>
  <c r="S42" i="19"/>
  <c r="AA62" i="1"/>
  <c r="AB64" i="1"/>
  <c r="AA64" i="1" s="1"/>
  <c r="AB63" i="1"/>
  <c r="AA63"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B34" i="1" l="1"/>
  <c r="AA34"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74" i="1"/>
  <c r="AB75" i="1"/>
  <c r="AA87" i="1"/>
  <c r="AB88" i="1"/>
  <c r="AA88" i="1" s="1"/>
  <c r="AD47" i="19"/>
  <c r="AJ27" i="19"/>
  <c r="AD27" i="19"/>
  <c r="AJ7" i="19"/>
  <c r="AJ37" i="19"/>
  <c r="L27" i="19"/>
  <c r="AD17" i="19"/>
  <c r="L37" i="19"/>
  <c r="R17" i="19"/>
  <c r="AJ17" i="19"/>
  <c r="X7" i="19"/>
  <c r="X47" i="19"/>
  <c r="L7" i="19"/>
  <c r="L17" i="19"/>
  <c r="R27" i="19"/>
  <c r="X27" i="19"/>
  <c r="R7" i="19"/>
  <c r="X17" i="19"/>
  <c r="AJ47" i="19"/>
  <c r="L47" i="19"/>
  <c r="R37" i="19"/>
  <c r="AD7" i="19"/>
  <c r="X37" i="19"/>
  <c r="AC37" i="1"/>
  <c r="R47" i="19"/>
  <c r="AD37" i="19"/>
  <c r="AJ43" i="19"/>
  <c r="AD33" i="19"/>
  <c r="X33" i="19"/>
  <c r="X13" i="19"/>
  <c r="AD43" i="19"/>
  <c r="L43" i="19"/>
  <c r="AC73" i="1"/>
  <c r="X23" i="19"/>
  <c r="R33" i="19"/>
  <c r="R43" i="19"/>
  <c r="AD53" i="19"/>
  <c r="AJ13" i="19"/>
  <c r="R23" i="19"/>
  <c r="R13" i="19"/>
  <c r="AJ53" i="19"/>
  <c r="L33" i="19"/>
  <c r="L23" i="19"/>
  <c r="X43" i="19"/>
  <c r="X53" i="19"/>
  <c r="AD13" i="19"/>
  <c r="L53" i="19"/>
  <c r="L13" i="19"/>
  <c r="AD23" i="19"/>
  <c r="AJ33" i="19"/>
  <c r="AJ23" i="19"/>
  <c r="R53" i="19"/>
  <c r="AA38" i="1"/>
  <c r="M55" i="19"/>
  <c r="AK15" i="19"/>
  <c r="AE25" i="19"/>
  <c r="AC8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6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64" i="1"/>
  <c r="AG11" i="19"/>
  <c r="AM41" i="19"/>
  <c r="AA21" i="19"/>
  <c r="AA51" i="19"/>
  <c r="U51" i="19"/>
  <c r="U31" i="19"/>
  <c r="AA11" i="19"/>
  <c r="AG21" i="19"/>
  <c r="O31" i="19"/>
  <c r="AA80" i="1"/>
  <c r="AB81"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62" i="1"/>
  <c r="S41" i="19"/>
  <c r="AK11" i="19"/>
  <c r="S11" i="19"/>
  <c r="Y31" i="19"/>
  <c r="S21" i="19"/>
  <c r="M11" i="19"/>
  <c r="L54" i="19"/>
  <c r="AJ14" i="19"/>
  <c r="AD44" i="19"/>
  <c r="X54" i="19"/>
  <c r="R14" i="19"/>
  <c r="AD24" i="19"/>
  <c r="AD34" i="19"/>
  <c r="R54" i="19"/>
  <c r="L34" i="19"/>
  <c r="AJ34" i="19"/>
  <c r="X24" i="19"/>
  <c r="AJ24" i="19"/>
  <c r="X44" i="19"/>
  <c r="R24" i="19"/>
  <c r="AC79"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80" i="1"/>
  <c r="AE24" i="19"/>
  <c r="S14" i="19"/>
  <c r="AK17" i="19"/>
  <c r="S27" i="19"/>
  <c r="S37" i="19"/>
  <c r="AE27" i="19"/>
  <c r="Y47" i="19"/>
  <c r="S7" i="19"/>
  <c r="M17" i="19"/>
  <c r="AE17" i="19"/>
  <c r="AK27" i="19"/>
  <c r="Y7" i="19"/>
  <c r="Y37" i="19"/>
  <c r="AE37" i="19"/>
  <c r="Y27" i="19"/>
  <c r="M47" i="19"/>
  <c r="AC3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88"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8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75" i="1"/>
  <c r="AB76" i="1"/>
  <c r="AA76" i="1" s="1"/>
  <c r="AM46" i="19"/>
  <c r="U36" i="19"/>
  <c r="AG16" i="19"/>
  <c r="O6" i="19"/>
  <c r="AA36" i="19"/>
  <c r="AM16" i="19"/>
  <c r="U6" i="19"/>
  <c r="AG46" i="19"/>
  <c r="AA16" i="19"/>
  <c r="AC34" i="1"/>
  <c r="AA6" i="19"/>
  <c r="AG6" i="19"/>
  <c r="AA46" i="19"/>
  <c r="AM26" i="19"/>
  <c r="U16" i="19"/>
  <c r="O36" i="19"/>
  <c r="U26" i="19"/>
  <c r="O46" i="19"/>
  <c r="AA26" i="19"/>
  <c r="AM6" i="19"/>
  <c r="U46" i="19"/>
  <c r="AG26" i="19"/>
  <c r="O16" i="19"/>
  <c r="AG36" i="19"/>
  <c r="O26" i="19"/>
  <c r="AM36" i="19"/>
  <c r="AA81" i="1"/>
  <c r="AB82" i="1"/>
  <c r="AA82"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74"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82" i="1"/>
  <c r="AA14" i="19"/>
  <c r="O54" i="19"/>
  <c r="U44" i="19"/>
  <c r="U43" i="19"/>
  <c r="U13" i="19"/>
  <c r="AM53" i="19"/>
  <c r="AA53" i="19"/>
  <c r="AA43" i="19"/>
  <c r="O53" i="19"/>
  <c r="O23" i="19"/>
  <c r="O13" i="19"/>
  <c r="AG43" i="19"/>
  <c r="U33" i="19"/>
  <c r="U23" i="19"/>
  <c r="AM13" i="19"/>
  <c r="AM23" i="19"/>
  <c r="AG13" i="19"/>
  <c r="AA23" i="19"/>
  <c r="AG33" i="19"/>
  <c r="AA33" i="19"/>
  <c r="AM33" i="19"/>
  <c r="AA13" i="19"/>
  <c r="AC7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81" i="1"/>
  <c r="AF53" i="19"/>
  <c r="T43" i="19"/>
  <c r="Z53" i="19"/>
  <c r="N43" i="19"/>
  <c r="T23" i="19"/>
  <c r="AF43" i="19"/>
  <c r="Z13" i="19"/>
  <c r="Z43" i="19"/>
  <c r="AF23" i="19"/>
  <c r="AL13" i="19"/>
  <c r="Z23" i="19"/>
  <c r="AL43" i="19"/>
  <c r="AF13" i="19"/>
  <c r="AL23" i="19"/>
  <c r="N13" i="19"/>
  <c r="T33" i="19"/>
  <c r="AL53" i="19"/>
  <c r="N23" i="19"/>
  <c r="N53" i="19"/>
  <c r="AF33" i="19"/>
  <c r="N33" i="19"/>
  <c r="AC75"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59" i="1" l="1"/>
  <c r="L59" i="1" s="1"/>
  <c r="K29" i="1"/>
  <c r="L29" i="1" s="1"/>
  <c r="K47" i="1"/>
  <c r="L47" i="1" s="1"/>
  <c r="K41" i="1"/>
  <c r="L41" i="1" s="1"/>
  <c r="K71" i="1"/>
  <c r="L71" i="1" s="1"/>
  <c r="K65" i="1"/>
  <c r="L65" i="1" s="1"/>
  <c r="K53" i="1"/>
  <c r="L53" i="1" s="1"/>
  <c r="K35" i="1"/>
  <c r="L35" i="1" s="1"/>
  <c r="K83" i="1"/>
  <c r="L83" i="1" s="1"/>
  <c r="K77" i="1"/>
  <c r="L77" i="1" s="1"/>
  <c r="X6" i="18" l="1"/>
  <c r="AJ30" i="18"/>
  <c r="R22" i="18"/>
  <c r="L6" i="18"/>
  <c r="R30" i="18"/>
  <c r="X22" i="18"/>
  <c r="X38" i="18"/>
  <c r="AD38" i="18"/>
  <c r="N35" i="1"/>
  <c r="AD22" i="18"/>
  <c r="M35"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53" i="1"/>
  <c r="L32" i="18"/>
  <c r="X8" i="18"/>
  <c r="X24" i="18"/>
  <c r="AJ8" i="18"/>
  <c r="M53" i="1"/>
  <c r="R40" i="18"/>
  <c r="L40" i="18"/>
  <c r="X16" i="18"/>
  <c r="L24" i="18"/>
  <c r="AJ24" i="18"/>
  <c r="X32" i="18"/>
  <c r="AJ40" i="18"/>
  <c r="R16" i="18"/>
  <c r="AD40" i="18"/>
  <c r="AD32" i="18"/>
  <c r="AD16" i="18"/>
  <c r="M65" i="1"/>
  <c r="J42" i="18"/>
  <c r="P34" i="18"/>
  <c r="AB18" i="18"/>
  <c r="AB42" i="18"/>
  <c r="AH34" i="18"/>
  <c r="P10" i="18"/>
  <c r="V34" i="18"/>
  <c r="P42" i="18"/>
  <c r="V42" i="18"/>
  <c r="AH42" i="18"/>
  <c r="AB26" i="18"/>
  <c r="AH26" i="18"/>
  <c r="V26" i="18"/>
  <c r="AB34" i="18"/>
  <c r="V10" i="18"/>
  <c r="AH18" i="18"/>
  <c r="J34" i="18"/>
  <c r="J10" i="18"/>
  <c r="AB10" i="18"/>
  <c r="J18" i="18"/>
  <c r="N65" i="1"/>
  <c r="P26" i="18"/>
  <c r="J26" i="18"/>
  <c r="AH10" i="18"/>
  <c r="P18" i="18"/>
  <c r="V18" i="18"/>
  <c r="X42" i="18"/>
  <c r="AD34" i="18"/>
  <c r="AD10" i="18"/>
  <c r="AD26" i="18"/>
  <c r="L10" i="18"/>
  <c r="L42" i="18"/>
  <c r="L26" i="18"/>
  <c r="X18" i="18"/>
  <c r="X34" i="18"/>
  <c r="X10" i="18"/>
  <c r="R18" i="18"/>
  <c r="AJ10" i="18"/>
  <c r="AD42" i="18"/>
  <c r="AJ34" i="18"/>
  <c r="R26" i="18"/>
  <c r="M71" i="1"/>
  <c r="L18" i="18"/>
  <c r="AJ26" i="18"/>
  <c r="AD18" i="18"/>
  <c r="R34" i="18"/>
  <c r="L34" i="18"/>
  <c r="AJ42" i="18"/>
  <c r="R10" i="18"/>
  <c r="R42" i="18"/>
  <c r="X26" i="18"/>
  <c r="AJ18" i="18"/>
  <c r="N71" i="1"/>
  <c r="T14" i="18"/>
  <c r="AL38" i="18"/>
  <c r="N14" i="18"/>
  <c r="Z6" i="18"/>
  <c r="T38" i="18"/>
  <c r="T22" i="18"/>
  <c r="AL14" i="18"/>
  <c r="N22" i="18"/>
  <c r="N41" i="1"/>
  <c r="AF22" i="18"/>
  <c r="N6" i="18"/>
  <c r="AF6" i="18"/>
  <c r="AF38" i="18"/>
  <c r="M41" i="1"/>
  <c r="N38" i="18"/>
  <c r="AL30" i="18"/>
  <c r="AL22" i="18"/>
  <c r="T6" i="18"/>
  <c r="AF14" i="18"/>
  <c r="AF30" i="18"/>
  <c r="Z22" i="18"/>
  <c r="T30" i="18"/>
  <c r="Z30" i="18"/>
  <c r="AL6" i="18"/>
  <c r="Z14" i="18"/>
  <c r="Z38" i="18"/>
  <c r="N30" i="18"/>
  <c r="J40" i="18"/>
  <c r="AB40" i="18"/>
  <c r="AH32" i="18"/>
  <c r="AB24" i="18"/>
  <c r="V16" i="18"/>
  <c r="M47" i="1"/>
  <c r="J16" i="18"/>
  <c r="P32" i="18"/>
  <c r="V24" i="18"/>
  <c r="P24" i="18"/>
  <c r="V40" i="18"/>
  <c r="P16" i="18"/>
  <c r="P40" i="18"/>
  <c r="V32" i="18"/>
  <c r="AH16" i="18"/>
  <c r="AB16" i="18"/>
  <c r="V8" i="18"/>
  <c r="AH24" i="18"/>
  <c r="AH8" i="18"/>
  <c r="AH40" i="18"/>
  <c r="J8" i="18"/>
  <c r="AB32" i="18"/>
  <c r="AB8" i="18"/>
  <c r="J24" i="18"/>
  <c r="J32" i="18"/>
  <c r="P8" i="18"/>
  <c r="N47" i="1"/>
  <c r="Z42" i="18"/>
  <c r="T18" i="18"/>
  <c r="AF34" i="18"/>
  <c r="AF42" i="18"/>
  <c r="N42" i="18"/>
  <c r="Z18" i="18"/>
  <c r="AL10" i="18"/>
  <c r="AL26" i="18"/>
  <c r="AF26" i="18"/>
  <c r="Z10" i="18"/>
  <c r="N18" i="18"/>
  <c r="T26" i="18"/>
  <c r="AF10" i="18"/>
  <c r="T34" i="18"/>
  <c r="N26" i="18"/>
  <c r="AL18" i="18"/>
  <c r="N10" i="18"/>
  <c r="AF18" i="18"/>
  <c r="Z26" i="18"/>
  <c r="AL34" i="18"/>
  <c r="M77" i="1"/>
  <c r="Z34" i="18"/>
  <c r="T10" i="18"/>
  <c r="N77" i="1"/>
  <c r="AL42" i="18"/>
  <c r="N34" i="18"/>
  <c r="T42" i="18"/>
  <c r="P14" i="18"/>
  <c r="V22" i="18"/>
  <c r="V14" i="18"/>
  <c r="P22" i="18"/>
  <c r="V38" i="18"/>
  <c r="AH14" i="18"/>
  <c r="AH38" i="18"/>
  <c r="J14" i="18"/>
  <c r="AB22" i="18"/>
  <c r="V30" i="18"/>
  <c r="AB14" i="18"/>
  <c r="AB38" i="18"/>
  <c r="J30" i="18"/>
  <c r="P38" i="18"/>
  <c r="AB6" i="18"/>
  <c r="M29" i="1"/>
  <c r="AB29" i="1" s="1"/>
  <c r="AH30" i="18"/>
  <c r="J38" i="18"/>
  <c r="AH6" i="18"/>
  <c r="V6" i="18"/>
  <c r="AB30" i="18"/>
  <c r="J22" i="18"/>
  <c r="J6" i="18"/>
  <c r="P30" i="18"/>
  <c r="AH22" i="18"/>
  <c r="P6" i="18"/>
  <c r="N29" i="1"/>
  <c r="AH12" i="18"/>
  <c r="J20" i="18"/>
  <c r="J44" i="18"/>
  <c r="AB28" i="18"/>
  <c r="P28" i="18"/>
  <c r="N83" i="1"/>
  <c r="P12" i="18"/>
  <c r="AH20" i="18"/>
  <c r="P44" i="18"/>
  <c r="AB12" i="18"/>
  <c r="P20" i="18"/>
  <c r="J36" i="18"/>
  <c r="P36" i="18"/>
  <c r="AB44" i="18"/>
  <c r="V44" i="18"/>
  <c r="J28" i="18"/>
  <c r="AH36" i="18"/>
  <c r="V12" i="18"/>
  <c r="V28" i="18"/>
  <c r="AH44" i="18"/>
  <c r="AB20" i="18"/>
  <c r="AB36" i="18"/>
  <c r="AH28" i="18"/>
  <c r="V36" i="18"/>
  <c r="V20" i="18"/>
  <c r="M83" i="1"/>
  <c r="AB83" i="1" s="1"/>
  <c r="AA83" i="1" s="1"/>
  <c r="J12" i="18"/>
  <c r="AF24" i="18"/>
  <c r="AF32" i="18"/>
  <c r="T40" i="18"/>
  <c r="M59" i="1"/>
  <c r="Z40" i="18"/>
  <c r="AL8" i="18"/>
  <c r="AF8" i="18"/>
  <c r="T8" i="18"/>
  <c r="Z16" i="18"/>
  <c r="T24" i="18"/>
  <c r="AL24" i="18"/>
  <c r="Z32" i="18"/>
  <c r="N32" i="18"/>
  <c r="N16" i="18"/>
  <c r="Z8" i="18"/>
  <c r="AL40" i="18"/>
  <c r="N8" i="18"/>
  <c r="N24" i="18"/>
  <c r="T32" i="18"/>
  <c r="T16" i="18"/>
  <c r="AF40" i="18"/>
  <c r="AF16" i="18"/>
  <c r="AL32" i="18"/>
  <c r="N40" i="18"/>
  <c r="Z24" i="18"/>
  <c r="AL16" i="18"/>
  <c r="N59" i="1"/>
  <c r="AA29" i="1" l="1"/>
  <c r="V46" i="19" s="1"/>
  <c r="AB30" i="1"/>
  <c r="AA30" i="1" s="1"/>
  <c r="V25" i="19"/>
  <c r="V45" i="19"/>
  <c r="J15" i="19"/>
  <c r="AB45" i="19"/>
  <c r="AH25" i="19"/>
  <c r="AH55" i="19"/>
  <c r="AB15" i="19"/>
  <c r="P15" i="19"/>
  <c r="P45" i="19"/>
  <c r="V15" i="19"/>
  <c r="J35" i="19"/>
  <c r="AH45" i="19"/>
  <c r="J25" i="19"/>
  <c r="AB35" i="19"/>
  <c r="AH15" i="19"/>
  <c r="V35" i="19"/>
  <c r="J55" i="19"/>
  <c r="AB55" i="19"/>
  <c r="AC83" i="1"/>
  <c r="AB25" i="19"/>
  <c r="AH35" i="19"/>
  <c r="P55" i="19"/>
  <c r="J45" i="19"/>
  <c r="P25" i="19"/>
  <c r="P35" i="19"/>
  <c r="V55" i="19"/>
  <c r="J46" i="19" l="1"/>
  <c r="AB6" i="19"/>
  <c r="AC29" i="1"/>
  <c r="AH36" i="19"/>
  <c r="AB16" i="19"/>
  <c r="AB46" i="19"/>
  <c r="P6" i="19"/>
  <c r="AH16" i="19"/>
  <c r="P26" i="19"/>
  <c r="AH26" i="19"/>
  <c r="J6" i="19"/>
  <c r="AH6" i="19"/>
  <c r="J26" i="19"/>
  <c r="AB36" i="19"/>
  <c r="V36" i="19"/>
  <c r="V26" i="19"/>
  <c r="AB26" i="19"/>
  <c r="AH46" i="19"/>
  <c r="P16" i="19"/>
  <c r="P36" i="19"/>
  <c r="J36" i="19"/>
  <c r="V6" i="19"/>
  <c r="V16" i="19"/>
  <c r="J16" i="19"/>
  <c r="P46" i="19"/>
  <c r="AC30" i="1"/>
  <c r="W36" i="19"/>
  <c r="Q6" i="19"/>
  <c r="AC36" i="19"/>
  <c r="K6" i="19"/>
  <c r="K16" i="19"/>
  <c r="Q16" i="19"/>
  <c r="W26" i="19"/>
  <c r="Q46" i="19"/>
  <c r="AC26" i="19"/>
  <c r="W46" i="19"/>
  <c r="W16" i="19"/>
  <c r="AI26" i="19"/>
  <c r="K36" i="19"/>
  <c r="Q26" i="19"/>
  <c r="AI6" i="19"/>
  <c r="K46" i="19"/>
  <c r="AI16" i="19"/>
  <c r="AI46" i="19"/>
  <c r="Q36" i="19"/>
  <c r="AC46" i="19"/>
  <c r="W6" i="19"/>
  <c r="K26" i="19"/>
  <c r="AC16" i="19"/>
  <c r="AI36" i="19"/>
  <c r="AC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<sst xmlns="http://schemas.openxmlformats.org/spreadsheetml/2006/main" count="479" uniqueCount="318">
  <si>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</si>
  <si>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</si>
  <si>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</si>
  <si>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</si>
  <si>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</si>
  <si>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</si>
  <si>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</si>
  <si>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</si>
  <si>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</si>
  <si>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</si>
  <si>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</si>
  <si>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</si>
  <si>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</si>
  <si>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</si>
  <si>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</si>
  <si>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</si>
  <si>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</si>
  <si>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</si>
  <si>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</si>
  <si>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</si>
  <si>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</si>
  <si>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</si>
  <si>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</si>
  <si>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</si>
  <si>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</si>
  <si>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</si>
  <si>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</si>
  <si>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</si>
  <si>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</si>
  <si>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</si>
  <si>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</si>
  <si>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</si>
  <si>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</si>
  <si>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</si>
  <si>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</si>
  <si>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</si>
  <si>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</si>
  <si>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</si>
  <si>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</si>
  <si>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</si>
  <si>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</si>
  <si>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</si>
  <si>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</si>
  <si>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</si>
  <si>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</si>
  <si>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</si>
  <si>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</si>
  <si>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</si>
  <si>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</si>
  <si>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</si>
  <si>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</si>
  <si>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</si>
  <si>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</si>
  <si>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</si>
  <si>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</si>
  <si>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</si>
  <si>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</si>
  <si>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</si>
  <si>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</si>
  <si>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</si>
  <si>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</si>
  <si>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</si>
  <si>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</si>
  <si>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</si>
  <si>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</si>
  <si>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</si>
  <si>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</si>
  <si>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</si>
  <si>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</si>
  <si>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</si>
  <si>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</si>
  <si>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</si>
  <si>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</si>
  <si>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</si>
  <si>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</si>
  <si>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</si>
  <si>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</si>
  <si>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</si>
  <si>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</si>
  <si>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</si>
  <si>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</si>
  <si>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</si>
  <si>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</si>
  <si>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</si>
  <si>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</si>
  <si>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</si>
  <si>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</si>
  <si>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</si>
  <si>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</si>
  <si>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</si>
  <si>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</si>
  <si>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</si>
  <si>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</si>
  <si>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</si>
  <si>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</si>
  <si>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</si>
  <si>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</si>
  <si>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</si>
  <si>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</si>
  <si>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</si>
  <si>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</si>
  <si>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</si>
  <si>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</si>
  <si>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</si>
  <si>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</si>
  <si>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</si>
  <si>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</si>
  <si>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</si>
  <si>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</si>
  <si>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</si>
  <si>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</si>
  <si>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</si>
  <si>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</si>
  <si>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</si>
  <si>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</si>
  <si>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</si>
  <si>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</si>
  <si>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</si>
  <si>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</si>
  <si>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</si>
  <si>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</si>
  <si>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</si>
  <si>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</si>
  <si>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</si>
  <si>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</si>
  <si>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</si>
  <si>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</si>
  <si>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</si>
  <si>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</si>
  <si>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</si>
  <si>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</si>
  <si>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</si>
  <si>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</si>
  <si>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</si>
  <si>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</si>
  <si>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</si>
  <si>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</si>
  <si>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</si>
  <si>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</si>
  <si>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</si>
  <si>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</si>
  <si>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</si>
  <si>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</si>
  <si>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</si>
  <si>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</si>
  <si>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</si>
  <si>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</si>
  <si>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</si>
  <si>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</si>
  <si>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</si>
  <si>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</si>
  <si>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</si>
  <si>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</si>
  <si>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</si>
  <si>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</si>
  <si>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</si>
  <si>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</si>
  <si>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</si>
  <si>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</si>
  <si>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</si>
  <si>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</si>
  <si>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</si>
  <si>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</si>
  <si>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</si>
  <si>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</si>
  <si>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</si>
  <si>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</si>
  <si>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</si>
  <si>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</si>
  <si>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</si>
  <si>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</si>
  <si>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</si>
  <si>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</si>
  <si>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</si>
  <si>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</si>
  <si>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</si>
  <si>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</si>
  <si>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</si>
  <si>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</si>
  <si>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</si>
  <si>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</si>
  <si>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</si>
  <si>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</si>
  <si>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</si>
  <si>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</si>
  <si>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</si>
  <si>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</si>
  <si>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</si>
  <si>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</si>
  <si>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</si>
  <si>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</si>
  <si>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</si>
  <si>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</si>
  <si>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</si>
  <si>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</si>
  <si>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</si>
  <si>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</si>
  <si>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</si>
  <si>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</si>
  <si>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</si>
  <si>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</si>
  <si>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</si>
  <si>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</si>
  <si>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</si>
  <si>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</si>
  <si>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</si>
  <si>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</si>
  <si>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</si>
  <si>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</si>
  <si>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</si>
  <si>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</si>
  <si>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</si>
  <si>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</si>
  <si>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</si>
  <si>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</si>
  <si>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D5</t>
  </si>
  <si>
    <t>F6</t>
  </si>
  <si>
    <t>D6</t>
  </si>
  <si>
    <t>F7</t>
  </si>
  <si>
    <t>D7</t>
  </si>
  <si>
    <t>F8</t>
  </si>
  <si>
    <t>D8</t>
  </si>
  <si>
    <t>F9</t>
  </si>
  <si>
    <t>D9</t>
  </si>
  <si>
    <t>F10</t>
  </si>
  <si>
    <t>D10</t>
  </si>
  <si>
    <t>F11</t>
  </si>
  <si>
    <t>D11</t>
  </si>
  <si>
    <t>F12</t>
  </si>
  <si>
    <t>D12</t>
  </si>
  <si>
    <t>Origen Externo</t>
  </si>
  <si>
    <t>Oportunidades</t>
  </si>
  <si>
    <t>Amenazas</t>
  </si>
  <si>
    <t>A2</t>
  </si>
  <si>
    <t>O3</t>
  </si>
  <si>
    <t>A3</t>
  </si>
  <si>
    <t>O4</t>
  </si>
  <si>
    <t>A4</t>
  </si>
  <si>
    <t>O5</t>
  </si>
  <si>
    <t>A5</t>
  </si>
  <si>
    <t>O6</t>
  </si>
  <si>
    <t>A6</t>
  </si>
  <si>
    <t>O7</t>
  </si>
  <si>
    <t>A7</t>
  </si>
  <si>
    <t>O8</t>
  </si>
  <si>
    <t>A8</t>
  </si>
  <si>
    <t>O9</t>
  </si>
  <si>
    <t>A9</t>
  </si>
  <si>
    <t>O10</t>
  </si>
  <si>
    <t>A10</t>
  </si>
  <si>
    <t>O11</t>
  </si>
  <si>
    <t>A11</t>
  </si>
  <si>
    <t>O12</t>
  </si>
  <si>
    <t>A12</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</si>
  <si>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</si>
  <si>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</si>
  <si>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</si>
  <si>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</si>
  <si>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</si>
  <si>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</si>
  <si>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</si>
  <si>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</si>
  <si>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</si>
  <si>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</si>
  <si>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</si>
  <si>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</si>
  <si>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</si>
  <si>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 xml:space="preserve">F1 Sistema de gestión implementado, que permite identificar diagnósticos reales y puntos de mejora </t>
  </si>
  <si>
    <t>F2 Herramientas de planeación implementadas con la participación activa de todos los niveles en la Entidad</t>
  </si>
  <si>
    <t>F3 Articulación de la gestión institucional</t>
  </si>
  <si>
    <t>F4 Compromiso del equipo de Planeación</t>
  </si>
  <si>
    <t>F5 Monitoreo de la gestión institucional de acuerdo a la periodicidad establecida</t>
  </si>
  <si>
    <t>D1 Faltan mecanismos que
permitan conocer oportunamente
los cambios normativos y lineamientos técnicos</t>
  </si>
  <si>
    <t>D2 No se cuenta en la entidad con un proceso de actualización y capacitación constante en metodologías, instrumentos y herramientas para la
implementación de sistemas de gestión.</t>
  </si>
  <si>
    <t>D3 Desconocimiento de los instrumentos de planeación estratégica por parte de los involucrados en el desarrollo de las actividades asociadas a proyectos de inversión</t>
  </si>
  <si>
    <t>D4 Falta de herramientas tecnológicas que faciliten la labor de seguimiento a la implementación de los lineamientos del MIPG, para la entrega de los resultados de una manera mas oportuna y que permita el análisis de datos.</t>
  </si>
  <si>
    <t>A1 Cambios en la normatividad y lineamientos de sistemas de gestión</t>
  </si>
  <si>
    <t>O1 Implementación de sistemas de información que permitan mejorar la formulación, monitoreo y seguimiento a la gestión institucional</t>
  </si>
  <si>
    <t>O2 Desarrollar nuevas estrategias para continuar fortaleciendo la articulación intra e interinstitucional</t>
  </si>
  <si>
    <t>Planeación Institucional</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</si>
  <si>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</si>
  <si>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Aplica para la planeación de la Entidad en los niveles estratégico, táctico y operativo. Inicia con el diseño de herramientas de gestión y finaliza con la aplicación y monitoreo de las mismas.</t>
  </si>
  <si>
    <t>Primera identificación de riesgos del proceso</t>
  </si>
  <si>
    <t>Se ajustan las causas y controles de los riesgos. Tambien modifica la valoración de los riesgos. Se incluyen en el nuevo formato de matriz de riesgos</t>
  </si>
  <si>
    <t>Se adicionana nuevos riesgos y se modifica la valoración y los controles establecidos de los riesgos anteriores. Se incluyen en el nuevo formato de matriz de riesgos</t>
  </si>
  <si>
    <t>Se unifican riesgos con eventos y causas similares y se establecen nuevos riesgos de acuerdo a realidad actual de la entidad</t>
  </si>
  <si>
    <t>Se actualizan los eventos con sus respectivas causas similares y se esgtablecen nuevos reisgos de acuerdo a realidadad actual de la entidad.</t>
  </si>
  <si>
    <t>Se presento la materialización del riesgo número 3 por lo que la calificación de la probabilidad pasó de baja a alta. Se especifican los controles establecidos en los riesgos 4 y 5. Se eleva la probabilidad de ocurrencia del riesgo 6, pasa de media a alta.</t>
  </si>
  <si>
    <t xml:space="preserve">Se actualiza la matriz de riesgos del proceso de manera general en todos los elementos de las etapas de identificación, análisis evaluación y tratamiento de acuerdo con la versión 1  de la metodología de gestión del riesgo , de escrito en el documento PLE-PIN -M001, versión 1 (manual de gestión del riesgo)a partir de la matriz de riesgos con código 1D-PGE-MR001 perteneciente al antiguo proceso denominado planeación y gerencia  estratégica </t>
  </si>
  <si>
    <t>Ajuste y actualización a la matriz de acuerdo con la guía del DAFP V4 -2018 a través del manual de gestión del riesgo versión 11- 2019, se ingresa las columnas para las características y la evaluación de los controles. Se unifican los R1 y el R4, se retira el riesgo 5 y se asocia al proceso de gestión del conocimiento., se incluyen dos riesgos ambientales.Se reformulan los controles de acuerdo a la nueva metodología y se unifican controles.</t>
  </si>
  <si>
    <t>Se traslada la información de la matriz del proceso de Planeación Institucional  V3 2019 al formato de matriz por proceso versión 4  2020 publicado en MATIZ, se realiza mesa técnica con los líderes del proceso y promotores de mejora para su aprobación, modificación y valoración de la nueva formulación y ajuste realizado al resultado del riesgo residual. Se actualiza contexto del proceso de acuerdo al Plan Distrital de Desarrollo vigente. Se actualiza redacción de causas, consecuencias y  controles.</t>
  </si>
  <si>
    <t>Formulación de los elementos del direccionamiento estratégico de manera  inoportuna, con insuficiente participación y desarticulada a los demás elementos de planeación de la Entidad</t>
  </si>
  <si>
    <t>Ausencia de lineamientos metodológicos internos sobre la periodicidad, mecanismos de participación para la revisión y actualización del direccionamiento estratégico</t>
  </si>
  <si>
    <t>Incumplimiento de los términos para la formulación del direccionamiento estratégico de la Entidad.</t>
  </si>
  <si>
    <t>El jefe de la Oficina Asesora de Planeación y el grupo Planeación Institucional realiza cuatrienalmente el diseño, articulación, definición de la metodología para la formulación del direccionamiento estratégico de la entidad. En caso de desviación del control no hay una adecuada alineación entre los objetivos de la entidad y su quehacer. Como registro de la ejecución del control queda las metodologías, los documentos diligenciados, el plan institucional y sectorial y las resoluciones que las adoptan.</t>
  </si>
  <si>
    <t>El comité directivo con  la asesoría del equipo de planeación, en mesa de trabajo, revisa y valida de manera cuatrienal  la Plataforma Estratégica para garantizar que cumpla con las normas asociadas a la misionalidad de la entidad y a su vigencia dejando la evidencia, en caso de que no cumpla se solicita al equipo de trabajo su adecuación, como evidencia de la ejecución del control quedan los registros de construcción del contexto estratégico, formulación y/o actualización del marco estratégico de la entidad</t>
  </si>
  <si>
    <t>Diseñar/implementar  metodologías y  herramientas  de fortalecimiento y articulación de la gestión  que no sean claras o apropiadas para la gestión de la entidad</t>
  </si>
  <si>
    <t>No existe un mecanismo que
permita conocer oportunamente los cambios normativos y lineamientos técnicos</t>
  </si>
  <si>
    <t>No se cuenta con un
mecanismo de medición de la eficacia de las metodologías
implementadas</t>
  </si>
  <si>
    <t>No se cuenta en la entidad con un proceso de actualización y capacitación constante en metodologías, instrumentos y herramientas para la implementación de sistemas de gestión.</t>
  </si>
  <si>
    <t>Desconocimiento de los instrumentos de planeación estratégica(Políticas públicas, planes de desarrollo, misionalidad, etc.), y de los principios conceptuales para la formulación, implementación y seguimiento de proyectos de inversión en el ámbito de  las entidades públicas por parte de los involucrados en el desarrollo de las actividades asociadas</t>
  </si>
  <si>
    <t>El analista del proyecto asignado revisa y valida mensualmente el informe ejecutivo remitido por la gerencia del proyecto de inversión en términos de consistencia, coherencia y calidad de la información; lo anterior teniendo en cuenta la concordancia con el Plan de Desarrollo Distrital vigente, los componentes técnicos y los requerimientos de los sistemas de información. En caso de presentarse alguna inconsistencia, se retroalimentará el informe ejecutivo, para gestionar los ajustes correspondientes por parte del gerente del proyecto antes de la oficialización del documento.
Una vez hechos los ajustes al informe se valida, como evidencia de la ejecución del control quedan las comunicaciones vía correo electrónico.</t>
  </si>
  <si>
    <t>Cambio en requisitos legales y otros aplicables del Sistema de Gestión Ambiental que no se contemplen en la matriz normativa de la entidad</t>
  </si>
  <si>
    <t>Desconocimiento de la entrada en vigencia o derogación de un  requisito</t>
  </si>
  <si>
    <t>Debilidades en la implementación  de controles operacionales a los aspectos ambientales establecidos para la entidad en la matriz de identificación de aspectos ambientales y valoración de impactos ambientales.</t>
  </si>
  <si>
    <t>Desconocimiento de la normatividad ambiental y lineamientos establecidos en la entidad para la ejecución de controles operacionales.</t>
  </si>
  <si>
    <t>El profesional ambiental revisa anualmente la matriz de identificación de aspectos e impactos ambientales,   verificando los controles operacionales asociados a cada aspecto ambiental y registra la revisión en el control de cambios, en caso de identificar que un control operacional no se ejecuta adecuadamente, se realizará el ajuste correspondiente. Como evidencia de la ejecución del control quedan los registros en los controles de cambio.</t>
  </si>
  <si>
    <t>Ausencia de lineamientos metodológicos internos sobre la periodicidad, mecanismos de participación para la revisión y actualización del direccionamiento estratégico y/o incumplimiento o falta de seguimiento al cronograma para la formulación del direccionamineto estratégico de la entidad</t>
  </si>
  <si>
    <t>Insuficientes mecanismos para la evualuación y mejoramiento de las herramientas de fortalecimiento y articulación de la gestión institucional</t>
  </si>
  <si>
    <t>El analista asignado realiza un acompañamiento permanente garantizando la aplicación de los lineamientos conceptuales e institucionales y el cumplimiento de los mismos al proceso, cada vez que se interviene o crea un documento, se formula el plan de gestión o la matriz de riesgos; en caso de no aplicarse los lineamientos se realizarán ejercicios de retroalimentaciones permanentes, como evidencia de la ejecución del control quedan las evidencias de reunión, correos electrónicos o medio de comunicación usado.</t>
  </si>
  <si>
    <t>El analista cada vez que se interviene o crea un documento, formula el plan de gestión o una matriz de riesgos, hace una revisión técnica validando el cumplimiento de la metodología asignada. En caso de encontrar inconsistencias envía una comunicación al responsable asignado para que haga las correcciones del caso. Como evidencia de la ejecución del control quedan las comunicaciones oficiales y  el documento.</t>
  </si>
  <si>
    <t>El profesional asignado para la revisión de normalización cada vez que se elabora o modifica un documento realiza una revisión orientada a verificar el cumplimiento y aplicación de los lineamientos técnicos en el documento. En caso de encontrar inconsistencias registra las observaciones en el borrador del documento para que el analista asignado al proceso haga los cambios del caso, como evidencia de la ejecución del control quedan  las evidencias de reunión, correos electrónicos o medio de comunicación usado.</t>
  </si>
  <si>
    <t>El profesional asignado por el jefe de la OAP cada vez que ingresa una analista nuevo al Grupo de Planeación Institucional, realiza la programación de una inducción en el puesto de trabajo relacionado con metodologías, herramientas para implementación de sistemas de gestión, en caso de que no se pueda realizar se realizará una nueva programación, la evidencia de la aplicación de este control es el registro de capacitación, programación de las inducciones y Formato de entrenamiento en puesto de trabajo</t>
  </si>
  <si>
    <t>Realizar una gestión a los proyectos de inversión de manera inadecuada y fuera de tiempos afectando el cumplimiento de las metas Plan de Desarrollo y compromisos propuestos</t>
  </si>
  <si>
    <t>Demora en la entrega de información de ejecución  presupuestal y física por parte de los responsables del la SDG</t>
  </si>
  <si>
    <t>El profesional ambiental semestralmente realiza revisión del cumplimiento de requisitos legales y otros aplicables al Sistema de Gestión Ambiental, en caso de evidenciar que falta o se deroga una norma se realizará inmediatamente su modificación, como evidencia de la ejecución del control queda la Matriz Normativa Ambiental publicada en la intranet.</t>
  </si>
  <si>
    <t>Desconocimiento de los lineamientos establecidos en la entidad para la ejecución de controles operacionales.</t>
  </si>
  <si>
    <t>Se realiza actualización de matriz de riesgos de gestión de acuerdo con los lineamientos establecidos en el Manual de Gestión del Riesgo PLE-PIN-M001 versión 6. Se realizó a través de mesa de trabajo a la que asistió el promotor de mejora y las líderes de los grupos de proyectos de inversión y gestión ambiental con el acompañamiento técnico del grupo de riesgos de la Oficina Asesora de Planeación. Se aprobó bajo caso HOLA N. 238128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</si>
</sst>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2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0" fontId="61" fillId="0" borderId="38" xfId="0" applyFont="1" applyBorder="1" applyAlignment="1">
      <alignment horizontal="left" vertical="top" wrapText="1"/>
    </xf>
    <xf numFmtId="0" fontId="61" fillId="0" borderId="40" xfId="0" applyFont="1" applyBorder="1" applyAlignment="1">
      <alignment horizontal="left" vertical="top" wrapText="1"/>
    </xf>
    <xf numFmtId="0" fontId="61" fillId="0" borderId="41"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68" fillId="19" borderId="0" xfId="0" applyFont="1" applyFill="1" applyAlignment="1" applyProtection="1">
      <alignment vertical="justify" wrapText="1"/>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68" fillId="20" borderId="0" xfId="0" applyFont="1" applyFill="1" applyBorder="1" applyAlignment="1" applyProtection="1">
      <alignment vertical="justify" wrapText="1"/>
      <protection locked="0"/>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68" fillId="19" borderId="33"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69" fillId="0" borderId="33"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0" fontId="63" fillId="19" borderId="0" xfId="0" applyFont="1" applyFill="1" applyAlignment="1" applyProtection="1">
      <alignment vertical="center"/>
      <protection locked="0"/>
    </xf>
    <xf numFmtId="0" fontId="70" fillId="19" borderId="0" xfId="0" applyFont="1" applyFill="1" applyBorder="1" applyAlignment="1" applyProtection="1">
      <alignment horizontal="center" vertical="center" wrapText="1"/>
      <protection locked="0"/>
    </xf>
    <xf numFmtId="0" fontId="73" fillId="19" borderId="0" xfId="0" applyFont="1" applyFill="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1" fillId="0" borderId="2" xfId="0" applyFont="1" applyBorder="1" applyAlignment="1">
      <alignment horizontal="left" vertical="center" wrapText="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64" fontId="1" fillId="9" borderId="2" xfId="1" applyNumberFormat="1" applyFont="1" applyFill="1" applyBorder="1" applyAlignment="1">
      <alignment horizontal="center" vertical="center"/>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4" fillId="2" borderId="7" xfId="0" applyFont="1" applyFill="1" applyBorder="1" applyAlignment="1">
      <alignment horizontal="left"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2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78" fillId="0" borderId="4" xfId="0" applyFont="1" applyBorder="1" applyAlignment="1" applyProtection="1">
      <alignment horizontal="left" vertical="center" wrapText="1"/>
      <protection locked="0"/>
    </xf>
    <xf numFmtId="0" fontId="78" fillId="0" borderId="8" xfId="0" applyFont="1" applyBorder="1" applyAlignment="1" applyProtection="1">
      <alignment horizontal="left" vertical="center" wrapText="1"/>
      <protection locked="0"/>
    </xf>
    <xf numFmtId="0" fontId="78" fillId="0" borderId="5" xfId="0" applyFont="1" applyBorder="1" applyAlignment="1" applyProtection="1">
      <alignment horizontal="left" vertical="center" wrapText="1"/>
      <protection locked="0"/>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8" fillId="19" borderId="78" xfId="0" applyFont="1" applyFill="1" applyBorder="1" applyAlignment="1" applyProtection="1">
      <alignment horizontal="left" vertical="center" wrapText="1"/>
      <protection locked="0"/>
    </xf>
    <xf numFmtId="0" fontId="68" fillId="19" borderId="79" xfId="0" applyFont="1" applyFill="1" applyBorder="1" applyAlignment="1" applyProtection="1">
      <alignment horizontal="left" vertical="center" wrapText="1"/>
      <protection locked="0"/>
    </xf>
    <xf numFmtId="0" fontId="68" fillId="19" borderId="80" xfId="0" applyFont="1" applyFill="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8" fillId="0" borderId="78" xfId="0" applyFont="1" applyFill="1" applyBorder="1" applyAlignment="1" applyProtection="1">
      <alignment horizontal="left" vertical="center" wrapText="1"/>
      <protection locked="0"/>
    </xf>
    <xf numFmtId="0" fontId="68" fillId="0" borderId="79" xfId="0" applyFont="1" applyFill="1" applyBorder="1" applyAlignment="1" applyProtection="1">
      <alignment horizontal="left" vertical="center" wrapText="1"/>
      <protection locked="0"/>
    </xf>
    <xf numFmtId="0" fontId="68" fillId="0" borderId="80" xfId="0" applyFont="1" applyFill="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17</xdr:row>
      <xdr:rowOff>0</xdr:rowOff>
    </xdr:from>
    <xdr:to>
      <xdr:col>16</xdr:col>
      <xdr:colOff>320675</xdr:colOff>
      <xdr:row>17</xdr:row>
      <xdr:rowOff>301399</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301399</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301399</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17</xdr:row>
      <xdr:rowOff>0</xdr:rowOff>
    </xdr:from>
    <xdr:to>
      <xdr:col>16</xdr:col>
      <xdr:colOff>320675</xdr:colOff>
      <xdr:row>17</xdr:row>
      <xdr:rowOff>301399</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195408</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1544637</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1260613</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11</xdr:row>
      <xdr:rowOff>127000</xdr:rowOff>
    </xdr:from>
    <xdr:ext cx="0" cy="272515"/>
    <xdr:sp macro="" textlink="">
      <xdr:nvSpPr>
        <xdr:cNvPr id="9" name="Rectangle 53">
          <a:extLst>
            <a:ext uri="{FF2B5EF4-FFF2-40B4-BE49-F238E27FC236}">
              <a16:creationId xmlns:a16="http://schemas.microsoft.com/office/drawing/2014/main" id="{A910B285-C0FB-4DC5-B7B1-7B8A85F2CA1F}"/>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8</xdr:row>
      <xdr:rowOff>127000</xdr:rowOff>
    </xdr:from>
    <xdr:ext cx="0" cy="272515"/>
    <xdr:sp macro="" textlink="">
      <xdr:nvSpPr>
        <xdr:cNvPr id="10" name="Rectangle 53">
          <a:extLst>
            <a:ext uri="{FF2B5EF4-FFF2-40B4-BE49-F238E27FC236}">
              <a16:creationId xmlns:a16="http://schemas.microsoft.com/office/drawing/2014/main" id="{03D848C7-F281-41F7-9E6B-0720A084789C}"/>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11" name="Rectangle 53">
          <a:extLst>
            <a:ext uri="{FF2B5EF4-FFF2-40B4-BE49-F238E27FC236}">
              <a16:creationId xmlns:a16="http://schemas.microsoft.com/office/drawing/2014/main" id="{5B69E5F3-DA73-4DEA-B116-2F212B699088}"/>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12" name="Rectangle 53">
          <a:extLst>
            <a:ext uri="{FF2B5EF4-FFF2-40B4-BE49-F238E27FC236}">
              <a16:creationId xmlns:a16="http://schemas.microsoft.com/office/drawing/2014/main" id="{FFBFDC55-A5E5-4D80-AFF1-4C6E3300CF96}"/>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13" name="Rectangle 53">
          <a:extLst>
            <a:ext uri="{FF2B5EF4-FFF2-40B4-BE49-F238E27FC236}">
              <a16:creationId xmlns:a16="http://schemas.microsoft.com/office/drawing/2014/main" id="{A514540C-4F79-4BDF-ACF5-1BE943FE7413}"/>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14" name="Rectangle 53">
          <a:extLst>
            <a:ext uri="{FF2B5EF4-FFF2-40B4-BE49-F238E27FC236}">
              <a16:creationId xmlns:a16="http://schemas.microsoft.com/office/drawing/2014/main" id="{535B0F8C-B8F0-456C-B615-DD16A1090858}"/>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15" name="Rectangle 53">
          <a:extLst>
            <a:ext uri="{FF2B5EF4-FFF2-40B4-BE49-F238E27FC236}">
              <a16:creationId xmlns:a16="http://schemas.microsoft.com/office/drawing/2014/main" id="{40580ECF-AFA3-4ED2-BE92-75085255EA73}"/>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16" name="Rectangle 53">
          <a:extLst>
            <a:ext uri="{FF2B5EF4-FFF2-40B4-BE49-F238E27FC236}">
              <a16:creationId xmlns:a16="http://schemas.microsoft.com/office/drawing/2014/main" id="{1E405116-6C02-4D39-849B-02435E776362}"/>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17" name="Rectangle 53">
          <a:extLst>
            <a:ext uri="{FF2B5EF4-FFF2-40B4-BE49-F238E27FC236}">
              <a16:creationId xmlns:a16="http://schemas.microsoft.com/office/drawing/2014/main" id="{F21F75A7-6B0B-4623-B1F6-C4AE8C507AD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18" name="Rectangle 53">
          <a:extLst>
            <a:ext uri="{FF2B5EF4-FFF2-40B4-BE49-F238E27FC236}">
              <a16:creationId xmlns:a16="http://schemas.microsoft.com/office/drawing/2014/main" id="{0E355AA6-E7D5-419C-8872-2C14E17847F5}"/>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19" name="Rectangle 53">
          <a:extLst>
            <a:ext uri="{FF2B5EF4-FFF2-40B4-BE49-F238E27FC236}">
              <a16:creationId xmlns:a16="http://schemas.microsoft.com/office/drawing/2014/main" id="{00AFD592-F127-4728-B436-850954B336F5}"/>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20" name="Rectangle 53">
          <a:extLst>
            <a:ext uri="{FF2B5EF4-FFF2-40B4-BE49-F238E27FC236}">
              <a16:creationId xmlns:a16="http://schemas.microsoft.com/office/drawing/2014/main" id="{A1F00DB8-3654-4791-9E90-579201F49B1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2515"/>
    <xdr:sp macro="" textlink="">
      <xdr:nvSpPr>
        <xdr:cNvPr id="21" name="Rectangle 53">
          <a:extLst>
            <a:ext uri="{FF2B5EF4-FFF2-40B4-BE49-F238E27FC236}">
              <a16:creationId xmlns:a16="http://schemas.microsoft.com/office/drawing/2014/main" id="{32D2245D-1CFD-46F8-8054-0C488270FAE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2515"/>
    <xdr:sp macro="" textlink="">
      <xdr:nvSpPr>
        <xdr:cNvPr id="22" name="Rectangle 53">
          <a:extLst>
            <a:ext uri="{FF2B5EF4-FFF2-40B4-BE49-F238E27FC236}">
              <a16:creationId xmlns:a16="http://schemas.microsoft.com/office/drawing/2014/main" id="{D9E79E82-2EEB-469A-AC5F-D1BA55F666E1}"/>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23" name="Rectangle 53">
          <a:extLst>
            <a:ext uri="{FF2B5EF4-FFF2-40B4-BE49-F238E27FC236}">
              <a16:creationId xmlns:a16="http://schemas.microsoft.com/office/drawing/2014/main" id="{0EF2A601-FD21-46C0-AD18-479BF8F91B1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24" name="Rectangle 53">
          <a:extLst>
            <a:ext uri="{FF2B5EF4-FFF2-40B4-BE49-F238E27FC236}">
              <a16:creationId xmlns:a16="http://schemas.microsoft.com/office/drawing/2014/main" id="{8931EDC5-D8FF-4BA7-944C-C038512C5915}"/>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127000</xdr:rowOff>
    </xdr:from>
    <xdr:ext cx="0" cy="272515"/>
    <xdr:sp macro="" textlink="">
      <xdr:nvSpPr>
        <xdr:cNvPr id="25" name="Rectangle 53">
          <a:extLst>
            <a:ext uri="{FF2B5EF4-FFF2-40B4-BE49-F238E27FC236}">
              <a16:creationId xmlns:a16="http://schemas.microsoft.com/office/drawing/2014/main" id="{A5C4C5DC-296D-4AB7-8391-7B2057C45718}"/>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127000</xdr:rowOff>
    </xdr:from>
    <xdr:ext cx="0" cy="272515"/>
    <xdr:sp macro="" textlink="">
      <xdr:nvSpPr>
        <xdr:cNvPr id="26" name="Rectangle 53">
          <a:extLst>
            <a:ext uri="{FF2B5EF4-FFF2-40B4-BE49-F238E27FC236}">
              <a16:creationId xmlns:a16="http://schemas.microsoft.com/office/drawing/2014/main" id="{D76D1DE8-E2B7-450F-A988-FEE0EC723416}"/>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27" name="Rectangle 53">
          <a:extLst>
            <a:ext uri="{FF2B5EF4-FFF2-40B4-BE49-F238E27FC236}">
              <a16:creationId xmlns:a16="http://schemas.microsoft.com/office/drawing/2014/main" id="{58CDDB36-3D91-47ED-A8AF-3442985A10A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28" name="Rectangle 53">
          <a:extLst>
            <a:ext uri="{FF2B5EF4-FFF2-40B4-BE49-F238E27FC236}">
              <a16:creationId xmlns:a16="http://schemas.microsoft.com/office/drawing/2014/main" id="{B44752AD-BAA9-4580-9D0C-A39BB289ABA3}"/>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29" name="Rectangle 53">
          <a:extLst>
            <a:ext uri="{FF2B5EF4-FFF2-40B4-BE49-F238E27FC236}">
              <a16:creationId xmlns:a16="http://schemas.microsoft.com/office/drawing/2014/main" id="{FC394C64-A4F3-4F0A-9D4A-2A96A9937F63}"/>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30" name="Rectangle 53">
          <a:extLst>
            <a:ext uri="{FF2B5EF4-FFF2-40B4-BE49-F238E27FC236}">
              <a16:creationId xmlns:a16="http://schemas.microsoft.com/office/drawing/2014/main" id="{B84D82F2-B68F-4615-9BDF-3F50B55FFEA7}"/>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31" name="Rectangle 53">
          <a:extLst>
            <a:ext uri="{FF2B5EF4-FFF2-40B4-BE49-F238E27FC236}">
              <a16:creationId xmlns:a16="http://schemas.microsoft.com/office/drawing/2014/main" id="{74A9E615-205C-420A-8B89-6014F31F8112}"/>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32" name="Rectangle 53">
          <a:extLst>
            <a:ext uri="{FF2B5EF4-FFF2-40B4-BE49-F238E27FC236}">
              <a16:creationId xmlns:a16="http://schemas.microsoft.com/office/drawing/2014/main" id="{1F193244-758C-4D51-9CD6-7A4A73AFC319}"/>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33" name="Rectangle 53">
          <a:extLst>
            <a:ext uri="{FF2B5EF4-FFF2-40B4-BE49-F238E27FC236}">
              <a16:creationId xmlns:a16="http://schemas.microsoft.com/office/drawing/2014/main" id="{68E0FFB6-DFC9-487A-A720-E5C6A34C62D8}"/>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34" name="Rectangle 53">
          <a:extLst>
            <a:ext uri="{FF2B5EF4-FFF2-40B4-BE49-F238E27FC236}">
              <a16:creationId xmlns:a16="http://schemas.microsoft.com/office/drawing/2014/main" id="{3FEA8B53-271B-44D6-A0B8-4171D76F2DFF}"/>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35" name="Rectangle 53">
          <a:extLst>
            <a:ext uri="{FF2B5EF4-FFF2-40B4-BE49-F238E27FC236}">
              <a16:creationId xmlns:a16="http://schemas.microsoft.com/office/drawing/2014/main" id="{BCB13172-7405-4BA4-952B-0080173F11B4}"/>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36" name="Rectangle 53">
          <a:extLst>
            <a:ext uri="{FF2B5EF4-FFF2-40B4-BE49-F238E27FC236}">
              <a16:creationId xmlns:a16="http://schemas.microsoft.com/office/drawing/2014/main" id="{EA17268F-6557-4684-8AF0-7ECB7F3CEB84}"/>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2515"/>
    <xdr:sp macro="" textlink="">
      <xdr:nvSpPr>
        <xdr:cNvPr id="37" name="Rectangle 53">
          <a:extLst>
            <a:ext uri="{FF2B5EF4-FFF2-40B4-BE49-F238E27FC236}">
              <a16:creationId xmlns:a16="http://schemas.microsoft.com/office/drawing/2014/main" id="{7D181CE1-A7D1-4ED7-A788-D4181F79345F}"/>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2515"/>
    <xdr:sp macro="" textlink="">
      <xdr:nvSpPr>
        <xdr:cNvPr id="38" name="Rectangle 53">
          <a:extLst>
            <a:ext uri="{FF2B5EF4-FFF2-40B4-BE49-F238E27FC236}">
              <a16:creationId xmlns:a16="http://schemas.microsoft.com/office/drawing/2014/main" id="{D93D81C4-DA0E-470D-B4D9-0D2937613B67}"/>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39" name="Rectangle 53">
          <a:extLst>
            <a:ext uri="{FF2B5EF4-FFF2-40B4-BE49-F238E27FC236}">
              <a16:creationId xmlns:a16="http://schemas.microsoft.com/office/drawing/2014/main" id="{81B0CBCF-0902-46D1-B97E-A619F6953B7F}"/>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40" name="Rectangle 53">
          <a:extLst>
            <a:ext uri="{FF2B5EF4-FFF2-40B4-BE49-F238E27FC236}">
              <a16:creationId xmlns:a16="http://schemas.microsoft.com/office/drawing/2014/main" id="{A688D45A-05C8-4D05-B9BF-2BB49392B2B5}"/>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41" name="Rectangle 53">
          <a:extLst>
            <a:ext uri="{FF2B5EF4-FFF2-40B4-BE49-F238E27FC236}">
              <a16:creationId xmlns:a16="http://schemas.microsoft.com/office/drawing/2014/main" id="{BC432484-CCD3-4DC1-B0A7-1054F0A2CED7}"/>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42" name="Rectangle 53">
          <a:extLst>
            <a:ext uri="{FF2B5EF4-FFF2-40B4-BE49-F238E27FC236}">
              <a16:creationId xmlns:a16="http://schemas.microsoft.com/office/drawing/2014/main" id="{808A5ACC-BF72-408B-855E-B3572C89EC24}"/>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127000</xdr:rowOff>
    </xdr:from>
    <xdr:ext cx="0" cy="272515"/>
    <xdr:sp macro="" textlink="">
      <xdr:nvSpPr>
        <xdr:cNvPr id="43" name="Rectangle 53">
          <a:extLst>
            <a:ext uri="{FF2B5EF4-FFF2-40B4-BE49-F238E27FC236}">
              <a16:creationId xmlns:a16="http://schemas.microsoft.com/office/drawing/2014/main" id="{8F615694-C65A-4090-A478-3E34182F623B}"/>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127000</xdr:rowOff>
    </xdr:from>
    <xdr:ext cx="0" cy="272515"/>
    <xdr:sp macro="" textlink="">
      <xdr:nvSpPr>
        <xdr:cNvPr id="44" name="Rectangle 53">
          <a:extLst>
            <a:ext uri="{FF2B5EF4-FFF2-40B4-BE49-F238E27FC236}">
              <a16:creationId xmlns:a16="http://schemas.microsoft.com/office/drawing/2014/main" id="{505F3F43-EF91-4B67-938E-153FCF950D17}"/>
            </a:ext>
          </a:extLst>
        </xdr:cNvPr>
        <xdr:cNvSpPr>
          <a:spLocks noChangeArrowheads="1"/>
        </xdr:cNvSpPr>
      </xdr:nvSpPr>
      <xdr:spPr bwMode="auto">
        <a:xfrm>
          <a:off x="17088757" y="2494643"/>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19"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7" t="s">
        <v>0</v>
      </c>
      <c r="C12" s="218"/>
      <c r="D12" s="218"/>
      <c r="E12" s="218"/>
      <c r="F12" s="218"/>
      <c r="G12" s="218"/>
      <c r="H12" s="219"/>
    </row>
    <row r="13" spans="2:8" ht="11.1" customHeight="1" x14ac:dyDescent="0.25">
      <c r="B13" s="84"/>
      <c r="C13" s="85"/>
      <c r="D13" s="85"/>
      <c r="E13" s="85"/>
      <c r="F13" s="85"/>
      <c r="G13" s="85"/>
      <c r="H13" s="86"/>
    </row>
    <row r="14" spans="2:8" ht="29.1" hidden="1" customHeight="1" x14ac:dyDescent="0.25">
      <c r="B14" s="220" t="s">
        <v>210</v>
      </c>
      <c r="C14" s="221"/>
      <c r="D14" s="221"/>
      <c r="E14" s="221"/>
      <c r="F14" s="221"/>
      <c r="G14" s="221"/>
      <c r="H14" s="222"/>
    </row>
    <row r="15" spans="2:8" ht="63" hidden="1" customHeight="1" x14ac:dyDescent="0.25">
      <c r="B15" s="223"/>
      <c r="C15" s="224"/>
      <c r="D15" s="224"/>
      <c r="E15" s="224"/>
      <c r="F15" s="224"/>
      <c r="G15" s="224"/>
      <c r="H15" s="225"/>
    </row>
    <row r="16" spans="2:8" ht="16.5" x14ac:dyDescent="0.25">
      <c r="B16" s="226" t="s">
        <v>1</v>
      </c>
      <c r="C16" s="227"/>
      <c r="D16" s="227"/>
      <c r="E16" s="227"/>
      <c r="F16" s="227"/>
      <c r="G16" s="227"/>
      <c r="H16" s="228"/>
    </row>
    <row r="17" spans="2:8" ht="95.25" customHeight="1" x14ac:dyDescent="0.25">
      <c r="B17" s="236" t="s">
        <v>2</v>
      </c>
      <c r="C17" s="237"/>
      <c r="D17" s="237"/>
      <c r="E17" s="237"/>
      <c r="F17" s="237"/>
      <c r="G17" s="237"/>
      <c r="H17" s="238"/>
    </row>
    <row r="18" spans="2:8" ht="16.5" x14ac:dyDescent="0.25">
      <c r="B18" s="120"/>
      <c r="C18" s="121"/>
      <c r="D18" s="121"/>
      <c r="E18" s="121"/>
      <c r="F18" s="121"/>
      <c r="G18" s="121"/>
      <c r="H18" s="122"/>
    </row>
    <row r="19" spans="2:8" ht="16.5" customHeight="1" x14ac:dyDescent="0.25">
      <c r="B19" s="229" t="s">
        <v>254</v>
      </c>
      <c r="C19" s="230"/>
      <c r="D19" s="230"/>
      <c r="E19" s="230"/>
      <c r="F19" s="230"/>
      <c r="G19" s="230"/>
      <c r="H19" s="231"/>
    </row>
    <row r="20" spans="2:8" ht="44.25" customHeight="1" x14ac:dyDescent="0.25">
      <c r="B20" s="229"/>
      <c r="C20" s="230"/>
      <c r="D20" s="230"/>
      <c r="E20" s="230"/>
      <c r="F20" s="230"/>
      <c r="G20" s="230"/>
      <c r="H20" s="231"/>
    </row>
    <row r="21" spans="2:8" ht="15.75" thickBot="1" x14ac:dyDescent="0.3">
      <c r="B21" s="109"/>
      <c r="C21" s="112"/>
      <c r="D21" s="117"/>
      <c r="E21" s="118"/>
      <c r="F21" s="118"/>
      <c r="G21" s="119"/>
      <c r="H21" s="113"/>
    </row>
    <row r="22" spans="2:8" ht="15.75" thickTop="1" x14ac:dyDescent="0.25">
      <c r="B22" s="109"/>
      <c r="C22" s="232" t="s">
        <v>3</v>
      </c>
      <c r="D22" s="233"/>
      <c r="E22" s="234" t="s">
        <v>4</v>
      </c>
      <c r="F22" s="235"/>
      <c r="G22" s="112"/>
      <c r="H22" s="113"/>
    </row>
    <row r="23" spans="2:8" ht="35.25" customHeight="1" x14ac:dyDescent="0.25">
      <c r="B23" s="109"/>
      <c r="C23" s="204" t="s">
        <v>5</v>
      </c>
      <c r="D23" s="205"/>
      <c r="E23" s="206" t="s">
        <v>6</v>
      </c>
      <c r="F23" s="207"/>
      <c r="G23" s="112"/>
      <c r="H23" s="113"/>
    </row>
    <row r="24" spans="2:8" ht="17.25" customHeight="1" x14ac:dyDescent="0.25">
      <c r="B24" s="109"/>
      <c r="C24" s="204" t="s">
        <v>7</v>
      </c>
      <c r="D24" s="205"/>
      <c r="E24" s="206" t="s">
        <v>8</v>
      </c>
      <c r="F24" s="207"/>
      <c r="G24" s="112"/>
      <c r="H24" s="113"/>
    </row>
    <row r="25" spans="2:8" ht="19.5" customHeight="1" x14ac:dyDescent="0.25">
      <c r="B25" s="109"/>
      <c r="C25" s="204" t="s">
        <v>9</v>
      </c>
      <c r="D25" s="205"/>
      <c r="E25" s="206" t="s">
        <v>10</v>
      </c>
      <c r="F25" s="207"/>
      <c r="G25" s="112"/>
      <c r="H25" s="113"/>
    </row>
    <row r="26" spans="2:8" ht="69.75" customHeight="1" x14ac:dyDescent="0.25">
      <c r="B26" s="109"/>
      <c r="C26" s="204" t="s">
        <v>11</v>
      </c>
      <c r="D26" s="205"/>
      <c r="E26" s="206" t="s">
        <v>12</v>
      </c>
      <c r="F26" s="207"/>
      <c r="G26" s="112"/>
      <c r="H26" s="113"/>
    </row>
    <row r="27" spans="2:8" ht="34.5" customHeight="1" x14ac:dyDescent="0.25">
      <c r="B27" s="109"/>
      <c r="C27" s="208" t="s">
        <v>13</v>
      </c>
      <c r="D27" s="209"/>
      <c r="E27" s="200" t="s">
        <v>14</v>
      </c>
      <c r="F27" s="201"/>
      <c r="G27" s="112"/>
      <c r="H27" s="113"/>
    </row>
    <row r="28" spans="2:8" ht="27.75" customHeight="1" x14ac:dyDescent="0.25">
      <c r="B28" s="109"/>
      <c r="C28" s="208" t="s">
        <v>15</v>
      </c>
      <c r="D28" s="209"/>
      <c r="E28" s="200" t="s">
        <v>16</v>
      </c>
      <c r="F28" s="201"/>
      <c r="G28" s="112"/>
      <c r="H28" s="113"/>
    </row>
    <row r="29" spans="2:8" ht="28.5" customHeight="1" x14ac:dyDescent="0.25">
      <c r="B29" s="109"/>
      <c r="C29" s="208" t="s">
        <v>17</v>
      </c>
      <c r="D29" s="209"/>
      <c r="E29" s="200" t="s">
        <v>18</v>
      </c>
      <c r="F29" s="201"/>
      <c r="G29" s="112"/>
      <c r="H29" s="113"/>
    </row>
    <row r="30" spans="2:8" ht="72.75" customHeight="1" x14ac:dyDescent="0.25">
      <c r="B30" s="109"/>
      <c r="C30" s="208" t="s">
        <v>19</v>
      </c>
      <c r="D30" s="209"/>
      <c r="E30" s="200" t="s">
        <v>20</v>
      </c>
      <c r="F30" s="201"/>
      <c r="G30" s="112"/>
      <c r="H30" s="113"/>
    </row>
    <row r="31" spans="2:8" ht="64.5" customHeight="1" x14ac:dyDescent="0.25">
      <c r="B31" s="109"/>
      <c r="C31" s="208" t="s">
        <v>21</v>
      </c>
      <c r="D31" s="209"/>
      <c r="E31" s="200" t="s">
        <v>22</v>
      </c>
      <c r="F31" s="201"/>
      <c r="G31" s="112"/>
      <c r="H31" s="113"/>
    </row>
    <row r="32" spans="2:8" ht="71.25" customHeight="1" x14ac:dyDescent="0.25">
      <c r="B32" s="109"/>
      <c r="C32" s="208" t="s">
        <v>23</v>
      </c>
      <c r="D32" s="209"/>
      <c r="E32" s="200" t="s">
        <v>24</v>
      </c>
      <c r="F32" s="201"/>
      <c r="G32" s="112"/>
      <c r="H32" s="113"/>
    </row>
    <row r="33" spans="2:8" ht="55.5" customHeight="1" x14ac:dyDescent="0.25">
      <c r="B33" s="109"/>
      <c r="C33" s="202" t="s">
        <v>25</v>
      </c>
      <c r="D33" s="203"/>
      <c r="E33" s="200" t="s">
        <v>26</v>
      </c>
      <c r="F33" s="201"/>
      <c r="G33" s="112"/>
      <c r="H33" s="113"/>
    </row>
    <row r="34" spans="2:8" ht="42" customHeight="1" x14ac:dyDescent="0.25">
      <c r="B34" s="109"/>
      <c r="C34" s="202" t="s">
        <v>27</v>
      </c>
      <c r="D34" s="203"/>
      <c r="E34" s="200" t="s">
        <v>28</v>
      </c>
      <c r="F34" s="201"/>
      <c r="G34" s="112"/>
      <c r="H34" s="113"/>
    </row>
    <row r="35" spans="2:8" ht="59.25" customHeight="1" x14ac:dyDescent="0.25">
      <c r="B35" s="109"/>
      <c r="C35" s="202" t="s">
        <v>29</v>
      </c>
      <c r="D35" s="203"/>
      <c r="E35" s="200" t="s">
        <v>30</v>
      </c>
      <c r="F35" s="201"/>
      <c r="G35" s="112"/>
      <c r="H35" s="113"/>
    </row>
    <row r="36" spans="2:8" ht="23.25" customHeight="1" x14ac:dyDescent="0.25">
      <c r="B36" s="109"/>
      <c r="C36" s="202" t="s">
        <v>31</v>
      </c>
      <c r="D36" s="203"/>
      <c r="E36" s="200" t="s">
        <v>32</v>
      </c>
      <c r="F36" s="201"/>
      <c r="G36" s="112"/>
      <c r="H36" s="113"/>
    </row>
    <row r="37" spans="2:8" ht="30.75" customHeight="1" x14ac:dyDescent="0.25">
      <c r="B37" s="109"/>
      <c r="C37" s="202" t="s">
        <v>33</v>
      </c>
      <c r="D37" s="203"/>
      <c r="E37" s="200" t="s">
        <v>34</v>
      </c>
      <c r="F37" s="201"/>
      <c r="G37" s="112"/>
      <c r="H37" s="113"/>
    </row>
    <row r="38" spans="2:8" ht="35.25" customHeight="1" x14ac:dyDescent="0.25">
      <c r="B38" s="109"/>
      <c r="C38" s="202" t="s">
        <v>35</v>
      </c>
      <c r="D38" s="203"/>
      <c r="E38" s="200" t="s">
        <v>36</v>
      </c>
      <c r="F38" s="201"/>
      <c r="G38" s="112"/>
      <c r="H38" s="113"/>
    </row>
    <row r="39" spans="2:8" ht="33" customHeight="1" x14ac:dyDescent="0.25">
      <c r="B39" s="109"/>
      <c r="C39" s="202" t="s">
        <v>35</v>
      </c>
      <c r="D39" s="203"/>
      <c r="E39" s="200" t="s">
        <v>36</v>
      </c>
      <c r="F39" s="201"/>
      <c r="G39" s="112"/>
      <c r="H39" s="113"/>
    </row>
    <row r="40" spans="2:8" ht="30" customHeight="1" x14ac:dyDescent="0.25">
      <c r="B40" s="109"/>
      <c r="C40" s="202" t="s">
        <v>37</v>
      </c>
      <c r="D40" s="203"/>
      <c r="E40" s="200" t="s">
        <v>38</v>
      </c>
      <c r="F40" s="201"/>
      <c r="G40" s="112"/>
      <c r="H40" s="113"/>
    </row>
    <row r="41" spans="2:8" ht="35.25" customHeight="1" x14ac:dyDescent="0.25">
      <c r="B41" s="109"/>
      <c r="C41" s="202" t="s">
        <v>39</v>
      </c>
      <c r="D41" s="203"/>
      <c r="E41" s="200" t="s">
        <v>40</v>
      </c>
      <c r="F41" s="201"/>
      <c r="G41" s="112"/>
      <c r="H41" s="113"/>
    </row>
    <row r="42" spans="2:8" ht="31.5" customHeight="1" x14ac:dyDescent="0.25">
      <c r="B42" s="109"/>
      <c r="C42" s="202" t="s">
        <v>41</v>
      </c>
      <c r="D42" s="203"/>
      <c r="E42" s="200" t="s">
        <v>42</v>
      </c>
      <c r="F42" s="201"/>
      <c r="G42" s="112"/>
      <c r="H42" s="113"/>
    </row>
    <row r="43" spans="2:8" ht="35.25" customHeight="1" x14ac:dyDescent="0.25">
      <c r="B43" s="109"/>
      <c r="C43" s="202" t="s">
        <v>43</v>
      </c>
      <c r="D43" s="203"/>
      <c r="E43" s="200" t="s">
        <v>44</v>
      </c>
      <c r="F43" s="201"/>
      <c r="G43" s="112"/>
      <c r="H43" s="113"/>
    </row>
    <row r="44" spans="2:8" ht="59.25" customHeight="1" x14ac:dyDescent="0.25">
      <c r="B44" s="109"/>
      <c r="C44" s="202" t="s">
        <v>45</v>
      </c>
      <c r="D44" s="203"/>
      <c r="E44" s="200" t="s">
        <v>46</v>
      </c>
      <c r="F44" s="201"/>
      <c r="G44" s="112"/>
      <c r="H44" s="113"/>
    </row>
    <row r="45" spans="2:8" ht="29.25" customHeight="1" x14ac:dyDescent="0.25">
      <c r="B45" s="109"/>
      <c r="C45" s="202" t="s">
        <v>47</v>
      </c>
      <c r="D45" s="203"/>
      <c r="E45" s="200" t="s">
        <v>48</v>
      </c>
      <c r="F45" s="201"/>
      <c r="G45" s="112"/>
      <c r="H45" s="113"/>
    </row>
    <row r="46" spans="2:8" ht="82.5" customHeight="1" x14ac:dyDescent="0.25">
      <c r="B46" s="109"/>
      <c r="C46" s="202" t="s">
        <v>49</v>
      </c>
      <c r="D46" s="203"/>
      <c r="E46" s="200" t="s">
        <v>50</v>
      </c>
      <c r="F46" s="201"/>
      <c r="G46" s="112"/>
      <c r="H46" s="113"/>
    </row>
    <row r="47" spans="2:8" ht="46.5" customHeight="1" x14ac:dyDescent="0.25">
      <c r="B47" s="109"/>
      <c r="C47" s="202" t="s">
        <v>51</v>
      </c>
      <c r="D47" s="203"/>
      <c r="E47" s="200" t="s">
        <v>52</v>
      </c>
      <c r="F47" s="201"/>
      <c r="G47" s="112"/>
      <c r="H47" s="113"/>
    </row>
    <row r="48" spans="2:8" ht="6.75" customHeight="1" thickBot="1" x14ac:dyDescent="0.3">
      <c r="B48" s="109"/>
      <c r="C48" s="213"/>
      <c r="D48" s="214"/>
      <c r="E48" s="215"/>
      <c r="F48" s="216"/>
      <c r="G48" s="112"/>
      <c r="H48" s="113"/>
    </row>
    <row r="49" spans="2:8" ht="15.75" thickTop="1" x14ac:dyDescent="0.25">
      <c r="B49" s="109"/>
      <c r="C49" s="110"/>
      <c r="D49" s="110"/>
      <c r="E49" s="111"/>
      <c r="F49" s="111"/>
      <c r="G49" s="112"/>
      <c r="H49" s="113"/>
    </row>
    <row r="50" spans="2:8" ht="21" customHeight="1" x14ac:dyDescent="0.25">
      <c r="B50" s="210" t="s">
        <v>53</v>
      </c>
      <c r="C50" s="211"/>
      <c r="D50" s="211"/>
      <c r="E50" s="211"/>
      <c r="F50" s="211"/>
      <c r="G50" s="211"/>
      <c r="H50" s="212"/>
    </row>
    <row r="51" spans="2:8" ht="20.25" customHeight="1" x14ac:dyDescent="0.25">
      <c r="B51" s="210" t="s">
        <v>54</v>
      </c>
      <c r="C51" s="211"/>
      <c r="D51" s="211"/>
      <c r="E51" s="211"/>
      <c r="F51" s="211"/>
      <c r="G51" s="211"/>
      <c r="H51" s="212"/>
    </row>
    <row r="52" spans="2:8" ht="20.25" customHeight="1" x14ac:dyDescent="0.25">
      <c r="B52" s="210" t="s">
        <v>55</v>
      </c>
      <c r="C52" s="211"/>
      <c r="D52" s="211"/>
      <c r="E52" s="211"/>
      <c r="F52" s="211"/>
      <c r="G52" s="211"/>
      <c r="H52" s="212"/>
    </row>
    <row r="53" spans="2:8" ht="20.25" customHeight="1" x14ac:dyDescent="0.25">
      <c r="B53" s="210" t="s">
        <v>56</v>
      </c>
      <c r="C53" s="211"/>
      <c r="D53" s="211"/>
      <c r="E53" s="211"/>
      <c r="F53" s="211"/>
      <c r="G53" s="211"/>
      <c r="H53" s="212"/>
    </row>
    <row r="54" spans="2:8" x14ac:dyDescent="0.25">
      <c r="B54" s="210" t="s">
        <v>57</v>
      </c>
      <c r="C54" s="211"/>
      <c r="D54" s="211"/>
      <c r="E54" s="211"/>
      <c r="F54" s="211"/>
      <c r="G54" s="211"/>
      <c r="H54" s="212"/>
    </row>
    <row r="55" spans="2:8" ht="15.75" thickBot="1" x14ac:dyDescent="0.3">
      <c r="B55" s="114"/>
      <c r="C55" s="115"/>
      <c r="D55" s="115"/>
      <c r="E55" s="115"/>
      <c r="F55" s="115"/>
      <c r="G55" s="115"/>
      <c r="H55" s="116"/>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31"/>
  <sheetViews>
    <sheetView showGridLines="0" topLeftCell="A7" workbookViewId="0">
      <selection activeCell="F20" sqref="F20"/>
    </sheetView>
  </sheetViews>
  <sheetFormatPr baseColWidth="10" defaultRowHeight="15" x14ac:dyDescent="0.25"/>
  <cols>
    <col min="3" max="3" width="46.42578125" customWidth="1"/>
    <col min="4" max="4" width="58" customWidth="1"/>
  </cols>
  <sheetData>
    <row r="4" spans="2:4" ht="52.5" customHeight="1" x14ac:dyDescent="0.25">
      <c r="B4" s="239" t="s">
        <v>211</v>
      </c>
      <c r="C4" s="239"/>
      <c r="D4" s="239"/>
    </row>
    <row r="5" spans="2:4" ht="6.75" customHeight="1" x14ac:dyDescent="0.25">
      <c r="D5" s="136"/>
    </row>
    <row r="6" spans="2:4" ht="15" customHeight="1" x14ac:dyDescent="0.25">
      <c r="B6" s="240" t="s">
        <v>212</v>
      </c>
      <c r="C6" s="137" t="s">
        <v>213</v>
      </c>
      <c r="D6" s="137" t="s">
        <v>214</v>
      </c>
    </row>
    <row r="7" spans="2:4" ht="60.75" x14ac:dyDescent="0.25">
      <c r="B7" s="241"/>
      <c r="C7" s="138" t="s">
        <v>267</v>
      </c>
      <c r="D7" s="139" t="s">
        <v>272</v>
      </c>
    </row>
    <row r="8" spans="2:4" ht="81" x14ac:dyDescent="0.25">
      <c r="B8" s="241"/>
      <c r="C8" s="138" t="s">
        <v>268</v>
      </c>
      <c r="D8" s="139" t="s">
        <v>273</v>
      </c>
    </row>
    <row r="9" spans="2:4" ht="81" x14ac:dyDescent="0.25">
      <c r="B9" s="241"/>
      <c r="C9" s="138" t="s">
        <v>269</v>
      </c>
      <c r="D9" s="139" t="s">
        <v>274</v>
      </c>
    </row>
    <row r="10" spans="2:4" ht="101.25" x14ac:dyDescent="0.25">
      <c r="B10" s="241"/>
      <c r="C10" s="138" t="s">
        <v>270</v>
      </c>
      <c r="D10" s="139" t="s">
        <v>275</v>
      </c>
    </row>
    <row r="11" spans="2:4" ht="40.5" x14ac:dyDescent="0.25">
      <c r="B11" s="241"/>
      <c r="C11" s="138" t="s">
        <v>271</v>
      </c>
      <c r="D11" s="139" t="s">
        <v>215</v>
      </c>
    </row>
    <row r="12" spans="2:4" ht="20.25" x14ac:dyDescent="0.25">
      <c r="B12" s="241"/>
      <c r="C12" s="138" t="s">
        <v>216</v>
      </c>
      <c r="D12" s="139" t="s">
        <v>217</v>
      </c>
    </row>
    <row r="13" spans="2:4" ht="20.25" x14ac:dyDescent="0.25">
      <c r="B13" s="241"/>
      <c r="C13" s="138" t="s">
        <v>218</v>
      </c>
      <c r="D13" s="139" t="s">
        <v>219</v>
      </c>
    </row>
    <row r="14" spans="2:4" ht="20.25" x14ac:dyDescent="0.25">
      <c r="B14" s="241"/>
      <c r="C14" s="138" t="s">
        <v>220</v>
      </c>
      <c r="D14" s="139" t="s">
        <v>221</v>
      </c>
    </row>
    <row r="15" spans="2:4" ht="20.25" x14ac:dyDescent="0.25">
      <c r="B15" s="241"/>
      <c r="C15" s="138" t="s">
        <v>222</v>
      </c>
      <c r="D15" s="139" t="s">
        <v>223</v>
      </c>
    </row>
    <row r="16" spans="2:4" ht="20.25" x14ac:dyDescent="0.25">
      <c r="B16" s="241"/>
      <c r="C16" s="138" t="s">
        <v>224</v>
      </c>
      <c r="D16" s="139" t="s">
        <v>225</v>
      </c>
    </row>
    <row r="17" spans="2:4" ht="20.25" x14ac:dyDescent="0.25">
      <c r="B17" s="241"/>
      <c r="C17" s="138" t="s">
        <v>226</v>
      </c>
      <c r="D17" s="139" t="s">
        <v>227</v>
      </c>
    </row>
    <row r="18" spans="2:4" ht="20.25" x14ac:dyDescent="0.25">
      <c r="B18" s="242"/>
      <c r="C18" s="138" t="s">
        <v>228</v>
      </c>
      <c r="D18" s="139" t="s">
        <v>229</v>
      </c>
    </row>
    <row r="19" spans="2:4" ht="15.75" customHeight="1" x14ac:dyDescent="0.25">
      <c r="B19" s="240" t="s">
        <v>230</v>
      </c>
      <c r="C19" s="137" t="s">
        <v>231</v>
      </c>
      <c r="D19" s="137" t="s">
        <v>232</v>
      </c>
    </row>
    <row r="20" spans="2:4" ht="81" x14ac:dyDescent="0.25">
      <c r="B20" s="241"/>
      <c r="C20" s="138" t="s">
        <v>277</v>
      </c>
      <c r="D20" s="139" t="s">
        <v>276</v>
      </c>
    </row>
    <row r="21" spans="2:4" ht="60.75" x14ac:dyDescent="0.25">
      <c r="B21" s="241"/>
      <c r="C21" s="138" t="s">
        <v>278</v>
      </c>
      <c r="D21" s="139" t="s">
        <v>233</v>
      </c>
    </row>
    <row r="22" spans="2:4" ht="20.25" x14ac:dyDescent="0.25">
      <c r="B22" s="241"/>
      <c r="C22" s="138" t="s">
        <v>234</v>
      </c>
      <c r="D22" s="139" t="s">
        <v>235</v>
      </c>
    </row>
    <row r="23" spans="2:4" ht="20.25" x14ac:dyDescent="0.25">
      <c r="B23" s="241"/>
      <c r="C23" s="138" t="s">
        <v>236</v>
      </c>
      <c r="D23" s="139" t="s">
        <v>237</v>
      </c>
    </row>
    <row r="24" spans="2:4" ht="20.25" x14ac:dyDescent="0.25">
      <c r="B24" s="241"/>
      <c r="C24" s="138" t="s">
        <v>238</v>
      </c>
      <c r="D24" s="139" t="s">
        <v>239</v>
      </c>
    </row>
    <row r="25" spans="2:4" ht="20.25" x14ac:dyDescent="0.25">
      <c r="B25" s="241"/>
      <c r="C25" s="138" t="s">
        <v>240</v>
      </c>
      <c r="D25" s="139" t="s">
        <v>241</v>
      </c>
    </row>
    <row r="26" spans="2:4" ht="20.25" x14ac:dyDescent="0.25">
      <c r="B26" s="241"/>
      <c r="C26" s="138" t="s">
        <v>242</v>
      </c>
      <c r="D26" s="139" t="s">
        <v>243</v>
      </c>
    </row>
    <row r="27" spans="2:4" ht="20.25" x14ac:dyDescent="0.25">
      <c r="B27" s="241"/>
      <c r="C27" s="138" t="s">
        <v>244</v>
      </c>
      <c r="D27" s="139" t="s">
        <v>245</v>
      </c>
    </row>
    <row r="28" spans="2:4" ht="20.25" x14ac:dyDescent="0.25">
      <c r="B28" s="241"/>
      <c r="C28" s="138" t="s">
        <v>246</v>
      </c>
      <c r="D28" s="139" t="s">
        <v>247</v>
      </c>
    </row>
    <row r="29" spans="2:4" ht="20.25" x14ac:dyDescent="0.25">
      <c r="B29" s="241"/>
      <c r="C29" s="138" t="s">
        <v>248</v>
      </c>
      <c r="D29" s="139" t="s">
        <v>249</v>
      </c>
    </row>
    <row r="30" spans="2:4" ht="20.25" x14ac:dyDescent="0.25">
      <c r="B30" s="241"/>
      <c r="C30" s="138" t="s">
        <v>250</v>
      </c>
      <c r="D30" s="139" t="s">
        <v>251</v>
      </c>
    </row>
    <row r="31" spans="2:4" ht="21" thickBot="1" x14ac:dyDescent="0.3">
      <c r="B31" s="242"/>
      <c r="C31" s="140" t="s">
        <v>252</v>
      </c>
      <c r="D31" s="141" t="s">
        <v>253</v>
      </c>
    </row>
  </sheetData>
  <mergeCells count="3">
    <mergeCell ref="B4:D4"/>
    <mergeCell ref="B6:B18"/>
    <mergeCell ref="B19:B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91"/>
  <sheetViews>
    <sheetView tabSelected="1" topLeftCell="A19" zoomScale="85" zoomScaleNormal="85" workbookViewId="0">
      <selection activeCell="C23" sqref="C23:N23"/>
    </sheetView>
  </sheetViews>
  <sheetFormatPr baseColWidth="10" defaultColWidth="11.42578125" defaultRowHeight="16.5" x14ac:dyDescent="0.3"/>
  <cols>
    <col min="1" max="1" width="4" style="2" bestFit="1" customWidth="1"/>
    <col min="2" max="2" width="14.140625" style="2" customWidth="1"/>
    <col min="3" max="3" width="30" style="2" customWidth="1"/>
    <col min="4" max="4" width="30.85546875" style="2" customWidth="1"/>
    <col min="5" max="5" width="32.42578125" style="2"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3" customWidth="1"/>
    <col min="16" max="16" width="38.57031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359" t="s">
        <v>265</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144" t="s">
        <v>255</v>
      </c>
      <c r="AG1" s="149" t="s">
        <v>256</v>
      </c>
      <c r="AH1" s="176"/>
      <c r="AI1" s="176"/>
      <c r="AJ1" s="176"/>
      <c r="AK1" s="176"/>
      <c r="AL1" s="142"/>
      <c r="AM1" s="142"/>
      <c r="AN1" s="142"/>
      <c r="AO1" s="142"/>
      <c r="AP1" s="143"/>
      <c r="AQ1" s="143"/>
      <c r="AR1" s="143"/>
      <c r="AS1" s="143"/>
      <c r="AT1" s="143"/>
      <c r="AU1" s="143"/>
      <c r="AV1" s="143"/>
      <c r="AW1" s="143"/>
      <c r="AX1" s="143"/>
      <c r="AY1" s="143"/>
      <c r="AZ1" s="143"/>
    </row>
    <row r="2" spans="1:52" x14ac:dyDescent="0.3">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144" t="s">
        <v>257</v>
      </c>
      <c r="AG2" s="149">
        <v>5</v>
      </c>
      <c r="AH2" s="145"/>
      <c r="AI2" s="146"/>
      <c r="AJ2" s="146"/>
      <c r="AK2" s="147"/>
      <c r="AL2" s="146"/>
      <c r="AM2" s="146"/>
      <c r="AN2" s="143"/>
      <c r="AO2" s="148"/>
      <c r="AP2" s="143"/>
      <c r="AQ2" s="143"/>
      <c r="AR2" s="143"/>
      <c r="AS2" s="143"/>
      <c r="AT2" s="143"/>
      <c r="AU2" s="143"/>
      <c r="AV2" s="143"/>
      <c r="AW2" s="143"/>
      <c r="AX2" s="143"/>
      <c r="AY2" s="143"/>
      <c r="AZ2" s="143"/>
    </row>
    <row r="3" spans="1:52" x14ac:dyDescent="0.3">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144" t="s">
        <v>258</v>
      </c>
      <c r="AG3" s="151" t="s">
        <v>266</v>
      </c>
      <c r="AH3" s="145"/>
      <c r="AI3" s="146"/>
      <c r="AJ3" s="146"/>
      <c r="AK3" s="147"/>
      <c r="AL3" s="146"/>
      <c r="AM3" s="146"/>
      <c r="AN3" s="143"/>
      <c r="AO3" s="148"/>
      <c r="AP3" s="143"/>
      <c r="AQ3" s="143"/>
      <c r="AR3" s="143"/>
      <c r="AS3" s="143"/>
      <c r="AT3" s="143"/>
      <c r="AU3" s="143"/>
      <c r="AV3" s="143"/>
      <c r="AW3" s="143"/>
      <c r="AX3" s="143"/>
      <c r="AY3" s="143"/>
      <c r="AZ3" s="143"/>
    </row>
    <row r="4" spans="1:52" ht="15.95" customHeight="1" x14ac:dyDescent="0.3">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153" t="s">
        <v>259</v>
      </c>
      <c r="AG4" s="152">
        <v>209905</v>
      </c>
      <c r="AH4" s="145"/>
      <c r="AI4" s="146"/>
      <c r="AJ4" s="146"/>
      <c r="AK4" s="147"/>
      <c r="AL4" s="146"/>
      <c r="AM4" s="146"/>
      <c r="AN4" s="143"/>
      <c r="AO4" s="148"/>
      <c r="AP4" s="143"/>
      <c r="AQ4" s="143"/>
      <c r="AR4" s="143"/>
      <c r="AS4" s="143"/>
      <c r="AT4" s="143"/>
      <c r="AU4" s="143"/>
      <c r="AV4" s="143"/>
      <c r="AW4" s="143"/>
      <c r="AX4" s="143"/>
      <c r="AY4" s="143"/>
      <c r="AZ4" s="143"/>
    </row>
    <row r="5" spans="1:52" ht="24" customHeight="1" x14ac:dyDescent="0.3">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H5" s="145"/>
      <c r="AI5" s="146"/>
      <c r="AJ5" s="146"/>
      <c r="AK5" s="147"/>
      <c r="AL5" s="146"/>
      <c r="AM5" s="146"/>
      <c r="AN5" s="143"/>
      <c r="AO5" s="148"/>
      <c r="AP5" s="143"/>
      <c r="AQ5" s="143"/>
      <c r="AR5" s="143"/>
      <c r="AS5" s="143"/>
      <c r="AT5" s="143"/>
      <c r="AU5" s="143"/>
      <c r="AV5" s="143"/>
      <c r="AW5" s="143"/>
      <c r="AX5" s="143"/>
      <c r="AY5" s="143"/>
      <c r="AZ5" s="143"/>
    </row>
    <row r="6" spans="1:52" x14ac:dyDescent="0.3">
      <c r="A6" s="150"/>
      <c r="B6" s="150"/>
      <c r="C6" s="175"/>
      <c r="D6" s="174"/>
      <c r="E6" s="183"/>
      <c r="F6" s="174"/>
      <c r="G6" s="174"/>
      <c r="H6" s="174"/>
      <c r="I6" s="174"/>
      <c r="J6" s="174"/>
      <c r="K6" s="173"/>
      <c r="L6" s="152"/>
      <c r="M6" s="143"/>
      <c r="N6" s="143"/>
      <c r="O6" s="182"/>
      <c r="P6" s="152"/>
      <c r="Q6" s="150"/>
      <c r="R6" s="150"/>
      <c r="S6" s="150"/>
      <c r="T6" s="154"/>
      <c r="U6" s="154"/>
      <c r="V6" s="154"/>
      <c r="W6" s="154"/>
      <c r="X6" s="154"/>
      <c r="Y6" s="154"/>
      <c r="Z6" s="154"/>
      <c r="AA6" s="155"/>
      <c r="AB6" s="155"/>
      <c r="AC6" s="155"/>
      <c r="AD6" s="155"/>
      <c r="AE6" s="155"/>
      <c r="AH6" s="156"/>
      <c r="AI6" s="157"/>
      <c r="AJ6" s="157"/>
      <c r="AK6" s="157"/>
      <c r="AL6" s="157"/>
      <c r="AM6" s="157"/>
      <c r="AN6" s="158"/>
      <c r="AO6" s="158"/>
      <c r="AP6" s="158"/>
      <c r="AQ6" s="158"/>
      <c r="AR6" s="155"/>
      <c r="AS6" s="155"/>
      <c r="AT6" s="155"/>
      <c r="AU6" s="155"/>
      <c r="AV6" s="155"/>
      <c r="AW6" s="155"/>
      <c r="AX6" s="155"/>
      <c r="AY6" s="155"/>
      <c r="AZ6" s="155"/>
    </row>
    <row r="7" spans="1:52" ht="27.95" customHeight="1" x14ac:dyDescent="0.3">
      <c r="A7" s="162"/>
      <c r="B7" s="162"/>
      <c r="C7" s="143"/>
      <c r="D7" s="143"/>
      <c r="E7" s="155"/>
      <c r="F7" s="143"/>
      <c r="G7" s="143"/>
      <c r="H7" s="143"/>
      <c r="I7" s="143"/>
      <c r="J7" s="143"/>
      <c r="L7" s="143"/>
      <c r="M7" s="143"/>
      <c r="N7" s="363" t="s">
        <v>260</v>
      </c>
      <c r="O7" s="363"/>
      <c r="P7" s="363"/>
      <c r="Q7" s="363"/>
      <c r="R7" s="363"/>
      <c r="S7" s="363"/>
      <c r="T7" s="144"/>
      <c r="U7" s="144"/>
      <c r="V7" s="144"/>
      <c r="W7" s="144"/>
      <c r="X7" s="144"/>
      <c r="Y7" s="144"/>
      <c r="Z7" s="144"/>
      <c r="AA7" s="159"/>
      <c r="AB7" s="159"/>
      <c r="AC7" s="159"/>
      <c r="AD7" s="159"/>
      <c r="AE7" s="159"/>
      <c r="AF7" s="159"/>
      <c r="AG7" s="159"/>
      <c r="AH7" s="145"/>
      <c r="AI7" s="146"/>
      <c r="AJ7" s="146"/>
      <c r="AK7" s="146"/>
      <c r="AL7" s="146"/>
      <c r="AM7" s="146"/>
      <c r="AN7" s="160">
        <v>0</v>
      </c>
      <c r="AO7" s="161"/>
      <c r="AP7" s="160"/>
      <c r="AQ7" s="160"/>
      <c r="AR7" s="143"/>
      <c r="AS7" s="143"/>
      <c r="AT7" s="143"/>
      <c r="AU7" s="143"/>
      <c r="AV7" s="143"/>
      <c r="AW7" s="143"/>
      <c r="AX7" s="143"/>
      <c r="AY7" s="143"/>
      <c r="AZ7" s="143"/>
    </row>
    <row r="8" spans="1:52" ht="34.5" customHeight="1" x14ac:dyDescent="0.3">
      <c r="A8" s="162"/>
      <c r="B8" s="162"/>
      <c r="C8" s="143"/>
      <c r="D8" s="143"/>
      <c r="E8" s="155"/>
      <c r="F8" s="143"/>
      <c r="G8" s="143"/>
      <c r="H8" s="143"/>
      <c r="I8" s="143"/>
      <c r="J8" s="143"/>
      <c r="L8" s="143"/>
      <c r="M8" s="143"/>
      <c r="N8" s="179" t="s">
        <v>261</v>
      </c>
      <c r="O8" s="179" t="s">
        <v>262</v>
      </c>
      <c r="P8" s="365" t="s">
        <v>263</v>
      </c>
      <c r="Q8" s="366"/>
      <c r="R8" s="366"/>
      <c r="S8" s="367"/>
      <c r="T8" s="144"/>
      <c r="U8" s="144"/>
      <c r="V8" s="144"/>
      <c r="W8" s="144"/>
      <c r="X8" s="144"/>
      <c r="Y8" s="144"/>
      <c r="Z8" s="144"/>
      <c r="AA8" s="159"/>
      <c r="AB8" s="159"/>
      <c r="AC8" s="159"/>
      <c r="AD8" s="159"/>
      <c r="AE8" s="159"/>
      <c r="AF8" s="159"/>
      <c r="AG8" s="159"/>
      <c r="AH8" s="145"/>
      <c r="AI8" s="146"/>
      <c r="AJ8" s="146"/>
      <c r="AK8" s="146"/>
      <c r="AL8" s="146"/>
      <c r="AM8" s="146"/>
      <c r="AN8" s="160">
        <v>0</v>
      </c>
      <c r="AO8" s="161"/>
      <c r="AP8" s="160"/>
      <c r="AQ8" s="160"/>
      <c r="AR8" s="143"/>
      <c r="AS8" s="143"/>
      <c r="AT8" s="143"/>
      <c r="AU8" s="143"/>
      <c r="AV8" s="143"/>
      <c r="AW8" s="143"/>
      <c r="AX8" s="143"/>
      <c r="AY8" s="143"/>
      <c r="AZ8" s="143"/>
    </row>
    <row r="9" spans="1:52" x14ac:dyDescent="0.3">
      <c r="A9" s="162"/>
      <c r="B9" s="162"/>
      <c r="C9" s="143"/>
      <c r="D9" s="143"/>
      <c r="E9" s="155"/>
      <c r="F9" s="143"/>
      <c r="G9" s="143"/>
      <c r="H9" s="143"/>
      <c r="I9" s="143"/>
      <c r="J9" s="143"/>
      <c r="L9" s="143"/>
      <c r="M9" s="143"/>
      <c r="N9" s="177">
        <v>1</v>
      </c>
      <c r="O9" s="181">
        <v>39500</v>
      </c>
      <c r="P9" s="368" t="s">
        <v>282</v>
      </c>
      <c r="Q9" s="369"/>
      <c r="R9" s="369"/>
      <c r="S9" s="370"/>
      <c r="T9" s="144"/>
      <c r="U9" s="144"/>
      <c r="V9" s="144"/>
      <c r="W9" s="364"/>
      <c r="X9" s="364"/>
      <c r="Y9" s="364"/>
      <c r="Z9" s="364"/>
      <c r="AA9" s="364"/>
      <c r="AB9" s="364"/>
      <c r="AC9" s="168"/>
      <c r="AD9" s="168"/>
      <c r="AE9" s="168"/>
      <c r="AF9" s="143"/>
      <c r="AG9" s="143"/>
      <c r="AH9" s="145"/>
      <c r="AI9" s="146"/>
      <c r="AJ9" s="146"/>
      <c r="AK9" s="146"/>
      <c r="AL9" s="146"/>
      <c r="AM9" s="146"/>
      <c r="AN9" s="160">
        <v>0</v>
      </c>
      <c r="AO9" s="161"/>
      <c r="AP9" s="160"/>
      <c r="AQ9" s="160"/>
      <c r="AR9" s="143"/>
      <c r="AS9" s="143"/>
      <c r="AT9" s="143"/>
      <c r="AU9" s="143"/>
      <c r="AV9" s="143"/>
      <c r="AW9" s="143"/>
      <c r="AX9" s="143"/>
      <c r="AY9" s="143"/>
      <c r="AZ9" s="143"/>
    </row>
    <row r="10" spans="1:52" ht="65.25" customHeight="1" x14ac:dyDescent="0.3">
      <c r="A10" s="162"/>
      <c r="B10" s="162"/>
      <c r="C10" s="143"/>
      <c r="D10" s="143"/>
      <c r="E10" s="155"/>
      <c r="F10" s="143"/>
      <c r="G10" s="143"/>
      <c r="H10" s="143"/>
      <c r="I10" s="143"/>
      <c r="J10" s="143"/>
      <c r="L10" s="143"/>
      <c r="M10" s="143"/>
      <c r="N10" s="177">
        <v>2</v>
      </c>
      <c r="O10" s="181">
        <v>40084</v>
      </c>
      <c r="P10" s="368" t="s">
        <v>283</v>
      </c>
      <c r="Q10" s="369"/>
      <c r="R10" s="369"/>
      <c r="S10" s="370"/>
      <c r="T10" s="144"/>
      <c r="U10" s="144"/>
      <c r="V10" s="144"/>
      <c r="W10" s="180"/>
      <c r="X10" s="180"/>
      <c r="Y10" s="180"/>
      <c r="Z10" s="180"/>
      <c r="AA10" s="180"/>
      <c r="AB10" s="180"/>
      <c r="AC10" s="180"/>
      <c r="AD10" s="180"/>
      <c r="AE10" s="180"/>
      <c r="AF10" s="143"/>
      <c r="AG10" s="143"/>
      <c r="AH10" s="145"/>
      <c r="AI10" s="146"/>
      <c r="AJ10" s="146"/>
      <c r="AK10" s="146"/>
      <c r="AL10" s="146"/>
      <c r="AM10" s="146"/>
      <c r="AN10" s="160"/>
      <c r="AO10" s="161"/>
      <c r="AP10" s="160"/>
      <c r="AQ10" s="160"/>
      <c r="AR10" s="143"/>
      <c r="AS10" s="143"/>
      <c r="AT10" s="143"/>
      <c r="AU10" s="143"/>
      <c r="AV10" s="143"/>
      <c r="AW10" s="143"/>
      <c r="AX10" s="143"/>
      <c r="AY10" s="143"/>
      <c r="AZ10" s="143"/>
    </row>
    <row r="11" spans="1:52" ht="53.25" customHeight="1" x14ac:dyDescent="0.3">
      <c r="A11" s="162"/>
      <c r="B11" s="162"/>
      <c r="C11" s="143"/>
      <c r="D11" s="143"/>
      <c r="E11" s="155"/>
      <c r="F11" s="143"/>
      <c r="G11" s="143"/>
      <c r="H11" s="143"/>
      <c r="I11" s="143"/>
      <c r="J11" s="143"/>
      <c r="L11" s="143"/>
      <c r="M11" s="143"/>
      <c r="N11" s="177">
        <v>3</v>
      </c>
      <c r="O11" s="181">
        <v>41060</v>
      </c>
      <c r="P11" s="368" t="s">
        <v>284</v>
      </c>
      <c r="Q11" s="369"/>
      <c r="R11" s="369"/>
      <c r="S11" s="370"/>
      <c r="T11" s="144"/>
      <c r="U11" s="144"/>
      <c r="V11" s="144"/>
      <c r="W11" s="180"/>
      <c r="X11" s="180"/>
      <c r="Y11" s="180"/>
      <c r="Z11" s="180"/>
      <c r="AA11" s="180"/>
      <c r="AB11" s="180"/>
      <c r="AC11" s="180"/>
      <c r="AD11" s="180"/>
      <c r="AE11" s="180"/>
      <c r="AF11" s="143"/>
      <c r="AG11" s="143"/>
      <c r="AH11" s="145"/>
      <c r="AI11" s="146"/>
      <c r="AJ11" s="146"/>
      <c r="AK11" s="146"/>
      <c r="AL11" s="146"/>
      <c r="AM11" s="146"/>
      <c r="AN11" s="160"/>
      <c r="AO11" s="161"/>
      <c r="AP11" s="160"/>
      <c r="AQ11" s="160"/>
      <c r="AR11" s="143"/>
      <c r="AS11" s="143"/>
      <c r="AT11" s="143"/>
      <c r="AU11" s="143"/>
      <c r="AV11" s="143"/>
      <c r="AW11" s="143"/>
      <c r="AX11" s="143"/>
      <c r="AY11" s="143"/>
      <c r="AZ11" s="143"/>
    </row>
    <row r="12" spans="1:52" ht="51" customHeight="1" x14ac:dyDescent="0.3">
      <c r="A12" s="162"/>
      <c r="B12" s="162"/>
      <c r="C12" s="143"/>
      <c r="D12" s="143"/>
      <c r="E12" s="155"/>
      <c r="F12" s="143"/>
      <c r="G12" s="143"/>
      <c r="H12" s="143"/>
      <c r="I12" s="143"/>
      <c r="J12" s="143"/>
      <c r="L12" s="143"/>
      <c r="M12" s="143"/>
      <c r="N12" s="177">
        <v>4</v>
      </c>
      <c r="O12" s="181">
        <v>41548</v>
      </c>
      <c r="P12" s="368" t="s">
        <v>285</v>
      </c>
      <c r="Q12" s="369"/>
      <c r="R12" s="369"/>
      <c r="S12" s="370"/>
      <c r="T12" s="144"/>
      <c r="U12" s="144"/>
      <c r="V12" s="144"/>
      <c r="W12" s="364"/>
      <c r="X12" s="364"/>
      <c r="Y12" s="364"/>
      <c r="Z12" s="364"/>
      <c r="AA12" s="364"/>
      <c r="AB12" s="364"/>
      <c r="AC12" s="180"/>
      <c r="AD12" s="180"/>
      <c r="AE12" s="180"/>
      <c r="AF12" s="143"/>
      <c r="AG12" s="143"/>
      <c r="AH12" s="145"/>
      <c r="AI12" s="146"/>
      <c r="AJ12" s="146"/>
      <c r="AK12" s="146"/>
      <c r="AL12" s="146"/>
      <c r="AM12" s="146"/>
      <c r="AN12" s="160">
        <v>0</v>
      </c>
      <c r="AO12" s="161"/>
      <c r="AP12" s="160"/>
      <c r="AQ12" s="160"/>
      <c r="AR12" s="143"/>
      <c r="AS12" s="143"/>
      <c r="AT12" s="143"/>
      <c r="AU12" s="143"/>
      <c r="AV12" s="143"/>
      <c r="AW12" s="143"/>
      <c r="AX12" s="143"/>
      <c r="AY12" s="143"/>
      <c r="AZ12" s="143"/>
    </row>
    <row r="13" spans="1:52" ht="45" customHeight="1" x14ac:dyDescent="0.3">
      <c r="A13" s="162"/>
      <c r="B13" s="162"/>
      <c r="C13" s="143"/>
      <c r="D13" s="143"/>
      <c r="E13" s="155"/>
      <c r="F13" s="143"/>
      <c r="G13" s="143"/>
      <c r="H13" s="143"/>
      <c r="I13" s="143"/>
      <c r="J13" s="143"/>
      <c r="L13" s="143"/>
      <c r="M13" s="143"/>
      <c r="N13" s="177">
        <v>5</v>
      </c>
      <c r="O13" s="181">
        <v>41939</v>
      </c>
      <c r="P13" s="368" t="s">
        <v>286</v>
      </c>
      <c r="Q13" s="369"/>
      <c r="R13" s="369"/>
      <c r="S13" s="370"/>
      <c r="T13" s="144"/>
      <c r="U13" s="144"/>
      <c r="V13" s="144"/>
      <c r="W13" s="180"/>
      <c r="X13" s="180"/>
      <c r="Y13" s="180"/>
      <c r="Z13" s="180"/>
      <c r="AA13" s="180"/>
      <c r="AB13" s="180"/>
      <c r="AC13" s="180"/>
      <c r="AD13" s="180"/>
      <c r="AE13" s="180"/>
      <c r="AF13" s="143"/>
      <c r="AG13" s="143"/>
      <c r="AH13" s="145"/>
      <c r="AI13" s="146"/>
      <c r="AJ13" s="146"/>
      <c r="AK13" s="146"/>
      <c r="AL13" s="146"/>
      <c r="AM13" s="146"/>
      <c r="AN13" s="160"/>
      <c r="AO13" s="161"/>
      <c r="AP13" s="160"/>
      <c r="AQ13" s="160"/>
      <c r="AR13" s="143"/>
      <c r="AS13" s="143"/>
      <c r="AT13" s="143"/>
      <c r="AU13" s="143"/>
      <c r="AV13" s="143"/>
      <c r="AW13" s="143"/>
      <c r="AX13" s="143"/>
      <c r="AY13" s="143"/>
      <c r="AZ13" s="143"/>
    </row>
    <row r="14" spans="1:52" ht="72" customHeight="1" x14ac:dyDescent="0.3">
      <c r="A14" s="162"/>
      <c r="B14" s="162"/>
      <c r="C14" s="143"/>
      <c r="D14" s="143"/>
      <c r="E14" s="155"/>
      <c r="F14" s="143"/>
      <c r="G14" s="143"/>
      <c r="H14" s="143"/>
      <c r="I14" s="143"/>
      <c r="J14" s="143"/>
      <c r="L14" s="143"/>
      <c r="M14" s="143"/>
      <c r="N14" s="177">
        <v>6</v>
      </c>
      <c r="O14" s="181">
        <v>42359</v>
      </c>
      <c r="P14" s="368" t="s">
        <v>287</v>
      </c>
      <c r="Q14" s="369"/>
      <c r="R14" s="369"/>
      <c r="S14" s="370"/>
      <c r="T14" s="144"/>
      <c r="U14" s="144"/>
      <c r="V14" s="144"/>
      <c r="W14" s="180"/>
      <c r="X14" s="180"/>
      <c r="Y14" s="180"/>
      <c r="Z14" s="180"/>
      <c r="AA14" s="180"/>
      <c r="AB14" s="180"/>
      <c r="AC14" s="180"/>
      <c r="AD14" s="180"/>
      <c r="AE14" s="180"/>
      <c r="AF14" s="143"/>
      <c r="AG14" s="143"/>
      <c r="AH14" s="145"/>
      <c r="AI14" s="146"/>
      <c r="AJ14" s="146"/>
      <c r="AK14" s="146"/>
      <c r="AL14" s="146"/>
      <c r="AM14" s="146"/>
      <c r="AN14" s="160"/>
      <c r="AO14" s="161"/>
      <c r="AP14" s="160"/>
      <c r="AQ14" s="160"/>
      <c r="AR14" s="143"/>
      <c r="AS14" s="143"/>
      <c r="AT14" s="143"/>
      <c r="AU14" s="143"/>
      <c r="AV14" s="143"/>
      <c r="AW14" s="143"/>
      <c r="AX14" s="143"/>
      <c r="AY14" s="143"/>
      <c r="AZ14" s="143"/>
    </row>
    <row r="15" spans="1:52" ht="120" customHeight="1" x14ac:dyDescent="0.3">
      <c r="A15" s="162"/>
      <c r="B15" s="162"/>
      <c r="C15" s="143"/>
      <c r="D15" s="143"/>
      <c r="E15" s="155"/>
      <c r="F15" s="143"/>
      <c r="G15" s="143"/>
      <c r="H15" s="143"/>
      <c r="I15" s="143"/>
      <c r="J15" s="143"/>
      <c r="L15" s="143"/>
      <c r="M15" s="143"/>
      <c r="N15" s="177">
        <v>1</v>
      </c>
      <c r="O15" s="181">
        <v>43000</v>
      </c>
      <c r="P15" s="368" t="s">
        <v>288</v>
      </c>
      <c r="Q15" s="369"/>
      <c r="R15" s="369"/>
      <c r="S15" s="370"/>
      <c r="T15" s="144"/>
      <c r="U15" s="144"/>
      <c r="V15" s="144"/>
      <c r="W15" s="180"/>
      <c r="X15" s="180"/>
      <c r="Y15" s="180"/>
      <c r="Z15" s="180"/>
      <c r="AA15" s="180"/>
      <c r="AB15" s="180"/>
      <c r="AC15" s="180"/>
      <c r="AD15" s="180"/>
      <c r="AE15" s="180"/>
      <c r="AF15" s="143"/>
      <c r="AG15" s="143"/>
      <c r="AH15" s="145"/>
      <c r="AI15" s="146"/>
      <c r="AJ15" s="146"/>
      <c r="AK15" s="146"/>
      <c r="AL15" s="146"/>
      <c r="AM15" s="146"/>
      <c r="AN15" s="160"/>
      <c r="AO15" s="161"/>
      <c r="AP15" s="160"/>
      <c r="AQ15" s="160"/>
      <c r="AR15" s="143"/>
      <c r="AS15" s="143"/>
      <c r="AT15" s="143"/>
      <c r="AU15" s="143"/>
      <c r="AV15" s="143"/>
      <c r="AW15" s="143"/>
      <c r="AX15" s="143"/>
      <c r="AY15" s="143"/>
      <c r="AZ15" s="143"/>
    </row>
    <row r="16" spans="1:52" ht="108.75" customHeight="1" x14ac:dyDescent="0.3">
      <c r="A16" s="162"/>
      <c r="B16" s="162"/>
      <c r="C16" s="143"/>
      <c r="D16" s="143"/>
      <c r="E16" s="155"/>
      <c r="F16" s="143"/>
      <c r="G16" s="143"/>
      <c r="H16" s="143"/>
      <c r="I16" s="143"/>
      <c r="J16" s="143"/>
      <c r="L16" s="144"/>
      <c r="M16" s="144"/>
      <c r="N16" s="177">
        <v>2</v>
      </c>
      <c r="O16" s="181">
        <v>43759</v>
      </c>
      <c r="P16" s="368" t="s">
        <v>289</v>
      </c>
      <c r="Q16" s="369"/>
      <c r="R16" s="369"/>
      <c r="S16" s="370"/>
      <c r="T16" s="144"/>
      <c r="U16" s="144"/>
      <c r="V16" s="144"/>
      <c r="W16" s="360"/>
      <c r="X16" s="360"/>
      <c r="Y16" s="360"/>
      <c r="Z16" s="360"/>
      <c r="AA16" s="360"/>
      <c r="AB16" s="360"/>
      <c r="AC16" s="169"/>
      <c r="AD16" s="169"/>
      <c r="AE16" s="170"/>
      <c r="AF16" s="143"/>
      <c r="AG16" s="143"/>
      <c r="AH16" s="145"/>
      <c r="AI16" s="146"/>
      <c r="AJ16" s="146"/>
      <c r="AK16" s="146"/>
      <c r="AL16" s="146"/>
      <c r="AM16" s="146"/>
      <c r="AN16" s="160">
        <v>0</v>
      </c>
      <c r="AO16" s="161"/>
      <c r="AP16" s="160"/>
      <c r="AQ16" s="160"/>
      <c r="AR16" s="143"/>
      <c r="AS16" s="143"/>
      <c r="AT16" s="143"/>
      <c r="AU16" s="143"/>
      <c r="AV16" s="143"/>
      <c r="AW16" s="143"/>
      <c r="AX16" s="143"/>
      <c r="AY16" s="143"/>
      <c r="AZ16" s="143"/>
    </row>
    <row r="17" spans="1:68" ht="139.5" customHeight="1" x14ac:dyDescent="0.3">
      <c r="A17" s="162"/>
      <c r="B17" s="162"/>
      <c r="C17" s="143"/>
      <c r="D17" s="143"/>
      <c r="E17" s="155"/>
      <c r="F17" s="143"/>
      <c r="G17" s="143"/>
      <c r="H17" s="143"/>
      <c r="I17" s="143"/>
      <c r="J17" s="143"/>
      <c r="L17" s="144"/>
      <c r="M17" s="144"/>
      <c r="N17" s="177">
        <v>3</v>
      </c>
      <c r="O17" s="181">
        <v>44188</v>
      </c>
      <c r="P17" s="368" t="s">
        <v>290</v>
      </c>
      <c r="Q17" s="369"/>
      <c r="R17" s="369"/>
      <c r="S17" s="370"/>
      <c r="T17" s="144"/>
      <c r="U17" s="144"/>
      <c r="V17" s="144"/>
      <c r="W17" s="178"/>
      <c r="X17" s="178"/>
      <c r="Y17" s="178"/>
      <c r="Z17" s="178"/>
      <c r="AA17" s="178"/>
      <c r="AB17" s="178"/>
      <c r="AC17" s="178"/>
      <c r="AD17" s="178"/>
      <c r="AE17" s="170"/>
      <c r="AF17" s="143"/>
      <c r="AG17" s="143"/>
      <c r="AH17" s="145"/>
      <c r="AI17" s="146"/>
      <c r="AJ17" s="146"/>
      <c r="AK17" s="146"/>
      <c r="AL17" s="146"/>
      <c r="AM17" s="146"/>
      <c r="AN17" s="160"/>
      <c r="AO17" s="161"/>
      <c r="AP17" s="160"/>
      <c r="AQ17" s="160"/>
      <c r="AR17" s="143"/>
      <c r="AS17" s="143"/>
      <c r="AT17" s="143"/>
      <c r="AU17" s="143"/>
      <c r="AV17" s="143"/>
      <c r="AW17" s="143"/>
      <c r="AX17" s="143"/>
      <c r="AY17" s="143"/>
      <c r="AZ17" s="143"/>
    </row>
    <row r="18" spans="1:68" ht="130.5" customHeight="1" x14ac:dyDescent="0.3">
      <c r="A18" s="162"/>
      <c r="B18" s="162"/>
      <c r="C18" s="162"/>
      <c r="D18" s="162"/>
      <c r="E18" s="184"/>
      <c r="F18" s="143"/>
      <c r="G18" s="143"/>
      <c r="H18" s="143"/>
      <c r="I18" s="164"/>
      <c r="J18" s="164"/>
      <c r="K18" s="144"/>
      <c r="L18" s="144"/>
      <c r="M18" s="144"/>
      <c r="N18" s="177">
        <v>4</v>
      </c>
      <c r="O18" s="181">
        <v>44648</v>
      </c>
      <c r="P18" s="520" t="s">
        <v>317</v>
      </c>
      <c r="Q18" s="521"/>
      <c r="R18" s="521"/>
      <c r="S18" s="522"/>
      <c r="T18" s="144"/>
      <c r="U18" s="144"/>
      <c r="V18" s="144"/>
      <c r="W18" s="361"/>
      <c r="X18" s="361"/>
      <c r="Y18" s="361"/>
      <c r="Z18" s="361"/>
      <c r="AA18" s="361"/>
      <c r="AB18" s="361"/>
      <c r="AC18" s="171"/>
      <c r="AD18" s="171"/>
      <c r="AE18" s="172"/>
      <c r="AF18" s="165"/>
      <c r="AG18" s="159"/>
      <c r="AH18" s="145"/>
      <c r="AI18" s="146"/>
      <c r="AJ18" s="146"/>
      <c r="AK18" s="146"/>
      <c r="AL18" s="146"/>
      <c r="AM18" s="146"/>
      <c r="AN18" s="160">
        <v>0</v>
      </c>
      <c r="AO18" s="161"/>
      <c r="AP18" s="160"/>
      <c r="AQ18" s="160"/>
      <c r="AR18" s="143"/>
      <c r="AS18" s="143"/>
      <c r="AT18" s="143"/>
      <c r="AU18" s="143"/>
      <c r="AV18" s="143"/>
      <c r="AW18" s="143"/>
      <c r="AX18" s="143"/>
      <c r="AY18" s="143"/>
      <c r="AZ18" s="143"/>
    </row>
    <row r="19" spans="1:68" ht="18.75" x14ac:dyDescent="0.3">
      <c r="A19" s="362" t="s">
        <v>264</v>
      </c>
      <c r="B19" s="362"/>
      <c r="C19" s="362"/>
      <c r="D19" s="362"/>
      <c r="E19" s="362"/>
      <c r="F19" s="362"/>
      <c r="G19" s="362"/>
      <c r="H19" s="362"/>
      <c r="I19" s="362"/>
      <c r="J19" s="362"/>
      <c r="K19" s="144"/>
      <c r="L19" s="144"/>
      <c r="M19" s="144"/>
      <c r="N19" s="144"/>
      <c r="O19" s="163"/>
      <c r="P19" s="144"/>
      <c r="Q19" s="144"/>
      <c r="R19" s="144"/>
      <c r="S19" s="144"/>
      <c r="T19" s="144"/>
      <c r="U19" s="144"/>
      <c r="V19" s="144"/>
      <c r="W19" s="159"/>
      <c r="X19" s="159"/>
      <c r="Y19" s="159"/>
      <c r="Z19" s="159"/>
      <c r="AA19" s="159"/>
      <c r="AB19" s="166"/>
      <c r="AC19" s="166"/>
      <c r="AD19" s="166"/>
      <c r="AE19" s="166"/>
      <c r="AF19" s="167"/>
      <c r="AG19" s="167"/>
      <c r="AH19" s="146"/>
      <c r="AI19" s="146"/>
      <c r="AJ19" s="146"/>
      <c r="AK19" s="146"/>
      <c r="AL19" s="146"/>
      <c r="AM19" s="147"/>
      <c r="AN19" s="160"/>
      <c r="AO19" s="160"/>
      <c r="AP19" s="143"/>
      <c r="AQ19" s="143"/>
      <c r="AR19" s="143"/>
      <c r="AS19" s="143"/>
      <c r="AT19" s="143"/>
      <c r="AU19" s="143"/>
      <c r="AV19" s="143"/>
      <c r="AW19" s="143"/>
      <c r="AX19" s="143"/>
      <c r="AY19" s="143"/>
      <c r="AZ19" s="143"/>
    </row>
    <row r="20" spans="1:68" ht="16.5" customHeight="1" x14ac:dyDescent="0.3">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24" customHeight="1" x14ac:dyDescent="0.3">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3"/>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x14ac:dyDescent="0.3">
      <c r="A22" s="28"/>
      <c r="B22" s="29"/>
      <c r="C22" s="28"/>
      <c r="D22" s="28"/>
      <c r="E22" s="28"/>
      <c r="F22" s="27"/>
      <c r="G22" s="8"/>
      <c r="H22" s="8"/>
      <c r="I22" s="8"/>
      <c r="J22" s="8"/>
      <c r="K22" s="8"/>
      <c r="L22" s="8"/>
      <c r="M22" s="8"/>
      <c r="N22" s="8"/>
      <c r="O22" s="26"/>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26.25" customHeight="1" x14ac:dyDescent="0.3">
      <c r="A23" s="290" t="s">
        <v>58</v>
      </c>
      <c r="B23" s="291"/>
      <c r="C23" s="264" t="s">
        <v>279</v>
      </c>
      <c r="D23" s="265"/>
      <c r="E23" s="265"/>
      <c r="F23" s="265"/>
      <c r="G23" s="265"/>
      <c r="H23" s="265"/>
      <c r="I23" s="265"/>
      <c r="J23" s="265"/>
      <c r="K23" s="265"/>
      <c r="L23" s="265"/>
      <c r="M23" s="265"/>
      <c r="N23" s="266"/>
      <c r="O23" s="267"/>
      <c r="P23" s="267"/>
      <c r="Q23" s="267"/>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53.25" customHeight="1" x14ac:dyDescent="0.3">
      <c r="A24" s="290" t="s">
        <v>59</v>
      </c>
      <c r="B24" s="291"/>
      <c r="C24" s="345" t="s">
        <v>280</v>
      </c>
      <c r="D24" s="346"/>
      <c r="E24" s="346"/>
      <c r="F24" s="346"/>
      <c r="G24" s="346"/>
      <c r="H24" s="346"/>
      <c r="I24" s="346"/>
      <c r="J24" s="346"/>
      <c r="K24" s="346"/>
      <c r="L24" s="346"/>
      <c r="M24" s="346"/>
      <c r="N24" s="347"/>
      <c r="O24" s="26"/>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49.5" customHeight="1" x14ac:dyDescent="0.3">
      <c r="A25" s="290" t="s">
        <v>60</v>
      </c>
      <c r="B25" s="291"/>
      <c r="C25" s="345" t="s">
        <v>281</v>
      </c>
      <c r="D25" s="346"/>
      <c r="E25" s="346"/>
      <c r="F25" s="346"/>
      <c r="G25" s="346"/>
      <c r="H25" s="346"/>
      <c r="I25" s="346"/>
      <c r="J25" s="346"/>
      <c r="K25" s="346"/>
      <c r="L25" s="346"/>
      <c r="M25" s="346"/>
      <c r="N25" s="347"/>
      <c r="O25" s="26"/>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x14ac:dyDescent="0.3">
      <c r="A26" s="274" t="s">
        <v>61</v>
      </c>
      <c r="B26" s="275"/>
      <c r="C26" s="275"/>
      <c r="D26" s="275"/>
      <c r="E26" s="275"/>
      <c r="F26" s="275"/>
      <c r="G26" s="276"/>
      <c r="H26" s="274" t="s">
        <v>62</v>
      </c>
      <c r="I26" s="275"/>
      <c r="J26" s="275"/>
      <c r="K26" s="275"/>
      <c r="L26" s="275"/>
      <c r="M26" s="275"/>
      <c r="N26" s="276"/>
      <c r="O26" s="274" t="s">
        <v>63</v>
      </c>
      <c r="P26" s="275"/>
      <c r="Q26" s="275"/>
      <c r="R26" s="275"/>
      <c r="S26" s="275"/>
      <c r="T26" s="275"/>
      <c r="U26" s="275"/>
      <c r="V26" s="275"/>
      <c r="W26" s="276"/>
      <c r="X26" s="277" t="s">
        <v>64</v>
      </c>
      <c r="Y26" s="278"/>
      <c r="Z26" s="278"/>
      <c r="AA26" s="278"/>
      <c r="AB26" s="278"/>
      <c r="AC26" s="278"/>
      <c r="AD26" s="279"/>
      <c r="AE26" s="274" t="s">
        <v>65</v>
      </c>
      <c r="AF26" s="275"/>
      <c r="AG26" s="275"/>
      <c r="AH26" s="275"/>
      <c r="AI26" s="275"/>
      <c r="AJ26" s="27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6.5" customHeight="1" x14ac:dyDescent="0.3">
      <c r="A27" s="337" t="s">
        <v>66</v>
      </c>
      <c r="B27" s="342" t="s">
        <v>13</v>
      </c>
      <c r="C27" s="340" t="s">
        <v>15</v>
      </c>
      <c r="D27" s="340" t="s">
        <v>17</v>
      </c>
      <c r="E27" s="341" t="s">
        <v>19</v>
      </c>
      <c r="F27" s="339" t="s">
        <v>21</v>
      </c>
      <c r="G27" s="340" t="s">
        <v>67</v>
      </c>
      <c r="H27" s="349" t="s">
        <v>68</v>
      </c>
      <c r="I27" s="350" t="s">
        <v>69</v>
      </c>
      <c r="J27" s="339" t="s">
        <v>70</v>
      </c>
      <c r="K27" s="339" t="s">
        <v>71</v>
      </c>
      <c r="L27" s="352" t="s">
        <v>72</v>
      </c>
      <c r="M27" s="350" t="s">
        <v>69</v>
      </c>
      <c r="N27" s="340" t="s">
        <v>27</v>
      </c>
      <c r="O27" s="343" t="s">
        <v>73</v>
      </c>
      <c r="P27" s="289" t="s">
        <v>29</v>
      </c>
      <c r="Q27" s="339" t="s">
        <v>31</v>
      </c>
      <c r="R27" s="289" t="s">
        <v>74</v>
      </c>
      <c r="S27" s="289"/>
      <c r="T27" s="289"/>
      <c r="U27" s="289"/>
      <c r="V27" s="289"/>
      <c r="W27" s="289"/>
      <c r="X27" s="348" t="s">
        <v>75</v>
      </c>
      <c r="Y27" s="348" t="s">
        <v>76</v>
      </c>
      <c r="Z27" s="348" t="s">
        <v>69</v>
      </c>
      <c r="AA27" s="348" t="s">
        <v>77</v>
      </c>
      <c r="AB27" s="348" t="s">
        <v>69</v>
      </c>
      <c r="AC27" s="348" t="s">
        <v>78</v>
      </c>
      <c r="AD27" s="343" t="s">
        <v>47</v>
      </c>
      <c r="AE27" s="289" t="s">
        <v>65</v>
      </c>
      <c r="AF27" s="289" t="s">
        <v>79</v>
      </c>
      <c r="AG27" s="289" t="s">
        <v>80</v>
      </c>
      <c r="AH27" s="289" t="s">
        <v>81</v>
      </c>
      <c r="AI27" s="289" t="s">
        <v>82</v>
      </c>
      <c r="AJ27" s="289" t="s">
        <v>51</v>
      </c>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s="4" customFormat="1" ht="94.5" customHeight="1" x14ac:dyDescent="0.25">
      <c r="A28" s="338"/>
      <c r="B28" s="342"/>
      <c r="C28" s="339"/>
      <c r="D28" s="289"/>
      <c r="E28" s="342"/>
      <c r="F28" s="340"/>
      <c r="G28" s="289"/>
      <c r="H28" s="340"/>
      <c r="I28" s="351"/>
      <c r="J28" s="340"/>
      <c r="K28" s="340"/>
      <c r="L28" s="351"/>
      <c r="M28" s="351"/>
      <c r="N28" s="289"/>
      <c r="O28" s="344"/>
      <c r="P28" s="289"/>
      <c r="Q28" s="340"/>
      <c r="R28" s="7" t="s">
        <v>83</v>
      </c>
      <c r="S28" s="7" t="s">
        <v>84</v>
      </c>
      <c r="T28" s="7" t="s">
        <v>85</v>
      </c>
      <c r="U28" s="7" t="s">
        <v>86</v>
      </c>
      <c r="V28" s="7" t="s">
        <v>87</v>
      </c>
      <c r="W28" s="7" t="s">
        <v>88</v>
      </c>
      <c r="X28" s="348"/>
      <c r="Y28" s="348"/>
      <c r="Z28" s="348"/>
      <c r="AA28" s="348"/>
      <c r="AB28" s="348"/>
      <c r="AC28" s="348"/>
      <c r="AD28" s="344"/>
      <c r="AE28" s="289"/>
      <c r="AF28" s="289"/>
      <c r="AG28" s="289"/>
      <c r="AH28" s="289"/>
      <c r="AI28" s="289"/>
      <c r="AJ28" s="289"/>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row>
    <row r="29" spans="1:68" s="3" customFormat="1" ht="138.75" customHeight="1" x14ac:dyDescent="0.25">
      <c r="A29" s="258">
        <v>1</v>
      </c>
      <c r="B29" s="353" t="s">
        <v>192</v>
      </c>
      <c r="C29" s="186" t="s">
        <v>292</v>
      </c>
      <c r="D29" s="328" t="s">
        <v>307</v>
      </c>
      <c r="E29" s="356" t="s">
        <v>291</v>
      </c>
      <c r="F29" s="322" t="s">
        <v>200</v>
      </c>
      <c r="G29" s="325">
        <v>0.25</v>
      </c>
      <c r="H29" s="283" t="str">
        <f>IF(G29&lt;=0,"",IF(G29&lt;=2,"Muy Baja",IF(G29&lt;=24,"Baja",IF(G29&lt;=500,"Media",IF(G29&lt;=5000,"Alta","Muy Alta")))))</f>
        <v>Muy Baja</v>
      </c>
      <c r="I29" s="280">
        <f>IF(H29="","",IF(H29="Muy Baja",0.2,IF(H29="Baja",0.4,IF(H29="Media",0.6,IF(H29="Alta",0.8,IF(H29="Muy Alta",1,))))))</f>
        <v>0.2</v>
      </c>
      <c r="J29" s="319" t="s">
        <v>146</v>
      </c>
      <c r="K29" s="280" t="str">
        <f>IF(NOT(ISERROR(MATCH(J29,'Tabla Impacto'!$B$221:$B$223,0))),'Tabla Impacto'!$F$223&amp;"Por favor no seleccionar los criterios de impacto(Afectación Económica o presupuestal y Pérdida Reputacional)",J29)</f>
        <v xml:space="preserve">     El riesgo afecta la imagen de la entidad internamente, de conocimiento general, nivel interno, de junta dircetiva y accionistas y/o de provedores</v>
      </c>
      <c r="L29" s="283" t="str">
        <f>IF(OR(K29='Tabla Impacto'!$C$11,K29='Tabla Impacto'!$D$11),"Leve",IF(OR(K29='Tabla Impacto'!$C$12,K29='Tabla Impacto'!$D$12),"Menor",IF(OR(K29='Tabla Impacto'!$C$13,K29='Tabla Impacto'!$D$13),"Moderado",IF(OR(K29='Tabla Impacto'!$C$14,K29='Tabla Impacto'!$D$14),"Mayor",IF(OR(K29='Tabla Impacto'!$C$15,K29='Tabla Impacto'!$D$15),"Catastrófico","")))))</f>
        <v>Menor</v>
      </c>
      <c r="M29" s="280">
        <f>IF(L29="","",IF(L29="Leve",0.2,IF(L29="Menor",0.4,IF(L29="Moderado",0.6,IF(L29="Mayor",0.8,IF(L29="Catastrófico",1,))))))</f>
        <v>0.4</v>
      </c>
      <c r="N29" s="286"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Bajo</v>
      </c>
      <c r="O29" s="6">
        <v>1</v>
      </c>
      <c r="P29" s="185" t="s">
        <v>294</v>
      </c>
      <c r="Q29" s="187" t="str">
        <f>IF(OR(R29="Preventivo",R29="Detectivo"),"Probabilidad",IF(R29="Correctivo","Impacto",""))</f>
        <v>Probabilidad</v>
      </c>
      <c r="R29" s="188" t="s">
        <v>164</v>
      </c>
      <c r="S29" s="188" t="s">
        <v>172</v>
      </c>
      <c r="T29" s="189" t="str">
        <f>IF(AND(R29="Preventivo",S29="Automático"),"50%",IF(AND(R29="Preventivo",S29="Manual"),"40%",IF(AND(R29="Detectivo",S29="Automático"),"40%",IF(AND(R29="Detectivo",S29="Manual"),"30%",IF(AND(R29="Correctivo",S29="Automático"),"35%",IF(AND(R29="Correctivo",S29="Manual"),"25%",""))))))</f>
        <v>40%</v>
      </c>
      <c r="U29" s="188" t="s">
        <v>175</v>
      </c>
      <c r="V29" s="188" t="s">
        <v>180</v>
      </c>
      <c r="W29" s="188" t="s">
        <v>184</v>
      </c>
      <c r="X29" s="190">
        <f>IFERROR(IF(Q29="Probabilidad",(I29-(+I29*T29)),IF(Q29="Impacto",I29,"")),"")</f>
        <v>0.12</v>
      </c>
      <c r="Y29" s="191" t="str">
        <f>IFERROR(IF(X29="","",IF(X29&lt;=0.2,"Muy Baja",IF(X29&lt;=0.4,"Baja",IF(X29&lt;=0.6,"Media",IF(X29&lt;=0.8,"Alta","Muy Alta"))))),"")</f>
        <v>Muy Baja</v>
      </c>
      <c r="Z29" s="194">
        <f>+X29</f>
        <v>0.12</v>
      </c>
      <c r="AA29" s="191" t="str">
        <f>IFERROR(IF(AB29="","",IF(AB29&lt;=0.2,"Leve",IF(AB29&lt;=0.4,"Menor",IF(AB29&lt;=0.6,"Moderado",IF(AB29&lt;=0.8,"Mayor","Catastrófico"))))),"")</f>
        <v>Menor</v>
      </c>
      <c r="AB29" s="194">
        <f>IFERROR(IF(Q29="Impacto",(M29-(+M29*T29)),IF(Q29="Probabilidad",M29,"")),"")</f>
        <v>0.4</v>
      </c>
      <c r="AC29" s="192"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193" t="s">
        <v>189</v>
      </c>
      <c r="AE29" s="196"/>
      <c r="AF29" s="197"/>
      <c r="AG29" s="198"/>
      <c r="AH29" s="198"/>
      <c r="AI29" s="196"/>
      <c r="AJ29" s="197"/>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s="3" customFormat="1" ht="133.5" customHeight="1" x14ac:dyDescent="0.25">
      <c r="A30" s="259"/>
      <c r="B30" s="354"/>
      <c r="C30" s="334" t="s">
        <v>293</v>
      </c>
      <c r="D30" s="329"/>
      <c r="E30" s="357"/>
      <c r="F30" s="323"/>
      <c r="G30" s="326"/>
      <c r="H30" s="284"/>
      <c r="I30" s="281"/>
      <c r="J30" s="320"/>
      <c r="K30" s="281">
        <f>IF(NOT(ISERROR(MATCH(J30,_xlfn.ANCHORARRAY(E41),0))),I43&amp;"Por favor no seleccionar los criterios de impacto",J30)</f>
        <v>0</v>
      </c>
      <c r="L30" s="284"/>
      <c r="M30" s="281"/>
      <c r="N30" s="287"/>
      <c r="O30" s="258">
        <v>2</v>
      </c>
      <c r="P30" s="261" t="s">
        <v>295</v>
      </c>
      <c r="Q30" s="255" t="str">
        <f>IF(OR(R30="Preventivo",R30="Detectivo"),"Probabilidad",IF(R30="Correctivo","Impacto",""))</f>
        <v>Probabilidad</v>
      </c>
      <c r="R30" s="252" t="s">
        <v>164</v>
      </c>
      <c r="S30" s="252" t="s">
        <v>172</v>
      </c>
      <c r="T30" s="246" t="str">
        <f t="shared" ref="T30:T34" si="0">IF(AND(R30="Preventivo",S30="Automático"),"50%",IF(AND(R30="Preventivo",S30="Manual"),"40%",IF(AND(R30="Detectivo",S30="Automático"),"40%",IF(AND(R30="Detectivo",S30="Manual"),"30%",IF(AND(R30="Correctivo",S30="Automático"),"35%",IF(AND(R30="Correctivo",S30="Manual"),"25%",""))))))</f>
        <v>40%</v>
      </c>
      <c r="U30" s="252" t="s">
        <v>175</v>
      </c>
      <c r="V30" s="252" t="s">
        <v>180</v>
      </c>
      <c r="W30" s="252" t="s">
        <v>184</v>
      </c>
      <c r="X30" s="190">
        <f>IFERROR(IF(AND(Q29="Probabilidad",Q30="Probabilidad"),(Z29-(+Z29*T30)),IF(Q30="Probabilidad",(I29-(+I29*T30)),IF(Q30="Impacto",Z29,""))),"")</f>
        <v>7.1999999999999995E-2</v>
      </c>
      <c r="Y30" s="243" t="str">
        <f t="shared" ref="Y30:Y88" si="1">IFERROR(IF(X30="","",IF(X30&lt;=0.2,"Muy Baja",IF(X30&lt;=0.4,"Baja",IF(X30&lt;=0.6,"Media",IF(X30&lt;=0.8,"Alta","Muy Alta"))))),"")</f>
        <v>Muy Baja</v>
      </c>
      <c r="Z30" s="246">
        <f t="shared" ref="Z30:Z34" si="2">+X30</f>
        <v>7.1999999999999995E-2</v>
      </c>
      <c r="AA30" s="243" t="str">
        <f t="shared" ref="AA30:AA88" si="3">IFERROR(IF(AB30="","",IF(AB30&lt;=0.2,"Leve",IF(AB30&lt;=0.4,"Menor",IF(AB30&lt;=0.6,"Moderado",IF(AB30&lt;=0.8,"Mayor","Catastrófico"))))),"")</f>
        <v>Menor</v>
      </c>
      <c r="AB30" s="246">
        <f>IFERROR(IF(AND(Q29="Impacto",Q30="Impacto"),(AB29-(+AB29*T30)),IF(Q30="Impacto",(M29-(+M29*T30)),IF(Q30="Probabilidad",AB29,""))),"")</f>
        <v>0.4</v>
      </c>
      <c r="AC30" s="249" t="str">
        <f t="shared" ref="AC30:AC34" si="4">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252" t="s">
        <v>189</v>
      </c>
      <c r="AE30" s="196"/>
      <c r="AF30" s="197"/>
      <c r="AG30" s="198"/>
      <c r="AH30" s="198"/>
      <c r="AI30" s="196"/>
      <c r="AJ30" s="197"/>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pans="1:68" s="3" customFormat="1" ht="16.5" hidden="1" customHeight="1" x14ac:dyDescent="0.25">
      <c r="A31" s="259"/>
      <c r="B31" s="354"/>
      <c r="C31" s="335"/>
      <c r="D31" s="329"/>
      <c r="E31" s="357"/>
      <c r="F31" s="323"/>
      <c r="G31" s="326"/>
      <c r="H31" s="284"/>
      <c r="I31" s="281"/>
      <c r="J31" s="320"/>
      <c r="K31" s="281">
        <f>IF(NOT(ISERROR(MATCH(J31,_xlfn.ANCHORARRAY(E42),0))),I44&amp;"Por favor no seleccionar los criterios de impacto",J31)</f>
        <v>0</v>
      </c>
      <c r="L31" s="284"/>
      <c r="M31" s="281"/>
      <c r="N31" s="287"/>
      <c r="O31" s="259"/>
      <c r="P31" s="262"/>
      <c r="Q31" s="256"/>
      <c r="R31" s="253"/>
      <c r="S31" s="253"/>
      <c r="T31" s="247"/>
      <c r="U31" s="253"/>
      <c r="V31" s="253"/>
      <c r="W31" s="253"/>
      <c r="X31" s="190" t="str">
        <f>IFERROR(IF(AND(Q30="Probabilidad",Q31="Probabilidad"),(Z30-(+Z30*T31)),IF(AND(Q30="Impacto",Q31="Probabilidad"),(Z29-(+Z29*T31)),IF(Q31="Impacto",Z30,""))),"")</f>
        <v/>
      </c>
      <c r="Y31" s="244"/>
      <c r="Z31" s="247"/>
      <c r="AA31" s="244"/>
      <c r="AB31" s="247"/>
      <c r="AC31" s="250"/>
      <c r="AD31" s="253"/>
      <c r="AE31" s="196"/>
      <c r="AF31" s="197"/>
      <c r="AG31" s="198"/>
      <c r="AH31" s="198"/>
      <c r="AI31" s="196"/>
      <c r="AJ31" s="197"/>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s="3" customFormat="1" ht="37.5" hidden="1" customHeight="1" x14ac:dyDescent="0.25">
      <c r="A32" s="259"/>
      <c r="B32" s="354"/>
      <c r="C32" s="335"/>
      <c r="D32" s="329"/>
      <c r="E32" s="357"/>
      <c r="F32" s="323"/>
      <c r="G32" s="326"/>
      <c r="H32" s="284"/>
      <c r="I32" s="281"/>
      <c r="J32" s="320"/>
      <c r="K32" s="281">
        <f>IF(NOT(ISERROR(MATCH(J32,_xlfn.ANCHORARRAY(E43),0))),I45&amp;"Por favor no seleccionar los criterios de impacto",J32)</f>
        <v>0</v>
      </c>
      <c r="L32" s="284"/>
      <c r="M32" s="281"/>
      <c r="N32" s="287"/>
      <c r="O32" s="259"/>
      <c r="P32" s="262"/>
      <c r="Q32" s="256"/>
      <c r="R32" s="253"/>
      <c r="S32" s="253"/>
      <c r="T32" s="247"/>
      <c r="U32" s="253"/>
      <c r="V32" s="253"/>
      <c r="W32" s="253"/>
      <c r="X32" s="190" t="str">
        <f t="shared" ref="X32:X34" si="5">IFERROR(IF(AND(Q31="Probabilidad",Q32="Probabilidad"),(Z31-(+Z31*T32)),IF(AND(Q31="Impacto",Q32="Probabilidad"),(Z30-(+Z30*T32)),IF(Q32="Impacto",Z31,""))),"")</f>
        <v/>
      </c>
      <c r="Y32" s="244"/>
      <c r="Z32" s="247"/>
      <c r="AA32" s="244"/>
      <c r="AB32" s="247"/>
      <c r="AC32" s="250"/>
      <c r="AD32" s="253"/>
      <c r="AE32" s="196"/>
      <c r="AF32" s="197"/>
      <c r="AG32" s="198"/>
      <c r="AH32" s="198"/>
      <c r="AI32" s="196"/>
      <c r="AJ32" s="197"/>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1:68" s="3" customFormat="1" ht="18.75" hidden="1" customHeight="1" x14ac:dyDescent="0.25">
      <c r="A33" s="259"/>
      <c r="B33" s="354"/>
      <c r="C33" s="335"/>
      <c r="D33" s="329"/>
      <c r="E33" s="357"/>
      <c r="F33" s="323"/>
      <c r="G33" s="326"/>
      <c r="H33" s="284"/>
      <c r="I33" s="281"/>
      <c r="J33" s="320"/>
      <c r="K33" s="281">
        <f>IF(NOT(ISERROR(MATCH(J33,_xlfn.ANCHORARRAY(E44),0))),I46&amp;"Por favor no seleccionar los criterios de impacto",J33)</f>
        <v>0</v>
      </c>
      <c r="L33" s="284"/>
      <c r="M33" s="281"/>
      <c r="N33" s="287"/>
      <c r="O33" s="260"/>
      <c r="P33" s="263"/>
      <c r="Q33" s="257"/>
      <c r="R33" s="254"/>
      <c r="S33" s="254"/>
      <c r="T33" s="248"/>
      <c r="U33" s="254"/>
      <c r="V33" s="254"/>
      <c r="W33" s="254"/>
      <c r="X33" s="190" t="str">
        <f t="shared" si="5"/>
        <v/>
      </c>
      <c r="Y33" s="245"/>
      <c r="Z33" s="248"/>
      <c r="AA33" s="245"/>
      <c r="AB33" s="248"/>
      <c r="AC33" s="251"/>
      <c r="AD33" s="254"/>
      <c r="AE33" s="196"/>
      <c r="AF33" s="197"/>
      <c r="AG33" s="198"/>
      <c r="AH33" s="198"/>
      <c r="AI33" s="196"/>
      <c r="AJ33" s="197"/>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pans="1:68" s="3" customFormat="1" ht="2.25" customHeight="1" x14ac:dyDescent="0.25">
      <c r="A34" s="260"/>
      <c r="B34" s="355"/>
      <c r="C34" s="336"/>
      <c r="D34" s="330"/>
      <c r="E34" s="358"/>
      <c r="F34" s="324"/>
      <c r="G34" s="327"/>
      <c r="H34" s="285"/>
      <c r="I34" s="282"/>
      <c r="J34" s="321"/>
      <c r="K34" s="282">
        <f>IF(NOT(ISERROR(MATCH(J34,_xlfn.ANCHORARRAY(E45),0))),I47&amp;"Por favor no seleccionar los criterios de impacto",J34)</f>
        <v>0</v>
      </c>
      <c r="L34" s="285"/>
      <c r="M34" s="282"/>
      <c r="N34" s="288"/>
      <c r="O34" s="6">
        <v>6</v>
      </c>
      <c r="P34" s="195"/>
      <c r="Q34" s="187" t="str">
        <f t="shared" ref="Q34" si="6">IF(OR(R34="Preventivo",R34="Detectivo"),"Probabilidad",IF(R34="Correctivo","Impacto",""))</f>
        <v/>
      </c>
      <c r="R34" s="188"/>
      <c r="S34" s="188"/>
      <c r="T34" s="189" t="str">
        <f t="shared" si="0"/>
        <v/>
      </c>
      <c r="U34" s="188"/>
      <c r="V34" s="188"/>
      <c r="W34" s="188"/>
      <c r="X34" s="190" t="str">
        <f t="shared" si="5"/>
        <v/>
      </c>
      <c r="Y34" s="191" t="str">
        <f t="shared" si="1"/>
        <v/>
      </c>
      <c r="Z34" s="194" t="str">
        <f t="shared" si="2"/>
        <v/>
      </c>
      <c r="AA34" s="191" t="str">
        <f t="shared" si="3"/>
        <v/>
      </c>
      <c r="AB34" s="194" t="str">
        <f t="shared" ref="AB34" si="7">IFERROR(IF(AND(Q33="Impacto",Q34="Impacto"),(AB33-(+AB33*T34)),IF(AND(Q33="Probabilidad",Q34="Impacto"),(AB32-(+AB32*T34)),IF(Q34="Probabilidad",AB33,""))),"")</f>
        <v/>
      </c>
      <c r="AC34" s="192" t="str">
        <f t="shared" si="4"/>
        <v/>
      </c>
      <c r="AD34" s="193"/>
      <c r="AE34" s="196"/>
      <c r="AF34" s="197"/>
      <c r="AG34" s="198"/>
      <c r="AH34" s="198"/>
      <c r="AI34" s="196"/>
      <c r="AJ34" s="197"/>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1:68" s="3" customFormat="1" ht="143.25" customHeight="1" x14ac:dyDescent="0.25">
      <c r="A35" s="258">
        <v>2</v>
      </c>
      <c r="B35" s="322" t="s">
        <v>192</v>
      </c>
      <c r="C35" s="186" t="s">
        <v>297</v>
      </c>
      <c r="D35" s="328" t="s">
        <v>308</v>
      </c>
      <c r="E35" s="331" t="s">
        <v>296</v>
      </c>
      <c r="F35" s="322" t="s">
        <v>200</v>
      </c>
      <c r="G35" s="325">
        <v>54</v>
      </c>
      <c r="H35" s="283" t="str">
        <f>IF(G35&lt;=0,"",IF(G35&lt;=2,"Muy Baja",IF(G35&lt;=24,"Baja",IF(G35&lt;=500,"Media",IF(G35&lt;=5000,"Alta","Muy Alta")))))</f>
        <v>Media</v>
      </c>
      <c r="I35" s="280">
        <f>IF(H35="","",IF(H35="Muy Baja",0.2,IF(H35="Baja",0.4,IF(H35="Media",0.6,IF(H35="Alta",0.8,IF(H35="Muy Alta",1,))))))</f>
        <v>0.6</v>
      </c>
      <c r="J35" s="319" t="s">
        <v>143</v>
      </c>
      <c r="K35" s="280" t="str">
        <f>IF(NOT(ISERROR(MATCH(J35,'Tabla Impacto'!$B$221:$B$223,0))),'Tabla Impacto'!$F$223&amp;"Por favor no seleccionar los criterios de impacto(Afectación Económica o presupuestal y Pérdida Reputacional)",J35)</f>
        <v xml:space="preserve">     El riesgo afecta la imagen de alguna área de la organización</v>
      </c>
      <c r="L35" s="283" t="str">
        <f>IF(OR(K35='Tabla Impacto'!$C$11,K35='Tabla Impacto'!$D$11),"Leve",IF(OR(K35='Tabla Impacto'!$C$12,K35='Tabla Impacto'!$D$12),"Menor",IF(OR(K35='Tabla Impacto'!$C$13,K35='Tabla Impacto'!$D$13),"Moderado",IF(OR(K35='Tabla Impacto'!$C$14,K35='Tabla Impacto'!$D$14),"Mayor",IF(OR(K35='Tabla Impacto'!$C$15,K35='Tabla Impacto'!$D$15),"Catastrófico","")))))</f>
        <v>Leve</v>
      </c>
      <c r="M35" s="280">
        <f>IF(L35="","",IF(L35="Leve",0.2,IF(L35="Menor",0.4,IF(L35="Moderado",0.6,IF(L35="Mayor",0.8,IF(L35="Catastrófico",1,))))))</f>
        <v>0.2</v>
      </c>
      <c r="N35" s="286"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6">
        <v>1</v>
      </c>
      <c r="P35" s="185" t="s">
        <v>309</v>
      </c>
      <c r="Q35" s="187" t="str">
        <f>IF(OR(R35="Preventivo",R35="Detectivo"),"Probabilidad",IF(R35="Correctivo","Impacto",""))</f>
        <v>Probabilidad</v>
      </c>
      <c r="R35" s="188" t="s">
        <v>164</v>
      </c>
      <c r="S35" s="188" t="s">
        <v>172</v>
      </c>
      <c r="T35" s="189" t="str">
        <f>IF(AND(R35="Preventivo",S35="Automático"),"50%",IF(AND(R35="Preventivo",S35="Manual"),"40%",IF(AND(R35="Detectivo",S35="Automático"),"40%",IF(AND(R35="Detectivo",S35="Manual"),"30%",IF(AND(R35="Correctivo",S35="Automático"),"35%",IF(AND(R35="Correctivo",S35="Manual"),"25%",""))))))</f>
        <v>40%</v>
      </c>
      <c r="U35" s="188" t="s">
        <v>175</v>
      </c>
      <c r="V35" s="188" t="s">
        <v>180</v>
      </c>
      <c r="W35" s="188" t="s">
        <v>184</v>
      </c>
      <c r="X35" s="190">
        <f>IFERROR(IF(Q35="Probabilidad",(I35-(+I35*T35)),IF(Q35="Impacto",I35,"")),"")</f>
        <v>0.36</v>
      </c>
      <c r="Y35" s="191" t="str">
        <f>IFERROR(IF(X35="","",IF(X35&lt;=0.2,"Muy Baja",IF(X35&lt;=0.4,"Baja",IF(X35&lt;=0.6,"Media",IF(X35&lt;=0.8,"Alta","Muy Alta"))))),"")</f>
        <v>Baja</v>
      </c>
      <c r="Z35" s="194">
        <f>+X35</f>
        <v>0.36</v>
      </c>
      <c r="AA35" s="191" t="str">
        <f>IFERROR(IF(AB35="","",IF(AB35&lt;=0.2,"Leve",IF(AB35&lt;=0.4,"Menor",IF(AB35&lt;=0.6,"Moderado",IF(AB35&lt;=0.8,"Mayor","Catastrófico"))))),"")</f>
        <v>Leve</v>
      </c>
      <c r="AB35" s="194">
        <f>IFERROR(IF(Q35="Impacto",(M35-(+M35*T35)),IF(Q35="Probabilidad",M35,"")),"")</f>
        <v>0.2</v>
      </c>
      <c r="AC35" s="192"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193" t="s">
        <v>189</v>
      </c>
      <c r="AE35" s="196"/>
      <c r="AF35" s="197"/>
      <c r="AG35" s="198"/>
      <c r="AH35" s="198"/>
      <c r="AI35" s="196"/>
      <c r="AJ35" s="197"/>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1:68" s="3" customFormat="1" ht="116.25" customHeight="1" x14ac:dyDescent="0.25">
      <c r="A36" s="259"/>
      <c r="B36" s="323"/>
      <c r="C36" s="186" t="s">
        <v>298</v>
      </c>
      <c r="D36" s="329"/>
      <c r="E36" s="332"/>
      <c r="F36" s="323"/>
      <c r="G36" s="326"/>
      <c r="H36" s="284"/>
      <c r="I36" s="281"/>
      <c r="J36" s="320"/>
      <c r="K36" s="281">
        <f>IF(NOT(ISERROR(MATCH(J36,_xlfn.ANCHORARRAY(E47),0))),I49&amp;"Por favor no seleccionar los criterios de impacto",J36)</f>
        <v>0</v>
      </c>
      <c r="L36" s="284"/>
      <c r="M36" s="281"/>
      <c r="N36" s="287"/>
      <c r="O36" s="6">
        <v>2</v>
      </c>
      <c r="P36" s="185" t="s">
        <v>310</v>
      </c>
      <c r="Q36" s="187" t="str">
        <f>IF(OR(R36="Preventivo",R36="Detectivo"),"Probabilidad",IF(R36="Correctivo","Impacto",""))</f>
        <v>Probabilidad</v>
      </c>
      <c r="R36" s="188" t="s">
        <v>166</v>
      </c>
      <c r="S36" s="188" t="s">
        <v>172</v>
      </c>
      <c r="T36" s="189" t="str">
        <f t="shared" ref="T36:T38" si="8">IF(AND(R36="Preventivo",S36="Automático"),"50%",IF(AND(R36="Preventivo",S36="Manual"),"40%",IF(AND(R36="Detectivo",S36="Automático"),"40%",IF(AND(R36="Detectivo",S36="Manual"),"30%",IF(AND(R36="Correctivo",S36="Automático"),"35%",IF(AND(R36="Correctivo",S36="Manual"),"25%",""))))))</f>
        <v>30%</v>
      </c>
      <c r="U36" s="188" t="s">
        <v>175</v>
      </c>
      <c r="V36" s="188" t="s">
        <v>180</v>
      </c>
      <c r="W36" s="188" t="s">
        <v>184</v>
      </c>
      <c r="X36" s="190">
        <f>IFERROR(IF(AND(Q35="Probabilidad",Q36="Probabilidad"),(Z35-(+Z35*T36)),IF(Q36="Probabilidad",(I35-(+I35*T36)),IF(Q36="Impacto",Z35,""))),"")</f>
        <v>0.252</v>
      </c>
      <c r="Y36" s="191" t="str">
        <f t="shared" si="1"/>
        <v>Baja</v>
      </c>
      <c r="Z36" s="194">
        <f t="shared" ref="Z36:Z38" si="9">+X36</f>
        <v>0.252</v>
      </c>
      <c r="AA36" s="191" t="str">
        <f t="shared" si="3"/>
        <v>Leve</v>
      </c>
      <c r="AB36" s="194">
        <f>IFERROR(IF(AND(Q35="Impacto",Q36="Impacto"),(AB35-(+AB35*T36)),IF(Q36="Impacto",(M35-(+M35*T36)),IF(Q36="Probabilidad",AB35,""))),"")</f>
        <v>0.2</v>
      </c>
      <c r="AC36" s="192" t="str">
        <f t="shared" ref="AC36:AC37" si="10">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Bajo</v>
      </c>
      <c r="AD36" s="193" t="s">
        <v>189</v>
      </c>
      <c r="AE36" s="196"/>
      <c r="AF36" s="197"/>
      <c r="AG36" s="198"/>
      <c r="AH36" s="198"/>
      <c r="AI36" s="196"/>
      <c r="AJ36" s="197"/>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pans="1:68" s="3" customFormat="1" ht="187.5" customHeight="1" x14ac:dyDescent="0.25">
      <c r="A37" s="259"/>
      <c r="B37" s="323"/>
      <c r="C37" s="334" t="s">
        <v>299</v>
      </c>
      <c r="D37" s="329"/>
      <c r="E37" s="332"/>
      <c r="F37" s="323"/>
      <c r="G37" s="326"/>
      <c r="H37" s="284"/>
      <c r="I37" s="281"/>
      <c r="J37" s="320"/>
      <c r="K37" s="281">
        <f>IF(NOT(ISERROR(MATCH(J37,_xlfn.ANCHORARRAY(E48),0))),I50&amp;"Por favor no seleccionar los criterios de impacto",J37)</f>
        <v>0</v>
      </c>
      <c r="L37" s="284"/>
      <c r="M37" s="281"/>
      <c r="N37" s="287"/>
      <c r="O37" s="6">
        <v>3</v>
      </c>
      <c r="P37" s="185" t="s">
        <v>311</v>
      </c>
      <c r="Q37" s="187" t="str">
        <f>IF(OR(R37="Preventivo",R37="Detectivo"),"Probabilidad",IF(R37="Correctivo","Impacto",""))</f>
        <v>Probabilidad</v>
      </c>
      <c r="R37" s="188" t="s">
        <v>166</v>
      </c>
      <c r="S37" s="188" t="s">
        <v>172</v>
      </c>
      <c r="T37" s="189" t="str">
        <f t="shared" si="8"/>
        <v>30%</v>
      </c>
      <c r="U37" s="188" t="s">
        <v>175</v>
      </c>
      <c r="V37" s="188" t="s">
        <v>180</v>
      </c>
      <c r="W37" s="188" t="s">
        <v>184</v>
      </c>
      <c r="X37" s="190">
        <f>IFERROR(IF(AND(Q36="Probabilidad",Q37="Probabilidad"),(Z36-(+Z36*T37)),IF(AND(Q36="Impacto",Q37="Probabilidad"),(Z35-(+Z35*T37)),IF(Q37="Impacto",Z36,""))),"")</f>
        <v>0.1764</v>
      </c>
      <c r="Y37" s="191" t="str">
        <f t="shared" si="1"/>
        <v>Muy Baja</v>
      </c>
      <c r="Z37" s="194">
        <f t="shared" si="9"/>
        <v>0.1764</v>
      </c>
      <c r="AA37" s="191" t="str">
        <f t="shared" si="3"/>
        <v>Leve</v>
      </c>
      <c r="AB37" s="194">
        <f>IFERROR(IF(AND(Q36="Impacto",Q37="Impacto"),(AB36-(+AB36*T37)),IF(AND(Q36="Probabilidad",Q37="Impacto"),(AB35-(+AB35*T37)),IF(Q37="Probabilidad",AB36,""))),"")</f>
        <v>0.2</v>
      </c>
      <c r="AC37" s="192" t="str">
        <f t="shared" si="10"/>
        <v>Bajo</v>
      </c>
      <c r="AD37" s="193" t="s">
        <v>189</v>
      </c>
      <c r="AE37" s="196"/>
      <c r="AF37" s="197"/>
      <c r="AG37" s="198"/>
      <c r="AH37" s="198"/>
      <c r="AI37" s="196"/>
      <c r="AJ37" s="197"/>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1:68" s="3" customFormat="1" ht="21.75" customHeight="1" x14ac:dyDescent="0.25">
      <c r="A38" s="259"/>
      <c r="B38" s="323"/>
      <c r="C38" s="335"/>
      <c r="D38" s="329"/>
      <c r="E38" s="332"/>
      <c r="F38" s="323"/>
      <c r="G38" s="326"/>
      <c r="H38" s="284"/>
      <c r="I38" s="281"/>
      <c r="J38" s="320"/>
      <c r="K38" s="281">
        <f>IF(NOT(ISERROR(MATCH(J38,_xlfn.ANCHORARRAY(E49),0))),I51&amp;"Por favor no seleccionar los criterios de impacto",J38)</f>
        <v>0</v>
      </c>
      <c r="L38" s="284"/>
      <c r="M38" s="281"/>
      <c r="N38" s="287"/>
      <c r="O38" s="258">
        <v>4</v>
      </c>
      <c r="P38" s="261" t="s">
        <v>312</v>
      </c>
      <c r="Q38" s="255" t="str">
        <f t="shared" ref="Q38" si="11">IF(OR(R38="Preventivo",R38="Detectivo"),"Probabilidad",IF(R38="Correctivo","Impacto",""))</f>
        <v>Probabilidad</v>
      </c>
      <c r="R38" s="252" t="s">
        <v>164</v>
      </c>
      <c r="S38" s="252" t="s">
        <v>172</v>
      </c>
      <c r="T38" s="246" t="str">
        <f t="shared" si="8"/>
        <v>40%</v>
      </c>
      <c r="U38" s="252" t="s">
        <v>175</v>
      </c>
      <c r="V38" s="252" t="s">
        <v>180</v>
      </c>
      <c r="W38" s="252" t="s">
        <v>184</v>
      </c>
      <c r="X38" s="190">
        <f t="shared" ref="X38:X40" si="12">IFERROR(IF(AND(Q37="Probabilidad",Q38="Probabilidad"),(Z37-(+Z37*T38)),IF(AND(Q37="Impacto",Q38="Probabilidad"),(Z36-(+Z36*T38)),IF(Q38="Impacto",Z37,""))),"")</f>
        <v>0.10584</v>
      </c>
      <c r="Y38" s="243" t="str">
        <f t="shared" si="1"/>
        <v>Muy Baja</v>
      </c>
      <c r="Z38" s="246">
        <f t="shared" si="9"/>
        <v>0.10584</v>
      </c>
      <c r="AA38" s="243" t="str">
        <f t="shared" si="3"/>
        <v>Leve</v>
      </c>
      <c r="AB38" s="246">
        <f t="shared" ref="AB38" si="13">IFERROR(IF(AND(Q37="Impacto",Q38="Impacto"),(AB37-(+AB37*T38)),IF(AND(Q37="Probabilidad",Q38="Impacto"),(AB36-(+AB36*T38)),IF(Q38="Probabilidad",AB37,""))),"")</f>
        <v>0.2</v>
      </c>
      <c r="AC38" s="249"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Bajo</v>
      </c>
      <c r="AD38" s="252" t="s">
        <v>189</v>
      </c>
      <c r="AE38" s="322"/>
      <c r="AF38" s="322"/>
      <c r="AG38" s="322"/>
      <c r="AH38" s="322"/>
      <c r="AI38" s="322"/>
      <c r="AJ38" s="322"/>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1:68" s="3" customFormat="1" ht="37.5" customHeight="1" x14ac:dyDescent="0.25">
      <c r="A39" s="259"/>
      <c r="B39" s="323"/>
      <c r="C39" s="335"/>
      <c r="D39" s="329"/>
      <c r="E39" s="332"/>
      <c r="F39" s="323"/>
      <c r="G39" s="326"/>
      <c r="H39" s="284"/>
      <c r="I39" s="281"/>
      <c r="J39" s="320"/>
      <c r="K39" s="281">
        <f>IF(NOT(ISERROR(MATCH(J39,_xlfn.ANCHORARRAY(E50),0))),I52&amp;"Por favor no seleccionar los criterios de impacto",J39)</f>
        <v>0</v>
      </c>
      <c r="L39" s="284"/>
      <c r="M39" s="281"/>
      <c r="N39" s="287"/>
      <c r="O39" s="259"/>
      <c r="P39" s="262"/>
      <c r="Q39" s="256"/>
      <c r="R39" s="253"/>
      <c r="S39" s="253"/>
      <c r="T39" s="247"/>
      <c r="U39" s="253"/>
      <c r="V39" s="253"/>
      <c r="W39" s="253"/>
      <c r="X39" s="190" t="str">
        <f t="shared" si="12"/>
        <v/>
      </c>
      <c r="Y39" s="244"/>
      <c r="Z39" s="247"/>
      <c r="AA39" s="244"/>
      <c r="AB39" s="247"/>
      <c r="AC39" s="250"/>
      <c r="AD39" s="253"/>
      <c r="AE39" s="323"/>
      <c r="AF39" s="323"/>
      <c r="AG39" s="323"/>
      <c r="AH39" s="323"/>
      <c r="AI39" s="323"/>
      <c r="AJ39" s="323"/>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pans="1:68" s="3" customFormat="1" ht="90.75" customHeight="1" x14ac:dyDescent="0.25">
      <c r="A40" s="260"/>
      <c r="B40" s="324"/>
      <c r="C40" s="336"/>
      <c r="D40" s="330"/>
      <c r="E40" s="333"/>
      <c r="F40" s="324"/>
      <c r="G40" s="327"/>
      <c r="H40" s="285"/>
      <c r="I40" s="282"/>
      <c r="J40" s="321"/>
      <c r="K40" s="282">
        <f>IF(NOT(ISERROR(MATCH(J40,_xlfn.ANCHORARRAY(E51),0))),I53&amp;"Por favor no seleccionar los criterios de impacto",J40)</f>
        <v>0</v>
      </c>
      <c r="L40" s="285"/>
      <c r="M40" s="282"/>
      <c r="N40" s="288"/>
      <c r="O40" s="260"/>
      <c r="P40" s="263"/>
      <c r="Q40" s="257"/>
      <c r="R40" s="254"/>
      <c r="S40" s="254"/>
      <c r="T40" s="248"/>
      <c r="U40" s="254"/>
      <c r="V40" s="254"/>
      <c r="W40" s="254"/>
      <c r="X40" s="190" t="str">
        <f t="shared" si="12"/>
        <v/>
      </c>
      <c r="Y40" s="245"/>
      <c r="Z40" s="248"/>
      <c r="AA40" s="245"/>
      <c r="AB40" s="248"/>
      <c r="AC40" s="251"/>
      <c r="AD40" s="254"/>
      <c r="AE40" s="324"/>
      <c r="AF40" s="324"/>
      <c r="AG40" s="324"/>
      <c r="AH40" s="324"/>
      <c r="AI40" s="324"/>
      <c r="AJ40" s="324"/>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1:68" s="3" customFormat="1" ht="37.5" customHeight="1" x14ac:dyDescent="0.25">
      <c r="A41" s="258">
        <v>3</v>
      </c>
      <c r="B41" s="322" t="s">
        <v>192</v>
      </c>
      <c r="C41" s="334" t="s">
        <v>314</v>
      </c>
      <c r="D41" s="328" t="s">
        <v>300</v>
      </c>
      <c r="E41" s="331" t="s">
        <v>313</v>
      </c>
      <c r="F41" s="322" t="s">
        <v>200</v>
      </c>
      <c r="G41" s="325">
        <v>84</v>
      </c>
      <c r="H41" s="283" t="str">
        <f>IF(G41&lt;=0,"",IF(G41&lt;=2,"Muy Baja",IF(G41&lt;=24,"Baja",IF(G41&lt;=500,"Media",IF(G41&lt;=5000,"Alta","Muy Alta")))))</f>
        <v>Media</v>
      </c>
      <c r="I41" s="280">
        <f>IF(H41="","",IF(H41="Muy Baja",0.2,IF(H41="Baja",0.4,IF(H41="Media",0.6,IF(H41="Alta",0.8,IF(H41="Muy Alta",1,))))))</f>
        <v>0.6</v>
      </c>
      <c r="J41" s="319" t="s">
        <v>148</v>
      </c>
      <c r="K41" s="280" t="str">
        <f>IF(NOT(ISERROR(MATCH(J41,'Tabla Impacto'!$B$221:$B$223,0))),'Tabla Impacto'!$F$223&amp;"Por favor no seleccionar los criterios de impacto(Afectación Económica o presupuestal y Pérdida Reputacional)",J41)</f>
        <v xml:space="preserve">     El riesgo afecta la imagen de la entidad con algunos usuarios de relevancia frente al logro de los objetivos</v>
      </c>
      <c r="L41" s="283" t="str">
        <f>IF(OR(K41='Tabla Impacto'!$C$11,K41='Tabla Impacto'!$D$11),"Leve",IF(OR(K41='Tabla Impacto'!$C$12,K41='Tabla Impacto'!$D$12),"Menor",IF(OR(K41='Tabla Impacto'!$C$13,K41='Tabla Impacto'!$D$13),"Moderado",IF(OR(K41='Tabla Impacto'!$C$14,K41='Tabla Impacto'!$D$14),"Mayor",IF(OR(K41='Tabla Impacto'!$C$15,K41='Tabla Impacto'!$D$15),"Catastrófico","")))))</f>
        <v>Moderado</v>
      </c>
      <c r="M41" s="280">
        <f>IF(L41="","",IF(L41="Leve",0.2,IF(L41="Menor",0.4,IF(L41="Moderado",0.6,IF(L41="Mayor",0.8,IF(L41="Catastrófico",1,))))))</f>
        <v>0.6</v>
      </c>
      <c r="N41" s="286"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258">
        <v>1</v>
      </c>
      <c r="P41" s="261" t="s">
        <v>301</v>
      </c>
      <c r="Q41" s="255" t="str">
        <f>IF(OR(R41="Preventivo",R41="Detectivo"),"Probabilidad",IF(R41="Correctivo","Impacto",""))</f>
        <v>Probabilidad</v>
      </c>
      <c r="R41" s="252" t="s">
        <v>164</v>
      </c>
      <c r="S41" s="252" t="s">
        <v>170</v>
      </c>
      <c r="T41" s="246" t="str">
        <f>IF(AND(R41="Preventivo",S41="Automático"),"50%",IF(AND(R41="Preventivo",S41="Manual"),"40%",IF(AND(R41="Detectivo",S41="Automático"),"40%",IF(AND(R41="Detectivo",S41="Manual"),"30%",IF(AND(R41="Correctivo",S41="Automático"),"35%",IF(AND(R41="Correctivo",S41="Manual"),"25%",""))))))</f>
        <v>50%</v>
      </c>
      <c r="U41" s="252" t="s">
        <v>175</v>
      </c>
      <c r="V41" s="252" t="s">
        <v>180</v>
      </c>
      <c r="W41" s="252" t="s">
        <v>184</v>
      </c>
      <c r="X41" s="190">
        <f>IFERROR(IF(Q41="Probabilidad",(I41-(+I41*T41)),IF(Q41="Impacto",I41,"")),"")</f>
        <v>0.3</v>
      </c>
      <c r="Y41" s="243" t="str">
        <f>IFERROR(IF(X41="","",IF(X41&lt;=0.2,"Muy Baja",IF(X41&lt;=0.4,"Baja",IF(X41&lt;=0.6,"Media",IF(X41&lt;=0.8,"Alta","Muy Alta"))))),"")</f>
        <v>Baja</v>
      </c>
      <c r="Z41" s="246">
        <f>+X41</f>
        <v>0.3</v>
      </c>
      <c r="AA41" s="243" t="str">
        <f>IFERROR(IF(AB41="","",IF(AB41&lt;=0.2,"Leve",IF(AB41&lt;=0.4,"Menor",IF(AB41&lt;=0.6,"Moderado",IF(AB41&lt;=0.8,"Mayor","Catastrófico"))))),"")</f>
        <v>Moderado</v>
      </c>
      <c r="AB41" s="246">
        <f>IFERROR(IF(Q41="Impacto",(M41-(+M41*T41)),IF(Q41="Probabilidad",M41,"")),"")</f>
        <v>0.6</v>
      </c>
      <c r="AC41" s="249"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252" t="s">
        <v>189</v>
      </c>
      <c r="AE41" s="322"/>
      <c r="AF41" s="322"/>
      <c r="AG41" s="322"/>
      <c r="AH41" s="322"/>
      <c r="AI41" s="322"/>
      <c r="AJ41" s="322"/>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1:68" s="3" customFormat="1" ht="37.5" customHeight="1" x14ac:dyDescent="0.25">
      <c r="A42" s="259"/>
      <c r="B42" s="323"/>
      <c r="C42" s="335"/>
      <c r="D42" s="329"/>
      <c r="E42" s="332"/>
      <c r="F42" s="323"/>
      <c r="G42" s="326"/>
      <c r="H42" s="284"/>
      <c r="I42" s="281"/>
      <c r="J42" s="320"/>
      <c r="K42" s="281">
        <f t="shared" ref="K42:K46" si="14">IF(NOT(ISERROR(MATCH(J42,_xlfn.ANCHORARRAY(E53),0))),I55&amp;"Por favor no seleccionar los criterios de impacto",J42)</f>
        <v>0</v>
      </c>
      <c r="L42" s="284"/>
      <c r="M42" s="281"/>
      <c r="N42" s="287"/>
      <c r="O42" s="259"/>
      <c r="P42" s="262"/>
      <c r="Q42" s="256"/>
      <c r="R42" s="253"/>
      <c r="S42" s="253"/>
      <c r="T42" s="247"/>
      <c r="U42" s="253"/>
      <c r="V42" s="253"/>
      <c r="W42" s="253"/>
      <c r="X42" s="199" t="str">
        <f>IFERROR(IF(AND(Q41="Probabilidad",Q42="Probabilidad"),(Z41-(+Z41*T42)),IF(Q42="Probabilidad",(I41-(+I41*T42)),IF(Q42="Impacto",Z41,""))),"")</f>
        <v/>
      </c>
      <c r="Y42" s="244"/>
      <c r="Z42" s="247"/>
      <c r="AA42" s="244"/>
      <c r="AB42" s="247"/>
      <c r="AC42" s="250"/>
      <c r="AD42" s="253"/>
      <c r="AE42" s="323"/>
      <c r="AF42" s="323"/>
      <c r="AG42" s="323"/>
      <c r="AH42" s="323"/>
      <c r="AI42" s="323"/>
      <c r="AJ42" s="323"/>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pans="1:68" s="3" customFormat="1" ht="100.5" customHeight="1" x14ac:dyDescent="0.25">
      <c r="A43" s="259"/>
      <c r="B43" s="323"/>
      <c r="C43" s="335"/>
      <c r="D43" s="329"/>
      <c r="E43" s="332"/>
      <c r="F43" s="323"/>
      <c r="G43" s="326"/>
      <c r="H43" s="284"/>
      <c r="I43" s="281"/>
      <c r="J43" s="320"/>
      <c r="K43" s="281">
        <f t="shared" si="14"/>
        <v>0</v>
      </c>
      <c r="L43" s="284"/>
      <c r="M43" s="281"/>
      <c r="N43" s="287"/>
      <c r="O43" s="259"/>
      <c r="P43" s="262"/>
      <c r="Q43" s="256"/>
      <c r="R43" s="253"/>
      <c r="S43" s="253"/>
      <c r="T43" s="247"/>
      <c r="U43" s="253"/>
      <c r="V43" s="253"/>
      <c r="W43" s="253"/>
      <c r="X43" s="190" t="str">
        <f>IFERROR(IF(AND(Q42="Probabilidad",Q43="Probabilidad"),(Z42-(+Z42*T43)),IF(AND(Q42="Impacto",Q43="Probabilidad"),(Z41-(+Z41*T43)),IF(Q43="Impacto",Z42,""))),"")</f>
        <v/>
      </c>
      <c r="Y43" s="244"/>
      <c r="Z43" s="247"/>
      <c r="AA43" s="244"/>
      <c r="AB43" s="247"/>
      <c r="AC43" s="250"/>
      <c r="AD43" s="253"/>
      <c r="AE43" s="323"/>
      <c r="AF43" s="323"/>
      <c r="AG43" s="323"/>
      <c r="AH43" s="323"/>
      <c r="AI43" s="323"/>
      <c r="AJ43" s="323"/>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1:68" s="3" customFormat="1" ht="37.5" customHeight="1" x14ac:dyDescent="0.25">
      <c r="A44" s="259"/>
      <c r="B44" s="323"/>
      <c r="C44" s="335"/>
      <c r="D44" s="329"/>
      <c r="E44" s="332"/>
      <c r="F44" s="323"/>
      <c r="G44" s="326"/>
      <c r="H44" s="284"/>
      <c r="I44" s="281"/>
      <c r="J44" s="320"/>
      <c r="K44" s="281">
        <f t="shared" si="14"/>
        <v>0</v>
      </c>
      <c r="L44" s="284"/>
      <c r="M44" s="281"/>
      <c r="N44" s="287"/>
      <c r="O44" s="259"/>
      <c r="P44" s="262"/>
      <c r="Q44" s="256"/>
      <c r="R44" s="253"/>
      <c r="S44" s="253"/>
      <c r="T44" s="247"/>
      <c r="U44" s="253"/>
      <c r="V44" s="253"/>
      <c r="W44" s="253"/>
      <c r="X44" s="190" t="str">
        <f t="shared" ref="X44:X46" si="15">IFERROR(IF(AND(Q43="Probabilidad",Q44="Probabilidad"),(Z43-(+Z43*T44)),IF(AND(Q43="Impacto",Q44="Probabilidad"),(Z42-(+Z42*T44)),IF(Q44="Impacto",Z43,""))),"")</f>
        <v/>
      </c>
      <c r="Y44" s="244"/>
      <c r="Z44" s="247"/>
      <c r="AA44" s="244"/>
      <c r="AB44" s="247"/>
      <c r="AC44" s="250"/>
      <c r="AD44" s="253"/>
      <c r="AE44" s="323"/>
      <c r="AF44" s="323"/>
      <c r="AG44" s="323"/>
      <c r="AH44" s="323"/>
      <c r="AI44" s="323"/>
      <c r="AJ44" s="323"/>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pans="1:68" s="3" customFormat="1" ht="37.5" customHeight="1" x14ac:dyDescent="0.25">
      <c r="A45" s="259"/>
      <c r="B45" s="323"/>
      <c r="C45" s="335"/>
      <c r="D45" s="329"/>
      <c r="E45" s="332"/>
      <c r="F45" s="323"/>
      <c r="G45" s="326"/>
      <c r="H45" s="284"/>
      <c r="I45" s="281"/>
      <c r="J45" s="320"/>
      <c r="K45" s="281">
        <f t="shared" si="14"/>
        <v>0</v>
      </c>
      <c r="L45" s="284"/>
      <c r="M45" s="281"/>
      <c r="N45" s="287"/>
      <c r="O45" s="259"/>
      <c r="P45" s="262"/>
      <c r="Q45" s="256"/>
      <c r="R45" s="253"/>
      <c r="S45" s="253"/>
      <c r="T45" s="247"/>
      <c r="U45" s="253"/>
      <c r="V45" s="253"/>
      <c r="W45" s="253"/>
      <c r="X45" s="190" t="str">
        <f t="shared" si="15"/>
        <v/>
      </c>
      <c r="Y45" s="244"/>
      <c r="Z45" s="247"/>
      <c r="AA45" s="244"/>
      <c r="AB45" s="247"/>
      <c r="AC45" s="250"/>
      <c r="AD45" s="253"/>
      <c r="AE45" s="323"/>
      <c r="AF45" s="323"/>
      <c r="AG45" s="323"/>
      <c r="AH45" s="323"/>
      <c r="AI45" s="323"/>
      <c r="AJ45" s="323"/>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row>
    <row r="46" spans="1:68" s="3" customFormat="1" ht="29.25" customHeight="1" x14ac:dyDescent="0.25">
      <c r="A46" s="260"/>
      <c r="B46" s="324"/>
      <c r="C46" s="336"/>
      <c r="D46" s="330"/>
      <c r="E46" s="333"/>
      <c r="F46" s="324"/>
      <c r="G46" s="327"/>
      <c r="H46" s="285"/>
      <c r="I46" s="282"/>
      <c r="J46" s="321"/>
      <c r="K46" s="282">
        <f t="shared" si="14"/>
        <v>0</v>
      </c>
      <c r="L46" s="285"/>
      <c r="M46" s="282"/>
      <c r="N46" s="288"/>
      <c r="O46" s="260"/>
      <c r="P46" s="263"/>
      <c r="Q46" s="257"/>
      <c r="R46" s="254"/>
      <c r="S46" s="254"/>
      <c r="T46" s="248"/>
      <c r="U46" s="254"/>
      <c r="V46" s="254"/>
      <c r="W46" s="254"/>
      <c r="X46" s="190" t="str">
        <f t="shared" si="15"/>
        <v/>
      </c>
      <c r="Y46" s="245"/>
      <c r="Z46" s="248"/>
      <c r="AA46" s="245"/>
      <c r="AB46" s="248"/>
      <c r="AC46" s="251"/>
      <c r="AD46" s="254"/>
      <c r="AE46" s="324"/>
      <c r="AF46" s="324"/>
      <c r="AG46" s="324"/>
      <c r="AH46" s="324"/>
      <c r="AI46" s="324"/>
      <c r="AJ46" s="324"/>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1:68" s="3" customFormat="1" ht="37.5" customHeight="1" x14ac:dyDescent="0.25">
      <c r="A47" s="258">
        <v>4</v>
      </c>
      <c r="B47" s="322" t="s">
        <v>192</v>
      </c>
      <c r="C47" s="328" t="s">
        <v>303</v>
      </c>
      <c r="D47" s="328" t="s">
        <v>303</v>
      </c>
      <c r="E47" s="328" t="s">
        <v>302</v>
      </c>
      <c r="F47" s="322" t="s">
        <v>200</v>
      </c>
      <c r="G47" s="325">
        <v>2</v>
      </c>
      <c r="H47" s="283" t="str">
        <f>IF(G47&lt;=0,"",IF(G47&lt;=2,"Muy Baja",IF(G47&lt;=24,"Baja",IF(G47&lt;=500,"Media",IF(G47&lt;=5000,"Alta","Muy Alta")))))</f>
        <v>Muy Baja</v>
      </c>
      <c r="I47" s="280">
        <f>IF(H47="","",IF(H47="Muy Baja",0.2,IF(H47="Baja",0.4,IF(H47="Media",0.6,IF(H47="Alta",0.8,IF(H47="Muy Alta",1,))))))</f>
        <v>0.2</v>
      </c>
      <c r="J47" s="319" t="s">
        <v>148</v>
      </c>
      <c r="K47" s="280" t="str">
        <f>IF(NOT(ISERROR(MATCH(J47,'Tabla Impacto'!$B$221:$B$223,0))),'Tabla Impacto'!$F$223&amp;"Por favor no seleccionar los criterios de impacto(Afectación Económica o presupuestal y Pérdida Reputacional)",J47)</f>
        <v xml:space="preserve">     El riesgo afecta la imagen de la entidad con algunos usuarios de relevancia frente al logro de los objetivos</v>
      </c>
      <c r="L47" s="283" t="str">
        <f>IF(OR(K47='Tabla Impacto'!$C$11,K47='Tabla Impacto'!$D$11),"Leve",IF(OR(K47='Tabla Impacto'!$C$12,K47='Tabla Impacto'!$D$12),"Menor",IF(OR(K47='Tabla Impacto'!$C$13,K47='Tabla Impacto'!$D$13),"Moderado",IF(OR(K47='Tabla Impacto'!$C$14,K47='Tabla Impacto'!$D$14),"Mayor",IF(OR(K47='Tabla Impacto'!$C$15,K47='Tabla Impacto'!$D$15),"Catastrófico","")))))</f>
        <v>Moderado</v>
      </c>
      <c r="M47" s="280">
        <f>IF(L47="","",IF(L47="Leve",0.2,IF(L47="Menor",0.4,IF(L47="Moderado",0.6,IF(L47="Mayor",0.8,IF(L47="Catastrófico",1,))))))</f>
        <v>0.6</v>
      </c>
      <c r="N47" s="286"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Moderado</v>
      </c>
      <c r="O47" s="258">
        <v>1</v>
      </c>
      <c r="P47" s="261" t="s">
        <v>315</v>
      </c>
      <c r="Q47" s="255" t="str">
        <f>IF(OR(R47="Preventivo",R47="Detectivo"),"Probabilidad",IF(R47="Correctivo","Impacto",""))</f>
        <v>Probabilidad</v>
      </c>
      <c r="R47" s="252" t="s">
        <v>166</v>
      </c>
      <c r="S47" s="252" t="s">
        <v>172</v>
      </c>
      <c r="T47" s="246" t="str">
        <f>IF(AND(R47="Preventivo",S47="Automático"),"50%",IF(AND(R47="Preventivo",S47="Manual"),"40%",IF(AND(R47="Detectivo",S47="Automático"),"40%",IF(AND(R47="Detectivo",S47="Manual"),"30%",IF(AND(R47="Correctivo",S47="Automático"),"35%",IF(AND(R47="Correctivo",S47="Manual"),"25%",""))))))</f>
        <v>30%</v>
      </c>
      <c r="U47" s="252" t="s">
        <v>175</v>
      </c>
      <c r="V47" s="252" t="s">
        <v>180</v>
      </c>
      <c r="W47" s="252" t="s">
        <v>184</v>
      </c>
      <c r="X47" s="190">
        <f>IFERROR(IF(Q47="Probabilidad",(I47-(+I47*T47)),IF(Q47="Impacto",I47,"")),"")</f>
        <v>0.14000000000000001</v>
      </c>
      <c r="Y47" s="243" t="str">
        <f>IFERROR(IF(X47="","",IF(X47&lt;=0.2,"Muy Baja",IF(X47&lt;=0.4,"Baja",IF(X47&lt;=0.6,"Media",IF(X47&lt;=0.8,"Alta","Muy Alta"))))),"")</f>
        <v>Muy Baja</v>
      </c>
      <c r="Z47" s="246">
        <f>+X47</f>
        <v>0.14000000000000001</v>
      </c>
      <c r="AA47" s="243" t="str">
        <f>IFERROR(IF(AB47="","",IF(AB47&lt;=0.2,"Leve",IF(AB47&lt;=0.4,"Menor",IF(AB47&lt;=0.6,"Moderado",IF(AB47&lt;=0.8,"Mayor","Catastrófico"))))),"")</f>
        <v>Moderado</v>
      </c>
      <c r="AB47" s="246">
        <f>IFERROR(IF(Q47="Impacto",(M47-(+M47*T47)),IF(Q47="Probabilidad",M47,"")),"")</f>
        <v>0.6</v>
      </c>
      <c r="AC47" s="24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Moderado</v>
      </c>
      <c r="AD47" s="252" t="s">
        <v>189</v>
      </c>
      <c r="AE47" s="322"/>
      <c r="AF47" s="322"/>
      <c r="AG47" s="322"/>
      <c r="AH47" s="322"/>
      <c r="AI47" s="322"/>
      <c r="AJ47" s="322"/>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pans="1:68" s="3" customFormat="1" ht="37.5" customHeight="1" x14ac:dyDescent="0.25">
      <c r="A48" s="259"/>
      <c r="B48" s="323"/>
      <c r="C48" s="329"/>
      <c r="D48" s="329"/>
      <c r="E48" s="329"/>
      <c r="F48" s="323"/>
      <c r="G48" s="326"/>
      <c r="H48" s="284"/>
      <c r="I48" s="281"/>
      <c r="J48" s="320"/>
      <c r="K48" s="281">
        <f t="shared" ref="K48:K52" si="16">IF(NOT(ISERROR(MATCH(J48,_xlfn.ANCHORARRAY(E59),0))),I61&amp;"Por favor no seleccionar los criterios de impacto",J48)</f>
        <v>0</v>
      </c>
      <c r="L48" s="284"/>
      <c r="M48" s="281"/>
      <c r="N48" s="287"/>
      <c r="O48" s="259"/>
      <c r="P48" s="262"/>
      <c r="Q48" s="256"/>
      <c r="R48" s="253"/>
      <c r="S48" s="253"/>
      <c r="T48" s="247"/>
      <c r="U48" s="253"/>
      <c r="V48" s="253"/>
      <c r="W48" s="253"/>
      <c r="X48" s="190" t="str">
        <f>IFERROR(IF(AND(Q47="Probabilidad",Q48="Probabilidad"),(Z47-(+Z47*T48)),IF(Q48="Probabilidad",(I47-(+I47*T48)),IF(Q48="Impacto",Z47,""))),"")</f>
        <v/>
      </c>
      <c r="Y48" s="244"/>
      <c r="Z48" s="247"/>
      <c r="AA48" s="244"/>
      <c r="AB48" s="247"/>
      <c r="AC48" s="250"/>
      <c r="AD48" s="253"/>
      <c r="AE48" s="323"/>
      <c r="AF48" s="323"/>
      <c r="AG48" s="323"/>
      <c r="AH48" s="323"/>
      <c r="AI48" s="323"/>
      <c r="AJ48" s="323"/>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row>
    <row r="49" spans="1:68" s="3" customFormat="1" ht="37.5" customHeight="1" x14ac:dyDescent="0.25">
      <c r="A49" s="259"/>
      <c r="B49" s="323"/>
      <c r="C49" s="329"/>
      <c r="D49" s="329"/>
      <c r="E49" s="329"/>
      <c r="F49" s="323"/>
      <c r="G49" s="326"/>
      <c r="H49" s="284"/>
      <c r="I49" s="281"/>
      <c r="J49" s="320"/>
      <c r="K49" s="281">
        <f t="shared" si="16"/>
        <v>0</v>
      </c>
      <c r="L49" s="284"/>
      <c r="M49" s="281"/>
      <c r="N49" s="287"/>
      <c r="O49" s="259"/>
      <c r="P49" s="262"/>
      <c r="Q49" s="256"/>
      <c r="R49" s="253"/>
      <c r="S49" s="253"/>
      <c r="T49" s="247"/>
      <c r="U49" s="253"/>
      <c r="V49" s="253"/>
      <c r="W49" s="253"/>
      <c r="X49" s="190" t="str">
        <f>IFERROR(IF(AND(Q48="Probabilidad",Q49="Probabilidad"),(Z48-(+Z48*T49)),IF(AND(Q48="Impacto",Q49="Probabilidad"),(Z47-(+Z47*T49)),IF(Q49="Impacto",Z48,""))),"")</f>
        <v/>
      </c>
      <c r="Y49" s="244"/>
      <c r="Z49" s="247"/>
      <c r="AA49" s="244"/>
      <c r="AB49" s="247"/>
      <c r="AC49" s="250"/>
      <c r="AD49" s="253"/>
      <c r="AE49" s="323"/>
      <c r="AF49" s="323"/>
      <c r="AG49" s="323"/>
      <c r="AH49" s="323"/>
      <c r="AI49" s="323"/>
      <c r="AJ49" s="323"/>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row>
    <row r="50" spans="1:68" s="3" customFormat="1" ht="37.5" customHeight="1" x14ac:dyDescent="0.25">
      <c r="A50" s="259"/>
      <c r="B50" s="323"/>
      <c r="C50" s="329"/>
      <c r="D50" s="329"/>
      <c r="E50" s="329"/>
      <c r="F50" s="323"/>
      <c r="G50" s="326"/>
      <c r="H50" s="284"/>
      <c r="I50" s="281"/>
      <c r="J50" s="320"/>
      <c r="K50" s="281">
        <f t="shared" si="16"/>
        <v>0</v>
      </c>
      <c r="L50" s="284"/>
      <c r="M50" s="281"/>
      <c r="N50" s="287"/>
      <c r="O50" s="259"/>
      <c r="P50" s="262"/>
      <c r="Q50" s="256"/>
      <c r="R50" s="253"/>
      <c r="S50" s="253"/>
      <c r="T50" s="247"/>
      <c r="U50" s="253"/>
      <c r="V50" s="253"/>
      <c r="W50" s="253"/>
      <c r="X50" s="190" t="str">
        <f t="shared" ref="X50:X52" si="17">IFERROR(IF(AND(Q49="Probabilidad",Q50="Probabilidad"),(Z49-(+Z49*T50)),IF(AND(Q49="Impacto",Q50="Probabilidad"),(Z48-(+Z48*T50)),IF(Q50="Impacto",Z49,""))),"")</f>
        <v/>
      </c>
      <c r="Y50" s="244"/>
      <c r="Z50" s="247"/>
      <c r="AA50" s="244"/>
      <c r="AB50" s="247"/>
      <c r="AC50" s="250"/>
      <c r="AD50" s="253"/>
      <c r="AE50" s="323"/>
      <c r="AF50" s="323"/>
      <c r="AG50" s="323"/>
      <c r="AH50" s="323"/>
      <c r="AI50" s="323"/>
      <c r="AJ50" s="323"/>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row>
    <row r="51" spans="1:68" s="3" customFormat="1" ht="37.5" customHeight="1" x14ac:dyDescent="0.25">
      <c r="A51" s="259"/>
      <c r="B51" s="323"/>
      <c r="C51" s="329"/>
      <c r="D51" s="329"/>
      <c r="E51" s="329"/>
      <c r="F51" s="323"/>
      <c r="G51" s="326"/>
      <c r="H51" s="284"/>
      <c r="I51" s="281"/>
      <c r="J51" s="320"/>
      <c r="K51" s="281">
        <f t="shared" si="16"/>
        <v>0</v>
      </c>
      <c r="L51" s="284"/>
      <c r="M51" s="281"/>
      <c r="N51" s="287"/>
      <c r="O51" s="259"/>
      <c r="P51" s="262"/>
      <c r="Q51" s="256"/>
      <c r="R51" s="253"/>
      <c r="S51" s="253"/>
      <c r="T51" s="247"/>
      <c r="U51" s="253"/>
      <c r="V51" s="253"/>
      <c r="W51" s="253"/>
      <c r="X51" s="199" t="str">
        <f t="shared" si="17"/>
        <v/>
      </c>
      <c r="Y51" s="244"/>
      <c r="Z51" s="247"/>
      <c r="AA51" s="244"/>
      <c r="AB51" s="247"/>
      <c r="AC51" s="250"/>
      <c r="AD51" s="253"/>
      <c r="AE51" s="323"/>
      <c r="AF51" s="323"/>
      <c r="AG51" s="323"/>
      <c r="AH51" s="323"/>
      <c r="AI51" s="323"/>
      <c r="AJ51" s="323"/>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row>
    <row r="52" spans="1:68" s="3" customFormat="1" ht="37.5" customHeight="1" x14ac:dyDescent="0.25">
      <c r="A52" s="260"/>
      <c r="B52" s="324"/>
      <c r="C52" s="330"/>
      <c r="D52" s="330"/>
      <c r="E52" s="330"/>
      <c r="F52" s="324"/>
      <c r="G52" s="327"/>
      <c r="H52" s="285"/>
      <c r="I52" s="282"/>
      <c r="J52" s="321"/>
      <c r="K52" s="282">
        <f t="shared" si="16"/>
        <v>0</v>
      </c>
      <c r="L52" s="285"/>
      <c r="M52" s="282"/>
      <c r="N52" s="288"/>
      <c r="O52" s="260"/>
      <c r="P52" s="263"/>
      <c r="Q52" s="257"/>
      <c r="R52" s="254"/>
      <c r="S52" s="254"/>
      <c r="T52" s="248"/>
      <c r="U52" s="254"/>
      <c r="V52" s="254"/>
      <c r="W52" s="254"/>
      <c r="X52" s="190" t="str">
        <f t="shared" si="17"/>
        <v/>
      </c>
      <c r="Y52" s="245"/>
      <c r="Z52" s="248"/>
      <c r="AA52" s="245"/>
      <c r="AB52" s="248"/>
      <c r="AC52" s="251"/>
      <c r="AD52" s="254"/>
      <c r="AE52" s="324"/>
      <c r="AF52" s="324"/>
      <c r="AG52" s="324"/>
      <c r="AH52" s="324"/>
      <c r="AI52" s="324"/>
      <c r="AJ52" s="324"/>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row>
    <row r="53" spans="1:68" s="3" customFormat="1" ht="37.5" customHeight="1" x14ac:dyDescent="0.25">
      <c r="A53" s="258">
        <v>5</v>
      </c>
      <c r="B53" s="322" t="s">
        <v>192</v>
      </c>
      <c r="C53" s="328" t="s">
        <v>305</v>
      </c>
      <c r="D53" s="328" t="s">
        <v>316</v>
      </c>
      <c r="E53" s="331" t="s">
        <v>304</v>
      </c>
      <c r="F53" s="322" t="s">
        <v>200</v>
      </c>
      <c r="G53" s="325">
        <v>72</v>
      </c>
      <c r="H53" s="283" t="str">
        <f>IF(G53&lt;=0,"",IF(G53&lt;=2,"Muy Baja",IF(G53&lt;=24,"Baja",IF(G53&lt;=500,"Media",IF(G53&lt;=5000,"Alta","Muy Alta")))))</f>
        <v>Media</v>
      </c>
      <c r="I53" s="280">
        <f>IF(H53="","",IF(H53="Muy Baja",0.2,IF(H53="Baja",0.4,IF(H53="Media",0.6,IF(H53="Alta",0.8,IF(H53="Muy Alta",1,))))))</f>
        <v>0.6</v>
      </c>
      <c r="J53" s="319" t="s">
        <v>146</v>
      </c>
      <c r="K53" s="280" t="str">
        <f>IF(NOT(ISERROR(MATCH(J53,'Tabla Impacto'!$B$221:$B$223,0))),'Tabla Impacto'!$F$223&amp;"Por favor no seleccionar los criterios de impacto(Afectación Económica o presupuestal y Pérdida Reputacional)",J53)</f>
        <v xml:space="preserve">     El riesgo afecta la imagen de la entidad internamente, de conocimiento general, nivel interno, de junta dircetiva y accionistas y/o de provedores</v>
      </c>
      <c r="L53" s="283" t="str">
        <f>IF(OR(K53='Tabla Impacto'!$C$11,K53='Tabla Impacto'!$D$11),"Leve",IF(OR(K53='Tabla Impacto'!$C$12,K53='Tabla Impacto'!$D$12),"Menor",IF(OR(K53='Tabla Impacto'!$C$13,K53='Tabla Impacto'!$D$13),"Moderado",IF(OR(K53='Tabla Impacto'!$C$14,K53='Tabla Impacto'!$D$14),"Mayor",IF(OR(K53='Tabla Impacto'!$C$15,K53='Tabla Impacto'!$D$15),"Catastrófico","")))))</f>
        <v>Menor</v>
      </c>
      <c r="M53" s="280">
        <f>IF(L53="","",IF(L53="Leve",0.2,IF(L53="Menor",0.4,IF(L53="Moderado",0.6,IF(L53="Mayor",0.8,IF(L53="Catastrófico",1,))))))</f>
        <v>0.4</v>
      </c>
      <c r="N53" s="286"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Moderado</v>
      </c>
      <c r="O53" s="258">
        <v>1</v>
      </c>
      <c r="P53" s="261" t="s">
        <v>306</v>
      </c>
      <c r="Q53" s="255" t="str">
        <f>IF(OR(R53="Preventivo",R53="Detectivo"),"Probabilidad",IF(R53="Correctivo","Impacto",""))</f>
        <v>Probabilidad</v>
      </c>
      <c r="R53" s="252" t="s">
        <v>166</v>
      </c>
      <c r="S53" s="252" t="s">
        <v>172</v>
      </c>
      <c r="T53" s="246" t="str">
        <f>IF(AND(R53="Preventivo",S53="Automático"),"50%",IF(AND(R53="Preventivo",S53="Manual"),"40%",IF(AND(R53="Detectivo",S53="Automático"),"40%",IF(AND(R53="Detectivo",S53="Manual"),"30%",IF(AND(R53="Correctivo",S53="Automático"),"35%",IF(AND(R53="Correctivo",S53="Manual"),"25%",""))))))</f>
        <v>30%</v>
      </c>
      <c r="U53" s="252" t="s">
        <v>175</v>
      </c>
      <c r="V53" s="252" t="s">
        <v>180</v>
      </c>
      <c r="W53" s="252" t="s">
        <v>184</v>
      </c>
      <c r="X53" s="190">
        <f>IFERROR(IF(Q53="Probabilidad",(I53-(+I53*T53)),IF(Q53="Impacto",I53,"")),"")</f>
        <v>0.42</v>
      </c>
      <c r="Y53" s="243" t="str">
        <f>IFERROR(IF(X53="","",IF(X53&lt;=0.2,"Muy Baja",IF(X53&lt;=0.4,"Baja",IF(X53&lt;=0.6,"Media",IF(X53&lt;=0.8,"Alta","Muy Alta"))))),"")</f>
        <v>Media</v>
      </c>
      <c r="Z53" s="246">
        <f>+X53</f>
        <v>0.42</v>
      </c>
      <c r="AA53" s="243" t="str">
        <f>IFERROR(IF(AB53="","",IF(AB53&lt;=0.2,"Leve",IF(AB53&lt;=0.4,"Menor",IF(AB53&lt;=0.6,"Moderado",IF(AB53&lt;=0.8,"Mayor","Catastrófico"))))),"")</f>
        <v>Menor</v>
      </c>
      <c r="AB53" s="246">
        <f>IFERROR(IF(Q53="Impacto",(M53-(+M53*T53)),IF(Q53="Probabilidad",M53,"")),"")</f>
        <v>0.4</v>
      </c>
      <c r="AC53" s="249"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Moderado</v>
      </c>
      <c r="AD53" s="252" t="s">
        <v>189</v>
      </c>
      <c r="AE53" s="322"/>
      <c r="AF53" s="322"/>
      <c r="AG53" s="322"/>
      <c r="AH53" s="322"/>
      <c r="AI53" s="322"/>
      <c r="AJ53" s="322"/>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row>
    <row r="54" spans="1:68" s="3" customFormat="1" ht="37.5" customHeight="1" x14ac:dyDescent="0.25">
      <c r="A54" s="259"/>
      <c r="B54" s="323"/>
      <c r="C54" s="329"/>
      <c r="D54" s="329"/>
      <c r="E54" s="332"/>
      <c r="F54" s="323"/>
      <c r="G54" s="326"/>
      <c r="H54" s="284"/>
      <c r="I54" s="281"/>
      <c r="J54" s="320"/>
      <c r="K54" s="281">
        <f t="shared" ref="K54:K58" si="18">IF(NOT(ISERROR(MATCH(J54,_xlfn.ANCHORARRAY(E65),0))),I67&amp;"Por favor no seleccionar los criterios de impacto",J54)</f>
        <v>0</v>
      </c>
      <c r="L54" s="284"/>
      <c r="M54" s="281"/>
      <c r="N54" s="287"/>
      <c r="O54" s="259"/>
      <c r="P54" s="262"/>
      <c r="Q54" s="256"/>
      <c r="R54" s="253"/>
      <c r="S54" s="253"/>
      <c r="T54" s="247"/>
      <c r="U54" s="253"/>
      <c r="V54" s="253"/>
      <c r="W54" s="253"/>
      <c r="X54" s="190" t="str">
        <f>IFERROR(IF(AND(Q53="Probabilidad",Q54="Probabilidad"),(Z53-(+Z53*T54)),IF(Q54="Probabilidad",(I53-(+I53*T54)),IF(Q54="Impacto",Z53,""))),"")</f>
        <v/>
      </c>
      <c r="Y54" s="244"/>
      <c r="Z54" s="247"/>
      <c r="AA54" s="244"/>
      <c r="AB54" s="247"/>
      <c r="AC54" s="250"/>
      <c r="AD54" s="253"/>
      <c r="AE54" s="323"/>
      <c r="AF54" s="323"/>
      <c r="AG54" s="323"/>
      <c r="AH54" s="323"/>
      <c r="AI54" s="323"/>
      <c r="AJ54" s="323"/>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row>
    <row r="55" spans="1:68" s="3" customFormat="1" ht="37.5" customHeight="1" x14ac:dyDescent="0.25">
      <c r="A55" s="259"/>
      <c r="B55" s="323"/>
      <c r="C55" s="329"/>
      <c r="D55" s="329"/>
      <c r="E55" s="332"/>
      <c r="F55" s="323"/>
      <c r="G55" s="326"/>
      <c r="H55" s="284"/>
      <c r="I55" s="281"/>
      <c r="J55" s="320"/>
      <c r="K55" s="281">
        <f t="shared" si="18"/>
        <v>0</v>
      </c>
      <c r="L55" s="284"/>
      <c r="M55" s="281"/>
      <c r="N55" s="287"/>
      <c r="O55" s="259"/>
      <c r="P55" s="262"/>
      <c r="Q55" s="256"/>
      <c r="R55" s="253"/>
      <c r="S55" s="253"/>
      <c r="T55" s="247"/>
      <c r="U55" s="253"/>
      <c r="V55" s="253"/>
      <c r="W55" s="253"/>
      <c r="X55" s="190" t="str">
        <f>IFERROR(IF(AND(Q54="Probabilidad",Q55="Probabilidad"),(Z54-(+Z54*T55)),IF(AND(Q54="Impacto",Q55="Probabilidad"),(Z53-(+Z53*T55)),IF(Q55="Impacto",Z54,""))),"")</f>
        <v/>
      </c>
      <c r="Y55" s="244"/>
      <c r="Z55" s="247"/>
      <c r="AA55" s="244"/>
      <c r="AB55" s="247"/>
      <c r="AC55" s="250"/>
      <c r="AD55" s="253"/>
      <c r="AE55" s="323"/>
      <c r="AF55" s="323"/>
      <c r="AG55" s="323"/>
      <c r="AH55" s="323"/>
      <c r="AI55" s="323"/>
      <c r="AJ55" s="323"/>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row>
    <row r="56" spans="1:68" s="3" customFormat="1" ht="37.5" customHeight="1" x14ac:dyDescent="0.25">
      <c r="A56" s="259"/>
      <c r="B56" s="323"/>
      <c r="C56" s="329"/>
      <c r="D56" s="329"/>
      <c r="E56" s="332"/>
      <c r="F56" s="323"/>
      <c r="G56" s="326"/>
      <c r="H56" s="284"/>
      <c r="I56" s="281"/>
      <c r="J56" s="320"/>
      <c r="K56" s="281">
        <f t="shared" si="18"/>
        <v>0</v>
      </c>
      <c r="L56" s="284"/>
      <c r="M56" s="281"/>
      <c r="N56" s="287"/>
      <c r="O56" s="259"/>
      <c r="P56" s="262"/>
      <c r="Q56" s="256"/>
      <c r="R56" s="253"/>
      <c r="S56" s="253"/>
      <c r="T56" s="247"/>
      <c r="U56" s="253"/>
      <c r="V56" s="253"/>
      <c r="W56" s="253"/>
      <c r="X56" s="190" t="str">
        <f t="shared" ref="X56:X58" si="19">IFERROR(IF(AND(Q55="Probabilidad",Q56="Probabilidad"),(Z55-(+Z55*T56)),IF(AND(Q55="Impacto",Q56="Probabilidad"),(Z54-(+Z54*T56)),IF(Q56="Impacto",Z55,""))),"")</f>
        <v/>
      </c>
      <c r="Y56" s="244"/>
      <c r="Z56" s="247"/>
      <c r="AA56" s="244"/>
      <c r="AB56" s="247"/>
      <c r="AC56" s="250"/>
      <c r="AD56" s="253"/>
      <c r="AE56" s="323"/>
      <c r="AF56" s="323"/>
      <c r="AG56" s="323"/>
      <c r="AH56" s="323"/>
      <c r="AI56" s="323"/>
      <c r="AJ56" s="323"/>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row>
    <row r="57" spans="1:68" s="3" customFormat="1" ht="37.5" customHeight="1" x14ac:dyDescent="0.25">
      <c r="A57" s="259"/>
      <c r="B57" s="323"/>
      <c r="C57" s="329"/>
      <c r="D57" s="329"/>
      <c r="E57" s="332"/>
      <c r="F57" s="323"/>
      <c r="G57" s="326"/>
      <c r="H57" s="284"/>
      <c r="I57" s="281"/>
      <c r="J57" s="320"/>
      <c r="K57" s="281">
        <f t="shared" si="18"/>
        <v>0</v>
      </c>
      <c r="L57" s="284"/>
      <c r="M57" s="281"/>
      <c r="N57" s="287"/>
      <c r="O57" s="259"/>
      <c r="P57" s="262"/>
      <c r="Q57" s="256"/>
      <c r="R57" s="253"/>
      <c r="S57" s="253"/>
      <c r="T57" s="247"/>
      <c r="U57" s="253"/>
      <c r="V57" s="253"/>
      <c r="W57" s="253"/>
      <c r="X57" s="199" t="str">
        <f t="shared" si="19"/>
        <v/>
      </c>
      <c r="Y57" s="244"/>
      <c r="Z57" s="247"/>
      <c r="AA57" s="244"/>
      <c r="AB57" s="247"/>
      <c r="AC57" s="250"/>
      <c r="AD57" s="253"/>
      <c r="AE57" s="323"/>
      <c r="AF57" s="323"/>
      <c r="AG57" s="323"/>
      <c r="AH57" s="323"/>
      <c r="AI57" s="323"/>
      <c r="AJ57" s="323"/>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row>
    <row r="58" spans="1:68" s="3" customFormat="1" ht="37.5" customHeight="1" x14ac:dyDescent="0.25">
      <c r="A58" s="260"/>
      <c r="B58" s="324"/>
      <c r="C58" s="330"/>
      <c r="D58" s="330"/>
      <c r="E58" s="333"/>
      <c r="F58" s="324"/>
      <c r="G58" s="327"/>
      <c r="H58" s="285"/>
      <c r="I58" s="282"/>
      <c r="J58" s="321"/>
      <c r="K58" s="282">
        <f t="shared" si="18"/>
        <v>0</v>
      </c>
      <c r="L58" s="285"/>
      <c r="M58" s="282"/>
      <c r="N58" s="288"/>
      <c r="O58" s="260"/>
      <c r="P58" s="263"/>
      <c r="Q58" s="257"/>
      <c r="R58" s="254"/>
      <c r="S58" s="254"/>
      <c r="T58" s="248"/>
      <c r="U58" s="254"/>
      <c r="V58" s="254"/>
      <c r="W58" s="254"/>
      <c r="X58" s="190" t="str">
        <f t="shared" si="19"/>
        <v/>
      </c>
      <c r="Y58" s="245"/>
      <c r="Z58" s="248"/>
      <c r="AA58" s="245"/>
      <c r="AB58" s="248"/>
      <c r="AC58" s="251"/>
      <c r="AD58" s="254"/>
      <c r="AE58" s="324"/>
      <c r="AF58" s="324"/>
      <c r="AG58" s="324"/>
      <c r="AH58" s="324"/>
      <c r="AI58" s="324"/>
      <c r="AJ58" s="324"/>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row>
    <row r="59" spans="1:68" ht="37.5" hidden="1" customHeight="1" x14ac:dyDescent="0.3">
      <c r="A59" s="301">
        <v>6</v>
      </c>
      <c r="B59" s="304"/>
      <c r="C59" s="304"/>
      <c r="D59" s="304"/>
      <c r="E59" s="307"/>
      <c r="F59" s="304"/>
      <c r="G59" s="310"/>
      <c r="H59" s="313" t="str">
        <f>IF(G59&lt;=0,"",IF(G59&lt;=2,"Muy Baja",IF(G59&lt;=24,"Baja",IF(G59&lt;=500,"Media",IF(G59&lt;=5000,"Alta","Muy Alta")))))</f>
        <v/>
      </c>
      <c r="I59" s="295" t="str">
        <f>IF(H59="","",IF(H59="Muy Baja",0.2,IF(H59="Baja",0.4,IF(H59="Media",0.6,IF(H59="Alta",0.8,IF(H59="Muy Alta",1,))))))</f>
        <v/>
      </c>
      <c r="J59" s="316"/>
      <c r="K59" s="295">
        <f>IF(NOT(ISERROR(MATCH(J59,'Tabla Impacto'!$B$221:$B$223,0))),'Tabla Impacto'!$F$223&amp;"Por favor no seleccionar los criterios de impacto(Afectación Económica o presupuestal y Pérdida Reputacional)",J59)</f>
        <v>0</v>
      </c>
      <c r="L59" s="313" t="str">
        <f>IF(OR(K59='Tabla Impacto'!$C$11,K59='Tabla Impacto'!$D$11),"Leve",IF(OR(K59='Tabla Impacto'!$C$12,K59='Tabla Impacto'!$D$12),"Menor",IF(OR(K59='Tabla Impacto'!$C$13,K59='Tabla Impacto'!$D$13),"Moderado",IF(OR(K59='Tabla Impacto'!$C$14,K59='Tabla Impacto'!$D$14),"Mayor",IF(OR(K59='Tabla Impacto'!$C$15,K59='Tabla Impacto'!$D$15),"Catastrófico","")))))</f>
        <v/>
      </c>
      <c r="M59" s="295" t="str">
        <f>IF(L59="","",IF(L59="Leve",0.2,IF(L59="Menor",0.4,IF(L59="Moderado",0.6,IF(L59="Mayor",0.8,IF(L59="Catastrófico",1,))))))</f>
        <v/>
      </c>
      <c r="N59" s="298"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6">
        <v>1</v>
      </c>
      <c r="P59" s="123"/>
      <c r="Q59" s="124" t="str">
        <f>IF(OR(R59="Preventivo",R59="Detectivo"),"Probabilidad",IF(R59="Correctivo","Impacto",""))</f>
        <v/>
      </c>
      <c r="R59" s="125"/>
      <c r="S59" s="125"/>
      <c r="T59" s="126" t="str">
        <f>IF(AND(R59="Preventivo",S59="Automático"),"50%",IF(AND(R59="Preventivo",S59="Manual"),"40%",IF(AND(R59="Detectivo",S59="Automático"),"40%",IF(AND(R59="Detectivo",S59="Manual"),"30%",IF(AND(R59="Correctivo",S59="Automático"),"35%",IF(AND(R59="Correctivo",S59="Manual"),"25%",""))))))</f>
        <v/>
      </c>
      <c r="U59" s="125"/>
      <c r="V59" s="125"/>
      <c r="W59" s="125"/>
      <c r="X59" s="127" t="str">
        <f>IFERROR(IF(Q59="Probabilidad",(I59-(+I59*T59)),IF(Q59="Impacto",I59,"")),"")</f>
        <v/>
      </c>
      <c r="Y59" s="128" t="str">
        <f>IFERROR(IF(X59="","",IF(X59&lt;=0.2,"Muy Baja",IF(X59&lt;=0.4,"Baja",IF(X59&lt;=0.6,"Media",IF(X59&lt;=0.8,"Alta","Muy Alta"))))),"")</f>
        <v/>
      </c>
      <c r="Z59" s="129" t="str">
        <f>+X59</f>
        <v/>
      </c>
      <c r="AA59" s="128" t="str">
        <f>IFERROR(IF(AB59="","",IF(AB59&lt;=0.2,"Leve",IF(AB59&lt;=0.4,"Menor",IF(AB59&lt;=0.6,"Moderado",IF(AB59&lt;=0.8,"Mayor","Catastrófico"))))),"")</f>
        <v/>
      </c>
      <c r="AB59" s="129" t="str">
        <f>IFERROR(IF(Q59="Impacto",(M59-(+M59*T59)),IF(Q59="Probabilidad",M59,"")),"")</f>
        <v/>
      </c>
      <c r="AC59" s="130"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1"/>
      <c r="AE59" s="132"/>
      <c r="AF59" s="133"/>
      <c r="AG59" s="134"/>
      <c r="AH59" s="134"/>
      <c r="AI59" s="132"/>
      <c r="AJ59" s="133"/>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7.5" hidden="1" customHeight="1" x14ac:dyDescent="0.3">
      <c r="A60" s="302"/>
      <c r="B60" s="305"/>
      <c r="C60" s="305"/>
      <c r="D60" s="305"/>
      <c r="E60" s="308"/>
      <c r="F60" s="305"/>
      <c r="G60" s="311"/>
      <c r="H60" s="314"/>
      <c r="I60" s="296"/>
      <c r="J60" s="317"/>
      <c r="K60" s="296">
        <f t="shared" ref="K60:K64" si="20">IF(NOT(ISERROR(MATCH(J60,_xlfn.ANCHORARRAY(E71),0))),I73&amp;"Por favor no seleccionar los criterios de impacto",J60)</f>
        <v>0</v>
      </c>
      <c r="L60" s="314"/>
      <c r="M60" s="296"/>
      <c r="N60" s="299"/>
      <c r="O60" s="6">
        <v>2</v>
      </c>
      <c r="P60" s="123"/>
      <c r="Q60" s="124" t="str">
        <f>IF(OR(R60="Preventivo",R60="Detectivo"),"Probabilidad",IF(R60="Correctivo","Impacto",""))</f>
        <v/>
      </c>
      <c r="R60" s="125"/>
      <c r="S60" s="125"/>
      <c r="T60" s="126" t="str">
        <f t="shared" ref="T60:T64" si="21">IF(AND(R60="Preventivo",S60="Automático"),"50%",IF(AND(R60="Preventivo",S60="Manual"),"40%",IF(AND(R60="Detectivo",S60="Automático"),"40%",IF(AND(R60="Detectivo",S60="Manual"),"30%",IF(AND(R60="Correctivo",S60="Automático"),"35%",IF(AND(R60="Correctivo",S60="Manual"),"25%",""))))))</f>
        <v/>
      </c>
      <c r="U60" s="125"/>
      <c r="V60" s="125"/>
      <c r="W60" s="125"/>
      <c r="X60" s="127" t="str">
        <f>IFERROR(IF(AND(Q59="Probabilidad",Q60="Probabilidad"),(Z59-(+Z59*T60)),IF(Q60="Probabilidad",(I59-(+I59*T60)),IF(Q60="Impacto",Z59,""))),"")</f>
        <v/>
      </c>
      <c r="Y60" s="128" t="str">
        <f t="shared" si="1"/>
        <v/>
      </c>
      <c r="Z60" s="129" t="str">
        <f t="shared" ref="Z60:Z64" si="22">+X60</f>
        <v/>
      </c>
      <c r="AA60" s="128" t="str">
        <f t="shared" si="3"/>
        <v/>
      </c>
      <c r="AB60" s="129" t="str">
        <f>IFERROR(IF(AND(Q59="Impacto",Q60="Impacto"),(AB59-(+AB59*T60)),IF(Q60="Impacto",(M59-(+M59*T60)),IF(Q60="Probabilidad",AB59,""))),"")</f>
        <v/>
      </c>
      <c r="AC60" s="130" t="str">
        <f t="shared" ref="AC60:AC61" si="23">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1"/>
      <c r="AE60" s="132"/>
      <c r="AF60" s="133"/>
      <c r="AG60" s="134"/>
      <c r="AH60" s="134"/>
      <c r="AI60" s="132"/>
      <c r="AJ60" s="133"/>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37.5" hidden="1" customHeight="1" x14ac:dyDescent="0.3">
      <c r="A61" s="302"/>
      <c r="B61" s="305"/>
      <c r="C61" s="305"/>
      <c r="D61" s="305"/>
      <c r="E61" s="308"/>
      <c r="F61" s="305"/>
      <c r="G61" s="311"/>
      <c r="H61" s="314"/>
      <c r="I61" s="296"/>
      <c r="J61" s="317"/>
      <c r="K61" s="296">
        <f t="shared" si="20"/>
        <v>0</v>
      </c>
      <c r="L61" s="314"/>
      <c r="M61" s="296"/>
      <c r="N61" s="299"/>
      <c r="O61" s="6">
        <v>3</v>
      </c>
      <c r="P61" s="135"/>
      <c r="Q61" s="124" t="str">
        <f>IF(OR(R61="Preventivo",R61="Detectivo"),"Probabilidad",IF(R61="Correctivo","Impacto",""))</f>
        <v/>
      </c>
      <c r="R61" s="125"/>
      <c r="S61" s="125"/>
      <c r="T61" s="126" t="str">
        <f t="shared" si="21"/>
        <v/>
      </c>
      <c r="U61" s="125"/>
      <c r="V61" s="125"/>
      <c r="W61" s="125"/>
      <c r="X61" s="127" t="str">
        <f>IFERROR(IF(AND(Q60="Probabilidad",Q61="Probabilidad"),(Z60-(+Z60*T61)),IF(AND(Q60="Impacto",Q61="Probabilidad"),(Z59-(+Z59*T61)),IF(Q61="Impacto",Z60,""))),"")</f>
        <v/>
      </c>
      <c r="Y61" s="128" t="str">
        <f t="shared" si="1"/>
        <v/>
      </c>
      <c r="Z61" s="129" t="str">
        <f t="shared" si="22"/>
        <v/>
      </c>
      <c r="AA61" s="128" t="str">
        <f t="shared" si="3"/>
        <v/>
      </c>
      <c r="AB61" s="129" t="str">
        <f>IFERROR(IF(AND(Q60="Impacto",Q61="Impacto"),(AB60-(+AB60*T61)),IF(AND(Q60="Probabilidad",Q61="Impacto"),(AB59-(+AB59*T61)),IF(Q61="Probabilidad",AB60,""))),"")</f>
        <v/>
      </c>
      <c r="AC61" s="130" t="str">
        <f t="shared" si="23"/>
        <v/>
      </c>
      <c r="AD61" s="131"/>
      <c r="AE61" s="132"/>
      <c r="AF61" s="133"/>
      <c r="AG61" s="134"/>
      <c r="AH61" s="134"/>
      <c r="AI61" s="132"/>
      <c r="AJ61" s="133"/>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37.5" hidden="1" customHeight="1" x14ac:dyDescent="0.3">
      <c r="A62" s="302"/>
      <c r="B62" s="305"/>
      <c r="C62" s="305"/>
      <c r="D62" s="305"/>
      <c r="E62" s="308"/>
      <c r="F62" s="305"/>
      <c r="G62" s="311"/>
      <c r="H62" s="314"/>
      <c r="I62" s="296"/>
      <c r="J62" s="317"/>
      <c r="K62" s="296">
        <f t="shared" si="20"/>
        <v>0</v>
      </c>
      <c r="L62" s="314"/>
      <c r="M62" s="296"/>
      <c r="N62" s="299"/>
      <c r="O62" s="6">
        <v>4</v>
      </c>
      <c r="P62" s="123"/>
      <c r="Q62" s="124" t="str">
        <f t="shared" ref="Q62:Q64" si="24">IF(OR(R62="Preventivo",R62="Detectivo"),"Probabilidad",IF(R62="Correctivo","Impacto",""))</f>
        <v/>
      </c>
      <c r="R62" s="125"/>
      <c r="S62" s="125"/>
      <c r="T62" s="126" t="str">
        <f t="shared" si="21"/>
        <v/>
      </c>
      <c r="U62" s="125"/>
      <c r="V62" s="125"/>
      <c r="W62" s="125"/>
      <c r="X62" s="127" t="str">
        <f t="shared" ref="X62:X64" si="25">IFERROR(IF(AND(Q61="Probabilidad",Q62="Probabilidad"),(Z61-(+Z61*T62)),IF(AND(Q61="Impacto",Q62="Probabilidad"),(Z60-(+Z60*T62)),IF(Q62="Impacto",Z61,""))),"")</f>
        <v/>
      </c>
      <c r="Y62" s="128" t="str">
        <f t="shared" si="1"/>
        <v/>
      </c>
      <c r="Z62" s="129" t="str">
        <f t="shared" si="22"/>
        <v/>
      </c>
      <c r="AA62" s="128" t="str">
        <f t="shared" si="3"/>
        <v/>
      </c>
      <c r="AB62" s="129" t="str">
        <f t="shared" ref="AB62:AB64" si="26">IFERROR(IF(AND(Q61="Impacto",Q62="Impacto"),(AB61-(+AB61*T62)),IF(AND(Q61="Probabilidad",Q62="Impacto"),(AB60-(+AB60*T62)),IF(Q62="Probabilidad",AB61,""))),"")</f>
        <v/>
      </c>
      <c r="AC62" s="130"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3"/>
      <c r="AG62" s="134"/>
      <c r="AH62" s="134"/>
      <c r="AI62" s="132"/>
      <c r="AJ62" s="133"/>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37.5" hidden="1" customHeight="1" x14ac:dyDescent="0.3">
      <c r="A63" s="302"/>
      <c r="B63" s="305"/>
      <c r="C63" s="305"/>
      <c r="D63" s="305"/>
      <c r="E63" s="308"/>
      <c r="F63" s="305"/>
      <c r="G63" s="311"/>
      <c r="H63" s="314"/>
      <c r="I63" s="296"/>
      <c r="J63" s="317"/>
      <c r="K63" s="296">
        <f t="shared" si="20"/>
        <v>0</v>
      </c>
      <c r="L63" s="314"/>
      <c r="M63" s="296"/>
      <c r="N63" s="299"/>
      <c r="O63" s="6">
        <v>5</v>
      </c>
      <c r="P63" s="123"/>
      <c r="Q63" s="124" t="str">
        <f t="shared" si="24"/>
        <v/>
      </c>
      <c r="R63" s="125"/>
      <c r="S63" s="125"/>
      <c r="T63" s="126" t="str">
        <f t="shared" si="21"/>
        <v/>
      </c>
      <c r="U63" s="125"/>
      <c r="V63" s="125"/>
      <c r="W63" s="125"/>
      <c r="X63" s="127" t="str">
        <f t="shared" si="25"/>
        <v/>
      </c>
      <c r="Y63" s="128" t="str">
        <f t="shared" si="1"/>
        <v/>
      </c>
      <c r="Z63" s="129" t="str">
        <f t="shared" si="22"/>
        <v/>
      </c>
      <c r="AA63" s="128" t="str">
        <f t="shared" si="3"/>
        <v/>
      </c>
      <c r="AB63" s="129" t="str">
        <f t="shared" si="26"/>
        <v/>
      </c>
      <c r="AC63" s="130" t="str">
        <f t="shared" ref="AC63" si="27">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1"/>
      <c r="AE63" s="132"/>
      <c r="AF63" s="133"/>
      <c r="AG63" s="134"/>
      <c r="AH63" s="134"/>
      <c r="AI63" s="132"/>
      <c r="AJ63" s="133"/>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37.5" hidden="1" customHeight="1" x14ac:dyDescent="0.3">
      <c r="A64" s="303"/>
      <c r="B64" s="306"/>
      <c r="C64" s="306"/>
      <c r="D64" s="306"/>
      <c r="E64" s="309"/>
      <c r="F64" s="306"/>
      <c r="G64" s="312"/>
      <c r="H64" s="315"/>
      <c r="I64" s="297"/>
      <c r="J64" s="318"/>
      <c r="K64" s="297">
        <f t="shared" si="20"/>
        <v>0</v>
      </c>
      <c r="L64" s="315"/>
      <c r="M64" s="297"/>
      <c r="N64" s="300"/>
      <c r="O64" s="6">
        <v>6</v>
      </c>
      <c r="P64" s="123"/>
      <c r="Q64" s="124" t="str">
        <f t="shared" si="24"/>
        <v/>
      </c>
      <c r="R64" s="125"/>
      <c r="S64" s="125"/>
      <c r="T64" s="126" t="str">
        <f t="shared" si="21"/>
        <v/>
      </c>
      <c r="U64" s="125"/>
      <c r="V64" s="125"/>
      <c r="W64" s="125"/>
      <c r="X64" s="127" t="str">
        <f t="shared" si="25"/>
        <v/>
      </c>
      <c r="Y64" s="128" t="str">
        <f t="shared" si="1"/>
        <v/>
      </c>
      <c r="Z64" s="129" t="str">
        <f t="shared" si="22"/>
        <v/>
      </c>
      <c r="AA64" s="128" t="str">
        <f>IFERROR(IF(AB64="","",IF(AB64&lt;=0.2,"Leve",IF(AB64&lt;=0.4,"Menor",IF(AB64&lt;=0.6,"Moderado",IF(AB64&lt;=0.8,"Mayor","Catastrófico"))))),"")</f>
        <v/>
      </c>
      <c r="AB64" s="129" t="str">
        <f t="shared" si="26"/>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3"/>
      <c r="AG64" s="134"/>
      <c r="AH64" s="134"/>
      <c r="AI64" s="132"/>
      <c r="AJ64" s="133"/>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37.5" hidden="1" customHeight="1" x14ac:dyDescent="0.3">
      <c r="A65" s="301">
        <v>7</v>
      </c>
      <c r="B65" s="304"/>
      <c r="C65" s="304"/>
      <c r="D65" s="304"/>
      <c r="E65" s="307"/>
      <c r="F65" s="304"/>
      <c r="G65" s="310"/>
      <c r="H65" s="313" t="str">
        <f>IF(G65&lt;=0,"",IF(G65&lt;=2,"Muy Baja",IF(G65&lt;=24,"Baja",IF(G65&lt;=500,"Media",IF(G65&lt;=5000,"Alta","Muy Alta")))))</f>
        <v/>
      </c>
      <c r="I65" s="295" t="str">
        <f>IF(H65="","",IF(H65="Muy Baja",0.2,IF(H65="Baja",0.4,IF(H65="Media",0.6,IF(H65="Alta",0.8,IF(H65="Muy Alta",1,))))))</f>
        <v/>
      </c>
      <c r="J65" s="316"/>
      <c r="K65" s="295">
        <f>IF(NOT(ISERROR(MATCH(J65,'Tabla Impacto'!$B$221:$B$223,0))),'Tabla Impacto'!$F$223&amp;"Por favor no seleccionar los criterios de impacto(Afectación Económica o presupuestal y Pérdida Reputacional)",J65)</f>
        <v>0</v>
      </c>
      <c r="L65" s="313" t="str">
        <f>IF(OR(K65='Tabla Impacto'!$C$11,K65='Tabla Impacto'!$D$11),"Leve",IF(OR(K65='Tabla Impacto'!$C$12,K65='Tabla Impacto'!$D$12),"Menor",IF(OR(K65='Tabla Impacto'!$C$13,K65='Tabla Impacto'!$D$13),"Moderado",IF(OR(K65='Tabla Impacto'!$C$14,K65='Tabla Impacto'!$D$14),"Mayor",IF(OR(K65='Tabla Impacto'!$C$15,K65='Tabla Impacto'!$D$15),"Catastrófico","")))))</f>
        <v/>
      </c>
      <c r="M65" s="295" t="str">
        <f>IF(L65="","",IF(L65="Leve",0.2,IF(L65="Menor",0.4,IF(L65="Moderado",0.6,IF(L65="Mayor",0.8,IF(L65="Catastrófico",1,))))))</f>
        <v/>
      </c>
      <c r="N65" s="298"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6">
        <v>1</v>
      </c>
      <c r="P65" s="123"/>
      <c r="Q65" s="124" t="str">
        <f>IF(OR(R65="Preventivo",R65="Detectivo"),"Probabilidad",IF(R65="Correctivo","Impacto",""))</f>
        <v/>
      </c>
      <c r="R65" s="125"/>
      <c r="S65" s="125"/>
      <c r="T65" s="126" t="str">
        <f>IF(AND(R65="Preventivo",S65="Automático"),"50%",IF(AND(R65="Preventivo",S65="Manual"),"40%",IF(AND(R65="Detectivo",S65="Automático"),"40%",IF(AND(R65="Detectivo",S65="Manual"),"30%",IF(AND(R65="Correctivo",S65="Automático"),"35%",IF(AND(R65="Correctivo",S65="Manual"),"25%",""))))))</f>
        <v/>
      </c>
      <c r="U65" s="125"/>
      <c r="V65" s="125"/>
      <c r="W65" s="125"/>
      <c r="X65" s="127" t="str">
        <f>IFERROR(IF(Q65="Probabilidad",(I65-(+I65*T65)),IF(Q65="Impacto",I65,"")),"")</f>
        <v/>
      </c>
      <c r="Y65" s="128" t="str">
        <f>IFERROR(IF(X65="","",IF(X65&lt;=0.2,"Muy Baja",IF(X65&lt;=0.4,"Baja",IF(X65&lt;=0.6,"Media",IF(X65&lt;=0.8,"Alta","Muy Alta"))))),"")</f>
        <v/>
      </c>
      <c r="Z65" s="129" t="str">
        <f>+X65</f>
        <v/>
      </c>
      <c r="AA65" s="128" t="str">
        <f>IFERROR(IF(AB65="","",IF(AB65&lt;=0.2,"Leve",IF(AB65&lt;=0.4,"Menor",IF(AB65&lt;=0.6,"Moderado",IF(AB65&lt;=0.8,"Mayor","Catastrófico"))))),"")</f>
        <v/>
      </c>
      <c r="AB65" s="129" t="str">
        <f>IFERROR(IF(Q65="Impacto",(M65-(+M65*T65)),IF(Q65="Probabilidad",M65,"")),"")</f>
        <v/>
      </c>
      <c r="AC65" s="130"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3"/>
      <c r="AG65" s="134"/>
      <c r="AH65" s="134"/>
      <c r="AI65" s="132"/>
      <c r="AJ65" s="133"/>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37.5" hidden="1" customHeight="1" x14ac:dyDescent="0.3">
      <c r="A66" s="302"/>
      <c r="B66" s="305"/>
      <c r="C66" s="305"/>
      <c r="D66" s="305"/>
      <c r="E66" s="308"/>
      <c r="F66" s="305"/>
      <c r="G66" s="311"/>
      <c r="H66" s="314"/>
      <c r="I66" s="296"/>
      <c r="J66" s="317"/>
      <c r="K66" s="296">
        <f t="shared" ref="K66:K70" si="28">IF(NOT(ISERROR(MATCH(J66,_xlfn.ANCHORARRAY(E77),0))),I79&amp;"Por favor no seleccionar los criterios de impacto",J66)</f>
        <v>0</v>
      </c>
      <c r="L66" s="314"/>
      <c r="M66" s="296"/>
      <c r="N66" s="299"/>
      <c r="O66" s="6">
        <v>2</v>
      </c>
      <c r="P66" s="123"/>
      <c r="Q66" s="124" t="str">
        <f>IF(OR(R66="Preventivo",R66="Detectivo"),"Probabilidad",IF(R66="Correctivo","Impacto",""))</f>
        <v/>
      </c>
      <c r="R66" s="125"/>
      <c r="S66" s="125"/>
      <c r="T66" s="126" t="str">
        <f t="shared" ref="T66:T70" si="29">IF(AND(R66="Preventivo",S66="Automático"),"50%",IF(AND(R66="Preventivo",S66="Manual"),"40%",IF(AND(R66="Detectivo",S66="Automático"),"40%",IF(AND(R66="Detectivo",S66="Manual"),"30%",IF(AND(R66="Correctivo",S66="Automático"),"35%",IF(AND(R66="Correctivo",S66="Manual"),"25%",""))))))</f>
        <v/>
      </c>
      <c r="U66" s="125"/>
      <c r="V66" s="125"/>
      <c r="W66" s="125"/>
      <c r="X66" s="127" t="str">
        <f>IFERROR(IF(AND(Q65="Probabilidad",Q66="Probabilidad"),(Z65-(+Z65*T66)),IF(Q66="Probabilidad",(I65-(+I65*T66)),IF(Q66="Impacto",Z65,""))),"")</f>
        <v/>
      </c>
      <c r="Y66" s="128" t="str">
        <f t="shared" si="1"/>
        <v/>
      </c>
      <c r="Z66" s="129" t="str">
        <f t="shared" ref="Z66:Z70" si="30">+X66</f>
        <v/>
      </c>
      <c r="AA66" s="128" t="str">
        <f t="shared" si="3"/>
        <v/>
      </c>
      <c r="AB66" s="129" t="str">
        <f>IFERROR(IF(AND(Q65="Impacto",Q66="Impacto"),(AB65-(+AB65*T66)),IF(Q66="Impacto",(M65-(+M65*T66)),IF(Q66="Probabilidad",AB65,""))),"")</f>
        <v/>
      </c>
      <c r="AC66" s="130" t="str">
        <f t="shared" ref="AC66:AC67" si="31">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31"/>
      <c r="AE66" s="132"/>
      <c r="AF66" s="133"/>
      <c r="AG66" s="134"/>
      <c r="AH66" s="134"/>
      <c r="AI66" s="132"/>
      <c r="AJ66" s="133"/>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37.5" hidden="1" customHeight="1" x14ac:dyDescent="0.3">
      <c r="A67" s="302"/>
      <c r="B67" s="305"/>
      <c r="C67" s="305"/>
      <c r="D67" s="305"/>
      <c r="E67" s="308"/>
      <c r="F67" s="305"/>
      <c r="G67" s="311"/>
      <c r="H67" s="314"/>
      <c r="I67" s="296"/>
      <c r="J67" s="317"/>
      <c r="K67" s="296">
        <f t="shared" si="28"/>
        <v>0</v>
      </c>
      <c r="L67" s="314"/>
      <c r="M67" s="296"/>
      <c r="N67" s="299"/>
      <c r="O67" s="6">
        <v>3</v>
      </c>
      <c r="P67" s="135"/>
      <c r="Q67" s="124" t="str">
        <f>IF(OR(R67="Preventivo",R67="Detectivo"),"Probabilidad",IF(R67="Correctivo","Impacto",""))</f>
        <v/>
      </c>
      <c r="R67" s="125"/>
      <c r="S67" s="125"/>
      <c r="T67" s="126" t="str">
        <f t="shared" si="29"/>
        <v/>
      </c>
      <c r="U67" s="125"/>
      <c r="V67" s="125"/>
      <c r="W67" s="125"/>
      <c r="X67" s="127" t="str">
        <f>IFERROR(IF(AND(Q66="Probabilidad",Q67="Probabilidad"),(Z66-(+Z66*T67)),IF(AND(Q66="Impacto",Q67="Probabilidad"),(Z65-(+Z65*T67)),IF(Q67="Impacto",Z66,""))),"")</f>
        <v/>
      </c>
      <c r="Y67" s="128" t="str">
        <f t="shared" si="1"/>
        <v/>
      </c>
      <c r="Z67" s="129" t="str">
        <f t="shared" si="30"/>
        <v/>
      </c>
      <c r="AA67" s="128" t="str">
        <f t="shared" si="3"/>
        <v/>
      </c>
      <c r="AB67" s="129" t="str">
        <f>IFERROR(IF(AND(Q66="Impacto",Q67="Impacto"),(AB66-(+AB66*T67)),IF(AND(Q66="Probabilidad",Q67="Impacto"),(AB65-(+AB65*T67)),IF(Q67="Probabilidad",AB66,""))),"")</f>
        <v/>
      </c>
      <c r="AC67" s="130" t="str">
        <f t="shared" si="31"/>
        <v/>
      </c>
      <c r="AD67" s="131"/>
      <c r="AE67" s="132"/>
      <c r="AF67" s="133"/>
      <c r="AG67" s="134"/>
      <c r="AH67" s="134"/>
      <c r="AI67" s="132"/>
      <c r="AJ67" s="133"/>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37.5" hidden="1" customHeight="1" x14ac:dyDescent="0.3">
      <c r="A68" s="302"/>
      <c r="B68" s="305"/>
      <c r="C68" s="305"/>
      <c r="D68" s="305"/>
      <c r="E68" s="308"/>
      <c r="F68" s="305"/>
      <c r="G68" s="311"/>
      <c r="H68" s="314"/>
      <c r="I68" s="296"/>
      <c r="J68" s="317"/>
      <c r="K68" s="296">
        <f t="shared" si="28"/>
        <v>0</v>
      </c>
      <c r="L68" s="314"/>
      <c r="M68" s="296"/>
      <c r="N68" s="299"/>
      <c r="O68" s="6">
        <v>4</v>
      </c>
      <c r="P68" s="123"/>
      <c r="Q68" s="124" t="str">
        <f t="shared" ref="Q68:Q70" si="32">IF(OR(R68="Preventivo",R68="Detectivo"),"Probabilidad",IF(R68="Correctivo","Impacto",""))</f>
        <v/>
      </c>
      <c r="R68" s="125"/>
      <c r="S68" s="125"/>
      <c r="T68" s="126" t="str">
        <f t="shared" si="29"/>
        <v/>
      </c>
      <c r="U68" s="125"/>
      <c r="V68" s="125"/>
      <c r="W68" s="125"/>
      <c r="X68" s="127" t="str">
        <f t="shared" ref="X68:X70" si="33">IFERROR(IF(AND(Q67="Probabilidad",Q68="Probabilidad"),(Z67-(+Z67*T68)),IF(AND(Q67="Impacto",Q68="Probabilidad"),(Z66-(+Z66*T68)),IF(Q68="Impacto",Z67,""))),"")</f>
        <v/>
      </c>
      <c r="Y68" s="128" t="str">
        <f t="shared" si="1"/>
        <v/>
      </c>
      <c r="Z68" s="129" t="str">
        <f t="shared" si="30"/>
        <v/>
      </c>
      <c r="AA68" s="128" t="str">
        <f t="shared" si="3"/>
        <v/>
      </c>
      <c r="AB68" s="129" t="str">
        <f t="shared" ref="AB68:AB70" si="34">IFERROR(IF(AND(Q67="Impacto",Q68="Impacto"),(AB67-(+AB67*T68)),IF(AND(Q67="Probabilidad",Q68="Impacto"),(AB66-(+AB66*T68)),IF(Q68="Probabilidad",AB67,""))),"")</f>
        <v/>
      </c>
      <c r="AC68" s="130"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1"/>
      <c r="AE68" s="132"/>
      <c r="AF68" s="133"/>
      <c r="AG68" s="134"/>
      <c r="AH68" s="134"/>
      <c r="AI68" s="132"/>
      <c r="AJ68" s="133"/>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37.5" hidden="1" customHeight="1" x14ac:dyDescent="0.3">
      <c r="A69" s="302"/>
      <c r="B69" s="305"/>
      <c r="C69" s="305"/>
      <c r="D69" s="305"/>
      <c r="E69" s="308"/>
      <c r="F69" s="305"/>
      <c r="G69" s="311"/>
      <c r="H69" s="314"/>
      <c r="I69" s="296"/>
      <c r="J69" s="317"/>
      <c r="K69" s="296">
        <f t="shared" si="28"/>
        <v>0</v>
      </c>
      <c r="L69" s="314"/>
      <c r="M69" s="296"/>
      <c r="N69" s="299"/>
      <c r="O69" s="6">
        <v>5</v>
      </c>
      <c r="P69" s="123"/>
      <c r="Q69" s="124" t="str">
        <f t="shared" si="32"/>
        <v/>
      </c>
      <c r="R69" s="125"/>
      <c r="S69" s="125"/>
      <c r="T69" s="126" t="str">
        <f t="shared" si="29"/>
        <v/>
      </c>
      <c r="U69" s="125"/>
      <c r="V69" s="125"/>
      <c r="W69" s="125"/>
      <c r="X69" s="127" t="str">
        <f t="shared" si="33"/>
        <v/>
      </c>
      <c r="Y69" s="128" t="str">
        <f t="shared" si="1"/>
        <v/>
      </c>
      <c r="Z69" s="129" t="str">
        <f t="shared" si="30"/>
        <v/>
      </c>
      <c r="AA69" s="128" t="str">
        <f t="shared" si="3"/>
        <v/>
      </c>
      <c r="AB69" s="129" t="str">
        <f t="shared" si="34"/>
        <v/>
      </c>
      <c r="AC69" s="130" t="str">
        <f t="shared" ref="AC69:AC70" si="35">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31"/>
      <c r="AE69" s="132"/>
      <c r="AF69" s="133"/>
      <c r="AG69" s="134"/>
      <c r="AH69" s="134"/>
      <c r="AI69" s="132"/>
      <c r="AJ69" s="133"/>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37.5" hidden="1" customHeight="1" x14ac:dyDescent="0.3">
      <c r="A70" s="303"/>
      <c r="B70" s="306"/>
      <c r="C70" s="306"/>
      <c r="D70" s="306"/>
      <c r="E70" s="309"/>
      <c r="F70" s="306"/>
      <c r="G70" s="312"/>
      <c r="H70" s="315"/>
      <c r="I70" s="297"/>
      <c r="J70" s="318"/>
      <c r="K70" s="297">
        <f t="shared" si="28"/>
        <v>0</v>
      </c>
      <c r="L70" s="315"/>
      <c r="M70" s="297"/>
      <c r="N70" s="300"/>
      <c r="O70" s="6">
        <v>6</v>
      </c>
      <c r="P70" s="123"/>
      <c r="Q70" s="124" t="str">
        <f t="shared" si="32"/>
        <v/>
      </c>
      <c r="R70" s="125"/>
      <c r="S70" s="125"/>
      <c r="T70" s="126" t="str">
        <f t="shared" si="29"/>
        <v/>
      </c>
      <c r="U70" s="125"/>
      <c r="V70" s="125"/>
      <c r="W70" s="125"/>
      <c r="X70" s="127" t="str">
        <f t="shared" si="33"/>
        <v/>
      </c>
      <c r="Y70" s="128" t="str">
        <f t="shared" si="1"/>
        <v/>
      </c>
      <c r="Z70" s="129" t="str">
        <f t="shared" si="30"/>
        <v/>
      </c>
      <c r="AA70" s="128" t="str">
        <f t="shared" si="3"/>
        <v/>
      </c>
      <c r="AB70" s="129" t="str">
        <f t="shared" si="34"/>
        <v/>
      </c>
      <c r="AC70" s="130" t="str">
        <f t="shared" si="35"/>
        <v/>
      </c>
      <c r="AD70" s="131"/>
      <c r="AE70" s="132"/>
      <c r="AF70" s="133"/>
      <c r="AG70" s="134"/>
      <c r="AH70" s="134"/>
      <c r="AI70" s="132"/>
      <c r="AJ70" s="133"/>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37.5" hidden="1" customHeight="1" x14ac:dyDescent="0.3">
      <c r="A71" s="301">
        <v>8</v>
      </c>
      <c r="B71" s="304"/>
      <c r="C71" s="304"/>
      <c r="D71" s="304"/>
      <c r="E71" s="307"/>
      <c r="F71" s="304"/>
      <c r="G71" s="310"/>
      <c r="H71" s="313" t="str">
        <f>IF(G71&lt;=0,"",IF(G71&lt;=2,"Muy Baja",IF(G71&lt;=24,"Baja",IF(G71&lt;=500,"Media",IF(G71&lt;=5000,"Alta","Muy Alta")))))</f>
        <v/>
      </c>
      <c r="I71" s="295" t="str">
        <f>IF(H71="","",IF(H71="Muy Baja",0.2,IF(H71="Baja",0.4,IF(H71="Media",0.6,IF(H71="Alta",0.8,IF(H71="Muy Alta",1,))))))</f>
        <v/>
      </c>
      <c r="J71" s="316"/>
      <c r="K71" s="295">
        <f>IF(NOT(ISERROR(MATCH(J71,'Tabla Impacto'!$B$221:$B$223,0))),'Tabla Impacto'!$F$223&amp;"Por favor no seleccionar los criterios de impacto(Afectación Económica o presupuestal y Pérdida Reputacional)",J71)</f>
        <v>0</v>
      </c>
      <c r="L71" s="313" t="str">
        <f>IF(OR(K71='Tabla Impacto'!$C$11,K71='Tabla Impacto'!$D$11),"Leve",IF(OR(K71='Tabla Impacto'!$C$12,K71='Tabla Impacto'!$D$12),"Menor",IF(OR(K71='Tabla Impacto'!$C$13,K71='Tabla Impacto'!$D$13),"Moderado",IF(OR(K71='Tabla Impacto'!$C$14,K71='Tabla Impacto'!$D$14),"Mayor",IF(OR(K71='Tabla Impacto'!$C$15,K71='Tabla Impacto'!$D$15),"Catastrófico","")))))</f>
        <v/>
      </c>
      <c r="M71" s="295" t="str">
        <f>IF(L71="","",IF(L71="Leve",0.2,IF(L71="Menor",0.4,IF(L71="Moderado",0.6,IF(L71="Mayor",0.8,IF(L71="Catastrófico",1,))))))</f>
        <v/>
      </c>
      <c r="N71" s="298"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6">
        <v>1</v>
      </c>
      <c r="P71" s="123"/>
      <c r="Q71" s="124" t="str">
        <f>IF(OR(R71="Preventivo",R71="Detectivo"),"Probabilidad",IF(R71="Correctivo","Impacto",""))</f>
        <v/>
      </c>
      <c r="R71" s="125"/>
      <c r="S71" s="125"/>
      <c r="T71" s="126" t="str">
        <f>IF(AND(R71="Preventivo",S71="Automático"),"50%",IF(AND(R71="Preventivo",S71="Manual"),"40%",IF(AND(R71="Detectivo",S71="Automático"),"40%",IF(AND(R71="Detectivo",S71="Manual"),"30%",IF(AND(R71="Correctivo",S71="Automático"),"35%",IF(AND(R71="Correctivo",S71="Manual"),"25%",""))))))</f>
        <v/>
      </c>
      <c r="U71" s="125"/>
      <c r="V71" s="125"/>
      <c r="W71" s="125"/>
      <c r="X71" s="127" t="str">
        <f>IFERROR(IF(Q71="Probabilidad",(I71-(+I71*T71)),IF(Q71="Impacto",I71,"")),"")</f>
        <v/>
      </c>
      <c r="Y71" s="128" t="str">
        <f>IFERROR(IF(X71="","",IF(X71&lt;=0.2,"Muy Baja",IF(X71&lt;=0.4,"Baja",IF(X71&lt;=0.6,"Media",IF(X71&lt;=0.8,"Alta","Muy Alta"))))),"")</f>
        <v/>
      </c>
      <c r="Z71" s="129" t="str">
        <f>+X71</f>
        <v/>
      </c>
      <c r="AA71" s="128" t="str">
        <f>IFERROR(IF(AB71="","",IF(AB71&lt;=0.2,"Leve",IF(AB71&lt;=0.4,"Menor",IF(AB71&lt;=0.6,"Moderado",IF(AB71&lt;=0.8,"Mayor","Catastrófico"))))),"")</f>
        <v/>
      </c>
      <c r="AB71" s="129" t="str">
        <f>IFERROR(IF(Q71="Impacto",(M71-(+M71*T71)),IF(Q71="Probabilidad",M71,"")),"")</f>
        <v/>
      </c>
      <c r="AC71" s="130"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31"/>
      <c r="AE71" s="132"/>
      <c r="AF71" s="133"/>
      <c r="AG71" s="134"/>
      <c r="AH71" s="134"/>
      <c r="AI71" s="132"/>
      <c r="AJ71" s="133"/>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37.5" hidden="1" customHeight="1" x14ac:dyDescent="0.3">
      <c r="A72" s="302"/>
      <c r="B72" s="305"/>
      <c r="C72" s="305"/>
      <c r="D72" s="305"/>
      <c r="E72" s="308"/>
      <c r="F72" s="305"/>
      <c r="G72" s="311"/>
      <c r="H72" s="314"/>
      <c r="I72" s="296"/>
      <c r="J72" s="317"/>
      <c r="K72" s="296">
        <f>IF(NOT(ISERROR(MATCH(J72,_xlfn.ANCHORARRAY(E83),0))),I85&amp;"Por favor no seleccionar los criterios de impacto",J72)</f>
        <v>0</v>
      </c>
      <c r="L72" s="314"/>
      <c r="M72" s="296"/>
      <c r="N72" s="299"/>
      <c r="O72" s="6">
        <v>2</v>
      </c>
      <c r="P72" s="123"/>
      <c r="Q72" s="124" t="str">
        <f>IF(OR(R72="Preventivo",R72="Detectivo"),"Probabilidad",IF(R72="Correctivo","Impacto",""))</f>
        <v/>
      </c>
      <c r="R72" s="125"/>
      <c r="S72" s="125"/>
      <c r="T72" s="126" t="str">
        <f t="shared" ref="T72:T76" si="36">IF(AND(R72="Preventivo",S72="Automático"),"50%",IF(AND(R72="Preventivo",S72="Manual"),"40%",IF(AND(R72="Detectivo",S72="Automático"),"40%",IF(AND(R72="Detectivo",S72="Manual"),"30%",IF(AND(R72="Correctivo",S72="Automático"),"35%",IF(AND(R72="Correctivo",S72="Manual"),"25%",""))))))</f>
        <v/>
      </c>
      <c r="U72" s="125"/>
      <c r="V72" s="125"/>
      <c r="W72" s="125"/>
      <c r="X72" s="127" t="str">
        <f>IFERROR(IF(AND(Q71="Probabilidad",Q72="Probabilidad"),(Z71-(+Z71*T72)),IF(Q72="Probabilidad",(I71-(+I71*T72)),IF(Q72="Impacto",Z71,""))),"")</f>
        <v/>
      </c>
      <c r="Y72" s="128" t="str">
        <f t="shared" si="1"/>
        <v/>
      </c>
      <c r="Z72" s="129" t="str">
        <f t="shared" ref="Z72:Z76" si="37">+X72</f>
        <v/>
      </c>
      <c r="AA72" s="128" t="str">
        <f t="shared" si="3"/>
        <v/>
      </c>
      <c r="AB72" s="129" t="str">
        <f>IFERROR(IF(AND(Q71="Impacto",Q72="Impacto"),(AB71-(+AB71*T72)),IF(Q72="Impacto",(M71-(+M71*T72)),IF(Q72="Probabilidad",AB71,""))),"")</f>
        <v/>
      </c>
      <c r="AC72" s="130" t="str">
        <f t="shared" ref="AC72:AC73" si="38">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31"/>
      <c r="AE72" s="132"/>
      <c r="AF72" s="133"/>
      <c r="AG72" s="134"/>
      <c r="AH72" s="134"/>
      <c r="AI72" s="132"/>
      <c r="AJ72" s="133"/>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37.5" hidden="1" customHeight="1" x14ac:dyDescent="0.3">
      <c r="A73" s="302"/>
      <c r="B73" s="305"/>
      <c r="C73" s="305"/>
      <c r="D73" s="305"/>
      <c r="E73" s="308"/>
      <c r="F73" s="305"/>
      <c r="G73" s="311"/>
      <c r="H73" s="314"/>
      <c r="I73" s="296"/>
      <c r="J73" s="317"/>
      <c r="K73" s="296">
        <f>IF(NOT(ISERROR(MATCH(J73,_xlfn.ANCHORARRAY(E84),0))),I86&amp;"Por favor no seleccionar los criterios de impacto",J73)</f>
        <v>0</v>
      </c>
      <c r="L73" s="314"/>
      <c r="M73" s="296"/>
      <c r="N73" s="299"/>
      <c r="O73" s="6">
        <v>3</v>
      </c>
      <c r="P73" s="135"/>
      <c r="Q73" s="124" t="str">
        <f>IF(OR(R73="Preventivo",R73="Detectivo"),"Probabilidad",IF(R73="Correctivo","Impacto",""))</f>
        <v/>
      </c>
      <c r="R73" s="125"/>
      <c r="S73" s="125"/>
      <c r="T73" s="126" t="str">
        <f t="shared" si="36"/>
        <v/>
      </c>
      <c r="U73" s="125"/>
      <c r="V73" s="125"/>
      <c r="W73" s="125"/>
      <c r="X73" s="127" t="str">
        <f>IFERROR(IF(AND(Q72="Probabilidad",Q73="Probabilidad"),(Z72-(+Z72*T73)),IF(AND(Q72="Impacto",Q73="Probabilidad"),(Z71-(+Z71*T73)),IF(Q73="Impacto",Z72,""))),"")</f>
        <v/>
      </c>
      <c r="Y73" s="128" t="str">
        <f t="shared" si="1"/>
        <v/>
      </c>
      <c r="Z73" s="129" t="str">
        <f t="shared" si="37"/>
        <v/>
      </c>
      <c r="AA73" s="128" t="str">
        <f t="shared" si="3"/>
        <v/>
      </c>
      <c r="AB73" s="129" t="str">
        <f>IFERROR(IF(AND(Q72="Impacto",Q73="Impacto"),(AB72-(+AB72*T73)),IF(AND(Q72="Probabilidad",Q73="Impacto"),(AB71-(+AB71*T73)),IF(Q73="Probabilidad",AB72,""))),"")</f>
        <v/>
      </c>
      <c r="AC73" s="130" t="str">
        <f t="shared" si="38"/>
        <v/>
      </c>
      <c r="AD73" s="131"/>
      <c r="AE73" s="132"/>
      <c r="AF73" s="133"/>
      <c r="AG73" s="134"/>
      <c r="AH73" s="134"/>
      <c r="AI73" s="132"/>
      <c r="AJ73" s="133"/>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37.5" hidden="1" customHeight="1" x14ac:dyDescent="0.3">
      <c r="A74" s="302"/>
      <c r="B74" s="305"/>
      <c r="C74" s="305"/>
      <c r="D74" s="305"/>
      <c r="E74" s="308"/>
      <c r="F74" s="305"/>
      <c r="G74" s="311"/>
      <c r="H74" s="314"/>
      <c r="I74" s="296"/>
      <c r="J74" s="317"/>
      <c r="K74" s="296">
        <f>IF(NOT(ISERROR(MATCH(J74,_xlfn.ANCHORARRAY(E85),0))),I87&amp;"Por favor no seleccionar los criterios de impacto",J74)</f>
        <v>0</v>
      </c>
      <c r="L74" s="314"/>
      <c r="M74" s="296"/>
      <c r="N74" s="299"/>
      <c r="O74" s="6">
        <v>4</v>
      </c>
      <c r="P74" s="123"/>
      <c r="Q74" s="124" t="str">
        <f t="shared" ref="Q74:Q76" si="39">IF(OR(R74="Preventivo",R74="Detectivo"),"Probabilidad",IF(R74="Correctivo","Impacto",""))</f>
        <v/>
      </c>
      <c r="R74" s="125"/>
      <c r="S74" s="125"/>
      <c r="T74" s="126" t="str">
        <f t="shared" si="36"/>
        <v/>
      </c>
      <c r="U74" s="125"/>
      <c r="V74" s="125"/>
      <c r="W74" s="125"/>
      <c r="X74" s="127" t="str">
        <f t="shared" ref="X74:X76" si="40">IFERROR(IF(AND(Q73="Probabilidad",Q74="Probabilidad"),(Z73-(+Z73*T74)),IF(AND(Q73="Impacto",Q74="Probabilidad"),(Z72-(+Z72*T74)),IF(Q74="Impacto",Z73,""))),"")</f>
        <v/>
      </c>
      <c r="Y74" s="128" t="str">
        <f t="shared" si="1"/>
        <v/>
      </c>
      <c r="Z74" s="129" t="str">
        <f t="shared" si="37"/>
        <v/>
      </c>
      <c r="AA74" s="128" t="str">
        <f t="shared" si="3"/>
        <v/>
      </c>
      <c r="AB74" s="129" t="str">
        <f t="shared" ref="AB74:AB76" si="41">IFERROR(IF(AND(Q73="Impacto",Q74="Impacto"),(AB73-(+AB73*T74)),IF(AND(Q73="Probabilidad",Q74="Impacto"),(AB72-(+AB72*T74)),IF(Q74="Probabilidad",AB73,""))),"")</f>
        <v/>
      </c>
      <c r="AC74" s="130"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31"/>
      <c r="AE74" s="132"/>
      <c r="AF74" s="133"/>
      <c r="AG74" s="134"/>
      <c r="AH74" s="134"/>
      <c r="AI74" s="132"/>
      <c r="AJ74" s="133"/>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37.5" hidden="1" customHeight="1" x14ac:dyDescent="0.3">
      <c r="A75" s="302"/>
      <c r="B75" s="305"/>
      <c r="C75" s="305"/>
      <c r="D75" s="305"/>
      <c r="E75" s="308"/>
      <c r="F75" s="305"/>
      <c r="G75" s="311"/>
      <c r="H75" s="314"/>
      <c r="I75" s="296"/>
      <c r="J75" s="317"/>
      <c r="K75" s="296">
        <f>IF(NOT(ISERROR(MATCH(J75,_xlfn.ANCHORARRAY(E86),0))),I88&amp;"Por favor no seleccionar los criterios de impacto",J75)</f>
        <v>0</v>
      </c>
      <c r="L75" s="314"/>
      <c r="M75" s="296"/>
      <c r="N75" s="299"/>
      <c r="O75" s="6">
        <v>5</v>
      </c>
      <c r="P75" s="123"/>
      <c r="Q75" s="124" t="str">
        <f t="shared" si="39"/>
        <v/>
      </c>
      <c r="R75" s="125"/>
      <c r="S75" s="125"/>
      <c r="T75" s="126" t="str">
        <f t="shared" si="36"/>
        <v/>
      </c>
      <c r="U75" s="125"/>
      <c r="V75" s="125"/>
      <c r="W75" s="125"/>
      <c r="X75" s="127" t="str">
        <f t="shared" si="40"/>
        <v/>
      </c>
      <c r="Y75" s="128" t="str">
        <f t="shared" si="1"/>
        <v/>
      </c>
      <c r="Z75" s="129" t="str">
        <f t="shared" si="37"/>
        <v/>
      </c>
      <c r="AA75" s="128" t="str">
        <f t="shared" si="3"/>
        <v/>
      </c>
      <c r="AB75" s="129" t="str">
        <f t="shared" si="41"/>
        <v/>
      </c>
      <c r="AC75" s="130" t="str">
        <f t="shared" ref="AC75:AC76" si="42">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31"/>
      <c r="AE75" s="132"/>
      <c r="AF75" s="133"/>
      <c r="AG75" s="134"/>
      <c r="AH75" s="134"/>
      <c r="AI75" s="132"/>
      <c r="AJ75" s="133"/>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37.5" hidden="1" customHeight="1" x14ac:dyDescent="0.3">
      <c r="A76" s="303"/>
      <c r="B76" s="306"/>
      <c r="C76" s="306"/>
      <c r="D76" s="306"/>
      <c r="E76" s="309"/>
      <c r="F76" s="306"/>
      <c r="G76" s="312"/>
      <c r="H76" s="315"/>
      <c r="I76" s="297"/>
      <c r="J76" s="318"/>
      <c r="K76" s="297">
        <f>IF(NOT(ISERROR(MATCH(J76,_xlfn.ANCHORARRAY(E87),0))),I89&amp;"Por favor no seleccionar los criterios de impacto",J76)</f>
        <v>0</v>
      </c>
      <c r="L76" s="315"/>
      <c r="M76" s="297"/>
      <c r="N76" s="300"/>
      <c r="O76" s="6">
        <v>6</v>
      </c>
      <c r="P76" s="123"/>
      <c r="Q76" s="124" t="str">
        <f t="shared" si="39"/>
        <v/>
      </c>
      <c r="R76" s="125"/>
      <c r="S76" s="125"/>
      <c r="T76" s="126" t="str">
        <f t="shared" si="36"/>
        <v/>
      </c>
      <c r="U76" s="125"/>
      <c r="V76" s="125"/>
      <c r="W76" s="125"/>
      <c r="X76" s="127" t="str">
        <f t="shared" si="40"/>
        <v/>
      </c>
      <c r="Y76" s="128" t="str">
        <f t="shared" si="1"/>
        <v/>
      </c>
      <c r="Z76" s="129" t="str">
        <f t="shared" si="37"/>
        <v/>
      </c>
      <c r="AA76" s="128" t="str">
        <f t="shared" si="3"/>
        <v/>
      </c>
      <c r="AB76" s="129" t="str">
        <f t="shared" si="41"/>
        <v/>
      </c>
      <c r="AC76" s="130" t="str">
        <f t="shared" si="42"/>
        <v/>
      </c>
      <c r="AD76" s="131"/>
      <c r="AE76" s="132"/>
      <c r="AF76" s="133"/>
      <c r="AG76" s="134"/>
      <c r="AH76" s="134"/>
      <c r="AI76" s="132"/>
      <c r="AJ76" s="133"/>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37.5" hidden="1" customHeight="1" x14ac:dyDescent="0.3">
      <c r="A77" s="301">
        <v>9</v>
      </c>
      <c r="B77" s="304"/>
      <c r="C77" s="304"/>
      <c r="D77" s="304"/>
      <c r="E77" s="307"/>
      <c r="F77" s="304"/>
      <c r="G77" s="310"/>
      <c r="H77" s="313" t="str">
        <f>IF(G77&lt;=0,"",IF(G77&lt;=2,"Muy Baja",IF(G77&lt;=24,"Baja",IF(G77&lt;=500,"Media",IF(G77&lt;=5000,"Alta","Muy Alta")))))</f>
        <v/>
      </c>
      <c r="I77" s="295" t="str">
        <f>IF(H77="","",IF(H77="Muy Baja",0.2,IF(H77="Baja",0.4,IF(H77="Media",0.6,IF(H77="Alta",0.8,IF(H77="Muy Alta",1,))))))</f>
        <v/>
      </c>
      <c r="J77" s="316"/>
      <c r="K77" s="295">
        <f>IF(NOT(ISERROR(MATCH(J77,'Tabla Impacto'!$B$221:$B$223,0))),'Tabla Impacto'!$F$223&amp;"Por favor no seleccionar los criterios de impacto(Afectación Económica o presupuestal y Pérdida Reputacional)",J77)</f>
        <v>0</v>
      </c>
      <c r="L77" s="313" t="str">
        <f>IF(OR(K77='Tabla Impacto'!$C$11,K77='Tabla Impacto'!$D$11),"Leve",IF(OR(K77='Tabla Impacto'!$C$12,K77='Tabla Impacto'!$D$12),"Menor",IF(OR(K77='Tabla Impacto'!$C$13,K77='Tabla Impacto'!$D$13),"Moderado",IF(OR(K77='Tabla Impacto'!$C$14,K77='Tabla Impacto'!$D$14),"Mayor",IF(OR(K77='Tabla Impacto'!$C$15,K77='Tabla Impacto'!$D$15),"Catastrófico","")))))</f>
        <v/>
      </c>
      <c r="M77" s="295" t="str">
        <f>IF(L77="","",IF(L77="Leve",0.2,IF(L77="Menor",0.4,IF(L77="Moderado",0.6,IF(L77="Mayor",0.8,IF(L77="Catastrófico",1,))))))</f>
        <v/>
      </c>
      <c r="N77" s="298"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
      </c>
      <c r="O77" s="6">
        <v>1</v>
      </c>
      <c r="P77" s="123"/>
      <c r="Q77" s="124" t="str">
        <f>IF(OR(R77="Preventivo",R77="Detectivo"),"Probabilidad",IF(R77="Correctivo","Impacto",""))</f>
        <v/>
      </c>
      <c r="R77" s="125"/>
      <c r="S77" s="125"/>
      <c r="T77" s="126" t="str">
        <f>IF(AND(R77="Preventivo",S77="Automático"),"50%",IF(AND(R77="Preventivo",S77="Manual"),"40%",IF(AND(R77="Detectivo",S77="Automático"),"40%",IF(AND(R77="Detectivo",S77="Manual"),"30%",IF(AND(R77="Correctivo",S77="Automático"),"35%",IF(AND(R77="Correctivo",S77="Manual"),"25%",""))))))</f>
        <v/>
      </c>
      <c r="U77" s="125"/>
      <c r="V77" s="125"/>
      <c r="W77" s="125"/>
      <c r="X77" s="127" t="str">
        <f>IFERROR(IF(Q77="Probabilidad",(I77-(+I77*T77)),IF(Q77="Impacto",I77,"")),"")</f>
        <v/>
      </c>
      <c r="Y77" s="128" t="str">
        <f>IFERROR(IF(X77="","",IF(X77&lt;=0.2,"Muy Baja",IF(X77&lt;=0.4,"Baja",IF(X77&lt;=0.6,"Media",IF(X77&lt;=0.8,"Alta","Muy Alta"))))),"")</f>
        <v/>
      </c>
      <c r="Z77" s="129" t="str">
        <f>+X77</f>
        <v/>
      </c>
      <c r="AA77" s="128" t="str">
        <f>IFERROR(IF(AB77="","",IF(AB77&lt;=0.2,"Leve",IF(AB77&lt;=0.4,"Menor",IF(AB77&lt;=0.6,"Moderado",IF(AB77&lt;=0.8,"Mayor","Catastrófico"))))),"")</f>
        <v/>
      </c>
      <c r="AB77" s="129" t="str">
        <f>IFERROR(IF(Q77="Impacto",(M77-(+M77*T77)),IF(Q77="Probabilidad",M77,"")),"")</f>
        <v/>
      </c>
      <c r="AC77" s="130" t="str">
        <f>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31"/>
      <c r="AE77" s="132"/>
      <c r="AF77" s="133"/>
      <c r="AG77" s="134"/>
      <c r="AH77" s="134"/>
      <c r="AI77" s="132"/>
      <c r="AJ77" s="133"/>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37.5" hidden="1" customHeight="1" x14ac:dyDescent="0.3">
      <c r="A78" s="302"/>
      <c r="B78" s="305"/>
      <c r="C78" s="305"/>
      <c r="D78" s="305"/>
      <c r="E78" s="308"/>
      <c r="F78" s="305"/>
      <c r="G78" s="311"/>
      <c r="H78" s="314"/>
      <c r="I78" s="296"/>
      <c r="J78" s="317"/>
      <c r="K78" s="296">
        <f>IF(NOT(ISERROR(MATCH(J78,_xlfn.ANCHORARRAY(E89),0))),I91&amp;"Por favor no seleccionar los criterios de impacto",J78)</f>
        <v>0</v>
      </c>
      <c r="L78" s="314"/>
      <c r="M78" s="296"/>
      <c r="N78" s="299"/>
      <c r="O78" s="6">
        <v>2</v>
      </c>
      <c r="P78" s="123"/>
      <c r="Q78" s="124" t="str">
        <f>IF(OR(R78="Preventivo",R78="Detectivo"),"Probabilidad",IF(R78="Correctivo","Impacto",""))</f>
        <v/>
      </c>
      <c r="R78" s="125"/>
      <c r="S78" s="125"/>
      <c r="T78" s="126" t="str">
        <f t="shared" ref="T78:T82" si="43">IF(AND(R78="Preventivo",S78="Automático"),"50%",IF(AND(R78="Preventivo",S78="Manual"),"40%",IF(AND(R78="Detectivo",S78="Automático"),"40%",IF(AND(R78="Detectivo",S78="Manual"),"30%",IF(AND(R78="Correctivo",S78="Automático"),"35%",IF(AND(R78="Correctivo",S78="Manual"),"25%",""))))))</f>
        <v/>
      </c>
      <c r="U78" s="125"/>
      <c r="V78" s="125"/>
      <c r="W78" s="125"/>
      <c r="X78" s="127" t="str">
        <f>IFERROR(IF(AND(Q77="Probabilidad",Q78="Probabilidad"),(Z77-(+Z77*T78)),IF(Q78="Probabilidad",(I77-(+I77*T78)),IF(Q78="Impacto",Z77,""))),"")</f>
        <v/>
      </c>
      <c r="Y78" s="128" t="str">
        <f t="shared" si="1"/>
        <v/>
      </c>
      <c r="Z78" s="129" t="str">
        <f t="shared" ref="Z78:Z82" si="44">+X78</f>
        <v/>
      </c>
      <c r="AA78" s="128" t="str">
        <f t="shared" si="3"/>
        <v/>
      </c>
      <c r="AB78" s="129" t="str">
        <f>IFERROR(IF(AND(Q77="Impacto",Q78="Impacto"),(AB77-(+AB77*T78)),IF(Q78="Impacto",(M77-(+M77*T78)),IF(Q78="Probabilidad",AB77,""))),"")</f>
        <v/>
      </c>
      <c r="AC78" s="130" t="str">
        <f t="shared" ref="AC78:AC79" si="45">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31"/>
      <c r="AE78" s="132"/>
      <c r="AF78" s="133"/>
      <c r="AG78" s="134"/>
      <c r="AH78" s="134"/>
      <c r="AI78" s="132"/>
      <c r="AJ78" s="133"/>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37.5" hidden="1" customHeight="1" x14ac:dyDescent="0.3">
      <c r="A79" s="302"/>
      <c r="B79" s="305"/>
      <c r="C79" s="305"/>
      <c r="D79" s="305"/>
      <c r="E79" s="308"/>
      <c r="F79" s="305"/>
      <c r="G79" s="311"/>
      <c r="H79" s="314"/>
      <c r="I79" s="296"/>
      <c r="J79" s="317"/>
      <c r="K79" s="296">
        <f>IF(NOT(ISERROR(MATCH(J79,_xlfn.ANCHORARRAY(E90),0))),I92&amp;"Por favor no seleccionar los criterios de impacto",J79)</f>
        <v>0</v>
      </c>
      <c r="L79" s="314"/>
      <c r="M79" s="296"/>
      <c r="N79" s="299"/>
      <c r="O79" s="6">
        <v>3</v>
      </c>
      <c r="P79" s="135"/>
      <c r="Q79" s="124" t="str">
        <f>IF(OR(R79="Preventivo",R79="Detectivo"),"Probabilidad",IF(R79="Correctivo","Impacto",""))</f>
        <v/>
      </c>
      <c r="R79" s="125"/>
      <c r="S79" s="125"/>
      <c r="T79" s="126" t="str">
        <f t="shared" si="43"/>
        <v/>
      </c>
      <c r="U79" s="125"/>
      <c r="V79" s="125"/>
      <c r="W79" s="125"/>
      <c r="X79" s="127" t="str">
        <f>IFERROR(IF(AND(Q78="Probabilidad",Q79="Probabilidad"),(Z78-(+Z78*T79)),IF(AND(Q78="Impacto",Q79="Probabilidad"),(Z77-(+Z77*T79)),IF(Q79="Impacto",Z78,""))),"")</f>
        <v/>
      </c>
      <c r="Y79" s="128" t="str">
        <f t="shared" si="1"/>
        <v/>
      </c>
      <c r="Z79" s="129" t="str">
        <f t="shared" si="44"/>
        <v/>
      </c>
      <c r="AA79" s="128" t="str">
        <f t="shared" si="3"/>
        <v/>
      </c>
      <c r="AB79" s="129" t="str">
        <f>IFERROR(IF(AND(Q78="Impacto",Q79="Impacto"),(AB78-(+AB78*T79)),IF(AND(Q78="Probabilidad",Q79="Impacto"),(AB77-(+AB77*T79)),IF(Q79="Probabilidad",AB78,""))),"")</f>
        <v/>
      </c>
      <c r="AC79" s="130" t="str">
        <f t="shared" si="45"/>
        <v/>
      </c>
      <c r="AD79" s="131"/>
      <c r="AE79" s="132"/>
      <c r="AF79" s="133"/>
      <c r="AG79" s="134"/>
      <c r="AH79" s="134"/>
      <c r="AI79" s="132"/>
      <c r="AJ79" s="133"/>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37.5" hidden="1" customHeight="1" x14ac:dyDescent="0.3">
      <c r="A80" s="302"/>
      <c r="B80" s="305"/>
      <c r="C80" s="305"/>
      <c r="D80" s="305"/>
      <c r="E80" s="308"/>
      <c r="F80" s="305"/>
      <c r="G80" s="311"/>
      <c r="H80" s="314"/>
      <c r="I80" s="296"/>
      <c r="J80" s="317"/>
      <c r="K80" s="296">
        <f>IF(NOT(ISERROR(MATCH(J80,_xlfn.ANCHORARRAY(E91),0))),I93&amp;"Por favor no seleccionar los criterios de impacto",J80)</f>
        <v>0</v>
      </c>
      <c r="L80" s="314"/>
      <c r="M80" s="296"/>
      <c r="N80" s="299"/>
      <c r="O80" s="6">
        <v>4</v>
      </c>
      <c r="P80" s="123"/>
      <c r="Q80" s="124" t="str">
        <f t="shared" ref="Q80:Q82" si="46">IF(OR(R80="Preventivo",R80="Detectivo"),"Probabilidad",IF(R80="Correctivo","Impacto",""))</f>
        <v/>
      </c>
      <c r="R80" s="125"/>
      <c r="S80" s="125"/>
      <c r="T80" s="126" t="str">
        <f t="shared" si="43"/>
        <v/>
      </c>
      <c r="U80" s="125"/>
      <c r="V80" s="125"/>
      <c r="W80" s="125"/>
      <c r="X80" s="127" t="str">
        <f t="shared" ref="X80:X82" si="47">IFERROR(IF(AND(Q79="Probabilidad",Q80="Probabilidad"),(Z79-(+Z79*T80)),IF(AND(Q79="Impacto",Q80="Probabilidad"),(Z78-(+Z78*T80)),IF(Q80="Impacto",Z79,""))),"")</f>
        <v/>
      </c>
      <c r="Y80" s="128" t="str">
        <f t="shared" si="1"/>
        <v/>
      </c>
      <c r="Z80" s="129" t="str">
        <f t="shared" si="44"/>
        <v/>
      </c>
      <c r="AA80" s="128" t="str">
        <f t="shared" si="3"/>
        <v/>
      </c>
      <c r="AB80" s="129" t="str">
        <f t="shared" ref="AB80:AB82" si="48">IFERROR(IF(AND(Q79="Impacto",Q80="Impacto"),(AB79-(+AB79*T80)),IF(AND(Q79="Probabilidad",Q80="Impacto"),(AB78-(+AB78*T80)),IF(Q80="Probabilidad",AB79,""))),"")</f>
        <v/>
      </c>
      <c r="AC80" s="130" t="str">
        <f>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31"/>
      <c r="AE80" s="132"/>
      <c r="AF80" s="133"/>
      <c r="AG80" s="134"/>
      <c r="AH80" s="134"/>
      <c r="AI80" s="132"/>
      <c r="AJ80" s="133"/>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37.5" hidden="1" customHeight="1" x14ac:dyDescent="0.3">
      <c r="A81" s="302"/>
      <c r="B81" s="305"/>
      <c r="C81" s="305"/>
      <c r="D81" s="305"/>
      <c r="E81" s="308"/>
      <c r="F81" s="305"/>
      <c r="G81" s="311"/>
      <c r="H81" s="314"/>
      <c r="I81" s="296"/>
      <c r="J81" s="317"/>
      <c r="K81" s="296">
        <f>IF(NOT(ISERROR(MATCH(J81,_xlfn.ANCHORARRAY(E92),0))),I94&amp;"Por favor no seleccionar los criterios de impacto",J81)</f>
        <v>0</v>
      </c>
      <c r="L81" s="314"/>
      <c r="M81" s="296"/>
      <c r="N81" s="299"/>
      <c r="O81" s="6">
        <v>5</v>
      </c>
      <c r="P81" s="123"/>
      <c r="Q81" s="124" t="str">
        <f t="shared" si="46"/>
        <v/>
      </c>
      <c r="R81" s="125"/>
      <c r="S81" s="125"/>
      <c r="T81" s="126" t="str">
        <f t="shared" si="43"/>
        <v/>
      </c>
      <c r="U81" s="125"/>
      <c r="V81" s="125"/>
      <c r="W81" s="125"/>
      <c r="X81" s="127" t="str">
        <f t="shared" si="47"/>
        <v/>
      </c>
      <c r="Y81" s="128" t="str">
        <f t="shared" si="1"/>
        <v/>
      </c>
      <c r="Z81" s="129" t="str">
        <f t="shared" si="44"/>
        <v/>
      </c>
      <c r="AA81" s="128" t="str">
        <f t="shared" si="3"/>
        <v/>
      </c>
      <c r="AB81" s="129" t="str">
        <f t="shared" si="48"/>
        <v/>
      </c>
      <c r="AC81" s="130" t="str">
        <f t="shared" ref="AC81:AC82" si="49">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31"/>
      <c r="AE81" s="132"/>
      <c r="AF81" s="133"/>
      <c r="AG81" s="134"/>
      <c r="AH81" s="134"/>
      <c r="AI81" s="132"/>
      <c r="AJ81" s="133"/>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37.5" hidden="1" customHeight="1" x14ac:dyDescent="0.3">
      <c r="A82" s="303"/>
      <c r="B82" s="306"/>
      <c r="C82" s="306"/>
      <c r="D82" s="306"/>
      <c r="E82" s="309"/>
      <c r="F82" s="306"/>
      <c r="G82" s="312"/>
      <c r="H82" s="315"/>
      <c r="I82" s="297"/>
      <c r="J82" s="318"/>
      <c r="K82" s="297">
        <f>IF(NOT(ISERROR(MATCH(J82,_xlfn.ANCHORARRAY(E93),0))),I95&amp;"Por favor no seleccionar los criterios de impacto",J82)</f>
        <v>0</v>
      </c>
      <c r="L82" s="315"/>
      <c r="M82" s="297"/>
      <c r="N82" s="300"/>
      <c r="O82" s="6">
        <v>6</v>
      </c>
      <c r="P82" s="123"/>
      <c r="Q82" s="124" t="str">
        <f t="shared" si="46"/>
        <v/>
      </c>
      <c r="R82" s="125"/>
      <c r="S82" s="125"/>
      <c r="T82" s="126" t="str">
        <f t="shared" si="43"/>
        <v/>
      </c>
      <c r="U82" s="125"/>
      <c r="V82" s="125"/>
      <c r="W82" s="125"/>
      <c r="X82" s="127" t="str">
        <f t="shared" si="47"/>
        <v/>
      </c>
      <c r="Y82" s="128" t="str">
        <f t="shared" si="1"/>
        <v/>
      </c>
      <c r="Z82" s="129" t="str">
        <f t="shared" si="44"/>
        <v/>
      </c>
      <c r="AA82" s="128" t="str">
        <f t="shared" si="3"/>
        <v/>
      </c>
      <c r="AB82" s="129" t="str">
        <f t="shared" si="48"/>
        <v/>
      </c>
      <c r="AC82" s="130" t="str">
        <f t="shared" si="49"/>
        <v/>
      </c>
      <c r="AD82" s="131"/>
      <c r="AE82" s="132"/>
      <c r="AF82" s="133"/>
      <c r="AG82" s="134"/>
      <c r="AH82" s="134"/>
      <c r="AI82" s="132"/>
      <c r="AJ82" s="133"/>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37.5" hidden="1" customHeight="1" x14ac:dyDescent="0.3">
      <c r="A83" s="301">
        <v>10</v>
      </c>
      <c r="B83" s="304"/>
      <c r="C83" s="304"/>
      <c r="D83" s="304"/>
      <c r="E83" s="307"/>
      <c r="F83" s="304"/>
      <c r="G83" s="310"/>
      <c r="H83" s="313" t="str">
        <f>IF(G83&lt;=0,"",IF(G83&lt;=2,"Muy Baja",IF(G83&lt;=24,"Baja",IF(G83&lt;=500,"Media",IF(G83&lt;=5000,"Alta","Muy Alta")))))</f>
        <v/>
      </c>
      <c r="I83" s="295" t="str">
        <f>IF(H83="","",IF(H83="Muy Baja",0.2,IF(H83="Baja",0.4,IF(H83="Media",0.6,IF(H83="Alta",0.8,IF(H83="Muy Alta",1,))))))</f>
        <v/>
      </c>
      <c r="J83" s="316"/>
      <c r="K83" s="295">
        <f>IF(NOT(ISERROR(MATCH(J83,'Tabla Impacto'!$B$221:$B$223,0))),'Tabla Impacto'!$F$223&amp;"Por favor no seleccionar los criterios de impacto(Afectación Económica o presupuestal y Pérdida Reputacional)",J83)</f>
        <v>0</v>
      </c>
      <c r="L83" s="313" t="str">
        <f>IF(OR(K83='Tabla Impacto'!$C$11,K83='Tabla Impacto'!$D$11),"Leve",IF(OR(K83='Tabla Impacto'!$C$12,K83='Tabla Impacto'!$D$12),"Menor",IF(OR(K83='Tabla Impacto'!$C$13,K83='Tabla Impacto'!$D$13),"Moderado",IF(OR(K83='Tabla Impacto'!$C$14,K83='Tabla Impacto'!$D$14),"Mayor",IF(OR(K83='Tabla Impacto'!$C$15,K83='Tabla Impacto'!$D$15),"Catastrófico","")))))</f>
        <v/>
      </c>
      <c r="M83" s="295" t="str">
        <f>IF(L83="","",IF(L83="Leve",0.2,IF(L83="Menor",0.4,IF(L83="Moderado",0.6,IF(L83="Mayor",0.8,IF(L83="Catastrófico",1,))))))</f>
        <v/>
      </c>
      <c r="N83" s="298" t="str">
        <f>IF(OR(AND(H83="Muy Baja",L83="Leve"),AND(H83="Muy Baja",L83="Menor"),AND(H83="Baja",L83="Leve")),"Bajo",IF(OR(AND(H83="Muy baja",L83="Moderado"),AND(H83="Baja",L83="Menor"),AND(H83="Baja",L83="Moderado"),AND(H83="Media",L83="Leve"),AND(H83="Media",L83="Menor"),AND(H83="Media",L83="Moderado"),AND(H83="Alta",L83="Leve"),AND(H83="Alta",L83="Menor")),"Moderado",IF(OR(AND(H83="Muy Baja",L83="Mayor"),AND(H83="Baja",L83="Mayor"),AND(H83="Media",L83="Mayor"),AND(H83="Alta",L83="Moderado"),AND(H83="Alta",L83="Mayor"),AND(H83="Muy Alta",L83="Leve"),AND(H83="Muy Alta",L83="Menor"),AND(H83="Muy Alta",L83="Moderado"),AND(H83="Muy Alta",L83="Mayor")),"Alto",IF(OR(AND(H83="Muy Baja",L83="Catastrófico"),AND(H83="Baja",L83="Catastrófico"),AND(H83="Media",L83="Catastrófico"),AND(H83="Alta",L83="Catastrófico"),AND(H83="Muy Alta",L83="Catastrófico")),"Extremo",""))))</f>
        <v/>
      </c>
      <c r="O83" s="6">
        <v>1</v>
      </c>
      <c r="P83" s="123"/>
      <c r="Q83" s="124" t="str">
        <f>IF(OR(R83="Preventivo",R83="Detectivo"),"Probabilidad",IF(R83="Correctivo","Impacto",""))</f>
        <v/>
      </c>
      <c r="R83" s="125"/>
      <c r="S83" s="125"/>
      <c r="T83" s="126" t="str">
        <f>IF(AND(R83="Preventivo",S83="Automático"),"50%",IF(AND(R83="Preventivo",S83="Manual"),"40%",IF(AND(R83="Detectivo",S83="Automático"),"40%",IF(AND(R83="Detectivo",S83="Manual"),"30%",IF(AND(R83="Correctivo",S83="Automático"),"35%",IF(AND(R83="Correctivo",S83="Manual"),"25%",""))))))</f>
        <v/>
      </c>
      <c r="U83" s="125"/>
      <c r="V83" s="125"/>
      <c r="W83" s="125"/>
      <c r="X83" s="127" t="str">
        <f>IFERROR(IF(Q83="Probabilidad",(I83-(+I83*T83)),IF(Q83="Impacto",I83,"")),"")</f>
        <v/>
      </c>
      <c r="Y83" s="128" t="str">
        <f>IFERROR(IF(X83="","",IF(X83&lt;=0.2,"Muy Baja",IF(X83&lt;=0.4,"Baja",IF(X83&lt;=0.6,"Media",IF(X83&lt;=0.8,"Alta","Muy Alta"))))),"")</f>
        <v/>
      </c>
      <c r="Z83" s="129" t="str">
        <f>+X83</f>
        <v/>
      </c>
      <c r="AA83" s="128" t="str">
        <f>IFERROR(IF(AB83="","",IF(AB83&lt;=0.2,"Leve",IF(AB83&lt;=0.4,"Menor",IF(AB83&lt;=0.6,"Moderado",IF(AB83&lt;=0.8,"Mayor","Catastrófico"))))),"")</f>
        <v/>
      </c>
      <c r="AB83" s="129" t="str">
        <f>IFERROR(IF(Q83="Impacto",(M83-(+M83*T83)),IF(Q83="Probabilidad",M83,"")),"")</f>
        <v/>
      </c>
      <c r="AC83" s="130" t="str">
        <f>IFERROR(IF(OR(AND(Y83="Muy Baja",AA83="Leve"),AND(Y83="Muy Baja",AA83="Menor"),AND(Y83="Baja",AA83="Leve")),"Bajo",IF(OR(AND(Y83="Muy baja",AA83="Moderado"),AND(Y83="Baja",AA83="Menor"),AND(Y83="Baja",AA83="Moderado"),AND(Y83="Media",AA83="Leve"),AND(Y83="Media",AA83="Menor"),AND(Y83="Media",AA83="Moderado"),AND(Y83="Alta",AA83="Leve"),AND(Y83="Alta",AA83="Menor")),"Moderado",IF(OR(AND(Y83="Muy Baja",AA83="Mayor"),AND(Y83="Baja",AA83="Mayor"),AND(Y83="Media",AA83="Mayor"),AND(Y83="Alta",AA83="Moderado"),AND(Y83="Alta",AA83="Mayor"),AND(Y83="Muy Alta",AA83="Leve"),AND(Y83="Muy Alta",AA83="Menor"),AND(Y83="Muy Alta",AA83="Moderado"),AND(Y83="Muy Alta",AA83="Mayor")),"Alto",IF(OR(AND(Y83="Muy Baja",AA83="Catastrófico"),AND(Y83="Baja",AA83="Catastrófico"),AND(Y83="Media",AA83="Catastrófico"),AND(Y83="Alta",AA83="Catastrófico"),AND(Y83="Muy Alta",AA83="Catastrófico")),"Extremo","")))),"")</f>
        <v/>
      </c>
      <c r="AD83" s="131"/>
      <c r="AE83" s="132"/>
      <c r="AF83" s="133"/>
      <c r="AG83" s="134"/>
      <c r="AH83" s="134"/>
      <c r="AI83" s="132"/>
      <c r="AJ83" s="133"/>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37.5" hidden="1" customHeight="1" x14ac:dyDescent="0.3">
      <c r="A84" s="302"/>
      <c r="B84" s="305"/>
      <c r="C84" s="305"/>
      <c r="D84" s="305"/>
      <c r="E84" s="308"/>
      <c r="F84" s="305"/>
      <c r="G84" s="311"/>
      <c r="H84" s="314"/>
      <c r="I84" s="296"/>
      <c r="J84" s="317"/>
      <c r="K84" s="296">
        <f>IF(NOT(ISERROR(MATCH(J84,_xlfn.ANCHORARRAY(E95),0))),I97&amp;"Por favor no seleccionar los criterios de impacto",J84)</f>
        <v>0</v>
      </c>
      <c r="L84" s="314"/>
      <c r="M84" s="296"/>
      <c r="N84" s="299"/>
      <c r="O84" s="6">
        <v>2</v>
      </c>
      <c r="P84" s="123"/>
      <c r="Q84" s="124" t="str">
        <f>IF(OR(R84="Preventivo",R84="Detectivo"),"Probabilidad",IF(R84="Correctivo","Impacto",""))</f>
        <v/>
      </c>
      <c r="R84" s="125"/>
      <c r="S84" s="125"/>
      <c r="T84" s="126" t="str">
        <f t="shared" ref="T84:T88" si="50">IF(AND(R84="Preventivo",S84="Automático"),"50%",IF(AND(R84="Preventivo",S84="Manual"),"40%",IF(AND(R84="Detectivo",S84="Automático"),"40%",IF(AND(R84="Detectivo",S84="Manual"),"30%",IF(AND(R84="Correctivo",S84="Automático"),"35%",IF(AND(R84="Correctivo",S84="Manual"),"25%",""))))))</f>
        <v/>
      </c>
      <c r="U84" s="125"/>
      <c r="V84" s="125"/>
      <c r="W84" s="125"/>
      <c r="X84" s="127" t="str">
        <f>IFERROR(IF(AND(Q83="Probabilidad",Q84="Probabilidad"),(Z83-(+Z83*T84)),IF(Q84="Probabilidad",(I83-(+I83*T84)),IF(Q84="Impacto",Z83,""))),"")</f>
        <v/>
      </c>
      <c r="Y84" s="128" t="str">
        <f t="shared" si="1"/>
        <v/>
      </c>
      <c r="Z84" s="129" t="str">
        <f t="shared" ref="Z84:Z88" si="51">+X84</f>
        <v/>
      </c>
      <c r="AA84" s="128" t="str">
        <f t="shared" si="3"/>
        <v/>
      </c>
      <c r="AB84" s="129" t="str">
        <f>IFERROR(IF(AND(Q83="Impacto",Q84="Impacto"),(AB83-(+AB83*T84)),IF(Q84="Impacto",(M83-(+M83*T84)),IF(Q84="Probabilidad",AB83,""))),"")</f>
        <v/>
      </c>
      <c r="AC84" s="130" t="str">
        <f t="shared" ref="AC84:AC85" si="52">IFERROR(IF(OR(AND(Y84="Muy Baja",AA84="Leve"),AND(Y84="Muy Baja",AA84="Menor"),AND(Y84="Baja",AA84="Leve")),"Bajo",IF(OR(AND(Y84="Muy baja",AA84="Moderado"),AND(Y84="Baja",AA84="Menor"),AND(Y84="Baja",AA84="Moderado"),AND(Y84="Media",AA84="Leve"),AND(Y84="Media",AA84="Menor"),AND(Y84="Media",AA84="Moderado"),AND(Y84="Alta",AA84="Leve"),AND(Y84="Alta",AA84="Menor")),"Moderado",IF(OR(AND(Y84="Muy Baja",AA84="Mayor"),AND(Y84="Baja",AA84="Mayor"),AND(Y84="Media",AA84="Mayor"),AND(Y84="Alta",AA84="Moderado"),AND(Y84="Alta",AA84="Mayor"),AND(Y84="Muy Alta",AA84="Leve"),AND(Y84="Muy Alta",AA84="Menor"),AND(Y84="Muy Alta",AA84="Moderado"),AND(Y84="Muy Alta",AA84="Mayor")),"Alto",IF(OR(AND(Y84="Muy Baja",AA84="Catastrófico"),AND(Y84="Baja",AA84="Catastrófico"),AND(Y84="Media",AA84="Catastrófico"),AND(Y84="Alta",AA84="Catastrófico"),AND(Y84="Muy Alta",AA84="Catastrófico")),"Extremo","")))),"")</f>
        <v/>
      </c>
      <c r="AD84" s="131"/>
      <c r="AE84" s="132"/>
      <c r="AF84" s="133"/>
      <c r="AG84" s="134"/>
      <c r="AH84" s="134"/>
      <c r="AI84" s="132"/>
      <c r="AJ84" s="133"/>
    </row>
    <row r="85" spans="1:68" ht="37.5" hidden="1" customHeight="1" x14ac:dyDescent="0.3">
      <c r="A85" s="302"/>
      <c r="B85" s="305"/>
      <c r="C85" s="305"/>
      <c r="D85" s="305"/>
      <c r="E85" s="308"/>
      <c r="F85" s="305"/>
      <c r="G85" s="311"/>
      <c r="H85" s="314"/>
      <c r="I85" s="296"/>
      <c r="J85" s="317"/>
      <c r="K85" s="296">
        <f>IF(NOT(ISERROR(MATCH(J85,_xlfn.ANCHORARRAY(E96),0))),I98&amp;"Por favor no seleccionar los criterios de impacto",J85)</f>
        <v>0</v>
      </c>
      <c r="L85" s="314"/>
      <c r="M85" s="296"/>
      <c r="N85" s="299"/>
      <c r="O85" s="6">
        <v>3</v>
      </c>
      <c r="P85" s="135"/>
      <c r="Q85" s="124" t="str">
        <f>IF(OR(R85="Preventivo",R85="Detectivo"),"Probabilidad",IF(R85="Correctivo","Impacto",""))</f>
        <v/>
      </c>
      <c r="R85" s="125"/>
      <c r="S85" s="125"/>
      <c r="T85" s="126" t="str">
        <f t="shared" si="50"/>
        <v/>
      </c>
      <c r="U85" s="125"/>
      <c r="V85" s="125"/>
      <c r="W85" s="125"/>
      <c r="X85" s="127" t="str">
        <f>IFERROR(IF(AND(Q84="Probabilidad",Q85="Probabilidad"),(Z84-(+Z84*T85)),IF(AND(Q84="Impacto",Q85="Probabilidad"),(Z83-(+Z83*T85)),IF(Q85="Impacto",Z84,""))),"")</f>
        <v/>
      </c>
      <c r="Y85" s="128" t="str">
        <f t="shared" si="1"/>
        <v/>
      </c>
      <c r="Z85" s="129" t="str">
        <f t="shared" si="51"/>
        <v/>
      </c>
      <c r="AA85" s="128" t="str">
        <f t="shared" si="3"/>
        <v/>
      </c>
      <c r="AB85" s="129" t="str">
        <f>IFERROR(IF(AND(Q84="Impacto",Q85="Impacto"),(AB84-(+AB84*T85)),IF(AND(Q84="Probabilidad",Q85="Impacto"),(AB83-(+AB83*T85)),IF(Q85="Probabilidad",AB84,""))),"")</f>
        <v/>
      </c>
      <c r="AC85" s="130" t="str">
        <f t="shared" si="52"/>
        <v/>
      </c>
      <c r="AD85" s="131"/>
      <c r="AE85" s="132"/>
      <c r="AF85" s="133"/>
      <c r="AG85" s="134"/>
      <c r="AH85" s="134"/>
      <c r="AI85" s="132"/>
      <c r="AJ85" s="133"/>
    </row>
    <row r="86" spans="1:68" ht="37.5" hidden="1" customHeight="1" x14ac:dyDescent="0.3">
      <c r="A86" s="302"/>
      <c r="B86" s="305"/>
      <c r="C86" s="305"/>
      <c r="D86" s="305"/>
      <c r="E86" s="308"/>
      <c r="F86" s="305"/>
      <c r="G86" s="311"/>
      <c r="H86" s="314"/>
      <c r="I86" s="296"/>
      <c r="J86" s="317"/>
      <c r="K86" s="296">
        <f>IF(NOT(ISERROR(MATCH(J86,_xlfn.ANCHORARRAY(E97),0))),I99&amp;"Por favor no seleccionar los criterios de impacto",J86)</f>
        <v>0</v>
      </c>
      <c r="L86" s="314"/>
      <c r="M86" s="296"/>
      <c r="N86" s="299"/>
      <c r="O86" s="6">
        <v>4</v>
      </c>
      <c r="P86" s="123"/>
      <c r="Q86" s="124" t="str">
        <f t="shared" ref="Q86:Q88" si="53">IF(OR(R86="Preventivo",R86="Detectivo"),"Probabilidad",IF(R86="Correctivo","Impacto",""))</f>
        <v/>
      </c>
      <c r="R86" s="125"/>
      <c r="S86" s="125"/>
      <c r="T86" s="126" t="str">
        <f t="shared" si="50"/>
        <v/>
      </c>
      <c r="U86" s="125"/>
      <c r="V86" s="125"/>
      <c r="W86" s="125"/>
      <c r="X86" s="127" t="str">
        <f t="shared" ref="X86:X88" si="54">IFERROR(IF(AND(Q85="Probabilidad",Q86="Probabilidad"),(Z85-(+Z85*T86)),IF(AND(Q85="Impacto",Q86="Probabilidad"),(Z84-(+Z84*T86)),IF(Q86="Impacto",Z85,""))),"")</f>
        <v/>
      </c>
      <c r="Y86" s="128" t="str">
        <f t="shared" si="1"/>
        <v/>
      </c>
      <c r="Z86" s="129" t="str">
        <f t="shared" si="51"/>
        <v/>
      </c>
      <c r="AA86" s="128" t="str">
        <f t="shared" si="3"/>
        <v/>
      </c>
      <c r="AB86" s="129" t="str">
        <f t="shared" ref="AB86:AB88" si="55">IFERROR(IF(AND(Q85="Impacto",Q86="Impacto"),(AB85-(+AB85*T86)),IF(AND(Q85="Probabilidad",Q86="Impacto"),(AB84-(+AB84*T86)),IF(Q86="Probabilidad",AB85,""))),"")</f>
        <v/>
      </c>
      <c r="AC86" s="130" t="str">
        <f>IFERROR(IF(OR(AND(Y86="Muy Baja",AA86="Leve"),AND(Y86="Muy Baja",AA86="Menor"),AND(Y86="Baja",AA86="Leve")),"Bajo",IF(OR(AND(Y86="Muy baja",AA86="Moderado"),AND(Y86="Baja",AA86="Menor"),AND(Y86="Baja",AA86="Moderado"),AND(Y86="Media",AA86="Leve"),AND(Y86="Media",AA86="Menor"),AND(Y86="Media",AA86="Moderado"),AND(Y86="Alta",AA86="Leve"),AND(Y86="Alta",AA86="Menor")),"Moderado",IF(OR(AND(Y86="Muy Baja",AA86="Mayor"),AND(Y86="Baja",AA86="Mayor"),AND(Y86="Media",AA86="Mayor"),AND(Y86="Alta",AA86="Moderado"),AND(Y86="Alta",AA86="Mayor"),AND(Y86="Muy Alta",AA86="Leve"),AND(Y86="Muy Alta",AA86="Menor"),AND(Y86="Muy Alta",AA86="Moderado"),AND(Y86="Muy Alta",AA86="Mayor")),"Alto",IF(OR(AND(Y86="Muy Baja",AA86="Catastrófico"),AND(Y86="Baja",AA86="Catastrófico"),AND(Y86="Media",AA86="Catastrófico"),AND(Y86="Alta",AA86="Catastrófico"),AND(Y86="Muy Alta",AA86="Catastrófico")),"Extremo","")))),"")</f>
        <v/>
      </c>
      <c r="AD86" s="131"/>
      <c r="AE86" s="132"/>
      <c r="AF86" s="133"/>
      <c r="AG86" s="134"/>
      <c r="AH86" s="134"/>
      <c r="AI86" s="132"/>
      <c r="AJ86" s="133"/>
    </row>
    <row r="87" spans="1:68" ht="37.5" hidden="1" customHeight="1" x14ac:dyDescent="0.3">
      <c r="A87" s="302"/>
      <c r="B87" s="305"/>
      <c r="C87" s="305"/>
      <c r="D87" s="305"/>
      <c r="E87" s="308"/>
      <c r="F87" s="305"/>
      <c r="G87" s="311"/>
      <c r="H87" s="314"/>
      <c r="I87" s="296"/>
      <c r="J87" s="317"/>
      <c r="K87" s="296">
        <f>IF(NOT(ISERROR(MATCH(J87,_xlfn.ANCHORARRAY(E98),0))),I100&amp;"Por favor no seleccionar los criterios de impacto",J87)</f>
        <v>0</v>
      </c>
      <c r="L87" s="314"/>
      <c r="M87" s="296"/>
      <c r="N87" s="299"/>
      <c r="O87" s="6">
        <v>5</v>
      </c>
      <c r="P87" s="123"/>
      <c r="Q87" s="124" t="str">
        <f t="shared" si="53"/>
        <v/>
      </c>
      <c r="R87" s="125"/>
      <c r="S87" s="125"/>
      <c r="T87" s="126" t="str">
        <f t="shared" si="50"/>
        <v/>
      </c>
      <c r="U87" s="125"/>
      <c r="V87" s="125"/>
      <c r="W87" s="125"/>
      <c r="X87" s="127" t="str">
        <f t="shared" si="54"/>
        <v/>
      </c>
      <c r="Y87" s="128" t="str">
        <f t="shared" si="1"/>
        <v/>
      </c>
      <c r="Z87" s="129" t="str">
        <f t="shared" si="51"/>
        <v/>
      </c>
      <c r="AA87" s="128" t="str">
        <f t="shared" si="3"/>
        <v/>
      </c>
      <c r="AB87" s="129" t="str">
        <f t="shared" si="55"/>
        <v/>
      </c>
      <c r="AC87" s="130" t="str">
        <f t="shared" ref="AC87:AC88" si="56">IFERROR(IF(OR(AND(Y87="Muy Baja",AA87="Leve"),AND(Y87="Muy Baja",AA87="Menor"),AND(Y87="Baja",AA87="Leve")),"Bajo",IF(OR(AND(Y87="Muy baja",AA87="Moderado"),AND(Y87="Baja",AA87="Menor"),AND(Y87="Baja",AA87="Moderado"),AND(Y87="Media",AA87="Leve"),AND(Y87="Media",AA87="Menor"),AND(Y87="Media",AA87="Moderado"),AND(Y87="Alta",AA87="Leve"),AND(Y87="Alta",AA87="Menor")),"Moderado",IF(OR(AND(Y87="Muy Baja",AA87="Mayor"),AND(Y87="Baja",AA87="Mayor"),AND(Y87="Media",AA87="Mayor"),AND(Y87="Alta",AA87="Moderado"),AND(Y87="Alta",AA87="Mayor"),AND(Y87="Muy Alta",AA87="Leve"),AND(Y87="Muy Alta",AA87="Menor"),AND(Y87="Muy Alta",AA87="Moderado"),AND(Y87="Muy Alta",AA87="Mayor")),"Alto",IF(OR(AND(Y87="Muy Baja",AA87="Catastrófico"),AND(Y87="Baja",AA87="Catastrófico"),AND(Y87="Media",AA87="Catastrófico"),AND(Y87="Alta",AA87="Catastrófico"),AND(Y87="Muy Alta",AA87="Catastrófico")),"Extremo","")))),"")</f>
        <v/>
      </c>
      <c r="AD87" s="131"/>
      <c r="AE87" s="132"/>
      <c r="AF87" s="133"/>
      <c r="AG87" s="134"/>
      <c r="AH87" s="134"/>
      <c r="AI87" s="132"/>
      <c r="AJ87" s="133"/>
    </row>
    <row r="88" spans="1:68" ht="37.5" hidden="1" customHeight="1" x14ac:dyDescent="0.3">
      <c r="A88" s="303"/>
      <c r="B88" s="306"/>
      <c r="C88" s="306"/>
      <c r="D88" s="306"/>
      <c r="E88" s="309"/>
      <c r="F88" s="306"/>
      <c r="G88" s="312"/>
      <c r="H88" s="315"/>
      <c r="I88" s="297"/>
      <c r="J88" s="318"/>
      <c r="K88" s="297">
        <f>IF(NOT(ISERROR(MATCH(J88,_xlfn.ANCHORARRAY(E99),0))),I101&amp;"Por favor no seleccionar los criterios de impacto",J88)</f>
        <v>0</v>
      </c>
      <c r="L88" s="315"/>
      <c r="M88" s="297"/>
      <c r="N88" s="300"/>
      <c r="O88" s="6">
        <v>6</v>
      </c>
      <c r="P88" s="123"/>
      <c r="Q88" s="124" t="str">
        <f t="shared" si="53"/>
        <v/>
      </c>
      <c r="R88" s="125"/>
      <c r="S88" s="125"/>
      <c r="T88" s="126" t="str">
        <f t="shared" si="50"/>
        <v/>
      </c>
      <c r="U88" s="125"/>
      <c r="V88" s="125"/>
      <c r="W88" s="125"/>
      <c r="X88" s="127" t="str">
        <f t="shared" si="54"/>
        <v/>
      </c>
      <c r="Y88" s="128" t="str">
        <f t="shared" si="1"/>
        <v/>
      </c>
      <c r="Z88" s="129" t="str">
        <f t="shared" si="51"/>
        <v/>
      </c>
      <c r="AA88" s="128" t="str">
        <f t="shared" si="3"/>
        <v/>
      </c>
      <c r="AB88" s="129" t="str">
        <f t="shared" si="55"/>
        <v/>
      </c>
      <c r="AC88" s="130" t="str">
        <f t="shared" si="56"/>
        <v/>
      </c>
      <c r="AD88" s="131"/>
      <c r="AE88" s="132"/>
      <c r="AF88" s="133"/>
      <c r="AG88" s="134"/>
      <c r="AH88" s="134"/>
      <c r="AI88" s="132"/>
      <c r="AJ88" s="133"/>
    </row>
    <row r="89" spans="1:68" ht="49.5" customHeight="1" x14ac:dyDescent="0.3">
      <c r="A89" s="6"/>
      <c r="B89" s="292" t="s">
        <v>89</v>
      </c>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4"/>
    </row>
    <row r="91" spans="1:68" x14ac:dyDescent="0.3">
      <c r="A91" s="1"/>
      <c r="B91" s="24"/>
      <c r="C91" s="1"/>
      <c r="D91" s="1"/>
      <c r="F91" s="1"/>
    </row>
  </sheetData>
  <dataConsolidate/>
  <mergeCells count="302">
    <mergeCell ref="AE47:AE52"/>
    <mergeCell ref="AF47:AF52"/>
    <mergeCell ref="AG47:AG52"/>
    <mergeCell ref="AH47:AH52"/>
    <mergeCell ref="AI47:AI52"/>
    <mergeCell ref="AJ47:AJ52"/>
    <mergeCell ref="AE53:AE58"/>
    <mergeCell ref="AF53:AF58"/>
    <mergeCell ref="AG53:AG58"/>
    <mergeCell ref="AH53:AH58"/>
    <mergeCell ref="AI53:AI58"/>
    <mergeCell ref="AJ53:AJ58"/>
    <mergeCell ref="AE38:AE40"/>
    <mergeCell ref="AF38:AF40"/>
    <mergeCell ref="AG38:AG40"/>
    <mergeCell ref="AH38:AH40"/>
    <mergeCell ref="AI38:AI40"/>
    <mergeCell ref="AJ38:AJ40"/>
    <mergeCell ref="AE41:AE46"/>
    <mergeCell ref="AF41:AF46"/>
    <mergeCell ref="AG41:AG46"/>
    <mergeCell ref="AH41:AH46"/>
    <mergeCell ref="AI41:AI46"/>
    <mergeCell ref="AJ41:AJ46"/>
    <mergeCell ref="A1:AE5"/>
    <mergeCell ref="W16:AB16"/>
    <mergeCell ref="W18:AB18"/>
    <mergeCell ref="A19:J19"/>
    <mergeCell ref="N7:S7"/>
    <mergeCell ref="W9:AB9"/>
    <mergeCell ref="W12:AB12"/>
    <mergeCell ref="P8:S8"/>
    <mergeCell ref="P9:S9"/>
    <mergeCell ref="P10:S10"/>
    <mergeCell ref="P11:S11"/>
    <mergeCell ref="P12:S12"/>
    <mergeCell ref="P13:S13"/>
    <mergeCell ref="P14:S14"/>
    <mergeCell ref="P15:S15"/>
    <mergeCell ref="P16:S16"/>
    <mergeCell ref="P17:S17"/>
    <mergeCell ref="P18:S18"/>
    <mergeCell ref="J27:J28"/>
    <mergeCell ref="K27:K28"/>
    <mergeCell ref="Q27:Q28"/>
    <mergeCell ref="R27:W27"/>
    <mergeCell ref="F29:F34"/>
    <mergeCell ref="G29:G34"/>
    <mergeCell ref="H29:H34"/>
    <mergeCell ref="A29:A34"/>
    <mergeCell ref="B29:B34"/>
    <mergeCell ref="D29:D34"/>
    <mergeCell ref="E29:E34"/>
    <mergeCell ref="N29:N34"/>
    <mergeCell ref="I29:I34"/>
    <mergeCell ref="J29:J34"/>
    <mergeCell ref="K29:K34"/>
    <mergeCell ref="L29:L34"/>
    <mergeCell ref="M29:M34"/>
    <mergeCell ref="C30:C34"/>
    <mergeCell ref="V30:V33"/>
    <mergeCell ref="A25:B25"/>
    <mergeCell ref="A27:A28"/>
    <mergeCell ref="F27:F28"/>
    <mergeCell ref="E27:E28"/>
    <mergeCell ref="D27:D28"/>
    <mergeCell ref="C27:C28"/>
    <mergeCell ref="AD27:AD28"/>
    <mergeCell ref="C24:N24"/>
    <mergeCell ref="C25:N25"/>
    <mergeCell ref="O27:O28"/>
    <mergeCell ref="AC27:AC28"/>
    <mergeCell ref="AB27:AB28"/>
    <mergeCell ref="X27:X28"/>
    <mergeCell ref="P27:P28"/>
    <mergeCell ref="AA27:AA28"/>
    <mergeCell ref="Y27:Y28"/>
    <mergeCell ref="Z27:Z28"/>
    <mergeCell ref="G27:G28"/>
    <mergeCell ref="H27:H28"/>
    <mergeCell ref="I27:I28"/>
    <mergeCell ref="L27:L28"/>
    <mergeCell ref="M27:M28"/>
    <mergeCell ref="B27:B28"/>
    <mergeCell ref="N27:N28"/>
    <mergeCell ref="J41:J46"/>
    <mergeCell ref="K41:K46"/>
    <mergeCell ref="L41:L46"/>
    <mergeCell ref="F35:F40"/>
    <mergeCell ref="G35:G40"/>
    <mergeCell ref="H35:H40"/>
    <mergeCell ref="I35:I40"/>
    <mergeCell ref="J35:J40"/>
    <mergeCell ref="A35:A40"/>
    <mergeCell ref="B35:B40"/>
    <mergeCell ref="D35:D40"/>
    <mergeCell ref="E35:E40"/>
    <mergeCell ref="C37:C40"/>
    <mergeCell ref="M41:M46"/>
    <mergeCell ref="N41:N46"/>
    <mergeCell ref="A47:A52"/>
    <mergeCell ref="B47:B52"/>
    <mergeCell ref="C47:C52"/>
    <mergeCell ref="D47:D52"/>
    <mergeCell ref="E47:E52"/>
    <mergeCell ref="F47:F52"/>
    <mergeCell ref="G47:G52"/>
    <mergeCell ref="H47:H52"/>
    <mergeCell ref="I47:I52"/>
    <mergeCell ref="J47:J52"/>
    <mergeCell ref="K47:K52"/>
    <mergeCell ref="L47:L52"/>
    <mergeCell ref="M47:M52"/>
    <mergeCell ref="N47:N52"/>
    <mergeCell ref="A41:A46"/>
    <mergeCell ref="B41:B46"/>
    <mergeCell ref="D41:D46"/>
    <mergeCell ref="E41:E46"/>
    <mergeCell ref="F41:F46"/>
    <mergeCell ref="G41:G46"/>
    <mergeCell ref="H41:H46"/>
    <mergeCell ref="I41:I46"/>
    <mergeCell ref="M53:M58"/>
    <mergeCell ref="N53:N58"/>
    <mergeCell ref="M59:M64"/>
    <mergeCell ref="N59:N64"/>
    <mergeCell ref="J65:J70"/>
    <mergeCell ref="K65:K70"/>
    <mergeCell ref="L65:L70"/>
    <mergeCell ref="A53:A58"/>
    <mergeCell ref="B53:B58"/>
    <mergeCell ref="C53:C58"/>
    <mergeCell ref="A59:A64"/>
    <mergeCell ref="B59:B64"/>
    <mergeCell ref="C59:C64"/>
    <mergeCell ref="D59:D64"/>
    <mergeCell ref="E59:E64"/>
    <mergeCell ref="F59:F64"/>
    <mergeCell ref="D53:D58"/>
    <mergeCell ref="E53:E58"/>
    <mergeCell ref="J59:J64"/>
    <mergeCell ref="K59:K64"/>
    <mergeCell ref="L59:L64"/>
    <mergeCell ref="F53:F58"/>
    <mergeCell ref="G53:G58"/>
    <mergeCell ref="H53:H58"/>
    <mergeCell ref="I53:I58"/>
    <mergeCell ref="J53:J58"/>
    <mergeCell ref="G59:G64"/>
    <mergeCell ref="H59:H64"/>
    <mergeCell ref="I59:I64"/>
    <mergeCell ref="K53:K58"/>
    <mergeCell ref="L53:L58"/>
    <mergeCell ref="A71:A76"/>
    <mergeCell ref="B71:B76"/>
    <mergeCell ref="C71:C76"/>
    <mergeCell ref="D71:D76"/>
    <mergeCell ref="E71:E76"/>
    <mergeCell ref="A65:A70"/>
    <mergeCell ref="B65:B70"/>
    <mergeCell ref="C65:C70"/>
    <mergeCell ref="D65:D70"/>
    <mergeCell ref="E65:E70"/>
    <mergeCell ref="E77:E82"/>
    <mergeCell ref="F77:F82"/>
    <mergeCell ref="G77:G82"/>
    <mergeCell ref="H77:H82"/>
    <mergeCell ref="I77:I82"/>
    <mergeCell ref="M65:M70"/>
    <mergeCell ref="N65:N70"/>
    <mergeCell ref="F71:F76"/>
    <mergeCell ref="G71:G76"/>
    <mergeCell ref="H71:H76"/>
    <mergeCell ref="I71:I76"/>
    <mergeCell ref="J71:J76"/>
    <mergeCell ref="F65:F70"/>
    <mergeCell ref="G65:G70"/>
    <mergeCell ref="H65:H70"/>
    <mergeCell ref="I65:I70"/>
    <mergeCell ref="K71:K76"/>
    <mergeCell ref="L71:L76"/>
    <mergeCell ref="M71:M76"/>
    <mergeCell ref="N71:N76"/>
    <mergeCell ref="B89:AJ89"/>
    <mergeCell ref="M77:M82"/>
    <mergeCell ref="N77:N82"/>
    <mergeCell ref="A83:A88"/>
    <mergeCell ref="B83:B88"/>
    <mergeCell ref="C83:C88"/>
    <mergeCell ref="D83:D88"/>
    <mergeCell ref="E83:E88"/>
    <mergeCell ref="F83:F88"/>
    <mergeCell ref="G83:G88"/>
    <mergeCell ref="H83:H88"/>
    <mergeCell ref="I83:I88"/>
    <mergeCell ref="J83:J88"/>
    <mergeCell ref="K83:K88"/>
    <mergeCell ref="L83:L88"/>
    <mergeCell ref="M83:M88"/>
    <mergeCell ref="N83:N88"/>
    <mergeCell ref="J77:J82"/>
    <mergeCell ref="K77:K82"/>
    <mergeCell ref="L77:L82"/>
    <mergeCell ref="A77:A82"/>
    <mergeCell ref="B77:B82"/>
    <mergeCell ref="C77:C82"/>
    <mergeCell ref="D77:D82"/>
    <mergeCell ref="O38:O40"/>
    <mergeCell ref="P38:P40"/>
    <mergeCell ref="T30:T33"/>
    <mergeCell ref="C23:N23"/>
    <mergeCell ref="O23:Q23"/>
    <mergeCell ref="A20:AJ21"/>
    <mergeCell ref="A26:G26"/>
    <mergeCell ref="H26:N26"/>
    <mergeCell ref="O26:W26"/>
    <mergeCell ref="X26:AD26"/>
    <mergeCell ref="AE26:AJ26"/>
    <mergeCell ref="K35:K40"/>
    <mergeCell ref="L35:L40"/>
    <mergeCell ref="M35:M40"/>
    <mergeCell ref="N35:N40"/>
    <mergeCell ref="AE27:AE28"/>
    <mergeCell ref="AJ27:AJ28"/>
    <mergeCell ref="AI27:AI28"/>
    <mergeCell ref="AH27:AH28"/>
    <mergeCell ref="AG27:AG28"/>
    <mergeCell ref="AF27:AF28"/>
    <mergeCell ref="A23:B23"/>
    <mergeCell ref="A24:B24"/>
    <mergeCell ref="W30:W33"/>
    <mergeCell ref="Y30:Y33"/>
    <mergeCell ref="AA30:AA33"/>
    <mergeCell ref="Z30:Z33"/>
    <mergeCell ref="AB30:AB33"/>
    <mergeCell ref="AC30:AC33"/>
    <mergeCell ref="O30:O33"/>
    <mergeCell ref="P30:P33"/>
    <mergeCell ref="Q30:Q33"/>
    <mergeCell ref="R30:R33"/>
    <mergeCell ref="S30:S33"/>
    <mergeCell ref="W38:W40"/>
    <mergeCell ref="Y38:Y40"/>
    <mergeCell ref="Z38:Z40"/>
    <mergeCell ref="O53:O58"/>
    <mergeCell ref="P53:P58"/>
    <mergeCell ref="AD30:AD33"/>
    <mergeCell ref="P41:P46"/>
    <mergeCell ref="O41:O46"/>
    <mergeCell ref="Q41:Q46"/>
    <mergeCell ref="R41:R46"/>
    <mergeCell ref="S41:S46"/>
    <mergeCell ref="T41:T46"/>
    <mergeCell ref="U41:U46"/>
    <mergeCell ref="V41:V46"/>
    <mergeCell ref="W41:W46"/>
    <mergeCell ref="Y41:Y46"/>
    <mergeCell ref="Z41:Z46"/>
    <mergeCell ref="AA41:AA46"/>
    <mergeCell ref="AB41:AB46"/>
    <mergeCell ref="AC41:AC46"/>
    <mergeCell ref="AD41:AD46"/>
    <mergeCell ref="O47:O52"/>
    <mergeCell ref="P47:P52"/>
    <mergeCell ref="U30:U33"/>
    <mergeCell ref="AA38:AA40"/>
    <mergeCell ref="AB38:AB40"/>
    <mergeCell ref="AC38:AC40"/>
    <mergeCell ref="AD38:AD40"/>
    <mergeCell ref="C41:C46"/>
    <mergeCell ref="Q47:Q52"/>
    <mergeCell ref="R47:R52"/>
    <mergeCell ref="S47:S52"/>
    <mergeCell ref="T47:T52"/>
    <mergeCell ref="U47:U52"/>
    <mergeCell ref="V47:V52"/>
    <mergeCell ref="W47:W52"/>
    <mergeCell ref="Y47:Y52"/>
    <mergeCell ref="Z47:Z52"/>
    <mergeCell ref="AA47:AA52"/>
    <mergeCell ref="AB47:AB52"/>
    <mergeCell ref="AC47:AC52"/>
    <mergeCell ref="AD47:AD52"/>
    <mergeCell ref="Q38:Q40"/>
    <mergeCell ref="R38:R40"/>
    <mergeCell ref="S38:S40"/>
    <mergeCell ref="T38:T40"/>
    <mergeCell ref="U38:U40"/>
    <mergeCell ref="V38:V40"/>
    <mergeCell ref="AA53:AA58"/>
    <mergeCell ref="AB53:AB58"/>
    <mergeCell ref="AC53:AC58"/>
    <mergeCell ref="AD53:AD58"/>
    <mergeCell ref="Q53:Q58"/>
    <mergeCell ref="R53:R58"/>
    <mergeCell ref="S53:S58"/>
    <mergeCell ref="T53:T58"/>
    <mergeCell ref="U53:U58"/>
    <mergeCell ref="V53:V58"/>
    <mergeCell ref="W53:W58"/>
    <mergeCell ref="Y53:Y58"/>
    <mergeCell ref="Z53:Z58"/>
  </mergeCells>
  <conditionalFormatting sqref="H29 H35">
    <cfRule type="cellIs" dxfId="234" priority="333" operator="equal">
      <formula>"Muy Alta"</formula>
    </cfRule>
    <cfRule type="cellIs" dxfId="233" priority="334" operator="equal">
      <formula>"Alta"</formula>
    </cfRule>
    <cfRule type="cellIs" dxfId="232" priority="335" operator="equal">
      <formula>"Media"</formula>
    </cfRule>
    <cfRule type="cellIs" dxfId="231" priority="336" operator="equal">
      <formula>"Baja"</formula>
    </cfRule>
    <cfRule type="cellIs" dxfId="230" priority="337" operator="equal">
      <formula>"Muy Baja"</formula>
    </cfRule>
  </conditionalFormatting>
  <conditionalFormatting sqref="L29 L35 L41 L47 L53 L59 L65 L71 L77 L83">
    <cfRule type="cellIs" dxfId="229" priority="328" operator="equal">
      <formula>"Catastrófico"</formula>
    </cfRule>
    <cfRule type="cellIs" dxfId="228" priority="329" operator="equal">
      <formula>"Mayor"</formula>
    </cfRule>
    <cfRule type="cellIs" dxfId="227" priority="330" operator="equal">
      <formula>"Moderado"</formula>
    </cfRule>
    <cfRule type="cellIs" dxfId="226" priority="331" operator="equal">
      <formula>"Menor"</formula>
    </cfRule>
    <cfRule type="cellIs" dxfId="225" priority="332" operator="equal">
      <formula>"Leve"</formula>
    </cfRule>
  </conditionalFormatting>
  <conditionalFormatting sqref="N29">
    <cfRule type="cellIs" dxfId="224" priority="324" operator="equal">
      <formula>"Extremo"</formula>
    </cfRule>
    <cfRule type="cellIs" dxfId="223" priority="325" operator="equal">
      <formula>"Alto"</formula>
    </cfRule>
    <cfRule type="cellIs" dxfId="222" priority="326" operator="equal">
      <formula>"Moderado"</formula>
    </cfRule>
    <cfRule type="cellIs" dxfId="221" priority="327" operator="equal">
      <formula>"Bajo"</formula>
    </cfRule>
  </conditionalFormatting>
  <conditionalFormatting sqref="Y29:Y30 Y34">
    <cfRule type="cellIs" dxfId="220" priority="319" operator="equal">
      <formula>"Muy Alta"</formula>
    </cfRule>
    <cfRule type="cellIs" dxfId="219" priority="320" operator="equal">
      <formula>"Alta"</formula>
    </cfRule>
    <cfRule type="cellIs" dxfId="218" priority="321" operator="equal">
      <formula>"Media"</formula>
    </cfRule>
    <cfRule type="cellIs" dxfId="217" priority="322" operator="equal">
      <formula>"Baja"</formula>
    </cfRule>
    <cfRule type="cellIs" dxfId="216" priority="323" operator="equal">
      <formula>"Muy Baja"</formula>
    </cfRule>
  </conditionalFormatting>
  <conditionalFormatting sqref="AA29:AA30 AA34">
    <cfRule type="cellIs" dxfId="215" priority="314" operator="equal">
      <formula>"Catastrófico"</formula>
    </cfRule>
    <cfRule type="cellIs" dxfId="214" priority="315" operator="equal">
      <formula>"Mayor"</formula>
    </cfRule>
    <cfRule type="cellIs" dxfId="213" priority="316" operator="equal">
      <formula>"Moderado"</formula>
    </cfRule>
    <cfRule type="cellIs" dxfId="212" priority="317" operator="equal">
      <formula>"Menor"</formula>
    </cfRule>
    <cfRule type="cellIs" dxfId="211" priority="318" operator="equal">
      <formula>"Leve"</formula>
    </cfRule>
  </conditionalFormatting>
  <conditionalFormatting sqref="AC29:AC30 AC34">
    <cfRule type="cellIs" dxfId="210" priority="310" operator="equal">
      <formula>"Extremo"</formula>
    </cfRule>
    <cfRule type="cellIs" dxfId="209" priority="311" operator="equal">
      <formula>"Alto"</formula>
    </cfRule>
    <cfRule type="cellIs" dxfId="208" priority="312" operator="equal">
      <formula>"Moderado"</formula>
    </cfRule>
    <cfRule type="cellIs" dxfId="207" priority="313" operator="equal">
      <formula>"Bajo"</formula>
    </cfRule>
  </conditionalFormatting>
  <conditionalFormatting sqref="H77">
    <cfRule type="cellIs" dxfId="206" priority="67" operator="equal">
      <formula>"Muy Alta"</formula>
    </cfRule>
    <cfRule type="cellIs" dxfId="205" priority="68" operator="equal">
      <formula>"Alta"</formula>
    </cfRule>
    <cfRule type="cellIs" dxfId="204" priority="69" operator="equal">
      <formula>"Media"</formula>
    </cfRule>
    <cfRule type="cellIs" dxfId="203" priority="70" operator="equal">
      <formula>"Baja"</formula>
    </cfRule>
    <cfRule type="cellIs" dxfId="202" priority="71" operator="equal">
      <formula>"Muy Baja"</formula>
    </cfRule>
  </conditionalFormatting>
  <conditionalFormatting sqref="N35">
    <cfRule type="cellIs" dxfId="201" priority="254" operator="equal">
      <formula>"Extremo"</formula>
    </cfRule>
    <cfRule type="cellIs" dxfId="200" priority="255" operator="equal">
      <formula>"Alto"</formula>
    </cfRule>
    <cfRule type="cellIs" dxfId="199" priority="256" operator="equal">
      <formula>"Moderado"</formula>
    </cfRule>
    <cfRule type="cellIs" dxfId="198" priority="257" operator="equal">
      <formula>"Bajo"</formula>
    </cfRule>
  </conditionalFormatting>
  <conditionalFormatting sqref="Y35:Y38">
    <cfRule type="cellIs" dxfId="197" priority="249" operator="equal">
      <formula>"Muy Alta"</formula>
    </cfRule>
    <cfRule type="cellIs" dxfId="196" priority="250" operator="equal">
      <formula>"Alta"</formula>
    </cfRule>
    <cfRule type="cellIs" dxfId="195" priority="251" operator="equal">
      <formula>"Media"</formula>
    </cfRule>
    <cfRule type="cellIs" dxfId="194" priority="252" operator="equal">
      <formula>"Baja"</formula>
    </cfRule>
    <cfRule type="cellIs" dxfId="193" priority="253" operator="equal">
      <formula>"Muy Baja"</formula>
    </cfRule>
  </conditionalFormatting>
  <conditionalFormatting sqref="AA35:AA38">
    <cfRule type="cellIs" dxfId="192" priority="244" operator="equal">
      <formula>"Catastrófico"</formula>
    </cfRule>
    <cfRule type="cellIs" dxfId="191" priority="245" operator="equal">
      <formula>"Mayor"</formula>
    </cfRule>
    <cfRule type="cellIs" dxfId="190" priority="246" operator="equal">
      <formula>"Moderado"</formula>
    </cfRule>
    <cfRule type="cellIs" dxfId="189" priority="247" operator="equal">
      <formula>"Menor"</formula>
    </cfRule>
    <cfRule type="cellIs" dxfId="188" priority="248" operator="equal">
      <formula>"Leve"</formula>
    </cfRule>
  </conditionalFormatting>
  <conditionalFormatting sqref="AC35:AC38">
    <cfRule type="cellIs" dxfId="187" priority="240" operator="equal">
      <formula>"Extremo"</formula>
    </cfRule>
    <cfRule type="cellIs" dxfId="186" priority="241" operator="equal">
      <formula>"Alto"</formula>
    </cfRule>
    <cfRule type="cellIs" dxfId="185" priority="242" operator="equal">
      <formula>"Moderado"</formula>
    </cfRule>
    <cfRule type="cellIs" dxfId="184" priority="243" operator="equal">
      <formula>"Bajo"</formula>
    </cfRule>
  </conditionalFormatting>
  <conditionalFormatting sqref="H41">
    <cfRule type="cellIs" dxfId="183" priority="235" operator="equal">
      <formula>"Muy Alta"</formula>
    </cfRule>
    <cfRule type="cellIs" dxfId="182" priority="236" operator="equal">
      <formula>"Alta"</formula>
    </cfRule>
    <cfRule type="cellIs" dxfId="181" priority="237" operator="equal">
      <formula>"Media"</formula>
    </cfRule>
    <cfRule type="cellIs" dxfId="180" priority="238" operator="equal">
      <formula>"Baja"</formula>
    </cfRule>
    <cfRule type="cellIs" dxfId="179" priority="239" operator="equal">
      <formula>"Muy Baja"</formula>
    </cfRule>
  </conditionalFormatting>
  <conditionalFormatting sqref="N41">
    <cfRule type="cellIs" dxfId="178" priority="226" operator="equal">
      <formula>"Extremo"</formula>
    </cfRule>
    <cfRule type="cellIs" dxfId="177" priority="227" operator="equal">
      <formula>"Alto"</formula>
    </cfRule>
    <cfRule type="cellIs" dxfId="176" priority="228" operator="equal">
      <formula>"Moderado"</formula>
    </cfRule>
    <cfRule type="cellIs" dxfId="175" priority="229" operator="equal">
      <formula>"Bajo"</formula>
    </cfRule>
  </conditionalFormatting>
  <conditionalFormatting sqref="Y41">
    <cfRule type="cellIs" dxfId="174" priority="221" operator="equal">
      <formula>"Muy Alta"</formula>
    </cfRule>
    <cfRule type="cellIs" dxfId="173" priority="222" operator="equal">
      <formula>"Alta"</formula>
    </cfRule>
    <cfRule type="cellIs" dxfId="172" priority="223" operator="equal">
      <formula>"Media"</formula>
    </cfRule>
    <cfRule type="cellIs" dxfId="171" priority="224" operator="equal">
      <formula>"Baja"</formula>
    </cfRule>
    <cfRule type="cellIs" dxfId="170" priority="225" operator="equal">
      <formula>"Muy Baja"</formula>
    </cfRule>
  </conditionalFormatting>
  <conditionalFormatting sqref="AA41">
    <cfRule type="cellIs" dxfId="169" priority="216" operator="equal">
      <formula>"Catastrófico"</formula>
    </cfRule>
    <cfRule type="cellIs" dxfId="168" priority="217" operator="equal">
      <formula>"Mayor"</formula>
    </cfRule>
    <cfRule type="cellIs" dxfId="167" priority="218" operator="equal">
      <formula>"Moderado"</formula>
    </cfRule>
    <cfRule type="cellIs" dxfId="166" priority="219" operator="equal">
      <formula>"Menor"</formula>
    </cfRule>
    <cfRule type="cellIs" dxfId="165" priority="220" operator="equal">
      <formula>"Leve"</formula>
    </cfRule>
  </conditionalFormatting>
  <conditionalFormatting sqref="AC41">
    <cfRule type="cellIs" dxfId="164" priority="212" operator="equal">
      <formula>"Extremo"</formula>
    </cfRule>
    <cfRule type="cellIs" dxfId="163" priority="213" operator="equal">
      <formula>"Alto"</formula>
    </cfRule>
    <cfRule type="cellIs" dxfId="162" priority="214" operator="equal">
      <formula>"Moderado"</formula>
    </cfRule>
    <cfRule type="cellIs" dxfId="161" priority="215" operator="equal">
      <formula>"Bajo"</formula>
    </cfRule>
  </conditionalFormatting>
  <conditionalFormatting sqref="H47">
    <cfRule type="cellIs" dxfId="160" priority="207" operator="equal">
      <formula>"Muy Alta"</formula>
    </cfRule>
    <cfRule type="cellIs" dxfId="159" priority="208" operator="equal">
      <formula>"Alta"</formula>
    </cfRule>
    <cfRule type="cellIs" dxfId="158" priority="209" operator="equal">
      <formula>"Media"</formula>
    </cfRule>
    <cfRule type="cellIs" dxfId="157" priority="210" operator="equal">
      <formula>"Baja"</formula>
    </cfRule>
    <cfRule type="cellIs" dxfId="156" priority="211" operator="equal">
      <formula>"Muy Baja"</formula>
    </cfRule>
  </conditionalFormatting>
  <conditionalFormatting sqref="N47">
    <cfRule type="cellIs" dxfId="155" priority="198" operator="equal">
      <formula>"Extremo"</formula>
    </cfRule>
    <cfRule type="cellIs" dxfId="154" priority="199" operator="equal">
      <formula>"Alto"</formula>
    </cfRule>
    <cfRule type="cellIs" dxfId="153" priority="200" operator="equal">
      <formula>"Moderado"</formula>
    </cfRule>
    <cfRule type="cellIs" dxfId="152" priority="201" operator="equal">
      <formula>"Bajo"</formula>
    </cfRule>
  </conditionalFormatting>
  <conditionalFormatting sqref="Y47">
    <cfRule type="cellIs" dxfId="151" priority="193" operator="equal">
      <formula>"Muy Alta"</formula>
    </cfRule>
    <cfRule type="cellIs" dxfId="150" priority="194" operator="equal">
      <formula>"Alta"</formula>
    </cfRule>
    <cfRule type="cellIs" dxfId="149" priority="195" operator="equal">
      <formula>"Media"</formula>
    </cfRule>
    <cfRule type="cellIs" dxfId="148" priority="196" operator="equal">
      <formula>"Baja"</formula>
    </cfRule>
    <cfRule type="cellIs" dxfId="147" priority="197" operator="equal">
      <formula>"Muy Baja"</formula>
    </cfRule>
  </conditionalFormatting>
  <conditionalFormatting sqref="AA47">
    <cfRule type="cellIs" dxfId="146" priority="188" operator="equal">
      <formula>"Catastrófico"</formula>
    </cfRule>
    <cfRule type="cellIs" dxfId="145" priority="189" operator="equal">
      <formula>"Mayor"</formula>
    </cfRule>
    <cfRule type="cellIs" dxfId="144" priority="190" operator="equal">
      <formula>"Moderado"</formula>
    </cfRule>
    <cfRule type="cellIs" dxfId="143" priority="191" operator="equal">
      <formula>"Menor"</formula>
    </cfRule>
    <cfRule type="cellIs" dxfId="142" priority="192" operator="equal">
      <formula>"Leve"</formula>
    </cfRule>
  </conditionalFormatting>
  <conditionalFormatting sqref="AC47">
    <cfRule type="cellIs" dxfId="141" priority="184" operator="equal">
      <formula>"Extremo"</formula>
    </cfRule>
    <cfRule type="cellIs" dxfId="140" priority="185" operator="equal">
      <formula>"Alto"</formula>
    </cfRule>
    <cfRule type="cellIs" dxfId="139" priority="186" operator="equal">
      <formula>"Moderado"</formula>
    </cfRule>
    <cfRule type="cellIs" dxfId="138" priority="187" operator="equal">
      <formula>"Bajo"</formula>
    </cfRule>
  </conditionalFormatting>
  <conditionalFormatting sqref="H53">
    <cfRule type="cellIs" dxfId="137" priority="179" operator="equal">
      <formula>"Muy Alta"</formula>
    </cfRule>
    <cfRule type="cellIs" dxfId="136" priority="180" operator="equal">
      <formula>"Alta"</formula>
    </cfRule>
    <cfRule type="cellIs" dxfId="135" priority="181" operator="equal">
      <formula>"Media"</formula>
    </cfRule>
    <cfRule type="cellIs" dxfId="134" priority="182" operator="equal">
      <formula>"Baja"</formula>
    </cfRule>
    <cfRule type="cellIs" dxfId="133" priority="183" operator="equal">
      <formula>"Muy Baja"</formula>
    </cfRule>
  </conditionalFormatting>
  <conditionalFormatting sqref="N53">
    <cfRule type="cellIs" dxfId="132" priority="170" operator="equal">
      <formula>"Extremo"</formula>
    </cfRule>
    <cfRule type="cellIs" dxfId="131" priority="171" operator="equal">
      <formula>"Alto"</formula>
    </cfRule>
    <cfRule type="cellIs" dxfId="130" priority="172" operator="equal">
      <formula>"Moderado"</formula>
    </cfRule>
    <cfRule type="cellIs" dxfId="129" priority="173" operator="equal">
      <formula>"Bajo"</formula>
    </cfRule>
  </conditionalFormatting>
  <conditionalFormatting sqref="H5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N59">
    <cfRule type="cellIs" dxfId="123" priority="142" operator="equal">
      <formula>"Extremo"</formula>
    </cfRule>
    <cfRule type="cellIs" dxfId="122" priority="143" operator="equal">
      <formula>"Alto"</formula>
    </cfRule>
    <cfRule type="cellIs" dxfId="121" priority="144" operator="equal">
      <formula>"Moderado"</formula>
    </cfRule>
    <cfRule type="cellIs" dxfId="120" priority="145" operator="equal">
      <formula>"Bajo"</formula>
    </cfRule>
  </conditionalFormatting>
  <conditionalFormatting sqref="Y59:Y64">
    <cfRule type="cellIs" dxfId="119" priority="137" operator="equal">
      <formula>"Muy Alta"</formula>
    </cfRule>
    <cfRule type="cellIs" dxfId="118" priority="138" operator="equal">
      <formula>"Alta"</formula>
    </cfRule>
    <cfRule type="cellIs" dxfId="117" priority="139" operator="equal">
      <formula>"Media"</formula>
    </cfRule>
    <cfRule type="cellIs" dxfId="116" priority="140" operator="equal">
      <formula>"Baja"</formula>
    </cfRule>
    <cfRule type="cellIs" dxfId="115" priority="141" operator="equal">
      <formula>"Muy Baja"</formula>
    </cfRule>
  </conditionalFormatting>
  <conditionalFormatting sqref="AA59:AA64">
    <cfRule type="cellIs" dxfId="114" priority="132" operator="equal">
      <formula>"Catastrófico"</formula>
    </cfRule>
    <cfRule type="cellIs" dxfId="113" priority="133" operator="equal">
      <formula>"Mayor"</formula>
    </cfRule>
    <cfRule type="cellIs" dxfId="112" priority="134" operator="equal">
      <formula>"Moderado"</formula>
    </cfRule>
    <cfRule type="cellIs" dxfId="111" priority="135" operator="equal">
      <formula>"Menor"</formula>
    </cfRule>
    <cfRule type="cellIs" dxfId="110" priority="136" operator="equal">
      <formula>"Leve"</formula>
    </cfRule>
  </conditionalFormatting>
  <conditionalFormatting sqref="AC59:AC64">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H6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N65">
    <cfRule type="cellIs" dxfId="100" priority="114" operator="equal">
      <formula>"Extremo"</formula>
    </cfRule>
    <cfRule type="cellIs" dxfId="99" priority="115" operator="equal">
      <formula>"Alto"</formula>
    </cfRule>
    <cfRule type="cellIs" dxfId="98" priority="116" operator="equal">
      <formula>"Moderado"</formula>
    </cfRule>
    <cfRule type="cellIs" dxfId="97" priority="117" operator="equal">
      <formula>"Bajo"</formula>
    </cfRule>
  </conditionalFormatting>
  <conditionalFormatting sqref="Y65:Y70">
    <cfRule type="cellIs" dxfId="96" priority="109" operator="equal">
      <formula>"Muy Alta"</formula>
    </cfRule>
    <cfRule type="cellIs" dxfId="95" priority="110" operator="equal">
      <formula>"Alta"</formula>
    </cfRule>
    <cfRule type="cellIs" dxfId="94" priority="111" operator="equal">
      <formula>"Media"</formula>
    </cfRule>
    <cfRule type="cellIs" dxfId="93" priority="112" operator="equal">
      <formula>"Baja"</formula>
    </cfRule>
    <cfRule type="cellIs" dxfId="92" priority="113" operator="equal">
      <formula>"Muy Baja"</formula>
    </cfRule>
  </conditionalFormatting>
  <conditionalFormatting sqref="AA65:AA70">
    <cfRule type="cellIs" dxfId="91" priority="104" operator="equal">
      <formula>"Catastrófico"</formula>
    </cfRule>
    <cfRule type="cellIs" dxfId="90" priority="105" operator="equal">
      <formula>"Mayor"</formula>
    </cfRule>
    <cfRule type="cellIs" dxfId="89" priority="106" operator="equal">
      <formula>"Moderado"</formula>
    </cfRule>
    <cfRule type="cellIs" dxfId="88" priority="107" operator="equal">
      <formula>"Menor"</formula>
    </cfRule>
    <cfRule type="cellIs" dxfId="87" priority="108" operator="equal">
      <formula>"Leve"</formula>
    </cfRule>
  </conditionalFormatting>
  <conditionalFormatting sqref="AC65:AC70">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H7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N71">
    <cfRule type="cellIs" dxfId="77" priority="86" operator="equal">
      <formula>"Extremo"</formula>
    </cfRule>
    <cfRule type="cellIs" dxfId="76" priority="87" operator="equal">
      <formula>"Alto"</formula>
    </cfRule>
    <cfRule type="cellIs" dxfId="75" priority="88" operator="equal">
      <formula>"Moderado"</formula>
    </cfRule>
    <cfRule type="cellIs" dxfId="74" priority="89" operator="equal">
      <formula>"Bajo"</formula>
    </cfRule>
  </conditionalFormatting>
  <conditionalFormatting sqref="Y71:Y76">
    <cfRule type="cellIs" dxfId="73" priority="81" operator="equal">
      <formula>"Muy Alta"</formula>
    </cfRule>
    <cfRule type="cellIs" dxfId="72" priority="82" operator="equal">
      <formula>"Alta"</formula>
    </cfRule>
    <cfRule type="cellIs" dxfId="71" priority="83" operator="equal">
      <formula>"Media"</formula>
    </cfRule>
    <cfRule type="cellIs" dxfId="70" priority="84" operator="equal">
      <formula>"Baja"</formula>
    </cfRule>
    <cfRule type="cellIs" dxfId="69" priority="85" operator="equal">
      <formula>"Muy Baja"</formula>
    </cfRule>
  </conditionalFormatting>
  <conditionalFormatting sqref="AA71:AA76">
    <cfRule type="cellIs" dxfId="68" priority="76" operator="equal">
      <formula>"Catastrófico"</formula>
    </cfRule>
    <cfRule type="cellIs" dxfId="67" priority="77" operator="equal">
      <formula>"Mayor"</formula>
    </cfRule>
    <cfRule type="cellIs" dxfId="66" priority="78" operator="equal">
      <formula>"Moderado"</formula>
    </cfRule>
    <cfRule type="cellIs" dxfId="65" priority="79" operator="equal">
      <formula>"Menor"</formula>
    </cfRule>
    <cfRule type="cellIs" dxfId="64" priority="80" operator="equal">
      <formula>"Leve"</formula>
    </cfRule>
  </conditionalFormatting>
  <conditionalFormatting sqref="AC71:AC76">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N77">
    <cfRule type="cellIs" dxfId="59" priority="58" operator="equal">
      <formula>"Extremo"</formula>
    </cfRule>
    <cfRule type="cellIs" dxfId="58" priority="59" operator="equal">
      <formula>"Alto"</formula>
    </cfRule>
    <cfRule type="cellIs" dxfId="57" priority="60" operator="equal">
      <formula>"Moderado"</formula>
    </cfRule>
    <cfRule type="cellIs" dxfId="56" priority="61" operator="equal">
      <formula>"Bajo"</formula>
    </cfRule>
  </conditionalFormatting>
  <conditionalFormatting sqref="Y77:Y82">
    <cfRule type="cellIs" dxfId="55" priority="53" operator="equal">
      <formula>"Muy Alta"</formula>
    </cfRule>
    <cfRule type="cellIs" dxfId="54" priority="54" operator="equal">
      <formula>"Alta"</formula>
    </cfRule>
    <cfRule type="cellIs" dxfId="53" priority="55" operator="equal">
      <formula>"Media"</formula>
    </cfRule>
    <cfRule type="cellIs" dxfId="52" priority="56" operator="equal">
      <formula>"Baja"</formula>
    </cfRule>
    <cfRule type="cellIs" dxfId="51" priority="57" operator="equal">
      <formula>"Muy Baja"</formula>
    </cfRule>
  </conditionalFormatting>
  <conditionalFormatting sqref="AA77:AA82">
    <cfRule type="cellIs" dxfId="50" priority="48" operator="equal">
      <formula>"Catastrófico"</formula>
    </cfRule>
    <cfRule type="cellIs" dxfId="49" priority="49" operator="equal">
      <formula>"Mayor"</formula>
    </cfRule>
    <cfRule type="cellIs" dxfId="48" priority="50" operator="equal">
      <formula>"Moderado"</formula>
    </cfRule>
    <cfRule type="cellIs" dxfId="47" priority="51" operator="equal">
      <formula>"Menor"</formula>
    </cfRule>
    <cfRule type="cellIs" dxfId="46" priority="52" operator="equal">
      <formula>"Leve"</formula>
    </cfRule>
  </conditionalFormatting>
  <conditionalFormatting sqref="AC77:AC82">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H8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N83">
    <cfRule type="cellIs" dxfId="36" priority="30" operator="equal">
      <formula>"Extremo"</formula>
    </cfRule>
    <cfRule type="cellIs" dxfId="35" priority="31" operator="equal">
      <formula>"Alto"</formula>
    </cfRule>
    <cfRule type="cellIs" dxfId="34" priority="32" operator="equal">
      <formula>"Moderado"</formula>
    </cfRule>
    <cfRule type="cellIs" dxfId="33" priority="33" operator="equal">
      <formula>"Bajo"</formula>
    </cfRule>
  </conditionalFormatting>
  <conditionalFormatting sqref="Y83:Y88">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AA83:AA88">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AC83:AC88">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K29:K88">
    <cfRule type="containsText" dxfId="18" priority="15" operator="containsText" text="❌">
      <formula>NOT(ISERROR(SEARCH("❌",K29)))</formula>
    </cfRule>
  </conditionalFormatting>
  <conditionalFormatting sqref="Y53">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53">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53">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R29:R30 R41 R34:R38 R47 R59:R88 R53</xm:sqref>
        </x14:dataValidation>
        <x14:dataValidation type="list" allowBlank="1" showInputMessage="1" showErrorMessage="1" xr:uid="{00000000-0002-0000-0100-000001000000}">
          <x14:formula1>
            <xm:f>'Tabla Valoración controles'!$D$7:$D$8</xm:f>
          </x14:formula1>
          <xm:sqref>S29:S30 S41 S34:S38 S47 S59:S88 S53</xm:sqref>
        </x14:dataValidation>
        <x14:dataValidation type="list" allowBlank="1" showInputMessage="1" showErrorMessage="1" xr:uid="{00000000-0002-0000-0100-000002000000}">
          <x14:formula1>
            <xm:f>'Tabla Valoración controles'!$D$9:$D$10</xm:f>
          </x14:formula1>
          <xm:sqref>U29:U30 U41 U34:U38 U47 U59:U88 U53</xm:sqref>
        </x14:dataValidation>
        <x14:dataValidation type="list" allowBlank="1" showInputMessage="1" showErrorMessage="1" xr:uid="{00000000-0002-0000-0100-000003000000}">
          <x14:formula1>
            <xm:f>'Tabla Valoración controles'!$D$11:$D$12</xm:f>
          </x14:formula1>
          <xm:sqref>V29:V30 V41 V34:V38 V47 V59:V88 V53</xm:sqref>
        </x14:dataValidation>
        <x14:dataValidation type="list" allowBlank="1" showInputMessage="1" showErrorMessage="1" xr:uid="{00000000-0002-0000-0100-000004000000}">
          <x14:formula1>
            <xm:f>'Opciones Tratamiento'!$B$9:$B$10</xm:f>
          </x14:formula1>
          <xm:sqref>AJ29:AJ30 AJ32:AJ33 AJ35:AJ36 AJ38:AJ39 AJ41:AJ42 AJ44:AJ45 AJ47:AJ48 AJ50:AJ51 AJ53:AJ54 AJ56:AJ57 AJ59:AJ60 AJ62:AJ63 AJ65:AJ66 AJ68:AJ69 AJ71:AJ72 AJ74:AJ75 AJ77:AJ78 AJ80:AJ81 AJ83:AJ84 AJ86:AJ87</xm:sqref>
        </x14:dataValidation>
        <x14:dataValidation type="list" allowBlank="1" showInputMessage="1" showErrorMessage="1" xr:uid="{00000000-0002-0000-0100-000005000000}">
          <x14:formula1>
            <xm:f>'Tabla Valoración controles'!$D$13:$D$14</xm:f>
          </x14:formula1>
          <xm:sqref>W29:W30 W41 W34:W38 W47 W59:W88 W53</xm:sqref>
        </x14:dataValidation>
        <x14:dataValidation type="list" allowBlank="1" showInputMessage="1" showErrorMessage="1" xr:uid="{00000000-0002-0000-0100-000006000000}">
          <x14:formula1>
            <xm:f>'Opciones Tratamiento'!$B$13:$B$19</xm:f>
          </x14:formula1>
          <xm:sqref>F29:F88</xm:sqref>
        </x14:dataValidation>
        <x14:dataValidation type="list" allowBlank="1" showInputMessage="1" showErrorMessage="1" xr:uid="{00000000-0002-0000-0100-000007000000}">
          <x14:formula1>
            <xm:f>'Opciones Tratamiento'!$E$2:$E$4</xm:f>
          </x14:formula1>
          <xm:sqref>B29:B88</xm:sqref>
        </x14:dataValidation>
        <x14:dataValidation type="list" allowBlank="1" showInputMessage="1" showErrorMessage="1" xr:uid="{00000000-0002-0000-0100-000008000000}">
          <x14:formula1>
            <xm:f>'Opciones Tratamiento'!$B$2:$B$5</xm:f>
          </x14:formula1>
          <xm:sqref>AD29:AD30 AD41 AD34:AD38 AD47 AD59:AD88 AD53</xm:sqref>
        </x14:dataValidation>
        <x14:dataValidation type="list" allowBlank="1" showInputMessage="1" showErrorMessage="1" xr:uid="{00000000-0002-0000-0100-000009000000}">
          <x14:formula1>
            <xm:f>'Tabla Impacto'!$F$210:$F$221</xm:f>
          </x14:formula1>
          <xm:sqref>J29:J88</xm:sqref>
        </x14:dataValidation>
        <x14:dataValidation type="custom" allowBlank="1" showInputMessage="1" showErrorMessage="1" error="Recuerde que las acciones se generan bajo la medida de mitigar el riesgo" xr:uid="{00000000-0002-0000-0100-00000A000000}">
          <x14:formula1>
            <xm:f>IF(OR(AD29='Opciones Tratamiento'!$B$2,AD29='Opciones Tratamiento'!$B$3,AD29='Opciones Tratamiento'!$B$4),ISBLANK(AD29),ISTEXT(AD29))</xm:f>
          </x14:formula1>
          <xm:sqref>AE29:AE38 AE41 AE47 AE53 AE59:AE88</xm:sqref>
        </x14:dataValidation>
        <x14:dataValidation type="custom" allowBlank="1" showInputMessage="1" showErrorMessage="1" error="Recuerde que las acciones se generan bajo la medida de mitigar el riesgo" xr:uid="{00000000-0002-0000-0100-00000B000000}">
          <x14:formula1>
            <xm:f>IF(OR(AD29='Opciones Tratamiento'!$B$2,AD29='Opciones Tratamiento'!$B$3,AD29='Opciones Tratamiento'!$B$4),ISBLANK(AD29),ISTEXT(AD29))</xm:f>
          </x14:formula1>
          <xm:sqref>AF29:AF88</xm:sqref>
        </x14:dataValidation>
        <x14:dataValidation type="custom" allowBlank="1" showInputMessage="1" showErrorMessage="1" error="Recuerde que las acciones se generan bajo la medida de mitigar el riesgo" xr:uid="{00000000-0002-0000-0100-00000C000000}">
          <x14:formula1>
            <xm:f>IF(OR(AD29='Opciones Tratamiento'!$B$2,AD29='Opciones Tratamiento'!$B$3,AD29='Opciones Tratamiento'!$B$4),ISBLANK(AD29),ISTEXT(AD29))</xm:f>
          </x14:formula1>
          <xm:sqref>AG29:AG88</xm:sqref>
        </x14:dataValidation>
        <x14:dataValidation type="custom" allowBlank="1" showInputMessage="1" showErrorMessage="1" error="Recuerde que las acciones se generan bajo la medida de mitigar el riesgo" xr:uid="{00000000-0002-0000-0100-00000D000000}">
          <x14:formula1>
            <xm:f>IF(OR(AD29='Opciones Tratamiento'!$B$2,AD29='Opciones Tratamiento'!$B$3,AD29='Opciones Tratamiento'!$B$4),ISBLANK(AD29),ISTEXT(AD29))</xm:f>
          </x14:formula1>
          <xm:sqref>AH29:AH88</xm:sqref>
        </x14:dataValidation>
        <x14:dataValidation type="custom" allowBlank="1" showInputMessage="1" showErrorMessage="1" error="Recuerde que las acciones se generan bajo la medida de mitigar el riesgo" xr:uid="{00000000-0002-0000-0100-00000E000000}">
          <x14:formula1>
            <xm:f>IF(OR(AD29='Opciones Tratamiento'!$B$2,AD29='Opciones Tratamiento'!$B$3,AD29='Opciones Tratamiento'!$B$4),ISBLANK(AD29),ISTEXT(AD29))</xm:f>
          </x14:formula1>
          <xm:sqref>AI29:AI88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U49" sqref="AU49"/>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56" t="s">
        <v>90</v>
      </c>
      <c r="C2" s="456"/>
      <c r="D2" s="456"/>
      <c r="E2" s="456"/>
      <c r="F2" s="456"/>
      <c r="G2" s="456"/>
      <c r="H2" s="456"/>
      <c r="I2" s="456"/>
      <c r="J2" s="424" t="s">
        <v>13</v>
      </c>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56"/>
      <c r="C3" s="456"/>
      <c r="D3" s="456"/>
      <c r="E3" s="456"/>
      <c r="F3" s="456"/>
      <c r="G3" s="456"/>
      <c r="H3" s="456"/>
      <c r="I3" s="456"/>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56"/>
      <c r="C4" s="456"/>
      <c r="D4" s="456"/>
      <c r="E4" s="456"/>
      <c r="F4" s="456"/>
      <c r="G4" s="456"/>
      <c r="H4" s="456"/>
      <c r="I4" s="456"/>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71" t="s">
        <v>91</v>
      </c>
      <c r="C6" s="371"/>
      <c r="D6" s="372"/>
      <c r="E6" s="409" t="s">
        <v>92</v>
      </c>
      <c r="F6" s="410"/>
      <c r="G6" s="410"/>
      <c r="H6" s="410"/>
      <c r="I6" s="411"/>
      <c r="J6" s="420" t="str">
        <f>IF(AND('Mapa final'!$H$29="Muy Alta",'Mapa final'!$L$29="Leve"),CONCATENATE("R",'Mapa final'!$A$29),"")</f>
        <v/>
      </c>
      <c r="K6" s="421"/>
      <c r="L6" s="421" t="str">
        <f>IF(AND('Mapa final'!$H$35="Muy Alta",'Mapa final'!$L$35="Leve"),CONCATENATE("R",'Mapa final'!$A$35),"")</f>
        <v/>
      </c>
      <c r="M6" s="421"/>
      <c r="N6" s="421" t="str">
        <f>IF(AND('Mapa final'!$H$41="Muy Alta",'Mapa final'!$L$41="Leve"),CONCATENATE("R",'Mapa final'!$A$41),"")</f>
        <v/>
      </c>
      <c r="O6" s="423"/>
      <c r="P6" s="420" t="str">
        <f>IF(AND('Mapa final'!$H$29="Muy Alta",'Mapa final'!$L$29="Menor"),CONCATENATE("R",'Mapa final'!$A$29),"")</f>
        <v/>
      </c>
      <c r="Q6" s="421"/>
      <c r="R6" s="421" t="str">
        <f>IF(AND('Mapa final'!$H$35="Muy Alta",'Mapa final'!$L$35="Menor"),CONCATENATE("R",'Mapa final'!$A$35),"")</f>
        <v/>
      </c>
      <c r="S6" s="421"/>
      <c r="T6" s="421" t="str">
        <f>IF(AND('Mapa final'!$H$41="Muy Alta",'Mapa final'!$L$41="Menor"),CONCATENATE("R",'Mapa final'!$A$41),"")</f>
        <v/>
      </c>
      <c r="U6" s="423"/>
      <c r="V6" s="420" t="str">
        <f>IF(AND('Mapa final'!$H$29="Muy Alta",'Mapa final'!$L$29="Moderado"),CONCATENATE("R",'Mapa final'!$A$29),"")</f>
        <v/>
      </c>
      <c r="W6" s="421"/>
      <c r="X6" s="421" t="str">
        <f>IF(AND('Mapa final'!$H$35="Muy Alta",'Mapa final'!$L$35="Moderado"),CONCATENATE("R",'Mapa final'!$A$35),"")</f>
        <v/>
      </c>
      <c r="Y6" s="421"/>
      <c r="Z6" s="421" t="str">
        <f>IF(AND('Mapa final'!$H$41="Muy Alta",'Mapa final'!$L$41="Moderado"),CONCATENATE("R",'Mapa final'!$A$41),"")</f>
        <v/>
      </c>
      <c r="AA6" s="423"/>
      <c r="AB6" s="420" t="str">
        <f>IF(AND('Mapa final'!$H$29="Muy Alta",'Mapa final'!$L$29="Mayor"),CONCATENATE("R",'Mapa final'!$A$29),"")</f>
        <v/>
      </c>
      <c r="AC6" s="421"/>
      <c r="AD6" s="421" t="str">
        <f>IF(AND('Mapa final'!$H$35="Muy Alta",'Mapa final'!$L$35="Mayor"),CONCATENATE("R",'Mapa final'!$A$35),"")</f>
        <v/>
      </c>
      <c r="AE6" s="421"/>
      <c r="AF6" s="421" t="str">
        <f>IF(AND('Mapa final'!$H$41="Muy Alta",'Mapa final'!$L$41="Mayor"),CONCATENATE("R",'Mapa final'!$A$41),"")</f>
        <v/>
      </c>
      <c r="AG6" s="423"/>
      <c r="AH6" s="435" t="str">
        <f>IF(AND('Mapa final'!$H$29="Muy Alta",'Mapa final'!$L$29="Catastrófico"),CONCATENATE("R",'Mapa final'!$A$29),"")</f>
        <v/>
      </c>
      <c r="AI6" s="436"/>
      <c r="AJ6" s="436" t="str">
        <f>IF(AND('Mapa final'!$H$35="Muy Alta",'Mapa final'!$L$35="Catastrófico"),CONCATENATE("R",'Mapa final'!$A$35),"")</f>
        <v/>
      </c>
      <c r="AK6" s="436"/>
      <c r="AL6" s="436" t="str">
        <f>IF(AND('Mapa final'!$H$41="Muy Alta",'Mapa final'!$L$41="Catastrófico"),CONCATENATE("R",'Mapa final'!$A$41),"")</f>
        <v/>
      </c>
      <c r="AM6" s="437"/>
      <c r="AO6" s="373" t="s">
        <v>93</v>
      </c>
      <c r="AP6" s="374"/>
      <c r="AQ6" s="374"/>
      <c r="AR6" s="374"/>
      <c r="AS6" s="374"/>
      <c r="AT6" s="37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71"/>
      <c r="C7" s="371"/>
      <c r="D7" s="372"/>
      <c r="E7" s="412"/>
      <c r="F7" s="413"/>
      <c r="G7" s="413"/>
      <c r="H7" s="413"/>
      <c r="I7" s="414"/>
      <c r="J7" s="422"/>
      <c r="K7" s="418"/>
      <c r="L7" s="418"/>
      <c r="M7" s="418"/>
      <c r="N7" s="418"/>
      <c r="O7" s="419"/>
      <c r="P7" s="422"/>
      <c r="Q7" s="418"/>
      <c r="R7" s="418"/>
      <c r="S7" s="418"/>
      <c r="T7" s="418"/>
      <c r="U7" s="419"/>
      <c r="V7" s="422"/>
      <c r="W7" s="418"/>
      <c r="X7" s="418"/>
      <c r="Y7" s="418"/>
      <c r="Z7" s="418"/>
      <c r="AA7" s="419"/>
      <c r="AB7" s="422"/>
      <c r="AC7" s="418"/>
      <c r="AD7" s="418"/>
      <c r="AE7" s="418"/>
      <c r="AF7" s="418"/>
      <c r="AG7" s="419"/>
      <c r="AH7" s="429"/>
      <c r="AI7" s="430"/>
      <c r="AJ7" s="430"/>
      <c r="AK7" s="430"/>
      <c r="AL7" s="430"/>
      <c r="AM7" s="431"/>
      <c r="AN7" s="83"/>
      <c r="AO7" s="376"/>
      <c r="AP7" s="377"/>
      <c r="AQ7" s="377"/>
      <c r="AR7" s="377"/>
      <c r="AS7" s="377"/>
      <c r="AT7" s="37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71"/>
      <c r="C8" s="371"/>
      <c r="D8" s="372"/>
      <c r="E8" s="412"/>
      <c r="F8" s="413"/>
      <c r="G8" s="413"/>
      <c r="H8" s="413"/>
      <c r="I8" s="414"/>
      <c r="J8" s="422" t="str">
        <f>IF(AND('Mapa final'!$H$47="Muy Alta",'Mapa final'!$L$47="Leve"),CONCATENATE("R",'Mapa final'!$A$47),"")</f>
        <v/>
      </c>
      <c r="K8" s="418"/>
      <c r="L8" s="418" t="str">
        <f>IF(AND('Mapa final'!$H$53="Muy Alta",'Mapa final'!$L$53="Leve"),CONCATENATE("R",'Mapa final'!$A$53),"")</f>
        <v/>
      </c>
      <c r="M8" s="418"/>
      <c r="N8" s="418" t="str">
        <f>IF(AND('Mapa final'!$H$59="Muy Alta",'Mapa final'!$L$59="Leve"),CONCATENATE("R",'Mapa final'!$A$59),"")</f>
        <v/>
      </c>
      <c r="O8" s="419"/>
      <c r="P8" s="422" t="str">
        <f>IF(AND('Mapa final'!$H$47="Muy Alta",'Mapa final'!$L$47="Menor"),CONCATENATE("R",'Mapa final'!$A$47),"")</f>
        <v/>
      </c>
      <c r="Q8" s="418"/>
      <c r="R8" s="418" t="str">
        <f>IF(AND('Mapa final'!$H$53="Muy Alta",'Mapa final'!$L$53="Menor"),CONCATENATE("R",'Mapa final'!$A$53),"")</f>
        <v/>
      </c>
      <c r="S8" s="418"/>
      <c r="T8" s="418" t="str">
        <f>IF(AND('Mapa final'!$H$59="Muy Alta",'Mapa final'!$L$59="Menor"),CONCATENATE("R",'Mapa final'!$A$59),"")</f>
        <v/>
      </c>
      <c r="U8" s="419"/>
      <c r="V8" s="422" t="str">
        <f>IF(AND('Mapa final'!$H$47="Muy Alta",'Mapa final'!$L$47="Moderado"),CONCATENATE("R",'Mapa final'!$A$47),"")</f>
        <v/>
      </c>
      <c r="W8" s="418"/>
      <c r="X8" s="418" t="str">
        <f>IF(AND('Mapa final'!$H$53="Muy Alta",'Mapa final'!$L$53="Moderado"),CONCATENATE("R",'Mapa final'!$A$53),"")</f>
        <v/>
      </c>
      <c r="Y8" s="418"/>
      <c r="Z8" s="418" t="str">
        <f>IF(AND('Mapa final'!$H$59="Muy Alta",'Mapa final'!$L$59="Moderado"),CONCATENATE("R",'Mapa final'!$A$59),"")</f>
        <v/>
      </c>
      <c r="AA8" s="419"/>
      <c r="AB8" s="422" t="str">
        <f>IF(AND('Mapa final'!$H$47="Muy Alta",'Mapa final'!$L$47="Mayor"),CONCATENATE("R",'Mapa final'!$A$47),"")</f>
        <v/>
      </c>
      <c r="AC8" s="418"/>
      <c r="AD8" s="418" t="str">
        <f>IF(AND('Mapa final'!$H$53="Muy Alta",'Mapa final'!$L$53="Mayor"),CONCATENATE("R",'Mapa final'!$A$53),"")</f>
        <v/>
      </c>
      <c r="AE8" s="418"/>
      <c r="AF8" s="418" t="str">
        <f>IF(AND('Mapa final'!$H$59="Muy Alta",'Mapa final'!$L$59="Mayor"),CONCATENATE("R",'Mapa final'!$A$59),"")</f>
        <v/>
      </c>
      <c r="AG8" s="419"/>
      <c r="AH8" s="429" t="str">
        <f>IF(AND('Mapa final'!$H$47="Muy Alta",'Mapa final'!$L$47="Catastrófico"),CONCATENATE("R",'Mapa final'!$A$47),"")</f>
        <v/>
      </c>
      <c r="AI8" s="430"/>
      <c r="AJ8" s="430" t="str">
        <f>IF(AND('Mapa final'!$H$53="Muy Alta",'Mapa final'!$L$53="Catastrófico"),CONCATENATE("R",'Mapa final'!$A$53),"")</f>
        <v/>
      </c>
      <c r="AK8" s="430"/>
      <c r="AL8" s="430" t="str">
        <f>IF(AND('Mapa final'!$H$59="Muy Alta",'Mapa final'!$L$59="Catastrófico"),CONCATENATE("R",'Mapa final'!$A$59),"")</f>
        <v/>
      </c>
      <c r="AM8" s="431"/>
      <c r="AN8" s="83"/>
      <c r="AO8" s="376"/>
      <c r="AP8" s="377"/>
      <c r="AQ8" s="377"/>
      <c r="AR8" s="377"/>
      <c r="AS8" s="377"/>
      <c r="AT8" s="37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71"/>
      <c r="C9" s="371"/>
      <c r="D9" s="372"/>
      <c r="E9" s="412"/>
      <c r="F9" s="413"/>
      <c r="G9" s="413"/>
      <c r="H9" s="413"/>
      <c r="I9" s="414"/>
      <c r="J9" s="422"/>
      <c r="K9" s="418"/>
      <c r="L9" s="418"/>
      <c r="M9" s="418"/>
      <c r="N9" s="418"/>
      <c r="O9" s="419"/>
      <c r="P9" s="422"/>
      <c r="Q9" s="418"/>
      <c r="R9" s="418"/>
      <c r="S9" s="418"/>
      <c r="T9" s="418"/>
      <c r="U9" s="419"/>
      <c r="V9" s="422"/>
      <c r="W9" s="418"/>
      <c r="X9" s="418"/>
      <c r="Y9" s="418"/>
      <c r="Z9" s="418"/>
      <c r="AA9" s="419"/>
      <c r="AB9" s="422"/>
      <c r="AC9" s="418"/>
      <c r="AD9" s="418"/>
      <c r="AE9" s="418"/>
      <c r="AF9" s="418"/>
      <c r="AG9" s="419"/>
      <c r="AH9" s="429"/>
      <c r="AI9" s="430"/>
      <c r="AJ9" s="430"/>
      <c r="AK9" s="430"/>
      <c r="AL9" s="430"/>
      <c r="AM9" s="431"/>
      <c r="AN9" s="83"/>
      <c r="AO9" s="376"/>
      <c r="AP9" s="377"/>
      <c r="AQ9" s="377"/>
      <c r="AR9" s="377"/>
      <c r="AS9" s="377"/>
      <c r="AT9" s="37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71"/>
      <c r="C10" s="371"/>
      <c r="D10" s="372"/>
      <c r="E10" s="412"/>
      <c r="F10" s="413"/>
      <c r="G10" s="413"/>
      <c r="H10" s="413"/>
      <c r="I10" s="414"/>
      <c r="J10" s="422" t="str">
        <f>IF(AND('Mapa final'!$H$65="Muy Alta",'Mapa final'!$L$65="Leve"),CONCATENATE("R",'Mapa final'!$A$65),"")</f>
        <v/>
      </c>
      <c r="K10" s="418"/>
      <c r="L10" s="418" t="str">
        <f>IF(AND('Mapa final'!$H$71="Muy Alta",'Mapa final'!$L$71="Leve"),CONCATENATE("R",'Mapa final'!$A$71),"")</f>
        <v/>
      </c>
      <c r="M10" s="418"/>
      <c r="N10" s="418" t="str">
        <f>IF(AND('Mapa final'!$H$77="Muy Alta",'Mapa final'!$L$77="Leve"),CONCATENATE("R",'Mapa final'!$A$77),"")</f>
        <v/>
      </c>
      <c r="O10" s="419"/>
      <c r="P10" s="422" t="str">
        <f>IF(AND('Mapa final'!$H$65="Muy Alta",'Mapa final'!$L$65="Menor"),CONCATENATE("R",'Mapa final'!$A$65),"")</f>
        <v/>
      </c>
      <c r="Q10" s="418"/>
      <c r="R10" s="418" t="str">
        <f>IF(AND('Mapa final'!$H$71="Muy Alta",'Mapa final'!$L$71="Menor"),CONCATENATE("R",'Mapa final'!$A$71),"")</f>
        <v/>
      </c>
      <c r="S10" s="418"/>
      <c r="T10" s="418" t="str">
        <f>IF(AND('Mapa final'!$H$77="Muy Alta",'Mapa final'!$L$77="Menor"),CONCATENATE("R",'Mapa final'!$A$77),"")</f>
        <v/>
      </c>
      <c r="U10" s="419"/>
      <c r="V10" s="422" t="str">
        <f>IF(AND('Mapa final'!$H$65="Muy Alta",'Mapa final'!$L$65="Moderado"),CONCATENATE("R",'Mapa final'!$A$65),"")</f>
        <v/>
      </c>
      <c r="W10" s="418"/>
      <c r="X10" s="418" t="str">
        <f>IF(AND('Mapa final'!$H$71="Muy Alta",'Mapa final'!$L$71="Moderado"),CONCATENATE("R",'Mapa final'!$A$71),"")</f>
        <v/>
      </c>
      <c r="Y10" s="418"/>
      <c r="Z10" s="418" t="str">
        <f>IF(AND('Mapa final'!$H$77="Muy Alta",'Mapa final'!$L$77="Moderado"),CONCATENATE("R",'Mapa final'!$A$77),"")</f>
        <v/>
      </c>
      <c r="AA10" s="419"/>
      <c r="AB10" s="422" t="str">
        <f>IF(AND('Mapa final'!$H$65="Muy Alta",'Mapa final'!$L$65="Mayor"),CONCATENATE("R",'Mapa final'!$A$65),"")</f>
        <v/>
      </c>
      <c r="AC10" s="418"/>
      <c r="AD10" s="418" t="str">
        <f>IF(AND('Mapa final'!$H$71="Muy Alta",'Mapa final'!$L$71="Mayor"),CONCATENATE("R",'Mapa final'!$A$71),"")</f>
        <v/>
      </c>
      <c r="AE10" s="418"/>
      <c r="AF10" s="418" t="str">
        <f>IF(AND('Mapa final'!$H$77="Muy Alta",'Mapa final'!$L$77="Mayor"),CONCATENATE("R",'Mapa final'!$A$77),"")</f>
        <v/>
      </c>
      <c r="AG10" s="419"/>
      <c r="AH10" s="429" t="str">
        <f>IF(AND('Mapa final'!$H$65="Muy Alta",'Mapa final'!$L$65="Catastrófico"),CONCATENATE("R",'Mapa final'!$A$65),"")</f>
        <v/>
      </c>
      <c r="AI10" s="430"/>
      <c r="AJ10" s="430" t="str">
        <f>IF(AND('Mapa final'!$H$71="Muy Alta",'Mapa final'!$L$71="Catastrófico"),CONCATENATE("R",'Mapa final'!$A$71),"")</f>
        <v/>
      </c>
      <c r="AK10" s="430"/>
      <c r="AL10" s="430" t="str">
        <f>IF(AND('Mapa final'!$H$77="Muy Alta",'Mapa final'!$L$77="Catastrófico"),CONCATENATE("R",'Mapa final'!$A$77),"")</f>
        <v/>
      </c>
      <c r="AM10" s="431"/>
      <c r="AN10" s="83"/>
      <c r="AO10" s="376"/>
      <c r="AP10" s="377"/>
      <c r="AQ10" s="377"/>
      <c r="AR10" s="377"/>
      <c r="AS10" s="377"/>
      <c r="AT10" s="3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71"/>
      <c r="C11" s="371"/>
      <c r="D11" s="372"/>
      <c r="E11" s="412"/>
      <c r="F11" s="413"/>
      <c r="G11" s="413"/>
      <c r="H11" s="413"/>
      <c r="I11" s="414"/>
      <c r="J11" s="422"/>
      <c r="K11" s="418"/>
      <c r="L11" s="418"/>
      <c r="M11" s="418"/>
      <c r="N11" s="418"/>
      <c r="O11" s="419"/>
      <c r="P11" s="422"/>
      <c r="Q11" s="418"/>
      <c r="R11" s="418"/>
      <c r="S11" s="418"/>
      <c r="T11" s="418"/>
      <c r="U11" s="419"/>
      <c r="V11" s="422"/>
      <c r="W11" s="418"/>
      <c r="X11" s="418"/>
      <c r="Y11" s="418"/>
      <c r="Z11" s="418"/>
      <c r="AA11" s="419"/>
      <c r="AB11" s="422"/>
      <c r="AC11" s="418"/>
      <c r="AD11" s="418"/>
      <c r="AE11" s="418"/>
      <c r="AF11" s="418"/>
      <c r="AG11" s="419"/>
      <c r="AH11" s="429"/>
      <c r="AI11" s="430"/>
      <c r="AJ11" s="430"/>
      <c r="AK11" s="430"/>
      <c r="AL11" s="430"/>
      <c r="AM11" s="431"/>
      <c r="AN11" s="83"/>
      <c r="AO11" s="376"/>
      <c r="AP11" s="377"/>
      <c r="AQ11" s="377"/>
      <c r="AR11" s="377"/>
      <c r="AS11" s="377"/>
      <c r="AT11" s="37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71"/>
      <c r="C12" s="371"/>
      <c r="D12" s="372"/>
      <c r="E12" s="412"/>
      <c r="F12" s="413"/>
      <c r="G12" s="413"/>
      <c r="H12" s="413"/>
      <c r="I12" s="414"/>
      <c r="J12" s="422" t="str">
        <f>IF(AND('Mapa final'!$H$83="Muy Alta",'Mapa final'!$L$83="Leve"),CONCATENATE("R",'Mapa final'!$A$83),"")</f>
        <v/>
      </c>
      <c r="K12" s="418"/>
      <c r="L12" s="418" t="str">
        <f>IF(AND('Mapa final'!$H$89="Muy Alta",'Mapa final'!$L$89="Leve"),CONCATENATE("R",'Mapa final'!$A$89),"")</f>
        <v/>
      </c>
      <c r="M12" s="418"/>
      <c r="N12" s="418" t="str">
        <f>IF(AND('Mapa final'!$H$95="Muy Alta",'Mapa final'!$L$95="Leve"),CONCATENATE("R",'Mapa final'!$A$95),"")</f>
        <v/>
      </c>
      <c r="O12" s="419"/>
      <c r="P12" s="422" t="str">
        <f>IF(AND('Mapa final'!$H$83="Muy Alta",'Mapa final'!$L$83="Menor"),CONCATENATE("R",'Mapa final'!$A$83),"")</f>
        <v/>
      </c>
      <c r="Q12" s="418"/>
      <c r="R12" s="418" t="str">
        <f>IF(AND('Mapa final'!$H$89="Muy Alta",'Mapa final'!$L$89="Menor"),CONCATENATE("R",'Mapa final'!$A$89),"")</f>
        <v/>
      </c>
      <c r="S12" s="418"/>
      <c r="T12" s="418" t="str">
        <f>IF(AND('Mapa final'!$H$95="Muy Alta",'Mapa final'!$L$95="Menor"),CONCATENATE("R",'Mapa final'!$A$95),"")</f>
        <v/>
      </c>
      <c r="U12" s="419"/>
      <c r="V12" s="422" t="str">
        <f>IF(AND('Mapa final'!$H$83="Muy Alta",'Mapa final'!$L$83="Moderado"),CONCATENATE("R",'Mapa final'!$A$83),"")</f>
        <v/>
      </c>
      <c r="W12" s="418"/>
      <c r="X12" s="418" t="str">
        <f>IF(AND('Mapa final'!$H$89="Muy Alta",'Mapa final'!$L$89="Moderado"),CONCATENATE("R",'Mapa final'!$A$89),"")</f>
        <v/>
      </c>
      <c r="Y12" s="418"/>
      <c r="Z12" s="418" t="str">
        <f>IF(AND('Mapa final'!$H$95="Muy Alta",'Mapa final'!$L$95="Moderado"),CONCATENATE("R",'Mapa final'!$A$95),"")</f>
        <v/>
      </c>
      <c r="AA12" s="419"/>
      <c r="AB12" s="422" t="str">
        <f>IF(AND('Mapa final'!$H$83="Muy Alta",'Mapa final'!$L$83="Mayor"),CONCATENATE("R",'Mapa final'!$A$83),"")</f>
        <v/>
      </c>
      <c r="AC12" s="418"/>
      <c r="AD12" s="418" t="str">
        <f>IF(AND('Mapa final'!$H$89="Muy Alta",'Mapa final'!$L$89="Mayor"),CONCATENATE("R",'Mapa final'!$A$89),"")</f>
        <v/>
      </c>
      <c r="AE12" s="418"/>
      <c r="AF12" s="418" t="str">
        <f>IF(AND('Mapa final'!$H$95="Muy Alta",'Mapa final'!$L$95="Mayor"),CONCATENATE("R",'Mapa final'!$A$95),"")</f>
        <v/>
      </c>
      <c r="AG12" s="419"/>
      <c r="AH12" s="429" t="str">
        <f>IF(AND('Mapa final'!$H$83="Muy Alta",'Mapa final'!$L$83="Catastrófico"),CONCATENATE("R",'Mapa final'!$A$83),"")</f>
        <v/>
      </c>
      <c r="AI12" s="430"/>
      <c r="AJ12" s="430" t="str">
        <f>IF(AND('Mapa final'!$H$89="Muy Alta",'Mapa final'!$L$89="Catastrófico"),CONCATENATE("R",'Mapa final'!$A$89),"")</f>
        <v/>
      </c>
      <c r="AK12" s="430"/>
      <c r="AL12" s="430" t="str">
        <f>IF(AND('Mapa final'!$H$95="Muy Alta",'Mapa final'!$L$95="Catastrófico"),CONCATENATE("R",'Mapa final'!$A$95),"")</f>
        <v/>
      </c>
      <c r="AM12" s="431"/>
      <c r="AN12" s="83"/>
      <c r="AO12" s="376"/>
      <c r="AP12" s="377"/>
      <c r="AQ12" s="377"/>
      <c r="AR12" s="377"/>
      <c r="AS12" s="377"/>
      <c r="AT12" s="3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71"/>
      <c r="C13" s="371"/>
      <c r="D13" s="372"/>
      <c r="E13" s="415"/>
      <c r="F13" s="416"/>
      <c r="G13" s="416"/>
      <c r="H13" s="416"/>
      <c r="I13" s="417"/>
      <c r="J13" s="422"/>
      <c r="K13" s="418"/>
      <c r="L13" s="418"/>
      <c r="M13" s="418"/>
      <c r="N13" s="418"/>
      <c r="O13" s="419"/>
      <c r="P13" s="422"/>
      <c r="Q13" s="418"/>
      <c r="R13" s="418"/>
      <c r="S13" s="418"/>
      <c r="T13" s="418"/>
      <c r="U13" s="419"/>
      <c r="V13" s="422"/>
      <c r="W13" s="418"/>
      <c r="X13" s="418"/>
      <c r="Y13" s="418"/>
      <c r="Z13" s="418"/>
      <c r="AA13" s="419"/>
      <c r="AB13" s="422"/>
      <c r="AC13" s="418"/>
      <c r="AD13" s="418"/>
      <c r="AE13" s="418"/>
      <c r="AF13" s="418"/>
      <c r="AG13" s="419"/>
      <c r="AH13" s="432"/>
      <c r="AI13" s="433"/>
      <c r="AJ13" s="433"/>
      <c r="AK13" s="433"/>
      <c r="AL13" s="433"/>
      <c r="AM13" s="434"/>
      <c r="AN13" s="83"/>
      <c r="AO13" s="379"/>
      <c r="AP13" s="380"/>
      <c r="AQ13" s="380"/>
      <c r="AR13" s="380"/>
      <c r="AS13" s="380"/>
      <c r="AT13" s="38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71"/>
      <c r="C14" s="371"/>
      <c r="D14" s="372"/>
      <c r="E14" s="409" t="s">
        <v>94</v>
      </c>
      <c r="F14" s="410"/>
      <c r="G14" s="410"/>
      <c r="H14" s="410"/>
      <c r="I14" s="410"/>
      <c r="J14" s="444" t="str">
        <f>IF(AND('Mapa final'!$H$29="Alta",'Mapa final'!$L$29="Leve"),CONCATENATE("R",'Mapa final'!$A$29),"")</f>
        <v/>
      </c>
      <c r="K14" s="445"/>
      <c r="L14" s="445" t="str">
        <f>IF(AND('Mapa final'!$H$35="Alta",'Mapa final'!$L$35="Leve"),CONCATENATE("R",'Mapa final'!$A$35),"")</f>
        <v/>
      </c>
      <c r="M14" s="445"/>
      <c r="N14" s="445" t="str">
        <f>IF(AND('Mapa final'!$H$41="Alta",'Mapa final'!$L$41="Leve"),CONCATENATE("R",'Mapa final'!$A$41),"")</f>
        <v/>
      </c>
      <c r="O14" s="446"/>
      <c r="P14" s="444" t="str">
        <f>IF(AND('Mapa final'!$H$29="Alta",'Mapa final'!$L$29="Menor"),CONCATENATE("R",'Mapa final'!$A$29),"")</f>
        <v/>
      </c>
      <c r="Q14" s="445"/>
      <c r="R14" s="445" t="str">
        <f>IF(AND('Mapa final'!$H$35="Alta",'Mapa final'!$L$35="Menor"),CONCATENATE("R",'Mapa final'!$A$35),"")</f>
        <v/>
      </c>
      <c r="S14" s="445"/>
      <c r="T14" s="445" t="str">
        <f>IF(AND('Mapa final'!$H$41="Alta",'Mapa final'!$L$41="Menor"),CONCATENATE("R",'Mapa final'!$A$41),"")</f>
        <v/>
      </c>
      <c r="U14" s="446"/>
      <c r="V14" s="420" t="str">
        <f>IF(AND('Mapa final'!$H$29="Alta",'Mapa final'!$L$29="Moderado"),CONCATENATE("R",'Mapa final'!$A$29),"")</f>
        <v/>
      </c>
      <c r="W14" s="421"/>
      <c r="X14" s="421" t="str">
        <f>IF(AND('Mapa final'!$H$35="Alta",'Mapa final'!$L$35="Moderado"),CONCATENATE("R",'Mapa final'!$A$35),"")</f>
        <v/>
      </c>
      <c r="Y14" s="421"/>
      <c r="Z14" s="421" t="str">
        <f>IF(AND('Mapa final'!$H$41="Alta",'Mapa final'!$L$41="Moderado"),CONCATENATE("R",'Mapa final'!$A$41),"")</f>
        <v/>
      </c>
      <c r="AA14" s="423"/>
      <c r="AB14" s="420" t="str">
        <f>IF(AND('Mapa final'!$H$29="Alta",'Mapa final'!$L$29="Mayor"),CONCATENATE("R",'Mapa final'!$A$29),"")</f>
        <v/>
      </c>
      <c r="AC14" s="421"/>
      <c r="AD14" s="421" t="str">
        <f>IF(AND('Mapa final'!$H$35="Alta",'Mapa final'!$L$35="Mayor"),CONCATENATE("R",'Mapa final'!$A$35),"")</f>
        <v/>
      </c>
      <c r="AE14" s="421"/>
      <c r="AF14" s="421" t="str">
        <f>IF(AND('Mapa final'!$H$41="Alta",'Mapa final'!$L$41="Mayor"),CONCATENATE("R",'Mapa final'!$A$41),"")</f>
        <v/>
      </c>
      <c r="AG14" s="423"/>
      <c r="AH14" s="435" t="str">
        <f>IF(AND('Mapa final'!$H$29="Alta",'Mapa final'!$L$29="Catastrófico"),CONCATENATE("R",'Mapa final'!$A$29),"")</f>
        <v/>
      </c>
      <c r="AI14" s="436"/>
      <c r="AJ14" s="436" t="str">
        <f>IF(AND('Mapa final'!$H$35="Alta",'Mapa final'!$L$35="Catastrófico"),CONCATENATE("R",'Mapa final'!$A$35),"")</f>
        <v/>
      </c>
      <c r="AK14" s="436"/>
      <c r="AL14" s="436" t="str">
        <f>IF(AND('Mapa final'!$H$41="Alta",'Mapa final'!$L$41="Catastrófico"),CONCATENATE("R",'Mapa final'!$A$41),"")</f>
        <v/>
      </c>
      <c r="AM14" s="437"/>
      <c r="AN14" s="83"/>
      <c r="AO14" s="382" t="s">
        <v>95</v>
      </c>
      <c r="AP14" s="383"/>
      <c r="AQ14" s="383"/>
      <c r="AR14" s="383"/>
      <c r="AS14" s="383"/>
      <c r="AT14" s="38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71"/>
      <c r="C15" s="371"/>
      <c r="D15" s="372"/>
      <c r="E15" s="412"/>
      <c r="F15" s="413"/>
      <c r="G15" s="413"/>
      <c r="H15" s="413"/>
      <c r="I15" s="413"/>
      <c r="J15" s="438"/>
      <c r="K15" s="439"/>
      <c r="L15" s="439"/>
      <c r="M15" s="439"/>
      <c r="N15" s="439"/>
      <c r="O15" s="440"/>
      <c r="P15" s="438"/>
      <c r="Q15" s="439"/>
      <c r="R15" s="439"/>
      <c r="S15" s="439"/>
      <c r="T15" s="439"/>
      <c r="U15" s="440"/>
      <c r="V15" s="422"/>
      <c r="W15" s="418"/>
      <c r="X15" s="418"/>
      <c r="Y15" s="418"/>
      <c r="Z15" s="418"/>
      <c r="AA15" s="419"/>
      <c r="AB15" s="422"/>
      <c r="AC15" s="418"/>
      <c r="AD15" s="418"/>
      <c r="AE15" s="418"/>
      <c r="AF15" s="418"/>
      <c r="AG15" s="419"/>
      <c r="AH15" s="429"/>
      <c r="AI15" s="430"/>
      <c r="AJ15" s="430"/>
      <c r="AK15" s="430"/>
      <c r="AL15" s="430"/>
      <c r="AM15" s="431"/>
      <c r="AN15" s="83"/>
      <c r="AO15" s="385"/>
      <c r="AP15" s="386"/>
      <c r="AQ15" s="386"/>
      <c r="AR15" s="386"/>
      <c r="AS15" s="386"/>
      <c r="AT15" s="38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71"/>
      <c r="C16" s="371"/>
      <c r="D16" s="372"/>
      <c r="E16" s="412"/>
      <c r="F16" s="413"/>
      <c r="G16" s="413"/>
      <c r="H16" s="413"/>
      <c r="I16" s="413"/>
      <c r="J16" s="438" t="str">
        <f>IF(AND('Mapa final'!$H$47="Alta",'Mapa final'!$L$47="Leve"),CONCATENATE("R",'Mapa final'!$A$47),"")</f>
        <v/>
      </c>
      <c r="K16" s="439"/>
      <c r="L16" s="439" t="str">
        <f>IF(AND('Mapa final'!$H$53="Alta",'Mapa final'!$L$53="Leve"),CONCATENATE("R",'Mapa final'!$A$53),"")</f>
        <v/>
      </c>
      <c r="M16" s="439"/>
      <c r="N16" s="439" t="str">
        <f>IF(AND('Mapa final'!$H$59="Alta",'Mapa final'!$L$59="Leve"),CONCATENATE("R",'Mapa final'!$A$59),"")</f>
        <v/>
      </c>
      <c r="O16" s="440"/>
      <c r="P16" s="438" t="str">
        <f>IF(AND('Mapa final'!$H$47="Alta",'Mapa final'!$L$47="Menor"),CONCATENATE("R",'Mapa final'!$A$47),"")</f>
        <v/>
      </c>
      <c r="Q16" s="439"/>
      <c r="R16" s="439" t="str">
        <f>IF(AND('Mapa final'!$H$53="Alta",'Mapa final'!$L$53="Menor"),CONCATENATE("R",'Mapa final'!$A$53),"")</f>
        <v/>
      </c>
      <c r="S16" s="439"/>
      <c r="T16" s="439" t="str">
        <f>IF(AND('Mapa final'!$H$59="Alta",'Mapa final'!$L$59="Menor"),CONCATENATE("R",'Mapa final'!$A$59),"")</f>
        <v/>
      </c>
      <c r="U16" s="440"/>
      <c r="V16" s="422" t="str">
        <f>IF(AND('Mapa final'!$H$47="Alta",'Mapa final'!$L$47="Moderado"),CONCATENATE("R",'Mapa final'!$A$47),"")</f>
        <v/>
      </c>
      <c r="W16" s="418"/>
      <c r="X16" s="418" t="str">
        <f>IF(AND('Mapa final'!$H$53="Alta",'Mapa final'!$L$53="Moderado"),CONCATENATE("R",'Mapa final'!$A$53),"")</f>
        <v/>
      </c>
      <c r="Y16" s="418"/>
      <c r="Z16" s="418" t="str">
        <f>IF(AND('Mapa final'!$H$59="Alta",'Mapa final'!$L$59="Moderado"),CONCATENATE("R",'Mapa final'!$A$59),"")</f>
        <v/>
      </c>
      <c r="AA16" s="419"/>
      <c r="AB16" s="422" t="str">
        <f>IF(AND('Mapa final'!$H$47="Alta",'Mapa final'!$L$47="Mayor"),CONCATENATE("R",'Mapa final'!$A$47),"")</f>
        <v/>
      </c>
      <c r="AC16" s="418"/>
      <c r="AD16" s="418" t="str">
        <f>IF(AND('Mapa final'!$H$53="Alta",'Mapa final'!$L$53="Mayor"),CONCATENATE("R",'Mapa final'!$A$53),"")</f>
        <v/>
      </c>
      <c r="AE16" s="418"/>
      <c r="AF16" s="418" t="str">
        <f>IF(AND('Mapa final'!$H$59="Alta",'Mapa final'!$L$59="Mayor"),CONCATENATE("R",'Mapa final'!$A$59),"")</f>
        <v/>
      </c>
      <c r="AG16" s="419"/>
      <c r="AH16" s="429" t="str">
        <f>IF(AND('Mapa final'!$H$47="Alta",'Mapa final'!$L$47="Catastrófico"),CONCATENATE("R",'Mapa final'!$A$47),"")</f>
        <v/>
      </c>
      <c r="AI16" s="430"/>
      <c r="AJ16" s="430" t="str">
        <f>IF(AND('Mapa final'!$H$53="Alta",'Mapa final'!$L$53="Catastrófico"),CONCATENATE("R",'Mapa final'!$A$53),"")</f>
        <v/>
      </c>
      <c r="AK16" s="430"/>
      <c r="AL16" s="430" t="str">
        <f>IF(AND('Mapa final'!$H$59="Alta",'Mapa final'!$L$59="Catastrófico"),CONCATENATE("R",'Mapa final'!$A$59),"")</f>
        <v/>
      </c>
      <c r="AM16" s="431"/>
      <c r="AN16" s="83"/>
      <c r="AO16" s="385"/>
      <c r="AP16" s="386"/>
      <c r="AQ16" s="386"/>
      <c r="AR16" s="386"/>
      <c r="AS16" s="386"/>
      <c r="AT16" s="38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71"/>
      <c r="C17" s="371"/>
      <c r="D17" s="372"/>
      <c r="E17" s="412"/>
      <c r="F17" s="413"/>
      <c r="G17" s="413"/>
      <c r="H17" s="413"/>
      <c r="I17" s="413"/>
      <c r="J17" s="438"/>
      <c r="K17" s="439"/>
      <c r="L17" s="439"/>
      <c r="M17" s="439"/>
      <c r="N17" s="439"/>
      <c r="O17" s="440"/>
      <c r="P17" s="438"/>
      <c r="Q17" s="439"/>
      <c r="R17" s="439"/>
      <c r="S17" s="439"/>
      <c r="T17" s="439"/>
      <c r="U17" s="440"/>
      <c r="V17" s="422"/>
      <c r="W17" s="418"/>
      <c r="X17" s="418"/>
      <c r="Y17" s="418"/>
      <c r="Z17" s="418"/>
      <c r="AA17" s="419"/>
      <c r="AB17" s="422"/>
      <c r="AC17" s="418"/>
      <c r="AD17" s="418"/>
      <c r="AE17" s="418"/>
      <c r="AF17" s="418"/>
      <c r="AG17" s="419"/>
      <c r="AH17" s="429"/>
      <c r="AI17" s="430"/>
      <c r="AJ17" s="430"/>
      <c r="AK17" s="430"/>
      <c r="AL17" s="430"/>
      <c r="AM17" s="431"/>
      <c r="AN17" s="83"/>
      <c r="AO17" s="385"/>
      <c r="AP17" s="386"/>
      <c r="AQ17" s="386"/>
      <c r="AR17" s="386"/>
      <c r="AS17" s="386"/>
      <c r="AT17" s="38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71"/>
      <c r="C18" s="371"/>
      <c r="D18" s="372"/>
      <c r="E18" s="412"/>
      <c r="F18" s="413"/>
      <c r="G18" s="413"/>
      <c r="H18" s="413"/>
      <c r="I18" s="413"/>
      <c r="J18" s="438" t="str">
        <f>IF(AND('Mapa final'!$H$65="Alta",'Mapa final'!$L$65="Leve"),CONCATENATE("R",'Mapa final'!$A$65),"")</f>
        <v/>
      </c>
      <c r="K18" s="439"/>
      <c r="L18" s="439" t="str">
        <f>IF(AND('Mapa final'!$H$71="Alta",'Mapa final'!$L$71="Leve"),CONCATENATE("R",'Mapa final'!$A$71),"")</f>
        <v/>
      </c>
      <c r="M18" s="439"/>
      <c r="N18" s="439" t="str">
        <f>IF(AND('Mapa final'!$H$77="Alta",'Mapa final'!$L$77="Leve"),CONCATENATE("R",'Mapa final'!$A$77),"")</f>
        <v/>
      </c>
      <c r="O18" s="440"/>
      <c r="P18" s="438" t="str">
        <f>IF(AND('Mapa final'!$H$65="Alta",'Mapa final'!$L$65="Menor"),CONCATENATE("R",'Mapa final'!$A$65),"")</f>
        <v/>
      </c>
      <c r="Q18" s="439"/>
      <c r="R18" s="439" t="str">
        <f>IF(AND('Mapa final'!$H$71="Alta",'Mapa final'!$L$71="Menor"),CONCATENATE("R",'Mapa final'!$A$71),"")</f>
        <v/>
      </c>
      <c r="S18" s="439"/>
      <c r="T18" s="439" t="str">
        <f>IF(AND('Mapa final'!$H$77="Alta",'Mapa final'!$L$77="Menor"),CONCATENATE("R",'Mapa final'!$A$77),"")</f>
        <v/>
      </c>
      <c r="U18" s="440"/>
      <c r="V18" s="422" t="str">
        <f>IF(AND('Mapa final'!$H$65="Alta",'Mapa final'!$L$65="Moderado"),CONCATENATE("R",'Mapa final'!$A$65),"")</f>
        <v/>
      </c>
      <c r="W18" s="418"/>
      <c r="X18" s="418" t="str">
        <f>IF(AND('Mapa final'!$H$71="Alta",'Mapa final'!$L$71="Moderado"),CONCATENATE("R",'Mapa final'!$A$71),"")</f>
        <v/>
      </c>
      <c r="Y18" s="418"/>
      <c r="Z18" s="418" t="str">
        <f>IF(AND('Mapa final'!$H$77="Alta",'Mapa final'!$L$77="Moderado"),CONCATENATE("R",'Mapa final'!$A$77),"")</f>
        <v/>
      </c>
      <c r="AA18" s="419"/>
      <c r="AB18" s="422" t="str">
        <f>IF(AND('Mapa final'!$H$65="Alta",'Mapa final'!$L$65="Mayor"),CONCATENATE("R",'Mapa final'!$A$65),"")</f>
        <v/>
      </c>
      <c r="AC18" s="418"/>
      <c r="AD18" s="418" t="str">
        <f>IF(AND('Mapa final'!$H$71="Alta",'Mapa final'!$L$71="Mayor"),CONCATENATE("R",'Mapa final'!$A$71),"")</f>
        <v/>
      </c>
      <c r="AE18" s="418"/>
      <c r="AF18" s="418" t="str">
        <f>IF(AND('Mapa final'!$H$77="Alta",'Mapa final'!$L$77="Mayor"),CONCATENATE("R",'Mapa final'!$A$77),"")</f>
        <v/>
      </c>
      <c r="AG18" s="419"/>
      <c r="AH18" s="429" t="str">
        <f>IF(AND('Mapa final'!$H$65="Alta",'Mapa final'!$L$65="Catastrófico"),CONCATENATE("R",'Mapa final'!$A$65),"")</f>
        <v/>
      </c>
      <c r="AI18" s="430"/>
      <c r="AJ18" s="430" t="str">
        <f>IF(AND('Mapa final'!$H$71="Alta",'Mapa final'!$L$71="Catastrófico"),CONCATENATE("R",'Mapa final'!$A$71),"")</f>
        <v/>
      </c>
      <c r="AK18" s="430"/>
      <c r="AL18" s="430" t="str">
        <f>IF(AND('Mapa final'!$H$77="Alta",'Mapa final'!$L$77="Catastrófico"),CONCATENATE("R",'Mapa final'!$A$77),"")</f>
        <v/>
      </c>
      <c r="AM18" s="431"/>
      <c r="AN18" s="83"/>
      <c r="AO18" s="385"/>
      <c r="AP18" s="386"/>
      <c r="AQ18" s="386"/>
      <c r="AR18" s="386"/>
      <c r="AS18" s="386"/>
      <c r="AT18" s="38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71"/>
      <c r="C19" s="371"/>
      <c r="D19" s="372"/>
      <c r="E19" s="412"/>
      <c r="F19" s="413"/>
      <c r="G19" s="413"/>
      <c r="H19" s="413"/>
      <c r="I19" s="413"/>
      <c r="J19" s="438"/>
      <c r="K19" s="439"/>
      <c r="L19" s="439"/>
      <c r="M19" s="439"/>
      <c r="N19" s="439"/>
      <c r="O19" s="440"/>
      <c r="P19" s="438"/>
      <c r="Q19" s="439"/>
      <c r="R19" s="439"/>
      <c r="S19" s="439"/>
      <c r="T19" s="439"/>
      <c r="U19" s="440"/>
      <c r="V19" s="422"/>
      <c r="W19" s="418"/>
      <c r="X19" s="418"/>
      <c r="Y19" s="418"/>
      <c r="Z19" s="418"/>
      <c r="AA19" s="419"/>
      <c r="AB19" s="422"/>
      <c r="AC19" s="418"/>
      <c r="AD19" s="418"/>
      <c r="AE19" s="418"/>
      <c r="AF19" s="418"/>
      <c r="AG19" s="419"/>
      <c r="AH19" s="429"/>
      <c r="AI19" s="430"/>
      <c r="AJ19" s="430"/>
      <c r="AK19" s="430"/>
      <c r="AL19" s="430"/>
      <c r="AM19" s="431"/>
      <c r="AN19" s="83"/>
      <c r="AO19" s="385"/>
      <c r="AP19" s="386"/>
      <c r="AQ19" s="386"/>
      <c r="AR19" s="386"/>
      <c r="AS19" s="386"/>
      <c r="AT19" s="38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71"/>
      <c r="C20" s="371"/>
      <c r="D20" s="372"/>
      <c r="E20" s="412"/>
      <c r="F20" s="413"/>
      <c r="G20" s="413"/>
      <c r="H20" s="413"/>
      <c r="I20" s="413"/>
      <c r="J20" s="438" t="str">
        <f>IF(AND('Mapa final'!$H$83="Alta",'Mapa final'!$L$83="Leve"),CONCATENATE("R",'Mapa final'!$A$83),"")</f>
        <v/>
      </c>
      <c r="K20" s="439"/>
      <c r="L20" s="439" t="str">
        <f>IF(AND('Mapa final'!$H$89="Alta",'Mapa final'!$L$89="Leve"),CONCATENATE("R",'Mapa final'!$A$89),"")</f>
        <v/>
      </c>
      <c r="M20" s="439"/>
      <c r="N20" s="439" t="str">
        <f>IF(AND('Mapa final'!$H$95="Alta",'Mapa final'!$L$95="Leve"),CONCATENATE("R",'Mapa final'!$A$95),"")</f>
        <v/>
      </c>
      <c r="O20" s="440"/>
      <c r="P20" s="438" t="str">
        <f>IF(AND('Mapa final'!$H$83="Alta",'Mapa final'!$L$83="Menor"),CONCATENATE("R",'Mapa final'!$A$83),"")</f>
        <v/>
      </c>
      <c r="Q20" s="439"/>
      <c r="R20" s="439" t="str">
        <f>IF(AND('Mapa final'!$H$89="Alta",'Mapa final'!$L$89="Menor"),CONCATENATE("R",'Mapa final'!$A$89),"")</f>
        <v/>
      </c>
      <c r="S20" s="439"/>
      <c r="T20" s="439" t="str">
        <f>IF(AND('Mapa final'!$H$95="Alta",'Mapa final'!$L$95="Menor"),CONCATENATE("R",'Mapa final'!$A$95),"")</f>
        <v/>
      </c>
      <c r="U20" s="440"/>
      <c r="V20" s="422" t="str">
        <f>IF(AND('Mapa final'!$H$83="Alta",'Mapa final'!$L$83="Moderado"),CONCATENATE("R",'Mapa final'!$A$83),"")</f>
        <v/>
      </c>
      <c r="W20" s="418"/>
      <c r="X20" s="418" t="str">
        <f>IF(AND('Mapa final'!$H$89="Alta",'Mapa final'!$L$89="Moderado"),CONCATENATE("R",'Mapa final'!$A$89),"")</f>
        <v/>
      </c>
      <c r="Y20" s="418"/>
      <c r="Z20" s="418" t="str">
        <f>IF(AND('Mapa final'!$H$95="Alta",'Mapa final'!$L$95="Moderado"),CONCATENATE("R",'Mapa final'!$A$95),"")</f>
        <v/>
      </c>
      <c r="AA20" s="419"/>
      <c r="AB20" s="422" t="str">
        <f>IF(AND('Mapa final'!$H$83="Alta",'Mapa final'!$L$83="Mayor"),CONCATENATE("R",'Mapa final'!$A$83),"")</f>
        <v/>
      </c>
      <c r="AC20" s="418"/>
      <c r="AD20" s="418" t="str">
        <f>IF(AND('Mapa final'!$H$89="Alta",'Mapa final'!$L$89="Mayor"),CONCATENATE("R",'Mapa final'!$A$89),"")</f>
        <v/>
      </c>
      <c r="AE20" s="418"/>
      <c r="AF20" s="418" t="str">
        <f>IF(AND('Mapa final'!$H$95="Alta",'Mapa final'!$L$95="Mayor"),CONCATENATE("R",'Mapa final'!$A$95),"")</f>
        <v/>
      </c>
      <c r="AG20" s="419"/>
      <c r="AH20" s="429" t="str">
        <f>IF(AND('Mapa final'!$H$83="Alta",'Mapa final'!$L$83="Catastrófico"),CONCATENATE("R",'Mapa final'!$A$83),"")</f>
        <v/>
      </c>
      <c r="AI20" s="430"/>
      <c r="AJ20" s="430" t="str">
        <f>IF(AND('Mapa final'!$H$89="Alta",'Mapa final'!$L$89="Catastrófico"),CONCATENATE("R",'Mapa final'!$A$89),"")</f>
        <v/>
      </c>
      <c r="AK20" s="430"/>
      <c r="AL20" s="430" t="str">
        <f>IF(AND('Mapa final'!$H$95="Alta",'Mapa final'!$L$95="Catastrófico"),CONCATENATE("R",'Mapa final'!$A$95),"")</f>
        <v/>
      </c>
      <c r="AM20" s="431"/>
      <c r="AN20" s="83"/>
      <c r="AO20" s="385"/>
      <c r="AP20" s="386"/>
      <c r="AQ20" s="386"/>
      <c r="AR20" s="386"/>
      <c r="AS20" s="386"/>
      <c r="AT20" s="38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71"/>
      <c r="C21" s="371"/>
      <c r="D21" s="372"/>
      <c r="E21" s="415"/>
      <c r="F21" s="416"/>
      <c r="G21" s="416"/>
      <c r="H21" s="416"/>
      <c r="I21" s="416"/>
      <c r="J21" s="441"/>
      <c r="K21" s="442"/>
      <c r="L21" s="442"/>
      <c r="M21" s="442"/>
      <c r="N21" s="442"/>
      <c r="O21" s="443"/>
      <c r="P21" s="441"/>
      <c r="Q21" s="442"/>
      <c r="R21" s="442"/>
      <c r="S21" s="442"/>
      <c r="T21" s="442"/>
      <c r="U21" s="443"/>
      <c r="V21" s="426"/>
      <c r="W21" s="427"/>
      <c r="X21" s="427"/>
      <c r="Y21" s="427"/>
      <c r="Z21" s="427"/>
      <c r="AA21" s="428"/>
      <c r="AB21" s="426"/>
      <c r="AC21" s="427"/>
      <c r="AD21" s="427"/>
      <c r="AE21" s="427"/>
      <c r="AF21" s="427"/>
      <c r="AG21" s="428"/>
      <c r="AH21" s="432"/>
      <c r="AI21" s="433"/>
      <c r="AJ21" s="433"/>
      <c r="AK21" s="433"/>
      <c r="AL21" s="433"/>
      <c r="AM21" s="434"/>
      <c r="AN21" s="83"/>
      <c r="AO21" s="388"/>
      <c r="AP21" s="389"/>
      <c r="AQ21" s="389"/>
      <c r="AR21" s="389"/>
      <c r="AS21" s="389"/>
      <c r="AT21" s="39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71"/>
      <c r="C22" s="371"/>
      <c r="D22" s="372"/>
      <c r="E22" s="409" t="s">
        <v>96</v>
      </c>
      <c r="F22" s="410"/>
      <c r="G22" s="410"/>
      <c r="H22" s="410"/>
      <c r="I22" s="411"/>
      <c r="J22" s="444" t="str">
        <f>IF(AND('Mapa final'!$H$29="Media",'Mapa final'!$L$29="Leve"),CONCATENATE("R",'Mapa final'!$A$29),"")</f>
        <v/>
      </c>
      <c r="K22" s="445"/>
      <c r="L22" s="445" t="str">
        <f>IF(AND('Mapa final'!$H$35="Media",'Mapa final'!$L$35="Leve"),CONCATENATE("R",'Mapa final'!$A$35),"")</f>
        <v>R2</v>
      </c>
      <c r="M22" s="445"/>
      <c r="N22" s="445" t="str">
        <f>IF(AND('Mapa final'!$H$41="Media",'Mapa final'!$L$41="Leve"),CONCATENATE("R",'Mapa final'!$A$41),"")</f>
        <v/>
      </c>
      <c r="O22" s="446"/>
      <c r="P22" s="444" t="str">
        <f>IF(AND('Mapa final'!$H$29="Media",'Mapa final'!$L$29="Menor"),CONCATENATE("R",'Mapa final'!$A$29),"")</f>
        <v/>
      </c>
      <c r="Q22" s="445"/>
      <c r="R22" s="445" t="str">
        <f>IF(AND('Mapa final'!$H$35="Media",'Mapa final'!$L$35="Menor"),CONCATENATE("R",'Mapa final'!$A$35),"")</f>
        <v/>
      </c>
      <c r="S22" s="445"/>
      <c r="T22" s="445" t="str">
        <f>IF(AND('Mapa final'!$H$41="Media",'Mapa final'!$L$41="Menor"),CONCATENATE("R",'Mapa final'!$A$41),"")</f>
        <v/>
      </c>
      <c r="U22" s="446"/>
      <c r="V22" s="444" t="str">
        <f>IF(AND('Mapa final'!$H$29="Media",'Mapa final'!$L$29="Moderado"),CONCATENATE("R",'Mapa final'!$A$29),"")</f>
        <v/>
      </c>
      <c r="W22" s="445"/>
      <c r="X22" s="445" t="str">
        <f>IF(AND('Mapa final'!$H$35="Media",'Mapa final'!$L$35="Moderado"),CONCATENATE("R",'Mapa final'!$A$35),"")</f>
        <v/>
      </c>
      <c r="Y22" s="445"/>
      <c r="Z22" s="445" t="str">
        <f>IF(AND('Mapa final'!$H$41="Media",'Mapa final'!$L$41="Moderado"),CONCATENATE("R",'Mapa final'!$A$41),"")</f>
        <v>R3</v>
      </c>
      <c r="AA22" s="446"/>
      <c r="AB22" s="420" t="str">
        <f>IF(AND('Mapa final'!$H$29="Media",'Mapa final'!$L$29="Mayor"),CONCATENATE("R",'Mapa final'!$A$29),"")</f>
        <v/>
      </c>
      <c r="AC22" s="421"/>
      <c r="AD22" s="421" t="str">
        <f>IF(AND('Mapa final'!$H$35="Media",'Mapa final'!$L$35="Mayor"),CONCATENATE("R",'Mapa final'!$A$35),"")</f>
        <v/>
      </c>
      <c r="AE22" s="421"/>
      <c r="AF22" s="421" t="str">
        <f>IF(AND('Mapa final'!$H$41="Media",'Mapa final'!$L$41="Mayor"),CONCATENATE("R",'Mapa final'!$A$41),"")</f>
        <v/>
      </c>
      <c r="AG22" s="423"/>
      <c r="AH22" s="435" t="str">
        <f>IF(AND('Mapa final'!$H$29="Media",'Mapa final'!$L$29="Catastrófico"),CONCATENATE("R",'Mapa final'!$A$29),"")</f>
        <v/>
      </c>
      <c r="AI22" s="436"/>
      <c r="AJ22" s="436" t="str">
        <f>IF(AND('Mapa final'!$H$35="Media",'Mapa final'!$L$35="Catastrófico"),CONCATENATE("R",'Mapa final'!$A$35),"")</f>
        <v/>
      </c>
      <c r="AK22" s="436"/>
      <c r="AL22" s="436" t="str">
        <f>IF(AND('Mapa final'!$H$41="Media",'Mapa final'!$L$41="Catastrófico"),CONCATENATE("R",'Mapa final'!$A$41),"")</f>
        <v/>
      </c>
      <c r="AM22" s="437"/>
      <c r="AN22" s="83"/>
      <c r="AO22" s="391" t="s">
        <v>97</v>
      </c>
      <c r="AP22" s="392"/>
      <c r="AQ22" s="392"/>
      <c r="AR22" s="392"/>
      <c r="AS22" s="392"/>
      <c r="AT22" s="39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71"/>
      <c r="C23" s="371"/>
      <c r="D23" s="372"/>
      <c r="E23" s="412"/>
      <c r="F23" s="413"/>
      <c r="G23" s="413"/>
      <c r="H23" s="413"/>
      <c r="I23" s="414"/>
      <c r="J23" s="438"/>
      <c r="K23" s="439"/>
      <c r="L23" s="439"/>
      <c r="M23" s="439"/>
      <c r="N23" s="439"/>
      <c r="O23" s="440"/>
      <c r="P23" s="438"/>
      <c r="Q23" s="439"/>
      <c r="R23" s="439"/>
      <c r="S23" s="439"/>
      <c r="T23" s="439"/>
      <c r="U23" s="440"/>
      <c r="V23" s="438"/>
      <c r="W23" s="439"/>
      <c r="X23" s="439"/>
      <c r="Y23" s="439"/>
      <c r="Z23" s="439"/>
      <c r="AA23" s="440"/>
      <c r="AB23" s="422"/>
      <c r="AC23" s="418"/>
      <c r="AD23" s="418"/>
      <c r="AE23" s="418"/>
      <c r="AF23" s="418"/>
      <c r="AG23" s="419"/>
      <c r="AH23" s="429"/>
      <c r="AI23" s="430"/>
      <c r="AJ23" s="430"/>
      <c r="AK23" s="430"/>
      <c r="AL23" s="430"/>
      <c r="AM23" s="431"/>
      <c r="AN23" s="83"/>
      <c r="AO23" s="394"/>
      <c r="AP23" s="395"/>
      <c r="AQ23" s="395"/>
      <c r="AR23" s="395"/>
      <c r="AS23" s="395"/>
      <c r="AT23" s="39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71"/>
      <c r="C24" s="371"/>
      <c r="D24" s="372"/>
      <c r="E24" s="412"/>
      <c r="F24" s="413"/>
      <c r="G24" s="413"/>
      <c r="H24" s="413"/>
      <c r="I24" s="414"/>
      <c r="J24" s="438" t="str">
        <f>IF(AND('Mapa final'!$H$47="Media",'Mapa final'!$L$47="Leve"),CONCATENATE("R",'Mapa final'!$A$47),"")</f>
        <v/>
      </c>
      <c r="K24" s="439"/>
      <c r="L24" s="439" t="str">
        <f>IF(AND('Mapa final'!$H$53="Media",'Mapa final'!$L$53="Leve"),CONCATENATE("R",'Mapa final'!$A$53),"")</f>
        <v/>
      </c>
      <c r="M24" s="439"/>
      <c r="N24" s="439" t="str">
        <f>IF(AND('Mapa final'!$H$59="Media",'Mapa final'!$L$59="Leve"),CONCATENATE("R",'Mapa final'!$A$59),"")</f>
        <v/>
      </c>
      <c r="O24" s="440"/>
      <c r="P24" s="438" t="str">
        <f>IF(AND('Mapa final'!$H$47="Media",'Mapa final'!$L$47="Menor"),CONCATENATE("R",'Mapa final'!$A$47),"")</f>
        <v/>
      </c>
      <c r="Q24" s="439"/>
      <c r="R24" s="439" t="str">
        <f>IF(AND('Mapa final'!$H$53="Media",'Mapa final'!$L$53="Menor"),CONCATENATE("R",'Mapa final'!$A$53),"")</f>
        <v>R5</v>
      </c>
      <c r="S24" s="439"/>
      <c r="T24" s="439" t="str">
        <f>IF(AND('Mapa final'!$H$59="Media",'Mapa final'!$L$59="Menor"),CONCATENATE("R",'Mapa final'!$A$59),"")</f>
        <v/>
      </c>
      <c r="U24" s="440"/>
      <c r="V24" s="438" t="str">
        <f>IF(AND('Mapa final'!$H$47="Media",'Mapa final'!$L$47="Moderado"),CONCATENATE("R",'Mapa final'!$A$47),"")</f>
        <v/>
      </c>
      <c r="W24" s="439"/>
      <c r="X24" s="439" t="str">
        <f>IF(AND('Mapa final'!$H$53="Media",'Mapa final'!$L$53="Moderado"),CONCATENATE("R",'Mapa final'!$A$53),"")</f>
        <v/>
      </c>
      <c r="Y24" s="439"/>
      <c r="Z24" s="439" t="str">
        <f>IF(AND('Mapa final'!$H$59="Media",'Mapa final'!$L$59="Moderado"),CONCATENATE("R",'Mapa final'!$A$59),"")</f>
        <v/>
      </c>
      <c r="AA24" s="440"/>
      <c r="AB24" s="422" t="str">
        <f>IF(AND('Mapa final'!$H$47="Media",'Mapa final'!$L$47="Mayor"),CONCATENATE("R",'Mapa final'!$A$47),"")</f>
        <v/>
      </c>
      <c r="AC24" s="418"/>
      <c r="AD24" s="418" t="str">
        <f>IF(AND('Mapa final'!$H$53="Media",'Mapa final'!$L$53="Mayor"),CONCATENATE("R",'Mapa final'!$A$53),"")</f>
        <v/>
      </c>
      <c r="AE24" s="418"/>
      <c r="AF24" s="418" t="str">
        <f>IF(AND('Mapa final'!$H$59="Media",'Mapa final'!$L$59="Mayor"),CONCATENATE("R",'Mapa final'!$A$59),"")</f>
        <v/>
      </c>
      <c r="AG24" s="419"/>
      <c r="AH24" s="429" t="str">
        <f>IF(AND('Mapa final'!$H$47="Media",'Mapa final'!$L$47="Catastrófico"),CONCATENATE("R",'Mapa final'!$A$47),"")</f>
        <v/>
      </c>
      <c r="AI24" s="430"/>
      <c r="AJ24" s="430" t="str">
        <f>IF(AND('Mapa final'!$H$53="Media",'Mapa final'!$L$53="Catastrófico"),CONCATENATE("R",'Mapa final'!$A$53),"")</f>
        <v/>
      </c>
      <c r="AK24" s="430"/>
      <c r="AL24" s="430" t="str">
        <f>IF(AND('Mapa final'!$H$59="Media",'Mapa final'!$L$59="Catastrófico"),CONCATENATE("R",'Mapa final'!$A$59),"")</f>
        <v/>
      </c>
      <c r="AM24" s="431"/>
      <c r="AN24" s="83"/>
      <c r="AO24" s="394"/>
      <c r="AP24" s="395"/>
      <c r="AQ24" s="395"/>
      <c r="AR24" s="395"/>
      <c r="AS24" s="395"/>
      <c r="AT24" s="39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71"/>
      <c r="C25" s="371"/>
      <c r="D25" s="372"/>
      <c r="E25" s="412"/>
      <c r="F25" s="413"/>
      <c r="G25" s="413"/>
      <c r="H25" s="413"/>
      <c r="I25" s="414"/>
      <c r="J25" s="438"/>
      <c r="K25" s="439"/>
      <c r="L25" s="439"/>
      <c r="M25" s="439"/>
      <c r="N25" s="439"/>
      <c r="O25" s="440"/>
      <c r="P25" s="438"/>
      <c r="Q25" s="439"/>
      <c r="R25" s="439"/>
      <c r="S25" s="439"/>
      <c r="T25" s="439"/>
      <c r="U25" s="440"/>
      <c r="V25" s="438"/>
      <c r="W25" s="439"/>
      <c r="X25" s="439"/>
      <c r="Y25" s="439"/>
      <c r="Z25" s="439"/>
      <c r="AA25" s="440"/>
      <c r="AB25" s="422"/>
      <c r="AC25" s="418"/>
      <c r="AD25" s="418"/>
      <c r="AE25" s="418"/>
      <c r="AF25" s="418"/>
      <c r="AG25" s="419"/>
      <c r="AH25" s="429"/>
      <c r="AI25" s="430"/>
      <c r="AJ25" s="430"/>
      <c r="AK25" s="430"/>
      <c r="AL25" s="430"/>
      <c r="AM25" s="431"/>
      <c r="AN25" s="83"/>
      <c r="AO25" s="394"/>
      <c r="AP25" s="395"/>
      <c r="AQ25" s="395"/>
      <c r="AR25" s="395"/>
      <c r="AS25" s="395"/>
      <c r="AT25" s="396"/>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71"/>
      <c r="C26" s="371"/>
      <c r="D26" s="372"/>
      <c r="E26" s="412"/>
      <c r="F26" s="413"/>
      <c r="G26" s="413"/>
      <c r="H26" s="413"/>
      <c r="I26" s="414"/>
      <c r="J26" s="438" t="str">
        <f>IF(AND('Mapa final'!$H$65="Media",'Mapa final'!$L$65="Leve"),CONCATENATE("R",'Mapa final'!$A$65),"")</f>
        <v/>
      </c>
      <c r="K26" s="439"/>
      <c r="L26" s="439" t="str">
        <f>IF(AND('Mapa final'!$H$71="Media",'Mapa final'!$L$71="Leve"),CONCATENATE("R",'Mapa final'!$A$71),"")</f>
        <v/>
      </c>
      <c r="M26" s="439"/>
      <c r="N26" s="439" t="str">
        <f>IF(AND('Mapa final'!$H$77="Media",'Mapa final'!$L$77="Leve"),CONCATENATE("R",'Mapa final'!$A$77),"")</f>
        <v/>
      </c>
      <c r="O26" s="440"/>
      <c r="P26" s="438" t="str">
        <f>IF(AND('Mapa final'!$H$65="Media",'Mapa final'!$L$65="Menor"),CONCATENATE("R",'Mapa final'!$A$65),"")</f>
        <v/>
      </c>
      <c r="Q26" s="439"/>
      <c r="R26" s="439" t="str">
        <f>IF(AND('Mapa final'!$H$71="Media",'Mapa final'!$L$71="Menor"),CONCATENATE("R",'Mapa final'!$A$71),"")</f>
        <v/>
      </c>
      <c r="S26" s="439"/>
      <c r="T26" s="439" t="str">
        <f>IF(AND('Mapa final'!$H$77="Media",'Mapa final'!$L$77="Menor"),CONCATENATE("R",'Mapa final'!$A$77),"")</f>
        <v/>
      </c>
      <c r="U26" s="440"/>
      <c r="V26" s="438" t="str">
        <f>IF(AND('Mapa final'!$H$65="Media",'Mapa final'!$L$65="Moderado"),CONCATENATE("R",'Mapa final'!$A$65),"")</f>
        <v/>
      </c>
      <c r="W26" s="439"/>
      <c r="X26" s="439" t="str">
        <f>IF(AND('Mapa final'!$H$71="Media",'Mapa final'!$L$71="Moderado"),CONCATENATE("R",'Mapa final'!$A$71),"")</f>
        <v/>
      </c>
      <c r="Y26" s="439"/>
      <c r="Z26" s="439" t="str">
        <f>IF(AND('Mapa final'!$H$77="Media",'Mapa final'!$L$77="Moderado"),CONCATENATE("R",'Mapa final'!$A$77),"")</f>
        <v/>
      </c>
      <c r="AA26" s="440"/>
      <c r="AB26" s="422" t="str">
        <f>IF(AND('Mapa final'!$H$65="Media",'Mapa final'!$L$65="Mayor"),CONCATENATE("R",'Mapa final'!$A$65),"")</f>
        <v/>
      </c>
      <c r="AC26" s="418"/>
      <c r="AD26" s="418" t="str">
        <f>IF(AND('Mapa final'!$H$71="Media",'Mapa final'!$L$71="Mayor"),CONCATENATE("R",'Mapa final'!$A$71),"")</f>
        <v/>
      </c>
      <c r="AE26" s="418"/>
      <c r="AF26" s="418" t="str">
        <f>IF(AND('Mapa final'!$H$77="Media",'Mapa final'!$L$77="Mayor"),CONCATENATE("R",'Mapa final'!$A$77),"")</f>
        <v/>
      </c>
      <c r="AG26" s="419"/>
      <c r="AH26" s="429" t="str">
        <f>IF(AND('Mapa final'!$H$65="Media",'Mapa final'!$L$65="Catastrófico"),CONCATENATE("R",'Mapa final'!$A$65),"")</f>
        <v/>
      </c>
      <c r="AI26" s="430"/>
      <c r="AJ26" s="430" t="str">
        <f>IF(AND('Mapa final'!$H$71="Media",'Mapa final'!$L$71="Catastrófico"),CONCATENATE("R",'Mapa final'!$A$71),"")</f>
        <v/>
      </c>
      <c r="AK26" s="430"/>
      <c r="AL26" s="430" t="str">
        <f>IF(AND('Mapa final'!$H$77="Media",'Mapa final'!$L$77="Catastrófico"),CONCATENATE("R",'Mapa final'!$A$77),"")</f>
        <v/>
      </c>
      <c r="AM26" s="431"/>
      <c r="AN26" s="83"/>
      <c r="AO26" s="394"/>
      <c r="AP26" s="395"/>
      <c r="AQ26" s="395"/>
      <c r="AR26" s="395"/>
      <c r="AS26" s="395"/>
      <c r="AT26" s="39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71"/>
      <c r="C27" s="371"/>
      <c r="D27" s="372"/>
      <c r="E27" s="412"/>
      <c r="F27" s="413"/>
      <c r="G27" s="413"/>
      <c r="H27" s="413"/>
      <c r="I27" s="414"/>
      <c r="J27" s="438"/>
      <c r="K27" s="439"/>
      <c r="L27" s="439"/>
      <c r="M27" s="439"/>
      <c r="N27" s="439"/>
      <c r="O27" s="440"/>
      <c r="P27" s="438"/>
      <c r="Q27" s="439"/>
      <c r="R27" s="439"/>
      <c r="S27" s="439"/>
      <c r="T27" s="439"/>
      <c r="U27" s="440"/>
      <c r="V27" s="438"/>
      <c r="W27" s="439"/>
      <c r="X27" s="439"/>
      <c r="Y27" s="439"/>
      <c r="Z27" s="439"/>
      <c r="AA27" s="440"/>
      <c r="AB27" s="422"/>
      <c r="AC27" s="418"/>
      <c r="AD27" s="418"/>
      <c r="AE27" s="418"/>
      <c r="AF27" s="418"/>
      <c r="AG27" s="419"/>
      <c r="AH27" s="429"/>
      <c r="AI27" s="430"/>
      <c r="AJ27" s="430"/>
      <c r="AK27" s="430"/>
      <c r="AL27" s="430"/>
      <c r="AM27" s="431"/>
      <c r="AN27" s="83"/>
      <c r="AO27" s="394"/>
      <c r="AP27" s="395"/>
      <c r="AQ27" s="395"/>
      <c r="AR27" s="395"/>
      <c r="AS27" s="395"/>
      <c r="AT27" s="39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71"/>
      <c r="C28" s="371"/>
      <c r="D28" s="372"/>
      <c r="E28" s="412"/>
      <c r="F28" s="413"/>
      <c r="G28" s="413"/>
      <c r="H28" s="413"/>
      <c r="I28" s="414"/>
      <c r="J28" s="438" t="str">
        <f>IF(AND('Mapa final'!$H$83="Media",'Mapa final'!$L$83="Leve"),CONCATENATE("R",'Mapa final'!$A$83),"")</f>
        <v/>
      </c>
      <c r="K28" s="439"/>
      <c r="L28" s="439" t="str">
        <f>IF(AND('Mapa final'!$H$89="Media",'Mapa final'!$L$89="Leve"),CONCATENATE("R",'Mapa final'!$A$89),"")</f>
        <v/>
      </c>
      <c r="M28" s="439"/>
      <c r="N28" s="439" t="str">
        <f>IF(AND('Mapa final'!$H$95="Media",'Mapa final'!$L$95="Leve"),CONCATENATE("R",'Mapa final'!$A$95),"")</f>
        <v/>
      </c>
      <c r="O28" s="440"/>
      <c r="P28" s="438" t="str">
        <f>IF(AND('Mapa final'!$H$83="Media",'Mapa final'!$L$83="Menor"),CONCATENATE("R",'Mapa final'!$A$83),"")</f>
        <v/>
      </c>
      <c r="Q28" s="439"/>
      <c r="R28" s="439" t="str">
        <f>IF(AND('Mapa final'!$H$89="Media",'Mapa final'!$L$89="Menor"),CONCATENATE("R",'Mapa final'!$A$89),"")</f>
        <v/>
      </c>
      <c r="S28" s="439"/>
      <c r="T28" s="439" t="str">
        <f>IF(AND('Mapa final'!$H$95="Media",'Mapa final'!$L$95="Menor"),CONCATENATE("R",'Mapa final'!$A$95),"")</f>
        <v/>
      </c>
      <c r="U28" s="440"/>
      <c r="V28" s="438" t="str">
        <f>IF(AND('Mapa final'!$H$83="Media",'Mapa final'!$L$83="Moderado"),CONCATENATE("R",'Mapa final'!$A$83),"")</f>
        <v/>
      </c>
      <c r="W28" s="439"/>
      <c r="X28" s="439" t="str">
        <f>IF(AND('Mapa final'!$H$89="Media",'Mapa final'!$L$89="Moderado"),CONCATENATE("R",'Mapa final'!$A$89),"")</f>
        <v/>
      </c>
      <c r="Y28" s="439"/>
      <c r="Z28" s="439" t="str">
        <f>IF(AND('Mapa final'!$H$95="Media",'Mapa final'!$L$95="Moderado"),CONCATENATE("R",'Mapa final'!$A$95),"")</f>
        <v/>
      </c>
      <c r="AA28" s="440"/>
      <c r="AB28" s="422" t="str">
        <f>IF(AND('Mapa final'!$H$83="Media",'Mapa final'!$L$83="Mayor"),CONCATENATE("R",'Mapa final'!$A$83),"")</f>
        <v/>
      </c>
      <c r="AC28" s="418"/>
      <c r="AD28" s="418" t="str">
        <f>IF(AND('Mapa final'!$H$89="Media",'Mapa final'!$L$89="Mayor"),CONCATENATE("R",'Mapa final'!$A$89),"")</f>
        <v/>
      </c>
      <c r="AE28" s="418"/>
      <c r="AF28" s="418" t="str">
        <f>IF(AND('Mapa final'!$H$95="Media",'Mapa final'!$L$95="Mayor"),CONCATENATE("R",'Mapa final'!$A$95),"")</f>
        <v/>
      </c>
      <c r="AG28" s="419"/>
      <c r="AH28" s="429" t="str">
        <f>IF(AND('Mapa final'!$H$83="Media",'Mapa final'!$L$83="Catastrófico"),CONCATENATE("R",'Mapa final'!$A$83),"")</f>
        <v/>
      </c>
      <c r="AI28" s="430"/>
      <c r="AJ28" s="430" t="str">
        <f>IF(AND('Mapa final'!$H$89="Media",'Mapa final'!$L$89="Catastrófico"),CONCATENATE("R",'Mapa final'!$A$89),"")</f>
        <v/>
      </c>
      <c r="AK28" s="430"/>
      <c r="AL28" s="430" t="str">
        <f>IF(AND('Mapa final'!$H$95="Media",'Mapa final'!$L$95="Catastrófico"),CONCATENATE("R",'Mapa final'!$A$95),"")</f>
        <v/>
      </c>
      <c r="AM28" s="431"/>
      <c r="AN28" s="83"/>
      <c r="AO28" s="394"/>
      <c r="AP28" s="395"/>
      <c r="AQ28" s="395"/>
      <c r="AR28" s="395"/>
      <c r="AS28" s="395"/>
      <c r="AT28" s="39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71"/>
      <c r="C29" s="371"/>
      <c r="D29" s="372"/>
      <c r="E29" s="415"/>
      <c r="F29" s="416"/>
      <c r="G29" s="416"/>
      <c r="H29" s="416"/>
      <c r="I29" s="417"/>
      <c r="J29" s="438"/>
      <c r="K29" s="439"/>
      <c r="L29" s="439"/>
      <c r="M29" s="439"/>
      <c r="N29" s="439"/>
      <c r="O29" s="440"/>
      <c r="P29" s="441"/>
      <c r="Q29" s="442"/>
      <c r="R29" s="442"/>
      <c r="S29" s="442"/>
      <c r="T29" s="442"/>
      <c r="U29" s="443"/>
      <c r="V29" s="441"/>
      <c r="W29" s="442"/>
      <c r="X29" s="442"/>
      <c r="Y29" s="442"/>
      <c r="Z29" s="442"/>
      <c r="AA29" s="443"/>
      <c r="AB29" s="426"/>
      <c r="AC29" s="427"/>
      <c r="AD29" s="427"/>
      <c r="AE29" s="427"/>
      <c r="AF29" s="427"/>
      <c r="AG29" s="428"/>
      <c r="AH29" s="432"/>
      <c r="AI29" s="433"/>
      <c r="AJ29" s="433"/>
      <c r="AK29" s="433"/>
      <c r="AL29" s="433"/>
      <c r="AM29" s="434"/>
      <c r="AN29" s="83"/>
      <c r="AO29" s="397"/>
      <c r="AP29" s="398"/>
      <c r="AQ29" s="398"/>
      <c r="AR29" s="398"/>
      <c r="AS29" s="398"/>
      <c r="AT29" s="39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71"/>
      <c r="C30" s="371"/>
      <c r="D30" s="372"/>
      <c r="E30" s="409" t="s">
        <v>98</v>
      </c>
      <c r="F30" s="410"/>
      <c r="G30" s="410"/>
      <c r="H30" s="410"/>
      <c r="I30" s="410"/>
      <c r="J30" s="453" t="str">
        <f>IF(AND('Mapa final'!$H$29="Baja",'Mapa final'!$L$29="Leve"),CONCATENATE("R",'Mapa final'!$A$29),"")</f>
        <v/>
      </c>
      <c r="K30" s="454"/>
      <c r="L30" s="454" t="str">
        <f>IF(AND('Mapa final'!$H$35="Baja",'Mapa final'!$L$35="Leve"),CONCATENATE("R",'Mapa final'!$A$35),"")</f>
        <v/>
      </c>
      <c r="M30" s="454"/>
      <c r="N30" s="454" t="str">
        <f>IF(AND('Mapa final'!$H$41="Baja",'Mapa final'!$L$41="Leve"),CONCATENATE("R",'Mapa final'!$A$41),"")</f>
        <v/>
      </c>
      <c r="O30" s="455"/>
      <c r="P30" s="445" t="str">
        <f>IF(AND('Mapa final'!$H$29="Baja",'Mapa final'!$L$29="Menor"),CONCATENATE("R",'Mapa final'!$A$29),"")</f>
        <v/>
      </c>
      <c r="Q30" s="445"/>
      <c r="R30" s="445" t="str">
        <f>IF(AND('Mapa final'!$H$35="Baja",'Mapa final'!$L$35="Menor"),CONCATENATE("R",'Mapa final'!$A$35),"")</f>
        <v/>
      </c>
      <c r="S30" s="445"/>
      <c r="T30" s="445" t="str">
        <f>IF(AND('Mapa final'!$H$41="Baja",'Mapa final'!$L$41="Menor"),CONCATENATE("R",'Mapa final'!$A$41),"")</f>
        <v/>
      </c>
      <c r="U30" s="446"/>
      <c r="V30" s="444" t="str">
        <f>IF(AND('Mapa final'!$H$29="Baja",'Mapa final'!$L$29="Moderado"),CONCATENATE("R",'Mapa final'!$A$29),"")</f>
        <v/>
      </c>
      <c r="W30" s="445"/>
      <c r="X30" s="445" t="str">
        <f>IF(AND('Mapa final'!$H$35="Baja",'Mapa final'!$L$35="Moderado"),CONCATENATE("R",'Mapa final'!$A$35),"")</f>
        <v/>
      </c>
      <c r="Y30" s="445"/>
      <c r="Z30" s="445" t="str">
        <f>IF(AND('Mapa final'!$H$41="Baja",'Mapa final'!$L$41="Moderado"),CONCATENATE("R",'Mapa final'!$A$41),"")</f>
        <v/>
      </c>
      <c r="AA30" s="446"/>
      <c r="AB30" s="420" t="str">
        <f>IF(AND('Mapa final'!$H$29="Baja",'Mapa final'!$L$29="Mayor"),CONCATENATE("R",'Mapa final'!$A$29),"")</f>
        <v/>
      </c>
      <c r="AC30" s="421"/>
      <c r="AD30" s="421" t="str">
        <f>IF(AND('Mapa final'!$H$35="Baja",'Mapa final'!$L$35="Mayor"),CONCATENATE("R",'Mapa final'!$A$35),"")</f>
        <v/>
      </c>
      <c r="AE30" s="421"/>
      <c r="AF30" s="421" t="str">
        <f>IF(AND('Mapa final'!$H$41="Baja",'Mapa final'!$L$41="Mayor"),CONCATENATE("R",'Mapa final'!$A$41),"")</f>
        <v/>
      </c>
      <c r="AG30" s="423"/>
      <c r="AH30" s="435" t="str">
        <f>IF(AND('Mapa final'!$H$29="Baja",'Mapa final'!$L$29="Catastrófico"),CONCATENATE("R",'Mapa final'!$A$29),"")</f>
        <v/>
      </c>
      <c r="AI30" s="436"/>
      <c r="AJ30" s="436" t="str">
        <f>IF(AND('Mapa final'!$H$35="Baja",'Mapa final'!$L$35="Catastrófico"),CONCATENATE("R",'Mapa final'!$A$35),"")</f>
        <v/>
      </c>
      <c r="AK30" s="436"/>
      <c r="AL30" s="436" t="str">
        <f>IF(AND('Mapa final'!$H$41="Baja",'Mapa final'!$L$41="Catastrófico"),CONCATENATE("R",'Mapa final'!$A$41),"")</f>
        <v/>
      </c>
      <c r="AM30" s="437"/>
      <c r="AN30" s="83"/>
      <c r="AO30" s="400" t="s">
        <v>99</v>
      </c>
      <c r="AP30" s="401"/>
      <c r="AQ30" s="401"/>
      <c r="AR30" s="401"/>
      <c r="AS30" s="401"/>
      <c r="AT30" s="40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71"/>
      <c r="C31" s="371"/>
      <c r="D31" s="372"/>
      <c r="E31" s="412"/>
      <c r="F31" s="413"/>
      <c r="G31" s="413"/>
      <c r="H31" s="413"/>
      <c r="I31" s="413"/>
      <c r="J31" s="449"/>
      <c r="K31" s="447"/>
      <c r="L31" s="447"/>
      <c r="M31" s="447"/>
      <c r="N31" s="447"/>
      <c r="O31" s="448"/>
      <c r="P31" s="439"/>
      <c r="Q31" s="439"/>
      <c r="R31" s="439"/>
      <c r="S31" s="439"/>
      <c r="T31" s="439"/>
      <c r="U31" s="440"/>
      <c r="V31" s="438"/>
      <c r="W31" s="439"/>
      <c r="X31" s="439"/>
      <c r="Y31" s="439"/>
      <c r="Z31" s="439"/>
      <c r="AA31" s="440"/>
      <c r="AB31" s="422"/>
      <c r="AC31" s="418"/>
      <c r="AD31" s="418"/>
      <c r="AE31" s="418"/>
      <c r="AF31" s="418"/>
      <c r="AG31" s="419"/>
      <c r="AH31" s="429"/>
      <c r="AI31" s="430"/>
      <c r="AJ31" s="430"/>
      <c r="AK31" s="430"/>
      <c r="AL31" s="430"/>
      <c r="AM31" s="431"/>
      <c r="AN31" s="83"/>
      <c r="AO31" s="403"/>
      <c r="AP31" s="404"/>
      <c r="AQ31" s="404"/>
      <c r="AR31" s="404"/>
      <c r="AS31" s="404"/>
      <c r="AT31" s="40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71"/>
      <c r="C32" s="371"/>
      <c r="D32" s="372"/>
      <c r="E32" s="412"/>
      <c r="F32" s="413"/>
      <c r="G32" s="413"/>
      <c r="H32" s="413"/>
      <c r="I32" s="413"/>
      <c r="J32" s="449" t="str">
        <f>IF(AND('Mapa final'!$H$47="Baja",'Mapa final'!$L$47="Leve"),CONCATENATE("R",'Mapa final'!$A$47),"")</f>
        <v/>
      </c>
      <c r="K32" s="447"/>
      <c r="L32" s="447" t="str">
        <f>IF(AND('Mapa final'!$H$53="Baja",'Mapa final'!$L$53="Leve"),CONCATENATE("R",'Mapa final'!$A$53),"")</f>
        <v/>
      </c>
      <c r="M32" s="447"/>
      <c r="N32" s="447" t="str">
        <f>IF(AND('Mapa final'!$H$59="Baja",'Mapa final'!$L$59="Leve"),CONCATENATE("R",'Mapa final'!$A$59),"")</f>
        <v/>
      </c>
      <c r="O32" s="448"/>
      <c r="P32" s="439" t="str">
        <f>IF(AND('Mapa final'!$H$47="Baja",'Mapa final'!$L$47="Menor"),CONCATENATE("R",'Mapa final'!$A$47),"")</f>
        <v/>
      </c>
      <c r="Q32" s="439"/>
      <c r="R32" s="439" t="str">
        <f>IF(AND('Mapa final'!$H$53="Baja",'Mapa final'!$L$53="Menor"),CONCATENATE("R",'Mapa final'!$A$53),"")</f>
        <v/>
      </c>
      <c r="S32" s="439"/>
      <c r="T32" s="439" t="str">
        <f>IF(AND('Mapa final'!$H$59="Baja",'Mapa final'!$L$59="Menor"),CONCATENATE("R",'Mapa final'!$A$59),"")</f>
        <v/>
      </c>
      <c r="U32" s="440"/>
      <c r="V32" s="438" t="str">
        <f>IF(AND('Mapa final'!$H$47="Baja",'Mapa final'!$L$47="Moderado"),CONCATENATE("R",'Mapa final'!$A$47),"")</f>
        <v/>
      </c>
      <c r="W32" s="439"/>
      <c r="X32" s="439" t="str">
        <f>IF(AND('Mapa final'!$H$53="Baja",'Mapa final'!$L$53="Moderado"),CONCATENATE("R",'Mapa final'!$A$53),"")</f>
        <v/>
      </c>
      <c r="Y32" s="439"/>
      <c r="Z32" s="439" t="str">
        <f>IF(AND('Mapa final'!$H$59="Baja",'Mapa final'!$L$59="Moderado"),CONCATENATE("R",'Mapa final'!$A$59),"")</f>
        <v/>
      </c>
      <c r="AA32" s="440"/>
      <c r="AB32" s="422" t="str">
        <f>IF(AND('Mapa final'!$H$47="Baja",'Mapa final'!$L$47="Mayor"),CONCATENATE("R",'Mapa final'!$A$47),"")</f>
        <v/>
      </c>
      <c r="AC32" s="418"/>
      <c r="AD32" s="418" t="str">
        <f>IF(AND('Mapa final'!$H$53="Baja",'Mapa final'!$L$53="Mayor"),CONCATENATE("R",'Mapa final'!$A$53),"")</f>
        <v/>
      </c>
      <c r="AE32" s="418"/>
      <c r="AF32" s="418" t="str">
        <f>IF(AND('Mapa final'!$H$59="Baja",'Mapa final'!$L$59="Mayor"),CONCATENATE("R",'Mapa final'!$A$59),"")</f>
        <v/>
      </c>
      <c r="AG32" s="419"/>
      <c r="AH32" s="429" t="str">
        <f>IF(AND('Mapa final'!$H$47="Baja",'Mapa final'!$L$47="Catastrófico"),CONCATENATE("R",'Mapa final'!$A$47),"")</f>
        <v/>
      </c>
      <c r="AI32" s="430"/>
      <c r="AJ32" s="430" t="str">
        <f>IF(AND('Mapa final'!$H$53="Baja",'Mapa final'!$L$53="Catastrófico"),CONCATENATE("R",'Mapa final'!$A$53),"")</f>
        <v/>
      </c>
      <c r="AK32" s="430"/>
      <c r="AL32" s="430" t="str">
        <f>IF(AND('Mapa final'!$H$59="Baja",'Mapa final'!$L$59="Catastrófico"),CONCATENATE("R",'Mapa final'!$A$59),"")</f>
        <v/>
      </c>
      <c r="AM32" s="431"/>
      <c r="AN32" s="83"/>
      <c r="AO32" s="403"/>
      <c r="AP32" s="404"/>
      <c r="AQ32" s="404"/>
      <c r="AR32" s="404"/>
      <c r="AS32" s="404"/>
      <c r="AT32" s="40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71"/>
      <c r="C33" s="371"/>
      <c r="D33" s="372"/>
      <c r="E33" s="412"/>
      <c r="F33" s="413"/>
      <c r="G33" s="413"/>
      <c r="H33" s="413"/>
      <c r="I33" s="413"/>
      <c r="J33" s="449"/>
      <c r="K33" s="447"/>
      <c r="L33" s="447"/>
      <c r="M33" s="447"/>
      <c r="N33" s="447"/>
      <c r="O33" s="448"/>
      <c r="P33" s="439"/>
      <c r="Q33" s="439"/>
      <c r="R33" s="439"/>
      <c r="S33" s="439"/>
      <c r="T33" s="439"/>
      <c r="U33" s="440"/>
      <c r="V33" s="438"/>
      <c r="W33" s="439"/>
      <c r="X33" s="439"/>
      <c r="Y33" s="439"/>
      <c r="Z33" s="439"/>
      <c r="AA33" s="440"/>
      <c r="AB33" s="422"/>
      <c r="AC33" s="418"/>
      <c r="AD33" s="418"/>
      <c r="AE33" s="418"/>
      <c r="AF33" s="418"/>
      <c r="AG33" s="419"/>
      <c r="AH33" s="429"/>
      <c r="AI33" s="430"/>
      <c r="AJ33" s="430"/>
      <c r="AK33" s="430"/>
      <c r="AL33" s="430"/>
      <c r="AM33" s="431"/>
      <c r="AN33" s="83"/>
      <c r="AO33" s="403"/>
      <c r="AP33" s="404"/>
      <c r="AQ33" s="404"/>
      <c r="AR33" s="404"/>
      <c r="AS33" s="404"/>
      <c r="AT33" s="40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71"/>
      <c r="C34" s="371"/>
      <c r="D34" s="372"/>
      <c r="E34" s="412"/>
      <c r="F34" s="413"/>
      <c r="G34" s="413"/>
      <c r="H34" s="413"/>
      <c r="I34" s="413"/>
      <c r="J34" s="449" t="str">
        <f>IF(AND('Mapa final'!$H$65="Baja",'Mapa final'!$L$65="Leve"),CONCATENATE("R",'Mapa final'!$A$65),"")</f>
        <v/>
      </c>
      <c r="K34" s="447"/>
      <c r="L34" s="447" t="str">
        <f>IF(AND('Mapa final'!$H$71="Baja",'Mapa final'!$L$71="Leve"),CONCATENATE("R",'Mapa final'!$A$71),"")</f>
        <v/>
      </c>
      <c r="M34" s="447"/>
      <c r="N34" s="447" t="str">
        <f>IF(AND('Mapa final'!$H$77="Baja",'Mapa final'!$L$77="Leve"),CONCATENATE("R",'Mapa final'!$A$77),"")</f>
        <v/>
      </c>
      <c r="O34" s="448"/>
      <c r="P34" s="439" t="str">
        <f>IF(AND('Mapa final'!$H$65="Baja",'Mapa final'!$L$65="Menor"),CONCATENATE("R",'Mapa final'!$A$65),"")</f>
        <v/>
      </c>
      <c r="Q34" s="439"/>
      <c r="R34" s="439" t="str">
        <f>IF(AND('Mapa final'!$H$71="Baja",'Mapa final'!$L$71="Menor"),CONCATENATE("R",'Mapa final'!$A$71),"")</f>
        <v/>
      </c>
      <c r="S34" s="439"/>
      <c r="T34" s="439" t="str">
        <f>IF(AND('Mapa final'!$H$77="Baja",'Mapa final'!$L$77="Menor"),CONCATENATE("R",'Mapa final'!$A$77),"")</f>
        <v/>
      </c>
      <c r="U34" s="440"/>
      <c r="V34" s="438" t="str">
        <f>IF(AND('Mapa final'!$H$65="Baja",'Mapa final'!$L$65="Moderado"),CONCATENATE("R",'Mapa final'!$A$65),"")</f>
        <v/>
      </c>
      <c r="W34" s="439"/>
      <c r="X34" s="439" t="str">
        <f>IF(AND('Mapa final'!$H$71="Baja",'Mapa final'!$L$71="Moderado"),CONCATENATE("R",'Mapa final'!$A$71),"")</f>
        <v/>
      </c>
      <c r="Y34" s="439"/>
      <c r="Z34" s="439" t="str">
        <f>IF(AND('Mapa final'!$H$77="Baja",'Mapa final'!$L$77="Moderado"),CONCATENATE("R",'Mapa final'!$A$77),"")</f>
        <v/>
      </c>
      <c r="AA34" s="440"/>
      <c r="AB34" s="422" t="str">
        <f>IF(AND('Mapa final'!$H$65="Baja",'Mapa final'!$L$65="Mayor"),CONCATENATE("R",'Mapa final'!$A$65),"")</f>
        <v/>
      </c>
      <c r="AC34" s="418"/>
      <c r="AD34" s="418" t="str">
        <f>IF(AND('Mapa final'!$H$71="Baja",'Mapa final'!$L$71="Mayor"),CONCATENATE("R",'Mapa final'!$A$71),"")</f>
        <v/>
      </c>
      <c r="AE34" s="418"/>
      <c r="AF34" s="418" t="str">
        <f>IF(AND('Mapa final'!$H$77="Baja",'Mapa final'!$L$77="Mayor"),CONCATENATE("R",'Mapa final'!$A$77),"")</f>
        <v/>
      </c>
      <c r="AG34" s="419"/>
      <c r="AH34" s="429" t="str">
        <f>IF(AND('Mapa final'!$H$65="Baja",'Mapa final'!$L$65="Catastrófico"),CONCATENATE("R",'Mapa final'!$A$65),"")</f>
        <v/>
      </c>
      <c r="AI34" s="430"/>
      <c r="AJ34" s="430" t="str">
        <f>IF(AND('Mapa final'!$H$71="Baja",'Mapa final'!$L$71="Catastrófico"),CONCATENATE("R",'Mapa final'!$A$71),"")</f>
        <v/>
      </c>
      <c r="AK34" s="430"/>
      <c r="AL34" s="430" t="str">
        <f>IF(AND('Mapa final'!$H$77="Baja",'Mapa final'!$L$77="Catastrófico"),CONCATENATE("R",'Mapa final'!$A$77),"")</f>
        <v/>
      </c>
      <c r="AM34" s="431"/>
      <c r="AN34" s="83"/>
      <c r="AO34" s="403"/>
      <c r="AP34" s="404"/>
      <c r="AQ34" s="404"/>
      <c r="AR34" s="404"/>
      <c r="AS34" s="404"/>
      <c r="AT34" s="40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71"/>
      <c r="C35" s="371"/>
      <c r="D35" s="372"/>
      <c r="E35" s="412"/>
      <c r="F35" s="413"/>
      <c r="G35" s="413"/>
      <c r="H35" s="413"/>
      <c r="I35" s="413"/>
      <c r="J35" s="449"/>
      <c r="K35" s="447"/>
      <c r="L35" s="447"/>
      <c r="M35" s="447"/>
      <c r="N35" s="447"/>
      <c r="O35" s="448"/>
      <c r="P35" s="439"/>
      <c r="Q35" s="439"/>
      <c r="R35" s="439"/>
      <c r="S35" s="439"/>
      <c r="T35" s="439"/>
      <c r="U35" s="440"/>
      <c r="V35" s="438"/>
      <c r="W35" s="439"/>
      <c r="X35" s="439"/>
      <c r="Y35" s="439"/>
      <c r="Z35" s="439"/>
      <c r="AA35" s="440"/>
      <c r="AB35" s="422"/>
      <c r="AC35" s="418"/>
      <c r="AD35" s="418"/>
      <c r="AE35" s="418"/>
      <c r="AF35" s="418"/>
      <c r="AG35" s="419"/>
      <c r="AH35" s="429"/>
      <c r="AI35" s="430"/>
      <c r="AJ35" s="430"/>
      <c r="AK35" s="430"/>
      <c r="AL35" s="430"/>
      <c r="AM35" s="431"/>
      <c r="AN35" s="83"/>
      <c r="AO35" s="403"/>
      <c r="AP35" s="404"/>
      <c r="AQ35" s="404"/>
      <c r="AR35" s="404"/>
      <c r="AS35" s="404"/>
      <c r="AT35" s="40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71"/>
      <c r="C36" s="371"/>
      <c r="D36" s="372"/>
      <c r="E36" s="412"/>
      <c r="F36" s="413"/>
      <c r="G36" s="413"/>
      <c r="H36" s="413"/>
      <c r="I36" s="413"/>
      <c r="J36" s="449" t="str">
        <f>IF(AND('Mapa final'!$H$83="Baja",'Mapa final'!$L$83="Leve"),CONCATENATE("R",'Mapa final'!$A$83),"")</f>
        <v/>
      </c>
      <c r="K36" s="447"/>
      <c r="L36" s="447" t="str">
        <f>IF(AND('Mapa final'!$H$89="Baja",'Mapa final'!$L$89="Leve"),CONCATENATE("R",'Mapa final'!$A$89),"")</f>
        <v/>
      </c>
      <c r="M36" s="447"/>
      <c r="N36" s="447" t="str">
        <f>IF(AND('Mapa final'!$H$95="Baja",'Mapa final'!$L$95="Leve"),CONCATENATE("R",'Mapa final'!$A$95),"")</f>
        <v/>
      </c>
      <c r="O36" s="448"/>
      <c r="P36" s="439" t="str">
        <f>IF(AND('Mapa final'!$H$83="Baja",'Mapa final'!$L$83="Menor"),CONCATENATE("R",'Mapa final'!$A$83),"")</f>
        <v/>
      </c>
      <c r="Q36" s="439"/>
      <c r="R36" s="439" t="str">
        <f>IF(AND('Mapa final'!$H$89="Baja",'Mapa final'!$L$89="Menor"),CONCATENATE("R",'Mapa final'!$A$89),"")</f>
        <v/>
      </c>
      <c r="S36" s="439"/>
      <c r="T36" s="439" t="str">
        <f>IF(AND('Mapa final'!$H$95="Baja",'Mapa final'!$L$95="Menor"),CONCATENATE("R",'Mapa final'!$A$95),"")</f>
        <v/>
      </c>
      <c r="U36" s="440"/>
      <c r="V36" s="438" t="str">
        <f>IF(AND('Mapa final'!$H$83="Baja",'Mapa final'!$L$83="Moderado"),CONCATENATE("R",'Mapa final'!$A$83),"")</f>
        <v/>
      </c>
      <c r="W36" s="439"/>
      <c r="X36" s="439" t="str">
        <f>IF(AND('Mapa final'!$H$89="Baja",'Mapa final'!$L$89="Moderado"),CONCATENATE("R",'Mapa final'!$A$89),"")</f>
        <v/>
      </c>
      <c r="Y36" s="439"/>
      <c r="Z36" s="439" t="str">
        <f>IF(AND('Mapa final'!$H$95="Baja",'Mapa final'!$L$95="Moderado"),CONCATENATE("R",'Mapa final'!$A$95),"")</f>
        <v/>
      </c>
      <c r="AA36" s="440"/>
      <c r="AB36" s="422" t="str">
        <f>IF(AND('Mapa final'!$H$83="Baja",'Mapa final'!$L$83="Mayor"),CONCATENATE("R",'Mapa final'!$A$83),"")</f>
        <v/>
      </c>
      <c r="AC36" s="418"/>
      <c r="AD36" s="418" t="str">
        <f>IF(AND('Mapa final'!$H$89="Baja",'Mapa final'!$L$89="Mayor"),CONCATENATE("R",'Mapa final'!$A$89),"")</f>
        <v/>
      </c>
      <c r="AE36" s="418"/>
      <c r="AF36" s="418" t="str">
        <f>IF(AND('Mapa final'!$H$95="Baja",'Mapa final'!$L$95="Mayor"),CONCATENATE("R",'Mapa final'!$A$95),"")</f>
        <v/>
      </c>
      <c r="AG36" s="419"/>
      <c r="AH36" s="429" t="str">
        <f>IF(AND('Mapa final'!$H$83="Baja",'Mapa final'!$L$83="Catastrófico"),CONCATENATE("R",'Mapa final'!$A$83),"")</f>
        <v/>
      </c>
      <c r="AI36" s="430"/>
      <c r="AJ36" s="430" t="str">
        <f>IF(AND('Mapa final'!$H$89="Baja",'Mapa final'!$L$89="Catastrófico"),CONCATENATE("R",'Mapa final'!$A$89),"")</f>
        <v/>
      </c>
      <c r="AK36" s="430"/>
      <c r="AL36" s="430" t="str">
        <f>IF(AND('Mapa final'!$H$95="Baja",'Mapa final'!$L$95="Catastrófico"),CONCATENATE("R",'Mapa final'!$A$95),"")</f>
        <v/>
      </c>
      <c r="AM36" s="431"/>
      <c r="AN36" s="83"/>
      <c r="AO36" s="403"/>
      <c r="AP36" s="404"/>
      <c r="AQ36" s="404"/>
      <c r="AR36" s="404"/>
      <c r="AS36" s="404"/>
      <c r="AT36" s="40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71"/>
      <c r="C37" s="371"/>
      <c r="D37" s="372"/>
      <c r="E37" s="415"/>
      <c r="F37" s="416"/>
      <c r="G37" s="416"/>
      <c r="H37" s="416"/>
      <c r="I37" s="416"/>
      <c r="J37" s="450"/>
      <c r="K37" s="451"/>
      <c r="L37" s="451"/>
      <c r="M37" s="451"/>
      <c r="N37" s="451"/>
      <c r="O37" s="452"/>
      <c r="P37" s="442"/>
      <c r="Q37" s="442"/>
      <c r="R37" s="442"/>
      <c r="S37" s="442"/>
      <c r="T37" s="442"/>
      <c r="U37" s="443"/>
      <c r="V37" s="441"/>
      <c r="W37" s="442"/>
      <c r="X37" s="442"/>
      <c r="Y37" s="442"/>
      <c r="Z37" s="442"/>
      <c r="AA37" s="443"/>
      <c r="AB37" s="426"/>
      <c r="AC37" s="427"/>
      <c r="AD37" s="427"/>
      <c r="AE37" s="427"/>
      <c r="AF37" s="427"/>
      <c r="AG37" s="428"/>
      <c r="AH37" s="432"/>
      <c r="AI37" s="433"/>
      <c r="AJ37" s="433"/>
      <c r="AK37" s="433"/>
      <c r="AL37" s="433"/>
      <c r="AM37" s="434"/>
      <c r="AN37" s="83"/>
      <c r="AO37" s="406"/>
      <c r="AP37" s="407"/>
      <c r="AQ37" s="407"/>
      <c r="AR37" s="407"/>
      <c r="AS37" s="407"/>
      <c r="AT37" s="40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71"/>
      <c r="C38" s="371"/>
      <c r="D38" s="372"/>
      <c r="E38" s="409" t="s">
        <v>100</v>
      </c>
      <c r="F38" s="410"/>
      <c r="G38" s="410"/>
      <c r="H38" s="410"/>
      <c r="I38" s="411"/>
      <c r="J38" s="453" t="str">
        <f>IF(AND('Mapa final'!$H$29="Muy Baja",'Mapa final'!$L$29="Leve"),CONCATENATE("R",'Mapa final'!$A$29),"")</f>
        <v/>
      </c>
      <c r="K38" s="454"/>
      <c r="L38" s="454" t="str">
        <f>IF(AND('Mapa final'!$H$35="Muy Baja",'Mapa final'!$L$35="Leve"),CONCATENATE("R",'Mapa final'!$A$35),"")</f>
        <v/>
      </c>
      <c r="M38" s="454"/>
      <c r="N38" s="454" t="str">
        <f>IF(AND('Mapa final'!$H$41="Muy Baja",'Mapa final'!$L$41="Leve"),CONCATENATE("R",'Mapa final'!$A$41),"")</f>
        <v/>
      </c>
      <c r="O38" s="455"/>
      <c r="P38" s="453" t="str">
        <f>IF(AND('Mapa final'!$H$29="Muy Baja",'Mapa final'!$L$29="Menor"),CONCATENATE("R",'Mapa final'!$A$29),"")</f>
        <v>R1</v>
      </c>
      <c r="Q38" s="454"/>
      <c r="R38" s="454" t="str">
        <f>IF(AND('Mapa final'!$H$35="Muy Baja",'Mapa final'!$L$35="Menor"),CONCATENATE("R",'Mapa final'!$A$35),"")</f>
        <v/>
      </c>
      <c r="S38" s="454"/>
      <c r="T38" s="454" t="str">
        <f>IF(AND('Mapa final'!$H$41="Muy Baja",'Mapa final'!$L$41="Menor"),CONCATENATE("R",'Mapa final'!$A$41),"")</f>
        <v/>
      </c>
      <c r="U38" s="455"/>
      <c r="V38" s="444" t="str">
        <f>IF(AND('Mapa final'!$H$29="Muy Baja",'Mapa final'!$L$29="Moderado"),CONCATENATE("R",'Mapa final'!$A$29),"")</f>
        <v/>
      </c>
      <c r="W38" s="445"/>
      <c r="X38" s="445" t="str">
        <f>IF(AND('Mapa final'!$H$35="Muy Baja",'Mapa final'!$L$35="Moderado"),CONCATENATE("R",'Mapa final'!$A$35),"")</f>
        <v/>
      </c>
      <c r="Y38" s="445"/>
      <c r="Z38" s="445" t="str">
        <f>IF(AND('Mapa final'!$H$41="Muy Baja",'Mapa final'!$L$41="Moderado"),CONCATENATE("R",'Mapa final'!$A$41),"")</f>
        <v/>
      </c>
      <c r="AA38" s="446"/>
      <c r="AB38" s="420" t="str">
        <f>IF(AND('Mapa final'!$H$29="Muy Baja",'Mapa final'!$L$29="Mayor"),CONCATENATE("R",'Mapa final'!$A$29),"")</f>
        <v/>
      </c>
      <c r="AC38" s="421"/>
      <c r="AD38" s="421" t="str">
        <f>IF(AND('Mapa final'!$H$35="Muy Baja",'Mapa final'!$L$35="Mayor"),CONCATENATE("R",'Mapa final'!$A$35),"")</f>
        <v/>
      </c>
      <c r="AE38" s="421"/>
      <c r="AF38" s="421" t="str">
        <f>IF(AND('Mapa final'!$H$41="Muy Baja",'Mapa final'!$L$41="Mayor"),CONCATENATE("R",'Mapa final'!$A$41),"")</f>
        <v/>
      </c>
      <c r="AG38" s="423"/>
      <c r="AH38" s="435" t="str">
        <f>IF(AND('Mapa final'!$H$29="Muy Baja",'Mapa final'!$L$29="Catastrófico"),CONCATENATE("R",'Mapa final'!$A$29),"")</f>
        <v/>
      </c>
      <c r="AI38" s="436"/>
      <c r="AJ38" s="436" t="str">
        <f>IF(AND('Mapa final'!$H$35="Muy Baja",'Mapa final'!$L$35="Catastrófico"),CONCATENATE("R",'Mapa final'!$A$35),"")</f>
        <v/>
      </c>
      <c r="AK38" s="436"/>
      <c r="AL38" s="436" t="str">
        <f>IF(AND('Mapa final'!$H$41="Muy Baja",'Mapa final'!$L$41="Catastrófico"),CONCATENATE("R",'Mapa final'!$A$41),"")</f>
        <v/>
      </c>
      <c r="AM38" s="43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71"/>
      <c r="C39" s="371"/>
      <c r="D39" s="372"/>
      <c r="E39" s="412"/>
      <c r="F39" s="413"/>
      <c r="G39" s="413"/>
      <c r="H39" s="413"/>
      <c r="I39" s="414"/>
      <c r="J39" s="449"/>
      <c r="K39" s="447"/>
      <c r="L39" s="447"/>
      <c r="M39" s="447"/>
      <c r="N39" s="447"/>
      <c r="O39" s="448"/>
      <c r="P39" s="449"/>
      <c r="Q39" s="447"/>
      <c r="R39" s="447"/>
      <c r="S39" s="447"/>
      <c r="T39" s="447"/>
      <c r="U39" s="448"/>
      <c r="V39" s="438"/>
      <c r="W39" s="439"/>
      <c r="X39" s="439"/>
      <c r="Y39" s="439"/>
      <c r="Z39" s="439"/>
      <c r="AA39" s="440"/>
      <c r="AB39" s="422"/>
      <c r="AC39" s="418"/>
      <c r="AD39" s="418"/>
      <c r="AE39" s="418"/>
      <c r="AF39" s="418"/>
      <c r="AG39" s="419"/>
      <c r="AH39" s="429"/>
      <c r="AI39" s="430"/>
      <c r="AJ39" s="430"/>
      <c r="AK39" s="430"/>
      <c r="AL39" s="430"/>
      <c r="AM39" s="43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71"/>
      <c r="C40" s="371"/>
      <c r="D40" s="372"/>
      <c r="E40" s="412"/>
      <c r="F40" s="413"/>
      <c r="G40" s="413"/>
      <c r="H40" s="413"/>
      <c r="I40" s="414"/>
      <c r="J40" s="449" t="str">
        <f>IF(AND('Mapa final'!$H$47="Muy Baja",'Mapa final'!$L$47="Leve"),CONCATENATE("R",'Mapa final'!$A$47),"")</f>
        <v/>
      </c>
      <c r="K40" s="447"/>
      <c r="L40" s="447" t="str">
        <f>IF(AND('Mapa final'!$H$53="Muy Baja",'Mapa final'!$L$53="Leve"),CONCATENATE("R",'Mapa final'!$A$53),"")</f>
        <v/>
      </c>
      <c r="M40" s="447"/>
      <c r="N40" s="447" t="str">
        <f>IF(AND('Mapa final'!$H$59="Muy Baja",'Mapa final'!$L$59="Leve"),CONCATENATE("R",'Mapa final'!$A$59),"")</f>
        <v/>
      </c>
      <c r="O40" s="448"/>
      <c r="P40" s="449" t="str">
        <f>IF(AND('Mapa final'!$H$47="Muy Baja",'Mapa final'!$L$47="Menor"),CONCATENATE("R",'Mapa final'!$A$47),"")</f>
        <v/>
      </c>
      <c r="Q40" s="447"/>
      <c r="R40" s="447" t="str">
        <f>IF(AND('Mapa final'!$H$53="Muy Baja",'Mapa final'!$L$53="Menor"),CONCATENATE("R",'Mapa final'!$A$53),"")</f>
        <v/>
      </c>
      <c r="S40" s="447"/>
      <c r="T40" s="447" t="str">
        <f>IF(AND('Mapa final'!$H$59="Muy Baja",'Mapa final'!$L$59="Menor"),CONCATENATE("R",'Mapa final'!$A$59),"")</f>
        <v/>
      </c>
      <c r="U40" s="448"/>
      <c r="V40" s="438" t="str">
        <f>IF(AND('Mapa final'!$H$47="Muy Baja",'Mapa final'!$L$47="Moderado"),CONCATENATE("R",'Mapa final'!$A$47),"")</f>
        <v>R4</v>
      </c>
      <c r="W40" s="439"/>
      <c r="X40" s="439" t="str">
        <f>IF(AND('Mapa final'!$H$53="Muy Baja",'Mapa final'!$L$53="Moderado"),CONCATENATE("R",'Mapa final'!$A$53),"")</f>
        <v/>
      </c>
      <c r="Y40" s="439"/>
      <c r="Z40" s="439" t="str">
        <f>IF(AND('Mapa final'!$H$59="Muy Baja",'Mapa final'!$L$59="Moderado"),CONCATENATE("R",'Mapa final'!$A$59),"")</f>
        <v/>
      </c>
      <c r="AA40" s="440"/>
      <c r="AB40" s="422" t="str">
        <f>IF(AND('Mapa final'!$H$47="Muy Baja",'Mapa final'!$L$47="Mayor"),CONCATENATE("R",'Mapa final'!$A$47),"")</f>
        <v/>
      </c>
      <c r="AC40" s="418"/>
      <c r="AD40" s="418" t="str">
        <f>IF(AND('Mapa final'!$H$53="Muy Baja",'Mapa final'!$L$53="Mayor"),CONCATENATE("R",'Mapa final'!$A$53),"")</f>
        <v/>
      </c>
      <c r="AE40" s="418"/>
      <c r="AF40" s="418" t="str">
        <f>IF(AND('Mapa final'!$H$59="Muy Baja",'Mapa final'!$L$59="Mayor"),CONCATENATE("R",'Mapa final'!$A$59),"")</f>
        <v/>
      </c>
      <c r="AG40" s="419"/>
      <c r="AH40" s="429" t="str">
        <f>IF(AND('Mapa final'!$H$47="Muy Baja",'Mapa final'!$L$47="Catastrófico"),CONCATENATE("R",'Mapa final'!$A$47),"")</f>
        <v/>
      </c>
      <c r="AI40" s="430"/>
      <c r="AJ40" s="430" t="str">
        <f>IF(AND('Mapa final'!$H$53="Muy Baja",'Mapa final'!$L$53="Catastrófico"),CONCATENATE("R",'Mapa final'!$A$53),"")</f>
        <v/>
      </c>
      <c r="AK40" s="430"/>
      <c r="AL40" s="430" t="str">
        <f>IF(AND('Mapa final'!$H$59="Muy Baja",'Mapa final'!$L$59="Catastrófico"),CONCATENATE("R",'Mapa final'!$A$59),"")</f>
        <v/>
      </c>
      <c r="AM40" s="43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71"/>
      <c r="C41" s="371"/>
      <c r="D41" s="372"/>
      <c r="E41" s="412"/>
      <c r="F41" s="413"/>
      <c r="G41" s="413"/>
      <c r="H41" s="413"/>
      <c r="I41" s="414"/>
      <c r="J41" s="449"/>
      <c r="K41" s="447"/>
      <c r="L41" s="447"/>
      <c r="M41" s="447"/>
      <c r="N41" s="447"/>
      <c r="O41" s="448"/>
      <c r="P41" s="449"/>
      <c r="Q41" s="447"/>
      <c r="R41" s="447"/>
      <c r="S41" s="447"/>
      <c r="T41" s="447"/>
      <c r="U41" s="448"/>
      <c r="V41" s="438"/>
      <c r="W41" s="439"/>
      <c r="X41" s="439"/>
      <c r="Y41" s="439"/>
      <c r="Z41" s="439"/>
      <c r="AA41" s="440"/>
      <c r="AB41" s="422"/>
      <c r="AC41" s="418"/>
      <c r="AD41" s="418"/>
      <c r="AE41" s="418"/>
      <c r="AF41" s="418"/>
      <c r="AG41" s="419"/>
      <c r="AH41" s="429"/>
      <c r="AI41" s="430"/>
      <c r="AJ41" s="430"/>
      <c r="AK41" s="430"/>
      <c r="AL41" s="430"/>
      <c r="AM41" s="43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71"/>
      <c r="C42" s="371"/>
      <c r="D42" s="372"/>
      <c r="E42" s="412"/>
      <c r="F42" s="413"/>
      <c r="G42" s="413"/>
      <c r="H42" s="413"/>
      <c r="I42" s="414"/>
      <c r="J42" s="449" t="str">
        <f>IF(AND('Mapa final'!$H$65="Muy Baja",'Mapa final'!$L$65="Leve"),CONCATENATE("R",'Mapa final'!$A$65),"")</f>
        <v/>
      </c>
      <c r="K42" s="447"/>
      <c r="L42" s="447" t="str">
        <f>IF(AND('Mapa final'!$H$71="Muy Baja",'Mapa final'!$L$71="Leve"),CONCATENATE("R",'Mapa final'!$A$71),"")</f>
        <v/>
      </c>
      <c r="M42" s="447"/>
      <c r="N42" s="447" t="str">
        <f>IF(AND('Mapa final'!$H$77="Muy Baja",'Mapa final'!$L$77="Leve"),CONCATENATE("R",'Mapa final'!$A$77),"")</f>
        <v/>
      </c>
      <c r="O42" s="448"/>
      <c r="P42" s="449" t="str">
        <f>IF(AND('Mapa final'!$H$65="Muy Baja",'Mapa final'!$L$65="Menor"),CONCATENATE("R",'Mapa final'!$A$65),"")</f>
        <v/>
      </c>
      <c r="Q42" s="447"/>
      <c r="R42" s="447" t="str">
        <f>IF(AND('Mapa final'!$H$71="Muy Baja",'Mapa final'!$L$71="Menor"),CONCATENATE("R",'Mapa final'!$A$71),"")</f>
        <v/>
      </c>
      <c r="S42" s="447"/>
      <c r="T42" s="447" t="str">
        <f>IF(AND('Mapa final'!$H$77="Muy Baja",'Mapa final'!$L$77="Menor"),CONCATENATE("R",'Mapa final'!$A$77),"")</f>
        <v/>
      </c>
      <c r="U42" s="448"/>
      <c r="V42" s="438" t="str">
        <f>IF(AND('Mapa final'!$H$65="Muy Baja",'Mapa final'!$L$65="Moderado"),CONCATENATE("R",'Mapa final'!$A$65),"")</f>
        <v/>
      </c>
      <c r="W42" s="439"/>
      <c r="X42" s="439" t="str">
        <f>IF(AND('Mapa final'!$H$71="Muy Baja",'Mapa final'!$L$71="Moderado"),CONCATENATE("R",'Mapa final'!$A$71),"")</f>
        <v/>
      </c>
      <c r="Y42" s="439"/>
      <c r="Z42" s="439" t="str">
        <f>IF(AND('Mapa final'!$H$77="Muy Baja",'Mapa final'!$L$77="Moderado"),CONCATENATE("R",'Mapa final'!$A$77),"")</f>
        <v/>
      </c>
      <c r="AA42" s="440"/>
      <c r="AB42" s="422" t="str">
        <f>IF(AND('Mapa final'!$H$65="Muy Baja",'Mapa final'!$L$65="Mayor"),CONCATENATE("R",'Mapa final'!$A$65),"")</f>
        <v/>
      </c>
      <c r="AC42" s="418"/>
      <c r="AD42" s="418" t="str">
        <f>IF(AND('Mapa final'!$H$71="Muy Baja",'Mapa final'!$L$71="Mayor"),CONCATENATE("R",'Mapa final'!$A$71),"")</f>
        <v/>
      </c>
      <c r="AE42" s="418"/>
      <c r="AF42" s="418" t="str">
        <f>IF(AND('Mapa final'!$H$77="Muy Baja",'Mapa final'!$L$77="Mayor"),CONCATENATE("R",'Mapa final'!$A$77),"")</f>
        <v/>
      </c>
      <c r="AG42" s="419"/>
      <c r="AH42" s="429" t="str">
        <f>IF(AND('Mapa final'!$H$65="Muy Baja",'Mapa final'!$L$65="Catastrófico"),CONCATENATE("R",'Mapa final'!$A$65),"")</f>
        <v/>
      </c>
      <c r="AI42" s="430"/>
      <c r="AJ42" s="430" t="str">
        <f>IF(AND('Mapa final'!$H$71="Muy Baja",'Mapa final'!$L$71="Catastrófico"),CONCATENATE("R",'Mapa final'!$A$71),"")</f>
        <v/>
      </c>
      <c r="AK42" s="430"/>
      <c r="AL42" s="430" t="str">
        <f>IF(AND('Mapa final'!$H$77="Muy Baja",'Mapa final'!$L$77="Catastrófico"),CONCATENATE("R",'Mapa final'!$A$77),"")</f>
        <v/>
      </c>
      <c r="AM42" s="43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71"/>
      <c r="C43" s="371"/>
      <c r="D43" s="372"/>
      <c r="E43" s="412"/>
      <c r="F43" s="413"/>
      <c r="G43" s="413"/>
      <c r="H43" s="413"/>
      <c r="I43" s="414"/>
      <c r="J43" s="449"/>
      <c r="K43" s="447"/>
      <c r="L43" s="447"/>
      <c r="M43" s="447"/>
      <c r="N43" s="447"/>
      <c r="O43" s="448"/>
      <c r="P43" s="449"/>
      <c r="Q43" s="447"/>
      <c r="R43" s="447"/>
      <c r="S43" s="447"/>
      <c r="T43" s="447"/>
      <c r="U43" s="448"/>
      <c r="V43" s="438"/>
      <c r="W43" s="439"/>
      <c r="X43" s="439"/>
      <c r="Y43" s="439"/>
      <c r="Z43" s="439"/>
      <c r="AA43" s="440"/>
      <c r="AB43" s="422"/>
      <c r="AC43" s="418"/>
      <c r="AD43" s="418"/>
      <c r="AE43" s="418"/>
      <c r="AF43" s="418"/>
      <c r="AG43" s="419"/>
      <c r="AH43" s="429"/>
      <c r="AI43" s="430"/>
      <c r="AJ43" s="430"/>
      <c r="AK43" s="430"/>
      <c r="AL43" s="430"/>
      <c r="AM43" s="43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71"/>
      <c r="C44" s="371"/>
      <c r="D44" s="372"/>
      <c r="E44" s="412"/>
      <c r="F44" s="413"/>
      <c r="G44" s="413"/>
      <c r="H44" s="413"/>
      <c r="I44" s="414"/>
      <c r="J44" s="449" t="str">
        <f>IF(AND('Mapa final'!$H$83="Muy Baja",'Mapa final'!$L$83="Leve"),CONCATENATE("R",'Mapa final'!$A$83),"")</f>
        <v/>
      </c>
      <c r="K44" s="447"/>
      <c r="L44" s="447" t="str">
        <f>IF(AND('Mapa final'!$H$89="Muy Baja",'Mapa final'!$L$89="Leve"),CONCATENATE("R",'Mapa final'!$A$89),"")</f>
        <v/>
      </c>
      <c r="M44" s="447"/>
      <c r="N44" s="447" t="str">
        <f>IF(AND('Mapa final'!$H$95="Muy Baja",'Mapa final'!$L$95="Leve"),CONCATENATE("R",'Mapa final'!$A$95),"")</f>
        <v/>
      </c>
      <c r="O44" s="448"/>
      <c r="P44" s="449" t="str">
        <f>IF(AND('Mapa final'!$H$83="Muy Baja",'Mapa final'!$L$83="Menor"),CONCATENATE("R",'Mapa final'!$A$83),"")</f>
        <v/>
      </c>
      <c r="Q44" s="447"/>
      <c r="R44" s="447" t="str">
        <f>IF(AND('Mapa final'!$H$89="Muy Baja",'Mapa final'!$L$89="Menor"),CONCATENATE("R",'Mapa final'!$A$89),"")</f>
        <v/>
      </c>
      <c r="S44" s="447"/>
      <c r="T44" s="447" t="str">
        <f>IF(AND('Mapa final'!$H$95="Muy Baja",'Mapa final'!$L$95="Menor"),CONCATENATE("R",'Mapa final'!$A$95),"")</f>
        <v/>
      </c>
      <c r="U44" s="448"/>
      <c r="V44" s="438" t="str">
        <f>IF(AND('Mapa final'!$H$83="Muy Baja",'Mapa final'!$L$83="Moderado"),CONCATENATE("R",'Mapa final'!$A$83),"")</f>
        <v/>
      </c>
      <c r="W44" s="439"/>
      <c r="X44" s="439" t="str">
        <f>IF(AND('Mapa final'!$H$89="Muy Baja",'Mapa final'!$L$89="Moderado"),CONCATENATE("R",'Mapa final'!$A$89),"")</f>
        <v/>
      </c>
      <c r="Y44" s="439"/>
      <c r="Z44" s="439" t="str">
        <f>IF(AND('Mapa final'!$H$95="Muy Baja",'Mapa final'!$L$95="Moderado"),CONCATENATE("R",'Mapa final'!$A$95),"")</f>
        <v/>
      </c>
      <c r="AA44" s="440"/>
      <c r="AB44" s="422" t="str">
        <f>IF(AND('Mapa final'!$H$83="Muy Baja",'Mapa final'!$L$83="Mayor"),CONCATENATE("R",'Mapa final'!$A$83),"")</f>
        <v/>
      </c>
      <c r="AC44" s="418"/>
      <c r="AD44" s="418" t="str">
        <f>IF(AND('Mapa final'!$H$89="Muy Baja",'Mapa final'!$L$89="Mayor"),CONCATENATE("R",'Mapa final'!$A$89),"")</f>
        <v/>
      </c>
      <c r="AE44" s="418"/>
      <c r="AF44" s="418" t="str">
        <f>IF(AND('Mapa final'!$H$95="Muy Baja",'Mapa final'!$L$95="Mayor"),CONCATENATE("R",'Mapa final'!$A$95),"")</f>
        <v/>
      </c>
      <c r="AG44" s="419"/>
      <c r="AH44" s="429" t="str">
        <f>IF(AND('Mapa final'!$H$83="Muy Baja",'Mapa final'!$L$83="Catastrófico"),CONCATENATE("R",'Mapa final'!$A$83),"")</f>
        <v/>
      </c>
      <c r="AI44" s="430"/>
      <c r="AJ44" s="430" t="str">
        <f>IF(AND('Mapa final'!$H$89="Muy Baja",'Mapa final'!$L$89="Catastrófico"),CONCATENATE("R",'Mapa final'!$A$89),"")</f>
        <v/>
      </c>
      <c r="AK44" s="430"/>
      <c r="AL44" s="430" t="str">
        <f>IF(AND('Mapa final'!$H$95="Muy Baja",'Mapa final'!$L$95="Catastrófico"),CONCATENATE("R",'Mapa final'!$A$95),"")</f>
        <v/>
      </c>
      <c r="AM44" s="43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71"/>
      <c r="C45" s="371"/>
      <c r="D45" s="372"/>
      <c r="E45" s="415"/>
      <c r="F45" s="416"/>
      <c r="G45" s="416"/>
      <c r="H45" s="416"/>
      <c r="I45" s="417"/>
      <c r="J45" s="450"/>
      <c r="K45" s="451"/>
      <c r="L45" s="451"/>
      <c r="M45" s="451"/>
      <c r="N45" s="451"/>
      <c r="O45" s="452"/>
      <c r="P45" s="450"/>
      <c r="Q45" s="451"/>
      <c r="R45" s="451"/>
      <c r="S45" s="451"/>
      <c r="T45" s="451"/>
      <c r="U45" s="452"/>
      <c r="V45" s="441"/>
      <c r="W45" s="442"/>
      <c r="X45" s="442"/>
      <c r="Y45" s="442"/>
      <c r="Z45" s="442"/>
      <c r="AA45" s="443"/>
      <c r="AB45" s="426"/>
      <c r="AC45" s="427"/>
      <c r="AD45" s="427"/>
      <c r="AE45" s="427"/>
      <c r="AF45" s="427"/>
      <c r="AG45" s="428"/>
      <c r="AH45" s="432"/>
      <c r="AI45" s="433"/>
      <c r="AJ45" s="433"/>
      <c r="AK45" s="433"/>
      <c r="AL45" s="433"/>
      <c r="AM45" s="43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09" t="s">
        <v>101</v>
      </c>
      <c r="K46" s="410"/>
      <c r="L46" s="410"/>
      <c r="M46" s="410"/>
      <c r="N46" s="410"/>
      <c r="O46" s="411"/>
      <c r="P46" s="409" t="s">
        <v>102</v>
      </c>
      <c r="Q46" s="410"/>
      <c r="R46" s="410"/>
      <c r="S46" s="410"/>
      <c r="T46" s="410"/>
      <c r="U46" s="411"/>
      <c r="V46" s="409" t="s">
        <v>103</v>
      </c>
      <c r="W46" s="410"/>
      <c r="X46" s="410"/>
      <c r="Y46" s="410"/>
      <c r="Z46" s="410"/>
      <c r="AA46" s="411"/>
      <c r="AB46" s="409" t="s">
        <v>104</v>
      </c>
      <c r="AC46" s="425"/>
      <c r="AD46" s="410"/>
      <c r="AE46" s="410"/>
      <c r="AF46" s="410"/>
      <c r="AG46" s="411"/>
      <c r="AH46" s="409" t="s">
        <v>105</v>
      </c>
      <c r="AI46" s="410"/>
      <c r="AJ46" s="410"/>
      <c r="AK46" s="410"/>
      <c r="AL46" s="410"/>
      <c r="AM46" s="41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12"/>
      <c r="K47" s="413"/>
      <c r="L47" s="413"/>
      <c r="M47" s="413"/>
      <c r="N47" s="413"/>
      <c r="O47" s="414"/>
      <c r="P47" s="412"/>
      <c r="Q47" s="413"/>
      <c r="R47" s="413"/>
      <c r="S47" s="413"/>
      <c r="T47" s="413"/>
      <c r="U47" s="414"/>
      <c r="V47" s="412"/>
      <c r="W47" s="413"/>
      <c r="X47" s="413"/>
      <c r="Y47" s="413"/>
      <c r="Z47" s="413"/>
      <c r="AA47" s="414"/>
      <c r="AB47" s="412"/>
      <c r="AC47" s="413"/>
      <c r="AD47" s="413"/>
      <c r="AE47" s="413"/>
      <c r="AF47" s="413"/>
      <c r="AG47" s="414"/>
      <c r="AH47" s="412"/>
      <c r="AI47" s="413"/>
      <c r="AJ47" s="413"/>
      <c r="AK47" s="413"/>
      <c r="AL47" s="413"/>
      <c r="AM47" s="41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12"/>
      <c r="K48" s="413"/>
      <c r="L48" s="413"/>
      <c r="M48" s="413"/>
      <c r="N48" s="413"/>
      <c r="O48" s="414"/>
      <c r="P48" s="412"/>
      <c r="Q48" s="413"/>
      <c r="R48" s="413"/>
      <c r="S48" s="413"/>
      <c r="T48" s="413"/>
      <c r="U48" s="414"/>
      <c r="V48" s="412"/>
      <c r="W48" s="413"/>
      <c r="X48" s="413"/>
      <c r="Y48" s="413"/>
      <c r="Z48" s="413"/>
      <c r="AA48" s="414"/>
      <c r="AB48" s="412"/>
      <c r="AC48" s="413"/>
      <c r="AD48" s="413"/>
      <c r="AE48" s="413"/>
      <c r="AF48" s="413"/>
      <c r="AG48" s="414"/>
      <c r="AH48" s="412"/>
      <c r="AI48" s="413"/>
      <c r="AJ48" s="413"/>
      <c r="AK48" s="413"/>
      <c r="AL48" s="413"/>
      <c r="AM48" s="41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12"/>
      <c r="K49" s="413"/>
      <c r="L49" s="413"/>
      <c r="M49" s="413"/>
      <c r="N49" s="413"/>
      <c r="O49" s="414"/>
      <c r="P49" s="412"/>
      <c r="Q49" s="413"/>
      <c r="R49" s="413"/>
      <c r="S49" s="413"/>
      <c r="T49" s="413"/>
      <c r="U49" s="414"/>
      <c r="V49" s="412"/>
      <c r="W49" s="413"/>
      <c r="X49" s="413"/>
      <c r="Y49" s="413"/>
      <c r="Z49" s="413"/>
      <c r="AA49" s="414"/>
      <c r="AB49" s="412"/>
      <c r="AC49" s="413"/>
      <c r="AD49" s="413"/>
      <c r="AE49" s="413"/>
      <c r="AF49" s="413"/>
      <c r="AG49" s="414"/>
      <c r="AH49" s="412"/>
      <c r="AI49" s="413"/>
      <c r="AJ49" s="413"/>
      <c r="AK49" s="413"/>
      <c r="AL49" s="413"/>
      <c r="AM49" s="41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12"/>
      <c r="K50" s="413"/>
      <c r="L50" s="413"/>
      <c r="M50" s="413"/>
      <c r="N50" s="413"/>
      <c r="O50" s="414"/>
      <c r="P50" s="412"/>
      <c r="Q50" s="413"/>
      <c r="R50" s="413"/>
      <c r="S50" s="413"/>
      <c r="T50" s="413"/>
      <c r="U50" s="414"/>
      <c r="V50" s="412"/>
      <c r="W50" s="413"/>
      <c r="X50" s="413"/>
      <c r="Y50" s="413"/>
      <c r="Z50" s="413"/>
      <c r="AA50" s="414"/>
      <c r="AB50" s="412"/>
      <c r="AC50" s="413"/>
      <c r="AD50" s="413"/>
      <c r="AE50" s="413"/>
      <c r="AF50" s="413"/>
      <c r="AG50" s="414"/>
      <c r="AH50" s="412"/>
      <c r="AI50" s="413"/>
      <c r="AJ50" s="413"/>
      <c r="AK50" s="413"/>
      <c r="AL50" s="413"/>
      <c r="AM50" s="41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15"/>
      <c r="K51" s="416"/>
      <c r="L51" s="416"/>
      <c r="M51" s="416"/>
      <c r="N51" s="416"/>
      <c r="O51" s="417"/>
      <c r="P51" s="415"/>
      <c r="Q51" s="416"/>
      <c r="R51" s="416"/>
      <c r="S51" s="416"/>
      <c r="T51" s="416"/>
      <c r="U51" s="417"/>
      <c r="V51" s="415"/>
      <c r="W51" s="416"/>
      <c r="X51" s="416"/>
      <c r="Y51" s="416"/>
      <c r="Z51" s="416"/>
      <c r="AA51" s="417"/>
      <c r="AB51" s="415"/>
      <c r="AC51" s="416"/>
      <c r="AD51" s="416"/>
      <c r="AE51" s="416"/>
      <c r="AF51" s="416"/>
      <c r="AG51" s="417"/>
      <c r="AH51" s="415"/>
      <c r="AI51" s="416"/>
      <c r="AJ51" s="416"/>
      <c r="AK51" s="416"/>
      <c r="AL51" s="416"/>
      <c r="AM51" s="41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J8" zoomScale="70" zoomScaleNormal="70" workbookViewId="0">
      <selection activeCell="BG38" sqref="BG38"/>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82" t="s">
        <v>106</v>
      </c>
      <c r="C2" s="483"/>
      <c r="D2" s="483"/>
      <c r="E2" s="483"/>
      <c r="F2" s="483"/>
      <c r="G2" s="483"/>
      <c r="H2" s="483"/>
      <c r="I2" s="483"/>
      <c r="J2" s="424" t="s">
        <v>13</v>
      </c>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83"/>
      <c r="C3" s="483"/>
      <c r="D3" s="483"/>
      <c r="E3" s="483"/>
      <c r="F3" s="483"/>
      <c r="G3" s="483"/>
      <c r="H3" s="483"/>
      <c r="I3" s="483"/>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83"/>
      <c r="C4" s="483"/>
      <c r="D4" s="483"/>
      <c r="E4" s="483"/>
      <c r="F4" s="483"/>
      <c r="G4" s="483"/>
      <c r="H4" s="483"/>
      <c r="I4" s="483"/>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71" t="s">
        <v>91</v>
      </c>
      <c r="C6" s="371"/>
      <c r="D6" s="372"/>
      <c r="E6" s="466" t="s">
        <v>92</v>
      </c>
      <c r="F6" s="467"/>
      <c r="G6" s="467"/>
      <c r="H6" s="467"/>
      <c r="I6" s="484"/>
      <c r="J6" s="46" t="str">
        <f>IF(AND('Mapa final'!$Y$29="Muy Alta",'Mapa final'!$AA$29="Leve"),CONCATENATE("R1C",'Mapa final'!$O$29),"")</f>
        <v/>
      </c>
      <c r="K6" s="47" t="str">
        <f>IF(AND('Mapa final'!$Y$30="Muy Alta",'Mapa final'!$AA$30="Leve"),CONCATENATE("R1C",'Mapa final'!$O$30),"")</f>
        <v/>
      </c>
      <c r="L6" s="47" t="str">
        <f>IF(AND('Mapa final'!$Y$31="Muy Alta",'Mapa final'!$AA$31="Leve"),CONCATENATE("R1C",'Mapa final'!$O$31),"")</f>
        <v/>
      </c>
      <c r="M6" s="47" t="str">
        <f>IF(AND('Mapa final'!$Y$32="Muy Alta",'Mapa final'!$AA$32="Leve"),CONCATENATE("R1C",'Mapa final'!$O$32),"")</f>
        <v/>
      </c>
      <c r="N6" s="47" t="str">
        <f>IF(AND('Mapa final'!$Y$33="Muy Alta",'Mapa final'!$AA$33="Leve"),CONCATENATE("R1C",'Mapa final'!$O$33),"")</f>
        <v/>
      </c>
      <c r="O6" s="48" t="str">
        <f>IF(AND('Mapa final'!$Y$34="Muy Alta",'Mapa final'!$AA$34="Leve"),CONCATENATE("R1C",'Mapa final'!$O$34),"")</f>
        <v/>
      </c>
      <c r="P6" s="46" t="str">
        <f>IF(AND('Mapa final'!$Y$29="Muy Alta",'Mapa final'!$AA$29="Menor"),CONCATENATE("R1C",'Mapa final'!$O$29),"")</f>
        <v/>
      </c>
      <c r="Q6" s="47" t="str">
        <f>IF(AND('Mapa final'!$Y$30="Muy Alta",'Mapa final'!$AA$30="Menor"),CONCATENATE("R1C",'Mapa final'!$O$30),"")</f>
        <v/>
      </c>
      <c r="R6" s="47" t="str">
        <f>IF(AND('Mapa final'!$Y$31="Muy Alta",'Mapa final'!$AA$31="Menor"),CONCATENATE("R1C",'Mapa final'!$O$31),"")</f>
        <v/>
      </c>
      <c r="S6" s="47" t="str">
        <f>IF(AND('Mapa final'!$Y$32="Muy Alta",'Mapa final'!$AA$32="Menor"),CONCATENATE("R1C",'Mapa final'!$O$32),"")</f>
        <v/>
      </c>
      <c r="T6" s="47" t="str">
        <f>IF(AND('Mapa final'!$Y$33="Muy Alta",'Mapa final'!$AA$33="Menor"),CONCATENATE("R1C",'Mapa final'!$O$33),"")</f>
        <v/>
      </c>
      <c r="U6" s="48" t="str">
        <f>IF(AND('Mapa final'!$Y$34="Muy Alta",'Mapa final'!$AA$34="Menor"),CONCATENATE("R1C",'Mapa final'!$O$34),"")</f>
        <v/>
      </c>
      <c r="V6" s="46" t="str">
        <f>IF(AND('Mapa final'!$Y$29="Muy Alta",'Mapa final'!$AA$29="Moderado"),CONCATENATE("R1C",'Mapa final'!$O$29),"")</f>
        <v/>
      </c>
      <c r="W6" s="47" t="str">
        <f>IF(AND('Mapa final'!$Y$30="Muy Alta",'Mapa final'!$AA$30="Moderado"),CONCATENATE("R1C",'Mapa final'!$O$30),"")</f>
        <v/>
      </c>
      <c r="X6" s="47" t="str">
        <f>IF(AND('Mapa final'!$Y$31="Muy Alta",'Mapa final'!$AA$31="Moderado"),CONCATENATE("R1C",'Mapa final'!$O$31),"")</f>
        <v/>
      </c>
      <c r="Y6" s="47" t="str">
        <f>IF(AND('Mapa final'!$Y$32="Muy Alta",'Mapa final'!$AA$32="Moderado"),CONCATENATE("R1C",'Mapa final'!$O$32),"")</f>
        <v/>
      </c>
      <c r="Z6" s="47" t="str">
        <f>IF(AND('Mapa final'!$Y$33="Muy Alta",'Mapa final'!$AA$33="Moderado"),CONCATENATE("R1C",'Mapa final'!$O$33),"")</f>
        <v/>
      </c>
      <c r="AA6" s="48" t="str">
        <f>IF(AND('Mapa final'!$Y$34="Muy Alta",'Mapa final'!$AA$34="Moderado"),CONCATENATE("R1C",'Mapa final'!$O$34),"")</f>
        <v/>
      </c>
      <c r="AB6" s="46" t="str">
        <f>IF(AND('Mapa final'!$Y$29="Muy Alta",'Mapa final'!$AA$29="Mayor"),CONCATENATE("R1C",'Mapa final'!$O$29),"")</f>
        <v/>
      </c>
      <c r="AC6" s="47" t="str">
        <f>IF(AND('Mapa final'!$Y$30="Muy Alta",'Mapa final'!$AA$30="Mayor"),CONCATENATE("R1C",'Mapa final'!$O$30),"")</f>
        <v/>
      </c>
      <c r="AD6" s="47" t="str">
        <f>IF(AND('Mapa final'!$Y$31="Muy Alta",'Mapa final'!$AA$31="Mayor"),CONCATENATE("R1C",'Mapa final'!$O$31),"")</f>
        <v/>
      </c>
      <c r="AE6" s="47" t="str">
        <f>IF(AND('Mapa final'!$Y$32="Muy Alta",'Mapa final'!$AA$32="Mayor"),CONCATENATE("R1C",'Mapa final'!$O$32),"")</f>
        <v/>
      </c>
      <c r="AF6" s="47" t="str">
        <f>IF(AND('Mapa final'!$Y$33="Muy Alta",'Mapa final'!$AA$33="Mayor"),CONCATENATE("R1C",'Mapa final'!$O$33),"")</f>
        <v/>
      </c>
      <c r="AG6" s="48" t="str">
        <f>IF(AND('Mapa final'!$Y$34="Muy Alta",'Mapa final'!$AA$34="Mayor"),CONCATENATE("R1C",'Mapa final'!$O$34),"")</f>
        <v/>
      </c>
      <c r="AH6" s="49" t="str">
        <f>IF(AND('Mapa final'!$Y$29="Muy Alta",'Mapa final'!$AA$29="Catastrófico"),CONCATENATE("R1C",'Mapa final'!$O$29),"")</f>
        <v/>
      </c>
      <c r="AI6" s="50" t="str">
        <f>IF(AND('Mapa final'!$Y$30="Muy Alta",'Mapa final'!$AA$30="Catastrófico"),CONCATENATE("R1C",'Mapa final'!$O$30),"")</f>
        <v/>
      </c>
      <c r="AJ6" s="50" t="str">
        <f>IF(AND('Mapa final'!$Y$31="Muy Alta",'Mapa final'!$AA$31="Catastrófico"),CONCATENATE("R1C",'Mapa final'!$O$31),"")</f>
        <v/>
      </c>
      <c r="AK6" s="50" t="str">
        <f>IF(AND('Mapa final'!$Y$32="Muy Alta",'Mapa final'!$AA$32="Catastrófico"),CONCATENATE("R1C",'Mapa final'!$O$32),"")</f>
        <v/>
      </c>
      <c r="AL6" s="50" t="str">
        <f>IF(AND('Mapa final'!$Y$33="Muy Alta",'Mapa final'!$AA$33="Catastrófico"),CONCATENATE("R1C",'Mapa final'!$O$33),"")</f>
        <v/>
      </c>
      <c r="AM6" s="51" t="str">
        <f>IF(AND('Mapa final'!$Y$34="Muy Alta",'Mapa final'!$AA$34="Catastrófico"),CONCATENATE("R1C",'Mapa final'!$O$34),"")</f>
        <v/>
      </c>
      <c r="AN6" s="83"/>
      <c r="AO6" s="473" t="s">
        <v>93</v>
      </c>
      <c r="AP6" s="474"/>
      <c r="AQ6" s="474"/>
      <c r="AR6" s="474"/>
      <c r="AS6" s="474"/>
      <c r="AT6" s="475"/>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71"/>
      <c r="C7" s="371"/>
      <c r="D7" s="372"/>
      <c r="E7" s="470"/>
      <c r="F7" s="469"/>
      <c r="G7" s="469"/>
      <c r="H7" s="469"/>
      <c r="I7" s="485"/>
      <c r="J7" s="52" t="str">
        <f>IF(AND('Mapa final'!$Y$35="Muy Alta",'Mapa final'!$AA$35="Leve"),CONCATENATE("R2C",'Mapa final'!$O$35),"")</f>
        <v/>
      </c>
      <c r="K7" s="53" t="str">
        <f>IF(AND('Mapa final'!$Y$36="Muy Alta",'Mapa final'!$AA$36="Leve"),CONCATENATE("R2C",'Mapa final'!$O$36),"")</f>
        <v/>
      </c>
      <c r="L7" s="53" t="str">
        <f>IF(AND('Mapa final'!$Y$37="Muy Alta",'Mapa final'!$AA$37="Leve"),CONCATENATE("R2C",'Mapa final'!$O$37),"")</f>
        <v/>
      </c>
      <c r="M7" s="53" t="str">
        <f>IF(AND('Mapa final'!$Y$38="Muy Alta",'Mapa final'!$AA$38="Leve"),CONCATENATE("R2C",'Mapa final'!$O$38),"")</f>
        <v/>
      </c>
      <c r="N7" s="53" t="str">
        <f>IF(AND('Mapa final'!$Y$39="Muy Alta",'Mapa final'!$AA$39="Leve"),CONCATENATE("R2C",'Mapa final'!$O$39),"")</f>
        <v/>
      </c>
      <c r="O7" s="54" t="str">
        <f>IF(AND('Mapa final'!$Y$40="Muy Alta",'Mapa final'!$AA$40="Leve"),CONCATENATE("R2C",'Mapa final'!$O$40),"")</f>
        <v/>
      </c>
      <c r="P7" s="52" t="str">
        <f>IF(AND('Mapa final'!$Y$35="Muy Alta",'Mapa final'!$AA$35="Menor"),CONCATENATE("R2C",'Mapa final'!$O$35),"")</f>
        <v/>
      </c>
      <c r="Q7" s="53" t="str">
        <f>IF(AND('Mapa final'!$Y$36="Muy Alta",'Mapa final'!$AA$36="Menor"),CONCATENATE("R2C",'Mapa final'!$O$36),"")</f>
        <v/>
      </c>
      <c r="R7" s="53" t="str">
        <f>IF(AND('Mapa final'!$Y$37="Muy Alta",'Mapa final'!$AA$37="Menor"),CONCATENATE("R2C",'Mapa final'!$O$37),"")</f>
        <v/>
      </c>
      <c r="S7" s="53" t="str">
        <f>IF(AND('Mapa final'!$Y$38="Muy Alta",'Mapa final'!$AA$38="Menor"),CONCATENATE("R2C",'Mapa final'!$O$38),"")</f>
        <v/>
      </c>
      <c r="T7" s="53" t="str">
        <f>IF(AND('Mapa final'!$Y$39="Muy Alta",'Mapa final'!$AA$39="Menor"),CONCATENATE("R2C",'Mapa final'!$O$39),"")</f>
        <v/>
      </c>
      <c r="U7" s="54" t="str">
        <f>IF(AND('Mapa final'!$Y$40="Muy Alta",'Mapa final'!$AA$40="Menor"),CONCATENATE("R2C",'Mapa final'!$O$40),"")</f>
        <v/>
      </c>
      <c r="V7" s="52" t="str">
        <f>IF(AND('Mapa final'!$Y$35="Muy Alta",'Mapa final'!$AA$35="Moderado"),CONCATENATE("R2C",'Mapa final'!$O$35),"")</f>
        <v/>
      </c>
      <c r="W7" s="53" t="str">
        <f>IF(AND('Mapa final'!$Y$36="Muy Alta",'Mapa final'!$AA$36="Moderado"),CONCATENATE("R2C",'Mapa final'!$O$36),"")</f>
        <v/>
      </c>
      <c r="X7" s="53" t="str">
        <f>IF(AND('Mapa final'!$Y$37="Muy Alta",'Mapa final'!$AA$37="Moderado"),CONCATENATE("R2C",'Mapa final'!$O$37),"")</f>
        <v/>
      </c>
      <c r="Y7" s="53" t="str">
        <f>IF(AND('Mapa final'!$Y$38="Muy Alta",'Mapa final'!$AA$38="Moderado"),CONCATENATE("R2C",'Mapa final'!$O$38),"")</f>
        <v/>
      </c>
      <c r="Z7" s="53" t="str">
        <f>IF(AND('Mapa final'!$Y$39="Muy Alta",'Mapa final'!$AA$39="Moderado"),CONCATENATE("R2C",'Mapa final'!$O$39),"")</f>
        <v/>
      </c>
      <c r="AA7" s="54" t="str">
        <f>IF(AND('Mapa final'!$Y$40="Muy Alta",'Mapa final'!$AA$40="Moderado"),CONCATENATE("R2C",'Mapa final'!$O$40),"")</f>
        <v/>
      </c>
      <c r="AB7" s="52" t="str">
        <f>IF(AND('Mapa final'!$Y$35="Muy Alta",'Mapa final'!$AA$35="Mayor"),CONCATENATE("R2C",'Mapa final'!$O$35),"")</f>
        <v/>
      </c>
      <c r="AC7" s="53" t="str">
        <f>IF(AND('Mapa final'!$Y$36="Muy Alta",'Mapa final'!$AA$36="Mayor"),CONCATENATE("R2C",'Mapa final'!$O$36),"")</f>
        <v/>
      </c>
      <c r="AD7" s="53" t="str">
        <f>IF(AND('Mapa final'!$Y$37="Muy Alta",'Mapa final'!$AA$37="Mayor"),CONCATENATE("R2C",'Mapa final'!$O$37),"")</f>
        <v/>
      </c>
      <c r="AE7" s="53" t="str">
        <f>IF(AND('Mapa final'!$Y$38="Muy Alta",'Mapa final'!$AA$38="Mayor"),CONCATENATE("R2C",'Mapa final'!$O$38),"")</f>
        <v/>
      </c>
      <c r="AF7" s="53" t="str">
        <f>IF(AND('Mapa final'!$Y$39="Muy Alta",'Mapa final'!$AA$39="Mayor"),CONCATENATE("R2C",'Mapa final'!$O$39),"")</f>
        <v/>
      </c>
      <c r="AG7" s="54" t="str">
        <f>IF(AND('Mapa final'!$Y$40="Muy Alta",'Mapa final'!$AA$40="Mayor"),CONCATENATE("R2C",'Mapa final'!$O$40),"")</f>
        <v/>
      </c>
      <c r="AH7" s="55" t="str">
        <f>IF(AND('Mapa final'!$Y$35="Muy Alta",'Mapa final'!$AA$35="Catastrófico"),CONCATENATE("R2C",'Mapa final'!$O$35),"")</f>
        <v/>
      </c>
      <c r="AI7" s="56" t="str">
        <f>IF(AND('Mapa final'!$Y$36="Muy Alta",'Mapa final'!$AA$36="Catastrófico"),CONCATENATE("R2C",'Mapa final'!$O$36),"")</f>
        <v/>
      </c>
      <c r="AJ7" s="56" t="str">
        <f>IF(AND('Mapa final'!$Y$37="Muy Alta",'Mapa final'!$AA$37="Catastrófico"),CONCATENATE("R2C",'Mapa final'!$O$37),"")</f>
        <v/>
      </c>
      <c r="AK7" s="56" t="str">
        <f>IF(AND('Mapa final'!$Y$38="Muy Alta",'Mapa final'!$AA$38="Catastrófico"),CONCATENATE("R2C",'Mapa final'!$O$38),"")</f>
        <v/>
      </c>
      <c r="AL7" s="56" t="str">
        <f>IF(AND('Mapa final'!$Y$39="Muy Alta",'Mapa final'!$AA$39="Catastrófico"),CONCATENATE("R2C",'Mapa final'!$O$39),"")</f>
        <v/>
      </c>
      <c r="AM7" s="57" t="str">
        <f>IF(AND('Mapa final'!$Y$40="Muy Alta",'Mapa final'!$AA$40="Catastrófico"),CONCATENATE("R2C",'Mapa final'!$O$40),"")</f>
        <v/>
      </c>
      <c r="AN7" s="83"/>
      <c r="AO7" s="476"/>
      <c r="AP7" s="477"/>
      <c r="AQ7" s="477"/>
      <c r="AR7" s="477"/>
      <c r="AS7" s="477"/>
      <c r="AT7" s="478"/>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71"/>
      <c r="C8" s="371"/>
      <c r="D8" s="372"/>
      <c r="E8" s="470"/>
      <c r="F8" s="469"/>
      <c r="G8" s="469"/>
      <c r="H8" s="469"/>
      <c r="I8" s="485"/>
      <c r="J8" s="52" t="str">
        <f>IF(AND('Mapa final'!$Y$41="Muy Alta",'Mapa final'!$AA$41="Leve"),CONCATENATE("R3C",'Mapa final'!$O$41),"")</f>
        <v/>
      </c>
      <c r="K8" s="53" t="str">
        <f>IF(AND('Mapa final'!$Y$42="Muy Alta",'Mapa final'!$AA$42="Leve"),CONCATENATE("R3C",'Mapa final'!$O$42),"")</f>
        <v/>
      </c>
      <c r="L8" s="53" t="str">
        <f>IF(AND('Mapa final'!$Y$43="Muy Alta",'Mapa final'!$AA$43="Leve"),CONCATENATE("R3C",'Mapa final'!$O$43),"")</f>
        <v/>
      </c>
      <c r="M8" s="53" t="str">
        <f>IF(AND('Mapa final'!$Y$44="Muy Alta",'Mapa final'!$AA$44="Leve"),CONCATENATE("R3C",'Mapa final'!$O$44),"")</f>
        <v/>
      </c>
      <c r="N8" s="53" t="str">
        <f>IF(AND('Mapa final'!$Y$45="Muy Alta",'Mapa final'!$AA$45="Leve"),CONCATENATE("R3C",'Mapa final'!$O$45),"")</f>
        <v/>
      </c>
      <c r="O8" s="54" t="str">
        <f>IF(AND('Mapa final'!$Y$46="Muy Alta",'Mapa final'!$AA$46="Leve"),CONCATENATE("R3C",'Mapa final'!$O$46),"")</f>
        <v/>
      </c>
      <c r="P8" s="52" t="str">
        <f>IF(AND('Mapa final'!$Y$41="Muy Alta",'Mapa final'!$AA$41="Menor"),CONCATENATE("R3C",'Mapa final'!$O$41),"")</f>
        <v/>
      </c>
      <c r="Q8" s="53" t="str">
        <f>IF(AND('Mapa final'!$Y$42="Muy Alta",'Mapa final'!$AA$42="Menor"),CONCATENATE("R3C",'Mapa final'!$O$42),"")</f>
        <v/>
      </c>
      <c r="R8" s="53" t="str">
        <f>IF(AND('Mapa final'!$Y$43="Muy Alta",'Mapa final'!$AA$43="Menor"),CONCATENATE("R3C",'Mapa final'!$O$43),"")</f>
        <v/>
      </c>
      <c r="S8" s="53" t="str">
        <f>IF(AND('Mapa final'!$Y$44="Muy Alta",'Mapa final'!$AA$44="Menor"),CONCATENATE("R3C",'Mapa final'!$O$44),"")</f>
        <v/>
      </c>
      <c r="T8" s="53" t="str">
        <f>IF(AND('Mapa final'!$Y$45="Muy Alta",'Mapa final'!$AA$45="Menor"),CONCATENATE("R3C",'Mapa final'!$O$45),"")</f>
        <v/>
      </c>
      <c r="U8" s="54" t="str">
        <f>IF(AND('Mapa final'!$Y$46="Muy Alta",'Mapa final'!$AA$46="Menor"),CONCATENATE("R3C",'Mapa final'!$O$46),"")</f>
        <v/>
      </c>
      <c r="V8" s="52" t="str">
        <f>IF(AND('Mapa final'!$Y$41="Muy Alta",'Mapa final'!$AA$41="Moderado"),CONCATENATE("R3C",'Mapa final'!$O$41),"")</f>
        <v/>
      </c>
      <c r="W8" s="53" t="str">
        <f>IF(AND('Mapa final'!$Y$42="Muy Alta",'Mapa final'!$AA$42="Moderado"),CONCATENATE("R3C",'Mapa final'!$O$42),"")</f>
        <v/>
      </c>
      <c r="X8" s="53" t="str">
        <f>IF(AND('Mapa final'!$Y$43="Muy Alta",'Mapa final'!$AA$43="Moderado"),CONCATENATE("R3C",'Mapa final'!$O$43),"")</f>
        <v/>
      </c>
      <c r="Y8" s="53" t="str">
        <f>IF(AND('Mapa final'!$Y$44="Muy Alta",'Mapa final'!$AA$44="Moderado"),CONCATENATE("R3C",'Mapa final'!$O$44),"")</f>
        <v/>
      </c>
      <c r="Z8" s="53" t="str">
        <f>IF(AND('Mapa final'!$Y$45="Muy Alta",'Mapa final'!$AA$45="Moderado"),CONCATENATE("R3C",'Mapa final'!$O$45),"")</f>
        <v/>
      </c>
      <c r="AA8" s="54" t="str">
        <f>IF(AND('Mapa final'!$Y$46="Muy Alta",'Mapa final'!$AA$46="Moderado"),CONCATENATE("R3C",'Mapa final'!$O$46),"")</f>
        <v/>
      </c>
      <c r="AB8" s="52" t="str">
        <f>IF(AND('Mapa final'!$Y$41="Muy Alta",'Mapa final'!$AA$41="Mayor"),CONCATENATE("R3C",'Mapa final'!$O$41),"")</f>
        <v/>
      </c>
      <c r="AC8" s="53" t="str">
        <f>IF(AND('Mapa final'!$Y$42="Muy Alta",'Mapa final'!$AA$42="Mayor"),CONCATENATE("R3C",'Mapa final'!$O$42),"")</f>
        <v/>
      </c>
      <c r="AD8" s="53" t="str">
        <f>IF(AND('Mapa final'!$Y$43="Muy Alta",'Mapa final'!$AA$43="Mayor"),CONCATENATE("R3C",'Mapa final'!$O$43),"")</f>
        <v/>
      </c>
      <c r="AE8" s="53" t="str">
        <f>IF(AND('Mapa final'!$Y$44="Muy Alta",'Mapa final'!$AA$44="Mayor"),CONCATENATE("R3C",'Mapa final'!$O$44),"")</f>
        <v/>
      </c>
      <c r="AF8" s="53" t="str">
        <f>IF(AND('Mapa final'!$Y$45="Muy Alta",'Mapa final'!$AA$45="Mayor"),CONCATENATE("R3C",'Mapa final'!$O$45),"")</f>
        <v/>
      </c>
      <c r="AG8" s="54" t="str">
        <f>IF(AND('Mapa final'!$Y$46="Muy Alta",'Mapa final'!$AA$46="Mayor"),CONCATENATE("R3C",'Mapa final'!$O$46),"")</f>
        <v/>
      </c>
      <c r="AH8" s="55" t="str">
        <f>IF(AND('Mapa final'!$Y$41="Muy Alta",'Mapa final'!$AA$41="Catastrófico"),CONCATENATE("R3C",'Mapa final'!$O$41),"")</f>
        <v/>
      </c>
      <c r="AI8" s="56" t="str">
        <f>IF(AND('Mapa final'!$Y$42="Muy Alta",'Mapa final'!$AA$42="Catastrófico"),CONCATENATE("R3C",'Mapa final'!$O$42),"")</f>
        <v/>
      </c>
      <c r="AJ8" s="56" t="str">
        <f>IF(AND('Mapa final'!$Y$43="Muy Alta",'Mapa final'!$AA$43="Catastrófico"),CONCATENATE("R3C",'Mapa final'!$O$43),"")</f>
        <v/>
      </c>
      <c r="AK8" s="56" t="str">
        <f>IF(AND('Mapa final'!$Y$44="Muy Alta",'Mapa final'!$AA$44="Catastrófico"),CONCATENATE("R3C",'Mapa final'!$O$44),"")</f>
        <v/>
      </c>
      <c r="AL8" s="56" t="str">
        <f>IF(AND('Mapa final'!$Y$45="Muy Alta",'Mapa final'!$AA$45="Catastrófico"),CONCATENATE("R3C",'Mapa final'!$O$45),"")</f>
        <v/>
      </c>
      <c r="AM8" s="57" t="str">
        <f>IF(AND('Mapa final'!$Y$46="Muy Alta",'Mapa final'!$AA$46="Catastrófico"),CONCATENATE("R3C",'Mapa final'!$O$46),"")</f>
        <v/>
      </c>
      <c r="AN8" s="83"/>
      <c r="AO8" s="476"/>
      <c r="AP8" s="477"/>
      <c r="AQ8" s="477"/>
      <c r="AR8" s="477"/>
      <c r="AS8" s="477"/>
      <c r="AT8" s="478"/>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71"/>
      <c r="C9" s="371"/>
      <c r="D9" s="372"/>
      <c r="E9" s="470"/>
      <c r="F9" s="469"/>
      <c r="G9" s="469"/>
      <c r="H9" s="469"/>
      <c r="I9" s="485"/>
      <c r="J9" s="52" t="str">
        <f>IF(AND('Mapa final'!$Y$47="Muy Alta",'Mapa final'!$AA$47="Leve"),CONCATENATE("R4C",'Mapa final'!$O$47),"")</f>
        <v/>
      </c>
      <c r="K9" s="53" t="str">
        <f>IF(AND('Mapa final'!$Y$48="Muy Alta",'Mapa final'!$AA$48="Leve"),CONCATENATE("R4C",'Mapa final'!$O$48),"")</f>
        <v/>
      </c>
      <c r="L9" s="53" t="str">
        <f>IF(AND('Mapa final'!$Y$49="Muy Alta",'Mapa final'!$AA$49="Leve"),CONCATENATE("R4C",'Mapa final'!$O$49),"")</f>
        <v/>
      </c>
      <c r="M9" s="53" t="str">
        <f>IF(AND('Mapa final'!$Y$50="Muy Alta",'Mapa final'!$AA$50="Leve"),CONCATENATE("R4C",'Mapa final'!$O$50),"")</f>
        <v/>
      </c>
      <c r="N9" s="53" t="str">
        <f>IF(AND('Mapa final'!$Y$51="Muy Alta",'Mapa final'!$AA$51="Leve"),CONCATENATE("R4C",'Mapa final'!$O$51),"")</f>
        <v/>
      </c>
      <c r="O9" s="54" t="str">
        <f>IF(AND('Mapa final'!$Y$52="Muy Alta",'Mapa final'!$AA$52="Leve"),CONCATENATE("R4C",'Mapa final'!$O$52),"")</f>
        <v/>
      </c>
      <c r="P9" s="52" t="str">
        <f>IF(AND('Mapa final'!$Y$47="Muy Alta",'Mapa final'!$AA$47="Menor"),CONCATENATE("R4C",'Mapa final'!$O$47),"")</f>
        <v/>
      </c>
      <c r="Q9" s="53" t="str">
        <f>IF(AND('Mapa final'!$Y$48="Muy Alta",'Mapa final'!$AA$48="Menor"),CONCATENATE("R4C",'Mapa final'!$O$48),"")</f>
        <v/>
      </c>
      <c r="R9" s="53" t="str">
        <f>IF(AND('Mapa final'!$Y$49="Muy Alta",'Mapa final'!$AA$49="Menor"),CONCATENATE("R4C",'Mapa final'!$O$49),"")</f>
        <v/>
      </c>
      <c r="S9" s="53" t="str">
        <f>IF(AND('Mapa final'!$Y$50="Muy Alta",'Mapa final'!$AA$50="Menor"),CONCATENATE("R4C",'Mapa final'!$O$50),"")</f>
        <v/>
      </c>
      <c r="T9" s="53" t="str">
        <f>IF(AND('Mapa final'!$Y$51="Muy Alta",'Mapa final'!$AA$51="Menor"),CONCATENATE("R4C",'Mapa final'!$O$51),"")</f>
        <v/>
      </c>
      <c r="U9" s="54" t="str">
        <f>IF(AND('Mapa final'!$Y$52="Muy Alta",'Mapa final'!$AA$52="Menor"),CONCATENATE("R4C",'Mapa final'!$O$52),"")</f>
        <v/>
      </c>
      <c r="V9" s="52" t="str">
        <f>IF(AND('Mapa final'!$Y$47="Muy Alta",'Mapa final'!$AA$47="Moderado"),CONCATENATE("R4C",'Mapa final'!$O$47),"")</f>
        <v/>
      </c>
      <c r="W9" s="53" t="str">
        <f>IF(AND('Mapa final'!$Y$48="Muy Alta",'Mapa final'!$AA$48="Moderado"),CONCATENATE("R4C",'Mapa final'!$O$48),"")</f>
        <v/>
      </c>
      <c r="X9" s="53" t="str">
        <f>IF(AND('Mapa final'!$Y$49="Muy Alta",'Mapa final'!$AA$49="Moderado"),CONCATENATE("R4C",'Mapa final'!$O$49),"")</f>
        <v/>
      </c>
      <c r="Y9" s="53" t="str">
        <f>IF(AND('Mapa final'!$Y$50="Muy Alta",'Mapa final'!$AA$50="Moderado"),CONCATENATE("R4C",'Mapa final'!$O$50),"")</f>
        <v/>
      </c>
      <c r="Z9" s="53" t="str">
        <f>IF(AND('Mapa final'!$Y$51="Muy Alta",'Mapa final'!$AA$51="Moderado"),CONCATENATE("R4C",'Mapa final'!$O$51),"")</f>
        <v/>
      </c>
      <c r="AA9" s="54" t="str">
        <f>IF(AND('Mapa final'!$Y$52="Muy Alta",'Mapa final'!$AA$52="Moderado"),CONCATENATE("R4C",'Mapa final'!$O$52),"")</f>
        <v/>
      </c>
      <c r="AB9" s="52" t="str">
        <f>IF(AND('Mapa final'!$Y$47="Muy Alta",'Mapa final'!$AA$47="Mayor"),CONCATENATE("R4C",'Mapa final'!$O$47),"")</f>
        <v/>
      </c>
      <c r="AC9" s="53" t="str">
        <f>IF(AND('Mapa final'!$Y$48="Muy Alta",'Mapa final'!$AA$48="Mayor"),CONCATENATE("R4C",'Mapa final'!$O$48),"")</f>
        <v/>
      </c>
      <c r="AD9" s="53" t="str">
        <f>IF(AND('Mapa final'!$Y$49="Muy Alta",'Mapa final'!$AA$49="Mayor"),CONCATENATE("R4C",'Mapa final'!$O$49),"")</f>
        <v/>
      </c>
      <c r="AE9" s="53" t="str">
        <f>IF(AND('Mapa final'!$Y$50="Muy Alta",'Mapa final'!$AA$50="Mayor"),CONCATENATE("R4C",'Mapa final'!$O$50),"")</f>
        <v/>
      </c>
      <c r="AF9" s="53" t="str">
        <f>IF(AND('Mapa final'!$Y$51="Muy Alta",'Mapa final'!$AA$51="Mayor"),CONCATENATE("R4C",'Mapa final'!$O$51),"")</f>
        <v/>
      </c>
      <c r="AG9" s="54" t="str">
        <f>IF(AND('Mapa final'!$Y$52="Muy Alta",'Mapa final'!$AA$52="Mayor"),CONCATENATE("R4C",'Mapa final'!$O$52),"")</f>
        <v/>
      </c>
      <c r="AH9" s="55" t="str">
        <f>IF(AND('Mapa final'!$Y$47="Muy Alta",'Mapa final'!$AA$47="Catastrófico"),CONCATENATE("R4C",'Mapa final'!$O$47),"")</f>
        <v/>
      </c>
      <c r="AI9" s="56" t="str">
        <f>IF(AND('Mapa final'!$Y$48="Muy Alta",'Mapa final'!$AA$48="Catastrófico"),CONCATENATE("R4C",'Mapa final'!$O$48),"")</f>
        <v/>
      </c>
      <c r="AJ9" s="56" t="str">
        <f>IF(AND('Mapa final'!$Y$49="Muy Alta",'Mapa final'!$AA$49="Catastrófico"),CONCATENATE("R4C",'Mapa final'!$O$49),"")</f>
        <v/>
      </c>
      <c r="AK9" s="56" t="str">
        <f>IF(AND('Mapa final'!$Y$50="Muy Alta",'Mapa final'!$AA$50="Catastrófico"),CONCATENATE("R4C",'Mapa final'!$O$50),"")</f>
        <v/>
      </c>
      <c r="AL9" s="56" t="str">
        <f>IF(AND('Mapa final'!$Y$51="Muy Alta",'Mapa final'!$AA$51="Catastrófico"),CONCATENATE("R4C",'Mapa final'!$O$51),"")</f>
        <v/>
      </c>
      <c r="AM9" s="57" t="str">
        <f>IF(AND('Mapa final'!$Y$52="Muy Alta",'Mapa final'!$AA$52="Catastrófico"),CONCATENATE("R4C",'Mapa final'!$O$52),"")</f>
        <v/>
      </c>
      <c r="AN9" s="83"/>
      <c r="AO9" s="476"/>
      <c r="AP9" s="477"/>
      <c r="AQ9" s="477"/>
      <c r="AR9" s="477"/>
      <c r="AS9" s="477"/>
      <c r="AT9" s="478"/>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71"/>
      <c r="C10" s="371"/>
      <c r="D10" s="372"/>
      <c r="E10" s="470"/>
      <c r="F10" s="469"/>
      <c r="G10" s="469"/>
      <c r="H10" s="469"/>
      <c r="I10" s="485"/>
      <c r="J10" s="52" t="str">
        <f>IF(AND('Mapa final'!$Y$53="Muy Alta",'Mapa final'!$AA$53="Leve"),CONCATENATE("R5C",'Mapa final'!$O$53),"")</f>
        <v/>
      </c>
      <c r="K10" s="53" t="str">
        <f>IF(AND('Mapa final'!$Y$54="Muy Alta",'Mapa final'!$AA$54="Leve"),CONCATENATE("R5C",'Mapa final'!$O$54),"")</f>
        <v/>
      </c>
      <c r="L10" s="53" t="str">
        <f>IF(AND('Mapa final'!$Y$55="Muy Alta",'Mapa final'!$AA$55="Leve"),CONCATENATE("R5C",'Mapa final'!$O$55),"")</f>
        <v/>
      </c>
      <c r="M10" s="53" t="str">
        <f>IF(AND('Mapa final'!$Y$56="Muy Alta",'Mapa final'!$AA$56="Leve"),CONCATENATE("R5C",'Mapa final'!$O$56),"")</f>
        <v/>
      </c>
      <c r="N10" s="53" t="str">
        <f>IF(AND('Mapa final'!$Y$57="Muy Alta",'Mapa final'!$AA$57="Leve"),CONCATENATE("R5C",'Mapa final'!$O$57),"")</f>
        <v/>
      </c>
      <c r="O10" s="54" t="str">
        <f>IF(AND('Mapa final'!$Y$58="Muy Alta",'Mapa final'!$AA$58="Leve"),CONCATENATE("R5C",'Mapa final'!$O$58),"")</f>
        <v/>
      </c>
      <c r="P10" s="52" t="str">
        <f>IF(AND('Mapa final'!$Y$53="Muy Alta",'Mapa final'!$AA$53="Menor"),CONCATENATE("R5C",'Mapa final'!$O$53),"")</f>
        <v/>
      </c>
      <c r="Q10" s="53" t="str">
        <f>IF(AND('Mapa final'!$Y$54="Muy Alta",'Mapa final'!$AA$54="Menor"),CONCATENATE("R5C",'Mapa final'!$O$54),"")</f>
        <v/>
      </c>
      <c r="R10" s="53" t="str">
        <f>IF(AND('Mapa final'!$Y$55="Muy Alta",'Mapa final'!$AA$55="Menor"),CONCATENATE("R5C",'Mapa final'!$O$55),"")</f>
        <v/>
      </c>
      <c r="S10" s="53" t="str">
        <f>IF(AND('Mapa final'!$Y$56="Muy Alta",'Mapa final'!$AA$56="Menor"),CONCATENATE("R5C",'Mapa final'!$O$56),"")</f>
        <v/>
      </c>
      <c r="T10" s="53" t="str">
        <f>IF(AND('Mapa final'!$Y$57="Muy Alta",'Mapa final'!$AA$57="Menor"),CONCATENATE("R5C",'Mapa final'!$O$57),"")</f>
        <v/>
      </c>
      <c r="U10" s="54" t="str">
        <f>IF(AND('Mapa final'!$Y$58="Muy Alta",'Mapa final'!$AA$58="Menor"),CONCATENATE("R5C",'Mapa final'!$O$58),"")</f>
        <v/>
      </c>
      <c r="V10" s="52" t="str">
        <f>IF(AND('Mapa final'!$Y$53="Muy Alta",'Mapa final'!$AA$53="Moderado"),CONCATENATE("R5C",'Mapa final'!$O$53),"")</f>
        <v/>
      </c>
      <c r="W10" s="53" t="str">
        <f>IF(AND('Mapa final'!$Y$54="Muy Alta",'Mapa final'!$AA$54="Moderado"),CONCATENATE("R5C",'Mapa final'!$O$54),"")</f>
        <v/>
      </c>
      <c r="X10" s="53" t="str">
        <f>IF(AND('Mapa final'!$Y$55="Muy Alta",'Mapa final'!$AA$55="Moderado"),CONCATENATE("R5C",'Mapa final'!$O$55),"")</f>
        <v/>
      </c>
      <c r="Y10" s="53" t="str">
        <f>IF(AND('Mapa final'!$Y$56="Muy Alta",'Mapa final'!$AA$56="Moderado"),CONCATENATE("R5C",'Mapa final'!$O$56),"")</f>
        <v/>
      </c>
      <c r="Z10" s="53" t="str">
        <f>IF(AND('Mapa final'!$Y$57="Muy Alta",'Mapa final'!$AA$57="Moderado"),CONCATENATE("R5C",'Mapa final'!$O$57),"")</f>
        <v/>
      </c>
      <c r="AA10" s="54" t="str">
        <f>IF(AND('Mapa final'!$Y$58="Muy Alta",'Mapa final'!$AA$58="Moderado"),CONCATENATE("R5C",'Mapa final'!$O$58),"")</f>
        <v/>
      </c>
      <c r="AB10" s="52" t="str">
        <f>IF(AND('Mapa final'!$Y$53="Muy Alta",'Mapa final'!$AA$53="Mayor"),CONCATENATE("R5C",'Mapa final'!$O$53),"")</f>
        <v/>
      </c>
      <c r="AC10" s="53" t="str">
        <f>IF(AND('Mapa final'!$Y$54="Muy Alta",'Mapa final'!$AA$54="Mayor"),CONCATENATE("R5C",'Mapa final'!$O$54),"")</f>
        <v/>
      </c>
      <c r="AD10" s="53" t="str">
        <f>IF(AND('Mapa final'!$Y$55="Muy Alta",'Mapa final'!$AA$55="Mayor"),CONCATENATE("R5C",'Mapa final'!$O$55),"")</f>
        <v/>
      </c>
      <c r="AE10" s="53" t="str">
        <f>IF(AND('Mapa final'!$Y$56="Muy Alta",'Mapa final'!$AA$56="Mayor"),CONCATENATE("R5C",'Mapa final'!$O$56),"")</f>
        <v/>
      </c>
      <c r="AF10" s="53" t="str">
        <f>IF(AND('Mapa final'!$Y$57="Muy Alta",'Mapa final'!$AA$57="Mayor"),CONCATENATE("R5C",'Mapa final'!$O$57),"")</f>
        <v/>
      </c>
      <c r="AG10" s="54" t="str">
        <f>IF(AND('Mapa final'!$Y$58="Muy Alta",'Mapa final'!$AA$58="Mayor"),CONCATENATE("R5C",'Mapa final'!$O$58),"")</f>
        <v/>
      </c>
      <c r="AH10" s="55" t="str">
        <f>IF(AND('Mapa final'!$Y$53="Muy Alta",'Mapa final'!$AA$53="Catastrófico"),CONCATENATE("R5C",'Mapa final'!$O$53),"")</f>
        <v/>
      </c>
      <c r="AI10" s="56" t="str">
        <f>IF(AND('Mapa final'!$Y$54="Muy Alta",'Mapa final'!$AA$54="Catastrófico"),CONCATENATE("R5C",'Mapa final'!$O$54),"")</f>
        <v/>
      </c>
      <c r="AJ10" s="56" t="str">
        <f>IF(AND('Mapa final'!$Y$55="Muy Alta",'Mapa final'!$AA$55="Catastrófico"),CONCATENATE("R5C",'Mapa final'!$O$55),"")</f>
        <v/>
      </c>
      <c r="AK10" s="56" t="str">
        <f>IF(AND('Mapa final'!$Y$56="Muy Alta",'Mapa final'!$AA$56="Catastrófico"),CONCATENATE("R5C",'Mapa final'!$O$56),"")</f>
        <v/>
      </c>
      <c r="AL10" s="56" t="str">
        <f>IF(AND('Mapa final'!$Y$57="Muy Alta",'Mapa final'!$AA$57="Catastrófico"),CONCATENATE("R5C",'Mapa final'!$O$57),"")</f>
        <v/>
      </c>
      <c r="AM10" s="57" t="str">
        <f>IF(AND('Mapa final'!$Y$58="Muy Alta",'Mapa final'!$AA$58="Catastrófico"),CONCATENATE("R5C",'Mapa final'!$O$58),"")</f>
        <v/>
      </c>
      <c r="AN10" s="83"/>
      <c r="AO10" s="476"/>
      <c r="AP10" s="477"/>
      <c r="AQ10" s="477"/>
      <c r="AR10" s="477"/>
      <c r="AS10" s="477"/>
      <c r="AT10" s="478"/>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71"/>
      <c r="C11" s="371"/>
      <c r="D11" s="372"/>
      <c r="E11" s="470"/>
      <c r="F11" s="469"/>
      <c r="G11" s="469"/>
      <c r="H11" s="469"/>
      <c r="I11" s="485"/>
      <c r="J11" s="52" t="str">
        <f>IF(AND('Mapa final'!$Y$59="Muy Alta",'Mapa final'!$AA$59="Leve"),CONCATENATE("R6C",'Mapa final'!$O$59),"")</f>
        <v/>
      </c>
      <c r="K11" s="53" t="str">
        <f>IF(AND('Mapa final'!$Y$60="Muy Alta",'Mapa final'!$AA$60="Leve"),CONCATENATE("R6C",'Mapa final'!$O$60),"")</f>
        <v/>
      </c>
      <c r="L11" s="53" t="str">
        <f>IF(AND('Mapa final'!$Y$61="Muy Alta",'Mapa final'!$AA$61="Leve"),CONCATENATE("R6C",'Mapa final'!$O$61),"")</f>
        <v/>
      </c>
      <c r="M11" s="53" t="str">
        <f>IF(AND('Mapa final'!$Y$62="Muy Alta",'Mapa final'!$AA$62="Leve"),CONCATENATE("R6C",'Mapa final'!$O$62),"")</f>
        <v/>
      </c>
      <c r="N11" s="53" t="str">
        <f>IF(AND('Mapa final'!$Y$63="Muy Alta",'Mapa final'!$AA$63="Leve"),CONCATENATE("R6C",'Mapa final'!$O$63),"")</f>
        <v/>
      </c>
      <c r="O11" s="54" t="str">
        <f>IF(AND('Mapa final'!$Y$64="Muy Alta",'Mapa final'!$AA$64="Leve"),CONCATENATE("R6C",'Mapa final'!$O$64),"")</f>
        <v/>
      </c>
      <c r="P11" s="52" t="str">
        <f>IF(AND('Mapa final'!$Y$59="Muy Alta",'Mapa final'!$AA$59="Menor"),CONCATENATE("R6C",'Mapa final'!$O$59),"")</f>
        <v/>
      </c>
      <c r="Q11" s="53" t="str">
        <f>IF(AND('Mapa final'!$Y$60="Muy Alta",'Mapa final'!$AA$60="Menor"),CONCATENATE("R6C",'Mapa final'!$O$60),"")</f>
        <v/>
      </c>
      <c r="R11" s="53" t="str">
        <f>IF(AND('Mapa final'!$Y$61="Muy Alta",'Mapa final'!$AA$61="Menor"),CONCATENATE("R6C",'Mapa final'!$O$61),"")</f>
        <v/>
      </c>
      <c r="S11" s="53" t="str">
        <f>IF(AND('Mapa final'!$Y$62="Muy Alta",'Mapa final'!$AA$62="Menor"),CONCATENATE("R6C",'Mapa final'!$O$62),"")</f>
        <v/>
      </c>
      <c r="T11" s="53" t="str">
        <f>IF(AND('Mapa final'!$Y$63="Muy Alta",'Mapa final'!$AA$63="Menor"),CONCATENATE("R6C",'Mapa final'!$O$63),"")</f>
        <v/>
      </c>
      <c r="U11" s="54" t="str">
        <f>IF(AND('Mapa final'!$Y$64="Muy Alta",'Mapa final'!$AA$64="Menor"),CONCATENATE("R6C",'Mapa final'!$O$64),"")</f>
        <v/>
      </c>
      <c r="V11" s="52" t="str">
        <f>IF(AND('Mapa final'!$Y$59="Muy Alta",'Mapa final'!$AA$59="Moderado"),CONCATENATE("R6C",'Mapa final'!$O$59),"")</f>
        <v/>
      </c>
      <c r="W11" s="53" t="str">
        <f>IF(AND('Mapa final'!$Y$60="Muy Alta",'Mapa final'!$AA$60="Moderado"),CONCATENATE("R6C",'Mapa final'!$O$60),"")</f>
        <v/>
      </c>
      <c r="X11" s="53" t="str">
        <f>IF(AND('Mapa final'!$Y$61="Muy Alta",'Mapa final'!$AA$61="Moderado"),CONCATENATE("R6C",'Mapa final'!$O$61),"")</f>
        <v/>
      </c>
      <c r="Y11" s="53" t="str">
        <f>IF(AND('Mapa final'!$Y$62="Muy Alta",'Mapa final'!$AA$62="Moderado"),CONCATENATE("R6C",'Mapa final'!$O$62),"")</f>
        <v/>
      </c>
      <c r="Z11" s="53" t="str">
        <f>IF(AND('Mapa final'!$Y$63="Muy Alta",'Mapa final'!$AA$63="Moderado"),CONCATENATE("R6C",'Mapa final'!$O$63),"")</f>
        <v/>
      </c>
      <c r="AA11" s="54" t="str">
        <f>IF(AND('Mapa final'!$Y$64="Muy Alta",'Mapa final'!$AA$64="Moderado"),CONCATENATE("R6C",'Mapa final'!$O$64),"")</f>
        <v/>
      </c>
      <c r="AB11" s="52" t="str">
        <f>IF(AND('Mapa final'!$Y$59="Muy Alta",'Mapa final'!$AA$59="Mayor"),CONCATENATE("R6C",'Mapa final'!$O$59),"")</f>
        <v/>
      </c>
      <c r="AC11" s="53" t="str">
        <f>IF(AND('Mapa final'!$Y$60="Muy Alta",'Mapa final'!$AA$60="Mayor"),CONCATENATE("R6C",'Mapa final'!$O$60),"")</f>
        <v/>
      </c>
      <c r="AD11" s="53" t="str">
        <f>IF(AND('Mapa final'!$Y$61="Muy Alta",'Mapa final'!$AA$61="Mayor"),CONCATENATE("R6C",'Mapa final'!$O$61),"")</f>
        <v/>
      </c>
      <c r="AE11" s="53" t="str">
        <f>IF(AND('Mapa final'!$Y$62="Muy Alta",'Mapa final'!$AA$62="Mayor"),CONCATENATE("R6C",'Mapa final'!$O$62),"")</f>
        <v/>
      </c>
      <c r="AF11" s="53" t="str">
        <f>IF(AND('Mapa final'!$Y$63="Muy Alta",'Mapa final'!$AA$63="Mayor"),CONCATENATE("R6C",'Mapa final'!$O$63),"")</f>
        <v/>
      </c>
      <c r="AG11" s="54" t="str">
        <f>IF(AND('Mapa final'!$Y$64="Muy Alta",'Mapa final'!$AA$64="Mayor"),CONCATENATE("R6C",'Mapa final'!$O$64),"")</f>
        <v/>
      </c>
      <c r="AH11" s="55" t="str">
        <f>IF(AND('Mapa final'!$Y$59="Muy Alta",'Mapa final'!$AA$59="Catastrófico"),CONCATENATE("R6C",'Mapa final'!$O$59),"")</f>
        <v/>
      </c>
      <c r="AI11" s="56" t="str">
        <f>IF(AND('Mapa final'!$Y$60="Muy Alta",'Mapa final'!$AA$60="Catastrófico"),CONCATENATE("R6C",'Mapa final'!$O$60),"")</f>
        <v/>
      </c>
      <c r="AJ11" s="56" t="str">
        <f>IF(AND('Mapa final'!$Y$61="Muy Alta",'Mapa final'!$AA$61="Catastrófico"),CONCATENATE("R6C",'Mapa final'!$O$61),"")</f>
        <v/>
      </c>
      <c r="AK11" s="56" t="str">
        <f>IF(AND('Mapa final'!$Y$62="Muy Alta",'Mapa final'!$AA$62="Catastrófico"),CONCATENATE("R6C",'Mapa final'!$O$62),"")</f>
        <v/>
      </c>
      <c r="AL11" s="56" t="str">
        <f>IF(AND('Mapa final'!$Y$63="Muy Alta",'Mapa final'!$AA$63="Catastrófico"),CONCATENATE("R6C",'Mapa final'!$O$63),"")</f>
        <v/>
      </c>
      <c r="AM11" s="57" t="str">
        <f>IF(AND('Mapa final'!$Y$64="Muy Alta",'Mapa final'!$AA$64="Catastrófico"),CONCATENATE("R6C",'Mapa final'!$O$64),"")</f>
        <v/>
      </c>
      <c r="AN11" s="83"/>
      <c r="AO11" s="476"/>
      <c r="AP11" s="477"/>
      <c r="AQ11" s="477"/>
      <c r="AR11" s="477"/>
      <c r="AS11" s="477"/>
      <c r="AT11" s="478"/>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71"/>
      <c r="C12" s="371"/>
      <c r="D12" s="372"/>
      <c r="E12" s="470"/>
      <c r="F12" s="469"/>
      <c r="G12" s="469"/>
      <c r="H12" s="469"/>
      <c r="I12" s="485"/>
      <c r="J12" s="52" t="str">
        <f>IF(AND('Mapa final'!$Y$65="Muy Alta",'Mapa final'!$AA$65="Leve"),CONCATENATE("R7C",'Mapa final'!$O$65),"")</f>
        <v/>
      </c>
      <c r="K12" s="53" t="str">
        <f>IF(AND('Mapa final'!$Y$66="Muy Alta",'Mapa final'!$AA$66="Leve"),CONCATENATE("R7C",'Mapa final'!$O$66),"")</f>
        <v/>
      </c>
      <c r="L12" s="53" t="str">
        <f>IF(AND('Mapa final'!$Y$67="Muy Alta",'Mapa final'!$AA$67="Leve"),CONCATENATE("R7C",'Mapa final'!$O$67),"")</f>
        <v/>
      </c>
      <c r="M12" s="53" t="str">
        <f>IF(AND('Mapa final'!$Y$68="Muy Alta",'Mapa final'!$AA$68="Leve"),CONCATENATE("R7C",'Mapa final'!$O$68),"")</f>
        <v/>
      </c>
      <c r="N12" s="53" t="str">
        <f>IF(AND('Mapa final'!$Y$69="Muy Alta",'Mapa final'!$AA$69="Leve"),CONCATENATE("R7C",'Mapa final'!$O$69),"")</f>
        <v/>
      </c>
      <c r="O12" s="54" t="str">
        <f>IF(AND('Mapa final'!$Y$70="Muy Alta",'Mapa final'!$AA$70="Leve"),CONCATENATE("R7C",'Mapa final'!$O$70),"")</f>
        <v/>
      </c>
      <c r="P12" s="52" t="str">
        <f>IF(AND('Mapa final'!$Y$65="Muy Alta",'Mapa final'!$AA$65="Menor"),CONCATENATE("R7C",'Mapa final'!$O$65),"")</f>
        <v/>
      </c>
      <c r="Q12" s="53" t="str">
        <f>IF(AND('Mapa final'!$Y$66="Muy Alta",'Mapa final'!$AA$66="Menor"),CONCATENATE("R7C",'Mapa final'!$O$66),"")</f>
        <v/>
      </c>
      <c r="R12" s="53" t="str">
        <f>IF(AND('Mapa final'!$Y$67="Muy Alta",'Mapa final'!$AA$67="Menor"),CONCATENATE("R7C",'Mapa final'!$O$67),"")</f>
        <v/>
      </c>
      <c r="S12" s="53" t="str">
        <f>IF(AND('Mapa final'!$Y$68="Muy Alta",'Mapa final'!$AA$68="Menor"),CONCATENATE("R7C",'Mapa final'!$O$68),"")</f>
        <v/>
      </c>
      <c r="T12" s="53" t="str">
        <f>IF(AND('Mapa final'!$Y$69="Muy Alta",'Mapa final'!$AA$69="Menor"),CONCATENATE("R7C",'Mapa final'!$O$69),"")</f>
        <v/>
      </c>
      <c r="U12" s="54" t="str">
        <f>IF(AND('Mapa final'!$Y$70="Muy Alta",'Mapa final'!$AA$70="Menor"),CONCATENATE("R7C",'Mapa final'!$O$70),"")</f>
        <v/>
      </c>
      <c r="V12" s="52" t="str">
        <f>IF(AND('Mapa final'!$Y$65="Muy Alta",'Mapa final'!$AA$65="Moderado"),CONCATENATE("R7C",'Mapa final'!$O$65),"")</f>
        <v/>
      </c>
      <c r="W12" s="53" t="str">
        <f>IF(AND('Mapa final'!$Y$66="Muy Alta",'Mapa final'!$AA$66="Moderado"),CONCATENATE("R7C",'Mapa final'!$O$66),"")</f>
        <v/>
      </c>
      <c r="X12" s="53" t="str">
        <f>IF(AND('Mapa final'!$Y$67="Muy Alta",'Mapa final'!$AA$67="Moderado"),CONCATENATE("R7C",'Mapa final'!$O$67),"")</f>
        <v/>
      </c>
      <c r="Y12" s="53" t="str">
        <f>IF(AND('Mapa final'!$Y$68="Muy Alta",'Mapa final'!$AA$68="Moderado"),CONCATENATE("R7C",'Mapa final'!$O$68),"")</f>
        <v/>
      </c>
      <c r="Z12" s="53" t="str">
        <f>IF(AND('Mapa final'!$Y$69="Muy Alta",'Mapa final'!$AA$69="Moderado"),CONCATENATE("R7C",'Mapa final'!$O$69),"")</f>
        <v/>
      </c>
      <c r="AA12" s="54" t="str">
        <f>IF(AND('Mapa final'!$Y$70="Muy Alta",'Mapa final'!$AA$70="Moderado"),CONCATENATE("R7C",'Mapa final'!$O$70),"")</f>
        <v/>
      </c>
      <c r="AB12" s="52" t="str">
        <f>IF(AND('Mapa final'!$Y$65="Muy Alta",'Mapa final'!$AA$65="Mayor"),CONCATENATE("R7C",'Mapa final'!$O$65),"")</f>
        <v/>
      </c>
      <c r="AC12" s="53" t="str">
        <f>IF(AND('Mapa final'!$Y$66="Muy Alta",'Mapa final'!$AA$66="Mayor"),CONCATENATE("R7C",'Mapa final'!$O$66),"")</f>
        <v/>
      </c>
      <c r="AD12" s="53" t="str">
        <f>IF(AND('Mapa final'!$Y$67="Muy Alta",'Mapa final'!$AA$67="Mayor"),CONCATENATE("R7C",'Mapa final'!$O$67),"")</f>
        <v/>
      </c>
      <c r="AE12" s="53" t="str">
        <f>IF(AND('Mapa final'!$Y$68="Muy Alta",'Mapa final'!$AA$68="Mayor"),CONCATENATE("R7C",'Mapa final'!$O$68),"")</f>
        <v/>
      </c>
      <c r="AF12" s="53" t="str">
        <f>IF(AND('Mapa final'!$Y$69="Muy Alta",'Mapa final'!$AA$69="Mayor"),CONCATENATE("R7C",'Mapa final'!$O$69),"")</f>
        <v/>
      </c>
      <c r="AG12" s="54" t="str">
        <f>IF(AND('Mapa final'!$Y$70="Muy Alta",'Mapa final'!$AA$70="Mayor"),CONCATENATE("R7C",'Mapa final'!$O$70),"")</f>
        <v/>
      </c>
      <c r="AH12" s="55" t="str">
        <f>IF(AND('Mapa final'!$Y$65="Muy Alta",'Mapa final'!$AA$65="Catastrófico"),CONCATENATE("R7C",'Mapa final'!$O$65),"")</f>
        <v/>
      </c>
      <c r="AI12" s="56" t="str">
        <f>IF(AND('Mapa final'!$Y$66="Muy Alta",'Mapa final'!$AA$66="Catastrófico"),CONCATENATE("R7C",'Mapa final'!$O$66),"")</f>
        <v/>
      </c>
      <c r="AJ12" s="56" t="str">
        <f>IF(AND('Mapa final'!$Y$67="Muy Alta",'Mapa final'!$AA$67="Catastrófico"),CONCATENATE("R7C",'Mapa final'!$O$67),"")</f>
        <v/>
      </c>
      <c r="AK12" s="56" t="str">
        <f>IF(AND('Mapa final'!$Y$68="Muy Alta",'Mapa final'!$AA$68="Catastrófico"),CONCATENATE("R7C",'Mapa final'!$O$68),"")</f>
        <v/>
      </c>
      <c r="AL12" s="56" t="str">
        <f>IF(AND('Mapa final'!$Y$69="Muy Alta",'Mapa final'!$AA$69="Catastrófico"),CONCATENATE("R7C",'Mapa final'!$O$69),"")</f>
        <v/>
      </c>
      <c r="AM12" s="57" t="str">
        <f>IF(AND('Mapa final'!$Y$70="Muy Alta",'Mapa final'!$AA$70="Catastrófico"),CONCATENATE("R7C",'Mapa final'!$O$70),"")</f>
        <v/>
      </c>
      <c r="AN12" s="83"/>
      <c r="AO12" s="476"/>
      <c r="AP12" s="477"/>
      <c r="AQ12" s="477"/>
      <c r="AR12" s="477"/>
      <c r="AS12" s="477"/>
      <c r="AT12" s="478"/>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71"/>
      <c r="C13" s="371"/>
      <c r="D13" s="372"/>
      <c r="E13" s="470"/>
      <c r="F13" s="469"/>
      <c r="G13" s="469"/>
      <c r="H13" s="469"/>
      <c r="I13" s="485"/>
      <c r="J13" s="52" t="str">
        <f>IF(AND('Mapa final'!$Y$71="Muy Alta",'Mapa final'!$AA$71="Leve"),CONCATENATE("R8C",'Mapa final'!$O$71),"")</f>
        <v/>
      </c>
      <c r="K13" s="53" t="str">
        <f>IF(AND('Mapa final'!$Y$72="Muy Alta",'Mapa final'!$AA$72="Leve"),CONCATENATE("R8C",'Mapa final'!$O$72),"")</f>
        <v/>
      </c>
      <c r="L13" s="53" t="str">
        <f>IF(AND('Mapa final'!$Y$73="Muy Alta",'Mapa final'!$AA$73="Leve"),CONCATENATE("R8C",'Mapa final'!$O$73),"")</f>
        <v/>
      </c>
      <c r="M13" s="53" t="str">
        <f>IF(AND('Mapa final'!$Y$74="Muy Alta",'Mapa final'!$AA$74="Leve"),CONCATENATE("R8C",'Mapa final'!$O$74),"")</f>
        <v/>
      </c>
      <c r="N13" s="53" t="str">
        <f>IF(AND('Mapa final'!$Y$75="Muy Alta",'Mapa final'!$AA$75="Leve"),CONCATENATE("R8C",'Mapa final'!$O$75),"")</f>
        <v/>
      </c>
      <c r="O13" s="54" t="str">
        <f>IF(AND('Mapa final'!$Y$76="Muy Alta",'Mapa final'!$AA$76="Leve"),CONCATENATE("R8C",'Mapa final'!$O$76),"")</f>
        <v/>
      </c>
      <c r="P13" s="52" t="str">
        <f>IF(AND('Mapa final'!$Y$71="Muy Alta",'Mapa final'!$AA$71="Menor"),CONCATENATE("R8C",'Mapa final'!$O$71),"")</f>
        <v/>
      </c>
      <c r="Q13" s="53" t="str">
        <f>IF(AND('Mapa final'!$Y$72="Muy Alta",'Mapa final'!$AA$72="Menor"),CONCATENATE("R8C",'Mapa final'!$O$72),"")</f>
        <v/>
      </c>
      <c r="R13" s="53" t="str">
        <f>IF(AND('Mapa final'!$Y$73="Muy Alta",'Mapa final'!$AA$73="Menor"),CONCATENATE("R8C",'Mapa final'!$O$73),"")</f>
        <v/>
      </c>
      <c r="S13" s="53" t="str">
        <f>IF(AND('Mapa final'!$Y$74="Muy Alta",'Mapa final'!$AA$74="Menor"),CONCATENATE("R8C",'Mapa final'!$O$74),"")</f>
        <v/>
      </c>
      <c r="T13" s="53" t="str">
        <f>IF(AND('Mapa final'!$Y$75="Muy Alta",'Mapa final'!$AA$75="Menor"),CONCATENATE("R8C",'Mapa final'!$O$75),"")</f>
        <v/>
      </c>
      <c r="U13" s="54" t="str">
        <f>IF(AND('Mapa final'!$Y$76="Muy Alta",'Mapa final'!$AA$76="Menor"),CONCATENATE("R8C",'Mapa final'!$O$76),"")</f>
        <v/>
      </c>
      <c r="V13" s="52" t="str">
        <f>IF(AND('Mapa final'!$Y$71="Muy Alta",'Mapa final'!$AA$71="Moderado"),CONCATENATE("R8C",'Mapa final'!$O$71),"")</f>
        <v/>
      </c>
      <c r="W13" s="53" t="str">
        <f>IF(AND('Mapa final'!$Y$72="Muy Alta",'Mapa final'!$AA$72="Moderado"),CONCATENATE("R8C",'Mapa final'!$O$72),"")</f>
        <v/>
      </c>
      <c r="X13" s="53" t="str">
        <f>IF(AND('Mapa final'!$Y$73="Muy Alta",'Mapa final'!$AA$73="Moderado"),CONCATENATE("R8C",'Mapa final'!$O$73),"")</f>
        <v/>
      </c>
      <c r="Y13" s="53" t="str">
        <f>IF(AND('Mapa final'!$Y$74="Muy Alta",'Mapa final'!$AA$74="Moderado"),CONCATENATE("R8C",'Mapa final'!$O$74),"")</f>
        <v/>
      </c>
      <c r="Z13" s="53" t="str">
        <f>IF(AND('Mapa final'!$Y$75="Muy Alta",'Mapa final'!$AA$75="Moderado"),CONCATENATE("R8C",'Mapa final'!$O$75),"")</f>
        <v/>
      </c>
      <c r="AA13" s="54" t="str">
        <f>IF(AND('Mapa final'!$Y$76="Muy Alta",'Mapa final'!$AA$76="Moderado"),CONCATENATE("R8C",'Mapa final'!$O$76),"")</f>
        <v/>
      </c>
      <c r="AB13" s="52" t="str">
        <f>IF(AND('Mapa final'!$Y$71="Muy Alta",'Mapa final'!$AA$71="Mayor"),CONCATENATE("R8C",'Mapa final'!$O$71),"")</f>
        <v/>
      </c>
      <c r="AC13" s="53" t="str">
        <f>IF(AND('Mapa final'!$Y$72="Muy Alta",'Mapa final'!$AA$72="Mayor"),CONCATENATE("R8C",'Mapa final'!$O$72),"")</f>
        <v/>
      </c>
      <c r="AD13" s="53" t="str">
        <f>IF(AND('Mapa final'!$Y$73="Muy Alta",'Mapa final'!$AA$73="Mayor"),CONCATENATE("R8C",'Mapa final'!$O$73),"")</f>
        <v/>
      </c>
      <c r="AE13" s="53" t="str">
        <f>IF(AND('Mapa final'!$Y$74="Muy Alta",'Mapa final'!$AA$74="Mayor"),CONCATENATE("R8C",'Mapa final'!$O$74),"")</f>
        <v/>
      </c>
      <c r="AF13" s="53" t="str">
        <f>IF(AND('Mapa final'!$Y$75="Muy Alta",'Mapa final'!$AA$75="Mayor"),CONCATENATE("R8C",'Mapa final'!$O$75),"")</f>
        <v/>
      </c>
      <c r="AG13" s="54" t="str">
        <f>IF(AND('Mapa final'!$Y$76="Muy Alta",'Mapa final'!$AA$76="Mayor"),CONCATENATE("R8C",'Mapa final'!$O$76),"")</f>
        <v/>
      </c>
      <c r="AH13" s="55" t="str">
        <f>IF(AND('Mapa final'!$Y$71="Muy Alta",'Mapa final'!$AA$71="Catastrófico"),CONCATENATE("R8C",'Mapa final'!$O$71),"")</f>
        <v/>
      </c>
      <c r="AI13" s="56" t="str">
        <f>IF(AND('Mapa final'!$Y$72="Muy Alta",'Mapa final'!$AA$72="Catastrófico"),CONCATENATE("R8C",'Mapa final'!$O$72),"")</f>
        <v/>
      </c>
      <c r="AJ13" s="56" t="str">
        <f>IF(AND('Mapa final'!$Y$73="Muy Alta",'Mapa final'!$AA$73="Catastrófico"),CONCATENATE("R8C",'Mapa final'!$O$73),"")</f>
        <v/>
      </c>
      <c r="AK13" s="56" t="str">
        <f>IF(AND('Mapa final'!$Y$74="Muy Alta",'Mapa final'!$AA$74="Catastrófico"),CONCATENATE("R8C",'Mapa final'!$O$74),"")</f>
        <v/>
      </c>
      <c r="AL13" s="56" t="str">
        <f>IF(AND('Mapa final'!$Y$75="Muy Alta",'Mapa final'!$AA$75="Catastrófico"),CONCATENATE("R8C",'Mapa final'!$O$75),"")</f>
        <v/>
      </c>
      <c r="AM13" s="57" t="str">
        <f>IF(AND('Mapa final'!$Y$76="Muy Alta",'Mapa final'!$AA$76="Catastrófico"),CONCATENATE("R8C",'Mapa final'!$O$76),"")</f>
        <v/>
      </c>
      <c r="AN13" s="83"/>
      <c r="AO13" s="476"/>
      <c r="AP13" s="477"/>
      <c r="AQ13" s="477"/>
      <c r="AR13" s="477"/>
      <c r="AS13" s="477"/>
      <c r="AT13" s="4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71"/>
      <c r="C14" s="371"/>
      <c r="D14" s="372"/>
      <c r="E14" s="470"/>
      <c r="F14" s="469"/>
      <c r="G14" s="469"/>
      <c r="H14" s="469"/>
      <c r="I14" s="485"/>
      <c r="J14" s="52" t="str">
        <f>IF(AND('Mapa final'!$Y$77="Muy Alta",'Mapa final'!$AA$77="Leve"),CONCATENATE("R9C",'Mapa final'!$O$77),"")</f>
        <v/>
      </c>
      <c r="K14" s="53" t="str">
        <f>IF(AND('Mapa final'!$Y$78="Muy Alta",'Mapa final'!$AA$78="Leve"),CONCATENATE("R9C",'Mapa final'!$O$78),"")</f>
        <v/>
      </c>
      <c r="L14" s="53" t="str">
        <f>IF(AND('Mapa final'!$Y$79="Muy Alta",'Mapa final'!$AA$79="Leve"),CONCATENATE("R9C",'Mapa final'!$O$79),"")</f>
        <v/>
      </c>
      <c r="M14" s="53" t="str">
        <f>IF(AND('Mapa final'!$Y$80="Muy Alta",'Mapa final'!$AA$80="Leve"),CONCATENATE("R9C",'Mapa final'!$O$80),"")</f>
        <v/>
      </c>
      <c r="N14" s="53" t="str">
        <f>IF(AND('Mapa final'!$Y$81="Muy Alta",'Mapa final'!$AA$81="Leve"),CONCATENATE("R9C",'Mapa final'!$O$81),"")</f>
        <v/>
      </c>
      <c r="O14" s="54" t="str">
        <f>IF(AND('Mapa final'!$Y$82="Muy Alta",'Mapa final'!$AA$82="Leve"),CONCATENATE("R9C",'Mapa final'!$O$82),"")</f>
        <v/>
      </c>
      <c r="P14" s="52" t="str">
        <f>IF(AND('Mapa final'!$Y$77="Muy Alta",'Mapa final'!$AA$77="Menor"),CONCATENATE("R9C",'Mapa final'!$O$77),"")</f>
        <v/>
      </c>
      <c r="Q14" s="53" t="str">
        <f>IF(AND('Mapa final'!$Y$78="Muy Alta",'Mapa final'!$AA$78="Menor"),CONCATENATE("R9C",'Mapa final'!$O$78),"")</f>
        <v/>
      </c>
      <c r="R14" s="53" t="str">
        <f>IF(AND('Mapa final'!$Y$79="Muy Alta",'Mapa final'!$AA$79="Menor"),CONCATENATE("R9C",'Mapa final'!$O$79),"")</f>
        <v/>
      </c>
      <c r="S14" s="53" t="str">
        <f>IF(AND('Mapa final'!$Y$80="Muy Alta",'Mapa final'!$AA$80="Menor"),CONCATENATE("R9C",'Mapa final'!$O$80),"")</f>
        <v/>
      </c>
      <c r="T14" s="53" t="str">
        <f>IF(AND('Mapa final'!$Y$81="Muy Alta",'Mapa final'!$AA$81="Menor"),CONCATENATE("R9C",'Mapa final'!$O$81),"")</f>
        <v/>
      </c>
      <c r="U14" s="54" t="str">
        <f>IF(AND('Mapa final'!$Y$82="Muy Alta",'Mapa final'!$AA$82="Menor"),CONCATENATE("R9C",'Mapa final'!$O$82),"")</f>
        <v/>
      </c>
      <c r="V14" s="52" t="str">
        <f>IF(AND('Mapa final'!$Y$77="Muy Alta",'Mapa final'!$AA$77="Moderado"),CONCATENATE("R9C",'Mapa final'!$O$77),"")</f>
        <v/>
      </c>
      <c r="W14" s="53" t="str">
        <f>IF(AND('Mapa final'!$Y$78="Muy Alta",'Mapa final'!$AA$78="Moderado"),CONCATENATE("R9C",'Mapa final'!$O$78),"")</f>
        <v/>
      </c>
      <c r="X14" s="53" t="str">
        <f>IF(AND('Mapa final'!$Y$79="Muy Alta",'Mapa final'!$AA$79="Moderado"),CONCATENATE("R9C",'Mapa final'!$O$79),"")</f>
        <v/>
      </c>
      <c r="Y14" s="53" t="str">
        <f>IF(AND('Mapa final'!$Y$80="Muy Alta",'Mapa final'!$AA$80="Moderado"),CONCATENATE("R9C",'Mapa final'!$O$80),"")</f>
        <v/>
      </c>
      <c r="Z14" s="53" t="str">
        <f>IF(AND('Mapa final'!$Y$81="Muy Alta",'Mapa final'!$AA$81="Moderado"),CONCATENATE("R9C",'Mapa final'!$O$81),"")</f>
        <v/>
      </c>
      <c r="AA14" s="54" t="str">
        <f>IF(AND('Mapa final'!$Y$82="Muy Alta",'Mapa final'!$AA$82="Moderado"),CONCATENATE("R9C",'Mapa final'!$O$82),"")</f>
        <v/>
      </c>
      <c r="AB14" s="52" t="str">
        <f>IF(AND('Mapa final'!$Y$77="Muy Alta",'Mapa final'!$AA$77="Mayor"),CONCATENATE("R9C",'Mapa final'!$O$77),"")</f>
        <v/>
      </c>
      <c r="AC14" s="53" t="str">
        <f>IF(AND('Mapa final'!$Y$78="Muy Alta",'Mapa final'!$AA$78="Mayor"),CONCATENATE("R9C",'Mapa final'!$O$78),"")</f>
        <v/>
      </c>
      <c r="AD14" s="53" t="str">
        <f>IF(AND('Mapa final'!$Y$79="Muy Alta",'Mapa final'!$AA$79="Mayor"),CONCATENATE("R9C",'Mapa final'!$O$79),"")</f>
        <v/>
      </c>
      <c r="AE14" s="53" t="str">
        <f>IF(AND('Mapa final'!$Y$80="Muy Alta",'Mapa final'!$AA$80="Mayor"),CONCATENATE("R9C",'Mapa final'!$O$80),"")</f>
        <v/>
      </c>
      <c r="AF14" s="53" t="str">
        <f>IF(AND('Mapa final'!$Y$81="Muy Alta",'Mapa final'!$AA$81="Mayor"),CONCATENATE("R9C",'Mapa final'!$O$81),"")</f>
        <v/>
      </c>
      <c r="AG14" s="54" t="str">
        <f>IF(AND('Mapa final'!$Y$82="Muy Alta",'Mapa final'!$AA$82="Mayor"),CONCATENATE("R9C",'Mapa final'!$O$82),"")</f>
        <v/>
      </c>
      <c r="AH14" s="55" t="str">
        <f>IF(AND('Mapa final'!$Y$77="Muy Alta",'Mapa final'!$AA$77="Catastrófico"),CONCATENATE("R9C",'Mapa final'!$O$77),"")</f>
        <v/>
      </c>
      <c r="AI14" s="56" t="str">
        <f>IF(AND('Mapa final'!$Y$78="Muy Alta",'Mapa final'!$AA$78="Catastrófico"),CONCATENATE("R9C",'Mapa final'!$O$78),"")</f>
        <v/>
      </c>
      <c r="AJ14" s="56" t="str">
        <f>IF(AND('Mapa final'!$Y$79="Muy Alta",'Mapa final'!$AA$79="Catastrófico"),CONCATENATE("R9C",'Mapa final'!$O$79),"")</f>
        <v/>
      </c>
      <c r="AK14" s="56" t="str">
        <f>IF(AND('Mapa final'!$Y$80="Muy Alta",'Mapa final'!$AA$80="Catastrófico"),CONCATENATE("R9C",'Mapa final'!$O$80),"")</f>
        <v/>
      </c>
      <c r="AL14" s="56" t="str">
        <f>IF(AND('Mapa final'!$Y$81="Muy Alta",'Mapa final'!$AA$81="Catastrófico"),CONCATENATE("R9C",'Mapa final'!$O$81),"")</f>
        <v/>
      </c>
      <c r="AM14" s="57" t="str">
        <f>IF(AND('Mapa final'!$Y$82="Muy Alta",'Mapa final'!$AA$82="Catastrófico"),CONCATENATE("R9C",'Mapa final'!$O$82),"")</f>
        <v/>
      </c>
      <c r="AN14" s="83"/>
      <c r="AO14" s="476"/>
      <c r="AP14" s="477"/>
      <c r="AQ14" s="477"/>
      <c r="AR14" s="477"/>
      <c r="AS14" s="477"/>
      <c r="AT14" s="478"/>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71"/>
      <c r="C15" s="371"/>
      <c r="D15" s="372"/>
      <c r="E15" s="471"/>
      <c r="F15" s="472"/>
      <c r="G15" s="472"/>
      <c r="H15" s="472"/>
      <c r="I15" s="486"/>
      <c r="J15" s="58" t="str">
        <f>IF(AND('Mapa final'!$Y$83="Muy Alta",'Mapa final'!$AA$83="Leve"),CONCATENATE("R10C",'Mapa final'!$O$83),"")</f>
        <v/>
      </c>
      <c r="K15" s="59" t="str">
        <f>IF(AND('Mapa final'!$Y$84="Muy Alta",'Mapa final'!$AA$84="Leve"),CONCATENATE("R10C",'Mapa final'!$O$84),"")</f>
        <v/>
      </c>
      <c r="L15" s="59" t="str">
        <f>IF(AND('Mapa final'!$Y$85="Muy Alta",'Mapa final'!$AA$85="Leve"),CONCATENATE("R10C",'Mapa final'!$O$85),"")</f>
        <v/>
      </c>
      <c r="M15" s="59" t="str">
        <f>IF(AND('Mapa final'!$Y$86="Muy Alta",'Mapa final'!$AA$86="Leve"),CONCATENATE("R10C",'Mapa final'!$O$86),"")</f>
        <v/>
      </c>
      <c r="N15" s="59" t="str">
        <f>IF(AND('Mapa final'!$Y$87="Muy Alta",'Mapa final'!$AA$87="Leve"),CONCATENATE("R10C",'Mapa final'!$O$87),"")</f>
        <v/>
      </c>
      <c r="O15" s="60" t="str">
        <f>IF(AND('Mapa final'!$Y$88="Muy Alta",'Mapa final'!$AA$88="Leve"),CONCATENATE("R10C",'Mapa final'!$O$88),"")</f>
        <v/>
      </c>
      <c r="P15" s="52" t="str">
        <f>IF(AND('Mapa final'!$Y$83="Muy Alta",'Mapa final'!$AA$83="Menor"),CONCATENATE("R10C",'Mapa final'!$O$83),"")</f>
        <v/>
      </c>
      <c r="Q15" s="53" t="str">
        <f>IF(AND('Mapa final'!$Y$84="Muy Alta",'Mapa final'!$AA$84="Menor"),CONCATENATE("R10C",'Mapa final'!$O$84),"")</f>
        <v/>
      </c>
      <c r="R15" s="53" t="str">
        <f>IF(AND('Mapa final'!$Y$85="Muy Alta",'Mapa final'!$AA$85="Menor"),CONCATENATE("R10C",'Mapa final'!$O$85),"")</f>
        <v/>
      </c>
      <c r="S15" s="53" t="str">
        <f>IF(AND('Mapa final'!$Y$86="Muy Alta",'Mapa final'!$AA$86="Menor"),CONCATENATE("R10C",'Mapa final'!$O$86),"")</f>
        <v/>
      </c>
      <c r="T15" s="53" t="str">
        <f>IF(AND('Mapa final'!$Y$87="Muy Alta",'Mapa final'!$AA$87="Menor"),CONCATENATE("R10C",'Mapa final'!$O$87),"")</f>
        <v/>
      </c>
      <c r="U15" s="54" t="str">
        <f>IF(AND('Mapa final'!$Y$88="Muy Alta",'Mapa final'!$AA$88="Menor"),CONCATENATE("R10C",'Mapa final'!$O$88),"")</f>
        <v/>
      </c>
      <c r="V15" s="58" t="str">
        <f>IF(AND('Mapa final'!$Y$83="Muy Alta",'Mapa final'!$AA$83="Moderado"),CONCATENATE("R10C",'Mapa final'!$O$83),"")</f>
        <v/>
      </c>
      <c r="W15" s="59" t="str">
        <f>IF(AND('Mapa final'!$Y$84="Muy Alta",'Mapa final'!$AA$84="Moderado"),CONCATENATE("R10C",'Mapa final'!$O$84),"")</f>
        <v/>
      </c>
      <c r="X15" s="59" t="str">
        <f>IF(AND('Mapa final'!$Y$85="Muy Alta",'Mapa final'!$AA$85="Moderado"),CONCATENATE("R10C",'Mapa final'!$O$85),"")</f>
        <v/>
      </c>
      <c r="Y15" s="59" t="str">
        <f>IF(AND('Mapa final'!$Y$86="Muy Alta",'Mapa final'!$AA$86="Moderado"),CONCATENATE("R10C",'Mapa final'!$O$86),"")</f>
        <v/>
      </c>
      <c r="Z15" s="59" t="str">
        <f>IF(AND('Mapa final'!$Y$87="Muy Alta",'Mapa final'!$AA$87="Moderado"),CONCATENATE("R10C",'Mapa final'!$O$87),"")</f>
        <v/>
      </c>
      <c r="AA15" s="60" t="str">
        <f>IF(AND('Mapa final'!$Y$88="Muy Alta",'Mapa final'!$AA$88="Moderado"),CONCATENATE("R10C",'Mapa final'!$O$88),"")</f>
        <v/>
      </c>
      <c r="AB15" s="52" t="str">
        <f>IF(AND('Mapa final'!$Y$83="Muy Alta",'Mapa final'!$AA$83="Mayor"),CONCATENATE("R10C",'Mapa final'!$O$83),"")</f>
        <v/>
      </c>
      <c r="AC15" s="53" t="str">
        <f>IF(AND('Mapa final'!$Y$84="Muy Alta",'Mapa final'!$AA$84="Mayor"),CONCATENATE("R10C",'Mapa final'!$O$84),"")</f>
        <v/>
      </c>
      <c r="AD15" s="53" t="str">
        <f>IF(AND('Mapa final'!$Y$85="Muy Alta",'Mapa final'!$AA$85="Mayor"),CONCATENATE("R10C",'Mapa final'!$O$85),"")</f>
        <v/>
      </c>
      <c r="AE15" s="53" t="str">
        <f>IF(AND('Mapa final'!$Y$86="Muy Alta",'Mapa final'!$AA$86="Mayor"),CONCATENATE("R10C",'Mapa final'!$O$86),"")</f>
        <v/>
      </c>
      <c r="AF15" s="53" t="str">
        <f>IF(AND('Mapa final'!$Y$87="Muy Alta",'Mapa final'!$AA$87="Mayor"),CONCATENATE("R10C",'Mapa final'!$O$87),"")</f>
        <v/>
      </c>
      <c r="AG15" s="54" t="str">
        <f>IF(AND('Mapa final'!$Y$88="Muy Alta",'Mapa final'!$AA$88="Mayor"),CONCATENATE("R10C",'Mapa final'!$O$88),"")</f>
        <v/>
      </c>
      <c r="AH15" s="61" t="str">
        <f>IF(AND('Mapa final'!$Y$83="Muy Alta",'Mapa final'!$AA$83="Catastrófico"),CONCATENATE("R10C",'Mapa final'!$O$83),"")</f>
        <v/>
      </c>
      <c r="AI15" s="62" t="str">
        <f>IF(AND('Mapa final'!$Y$84="Muy Alta",'Mapa final'!$AA$84="Catastrófico"),CONCATENATE("R10C",'Mapa final'!$O$84),"")</f>
        <v/>
      </c>
      <c r="AJ15" s="62" t="str">
        <f>IF(AND('Mapa final'!$Y$85="Muy Alta",'Mapa final'!$AA$85="Catastrófico"),CONCATENATE("R10C",'Mapa final'!$O$85),"")</f>
        <v/>
      </c>
      <c r="AK15" s="62" t="str">
        <f>IF(AND('Mapa final'!$Y$86="Muy Alta",'Mapa final'!$AA$86="Catastrófico"),CONCATENATE("R10C",'Mapa final'!$O$86),"")</f>
        <v/>
      </c>
      <c r="AL15" s="62" t="str">
        <f>IF(AND('Mapa final'!$Y$87="Muy Alta",'Mapa final'!$AA$87="Catastrófico"),CONCATENATE("R10C",'Mapa final'!$O$87),"")</f>
        <v/>
      </c>
      <c r="AM15" s="63" t="str">
        <f>IF(AND('Mapa final'!$Y$88="Muy Alta",'Mapa final'!$AA$88="Catastrófico"),CONCATENATE("R10C",'Mapa final'!$O$88),"")</f>
        <v/>
      </c>
      <c r="AN15" s="83"/>
      <c r="AO15" s="479"/>
      <c r="AP15" s="480"/>
      <c r="AQ15" s="480"/>
      <c r="AR15" s="480"/>
      <c r="AS15" s="480"/>
      <c r="AT15" s="481"/>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71"/>
      <c r="C16" s="371"/>
      <c r="D16" s="372"/>
      <c r="E16" s="466" t="s">
        <v>94</v>
      </c>
      <c r="F16" s="467"/>
      <c r="G16" s="467"/>
      <c r="H16" s="467"/>
      <c r="I16" s="467"/>
      <c r="J16" s="64" t="str">
        <f>IF(AND('Mapa final'!$Y$29="Alta",'Mapa final'!$AA$29="Leve"),CONCATENATE("R1C",'Mapa final'!$O$29),"")</f>
        <v/>
      </c>
      <c r="K16" s="65" t="str">
        <f>IF(AND('Mapa final'!$Y$30="Alta",'Mapa final'!$AA$30="Leve"),CONCATENATE("R1C",'Mapa final'!$O$30),"")</f>
        <v/>
      </c>
      <c r="L16" s="65" t="str">
        <f>IF(AND('Mapa final'!$Y$31="Alta",'Mapa final'!$AA$31="Leve"),CONCATENATE("R1C",'Mapa final'!$O$31),"")</f>
        <v/>
      </c>
      <c r="M16" s="65" t="str">
        <f>IF(AND('Mapa final'!$Y$32="Alta",'Mapa final'!$AA$32="Leve"),CONCATENATE("R1C",'Mapa final'!$O$32),"")</f>
        <v/>
      </c>
      <c r="N16" s="65" t="str">
        <f>IF(AND('Mapa final'!$Y$33="Alta",'Mapa final'!$AA$33="Leve"),CONCATENATE("R1C",'Mapa final'!$O$33),"")</f>
        <v/>
      </c>
      <c r="O16" s="66" t="str">
        <f>IF(AND('Mapa final'!$Y$34="Alta",'Mapa final'!$AA$34="Leve"),CONCATENATE("R1C",'Mapa final'!$O$34),"")</f>
        <v/>
      </c>
      <c r="P16" s="64" t="str">
        <f>IF(AND('Mapa final'!$Y$29="Alta",'Mapa final'!$AA$29="Menor"),CONCATENATE("R1C",'Mapa final'!$O$29),"")</f>
        <v/>
      </c>
      <c r="Q16" s="65" t="str">
        <f>IF(AND('Mapa final'!$Y$30="Alta",'Mapa final'!$AA$30="Menor"),CONCATENATE("R1C",'Mapa final'!$O$30),"")</f>
        <v/>
      </c>
      <c r="R16" s="65" t="str">
        <f>IF(AND('Mapa final'!$Y$31="Alta",'Mapa final'!$AA$31="Menor"),CONCATENATE("R1C",'Mapa final'!$O$31),"")</f>
        <v/>
      </c>
      <c r="S16" s="65" t="str">
        <f>IF(AND('Mapa final'!$Y$32="Alta",'Mapa final'!$AA$32="Menor"),CONCATENATE("R1C",'Mapa final'!$O$32),"")</f>
        <v/>
      </c>
      <c r="T16" s="65" t="str">
        <f>IF(AND('Mapa final'!$Y$33="Alta",'Mapa final'!$AA$33="Menor"),CONCATENATE("R1C",'Mapa final'!$O$33),"")</f>
        <v/>
      </c>
      <c r="U16" s="66" t="str">
        <f>IF(AND('Mapa final'!$Y$34="Alta",'Mapa final'!$AA$34="Menor"),CONCATENATE("R1C",'Mapa final'!$O$34),"")</f>
        <v/>
      </c>
      <c r="V16" s="46" t="str">
        <f>IF(AND('Mapa final'!$Y$29="Alta",'Mapa final'!$AA$29="Moderado"),CONCATENATE("R1C",'Mapa final'!$O$29),"")</f>
        <v/>
      </c>
      <c r="W16" s="47" t="str">
        <f>IF(AND('Mapa final'!$Y$30="Alta",'Mapa final'!$AA$30="Moderado"),CONCATENATE("R1C",'Mapa final'!$O$30),"")</f>
        <v/>
      </c>
      <c r="X16" s="47" t="str">
        <f>IF(AND('Mapa final'!$Y$31="Alta",'Mapa final'!$AA$31="Moderado"),CONCATENATE("R1C",'Mapa final'!$O$31),"")</f>
        <v/>
      </c>
      <c r="Y16" s="47" t="str">
        <f>IF(AND('Mapa final'!$Y$32="Alta",'Mapa final'!$AA$32="Moderado"),CONCATENATE("R1C",'Mapa final'!$O$32),"")</f>
        <v/>
      </c>
      <c r="Z16" s="47" t="str">
        <f>IF(AND('Mapa final'!$Y$33="Alta",'Mapa final'!$AA$33="Moderado"),CONCATENATE("R1C",'Mapa final'!$O$33),"")</f>
        <v/>
      </c>
      <c r="AA16" s="48" t="str">
        <f>IF(AND('Mapa final'!$Y$34="Alta",'Mapa final'!$AA$34="Moderado"),CONCATENATE("R1C",'Mapa final'!$O$34),"")</f>
        <v/>
      </c>
      <c r="AB16" s="46" t="str">
        <f>IF(AND('Mapa final'!$Y$29="Alta",'Mapa final'!$AA$29="Mayor"),CONCATENATE("R1C",'Mapa final'!$O$29),"")</f>
        <v/>
      </c>
      <c r="AC16" s="47" t="str">
        <f>IF(AND('Mapa final'!$Y$30="Alta",'Mapa final'!$AA$30="Mayor"),CONCATENATE("R1C",'Mapa final'!$O$30),"")</f>
        <v/>
      </c>
      <c r="AD16" s="47" t="str">
        <f>IF(AND('Mapa final'!$Y$31="Alta",'Mapa final'!$AA$31="Mayor"),CONCATENATE("R1C",'Mapa final'!$O$31),"")</f>
        <v/>
      </c>
      <c r="AE16" s="47" t="str">
        <f>IF(AND('Mapa final'!$Y$32="Alta",'Mapa final'!$AA$32="Mayor"),CONCATENATE("R1C",'Mapa final'!$O$32),"")</f>
        <v/>
      </c>
      <c r="AF16" s="47" t="str">
        <f>IF(AND('Mapa final'!$Y$33="Alta",'Mapa final'!$AA$33="Mayor"),CONCATENATE("R1C",'Mapa final'!$O$33),"")</f>
        <v/>
      </c>
      <c r="AG16" s="48" t="str">
        <f>IF(AND('Mapa final'!$Y$34="Alta",'Mapa final'!$AA$34="Mayor"),CONCATENATE("R1C",'Mapa final'!$O$34),"")</f>
        <v/>
      </c>
      <c r="AH16" s="49" t="str">
        <f>IF(AND('Mapa final'!$Y$29="Alta",'Mapa final'!$AA$29="Catastrófico"),CONCATENATE("R1C",'Mapa final'!$O$29),"")</f>
        <v/>
      </c>
      <c r="AI16" s="50" t="str">
        <f>IF(AND('Mapa final'!$Y$30="Alta",'Mapa final'!$AA$30="Catastrófico"),CONCATENATE("R1C",'Mapa final'!$O$30),"")</f>
        <v/>
      </c>
      <c r="AJ16" s="50" t="str">
        <f>IF(AND('Mapa final'!$Y$31="Alta",'Mapa final'!$AA$31="Catastrófico"),CONCATENATE("R1C",'Mapa final'!$O$31),"")</f>
        <v/>
      </c>
      <c r="AK16" s="50" t="str">
        <f>IF(AND('Mapa final'!$Y$32="Alta",'Mapa final'!$AA$32="Catastrófico"),CONCATENATE("R1C",'Mapa final'!$O$32),"")</f>
        <v/>
      </c>
      <c r="AL16" s="50" t="str">
        <f>IF(AND('Mapa final'!$Y$33="Alta",'Mapa final'!$AA$33="Catastrófico"),CONCATENATE("R1C",'Mapa final'!$O$33),"")</f>
        <v/>
      </c>
      <c r="AM16" s="51" t="str">
        <f>IF(AND('Mapa final'!$Y$34="Alta",'Mapa final'!$AA$34="Catastrófico"),CONCATENATE("R1C",'Mapa final'!$O$34),"")</f>
        <v/>
      </c>
      <c r="AN16" s="83"/>
      <c r="AO16" s="457" t="s">
        <v>95</v>
      </c>
      <c r="AP16" s="458"/>
      <c r="AQ16" s="458"/>
      <c r="AR16" s="458"/>
      <c r="AS16" s="458"/>
      <c r="AT16" s="4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71"/>
      <c r="C17" s="371"/>
      <c r="D17" s="372"/>
      <c r="E17" s="468"/>
      <c r="F17" s="469"/>
      <c r="G17" s="469"/>
      <c r="H17" s="469"/>
      <c r="I17" s="469"/>
      <c r="J17" s="67" t="str">
        <f>IF(AND('Mapa final'!$Y$35="Alta",'Mapa final'!$AA$35="Leve"),CONCATENATE("R2C",'Mapa final'!$O$35),"")</f>
        <v/>
      </c>
      <c r="K17" s="68" t="str">
        <f>IF(AND('Mapa final'!$Y$36="Alta",'Mapa final'!$AA$36="Leve"),CONCATENATE("R2C",'Mapa final'!$O$36),"")</f>
        <v/>
      </c>
      <c r="L17" s="68" t="str">
        <f>IF(AND('Mapa final'!$Y$37="Alta",'Mapa final'!$AA$37="Leve"),CONCATENATE("R2C",'Mapa final'!$O$37),"")</f>
        <v/>
      </c>
      <c r="M17" s="68" t="str">
        <f>IF(AND('Mapa final'!$Y$38="Alta",'Mapa final'!$AA$38="Leve"),CONCATENATE("R2C",'Mapa final'!$O$38),"")</f>
        <v/>
      </c>
      <c r="N17" s="68" t="str">
        <f>IF(AND('Mapa final'!$Y$39="Alta",'Mapa final'!$AA$39="Leve"),CONCATENATE("R2C",'Mapa final'!$O$39),"")</f>
        <v/>
      </c>
      <c r="O17" s="69" t="str">
        <f>IF(AND('Mapa final'!$Y$40="Alta",'Mapa final'!$AA$40="Leve"),CONCATENATE("R2C",'Mapa final'!$O$40),"")</f>
        <v/>
      </c>
      <c r="P17" s="67" t="str">
        <f>IF(AND('Mapa final'!$Y$35="Alta",'Mapa final'!$AA$35="Menor"),CONCATENATE("R2C",'Mapa final'!$O$35),"")</f>
        <v/>
      </c>
      <c r="Q17" s="68" t="str">
        <f>IF(AND('Mapa final'!$Y$36="Alta",'Mapa final'!$AA$36="Menor"),CONCATENATE("R2C",'Mapa final'!$O$36),"")</f>
        <v/>
      </c>
      <c r="R17" s="68" t="str">
        <f>IF(AND('Mapa final'!$Y$37="Alta",'Mapa final'!$AA$37="Menor"),CONCATENATE("R2C",'Mapa final'!$O$37),"")</f>
        <v/>
      </c>
      <c r="S17" s="68" t="str">
        <f>IF(AND('Mapa final'!$Y$38="Alta",'Mapa final'!$AA$38="Menor"),CONCATENATE("R2C",'Mapa final'!$O$38),"")</f>
        <v/>
      </c>
      <c r="T17" s="68" t="str">
        <f>IF(AND('Mapa final'!$Y$39="Alta",'Mapa final'!$AA$39="Menor"),CONCATENATE("R2C",'Mapa final'!$O$39),"")</f>
        <v/>
      </c>
      <c r="U17" s="69" t="str">
        <f>IF(AND('Mapa final'!$Y$40="Alta",'Mapa final'!$AA$40="Menor"),CONCATENATE("R2C",'Mapa final'!$O$40),"")</f>
        <v/>
      </c>
      <c r="V17" s="52" t="str">
        <f>IF(AND('Mapa final'!$Y$35="Alta",'Mapa final'!$AA$35="Moderado"),CONCATENATE("R2C",'Mapa final'!$O$35),"")</f>
        <v/>
      </c>
      <c r="W17" s="53" t="str">
        <f>IF(AND('Mapa final'!$Y$36="Alta",'Mapa final'!$AA$36="Moderado"),CONCATENATE("R2C",'Mapa final'!$O$36),"")</f>
        <v/>
      </c>
      <c r="X17" s="53" t="str">
        <f>IF(AND('Mapa final'!$Y$37="Alta",'Mapa final'!$AA$37="Moderado"),CONCATENATE("R2C",'Mapa final'!$O$37),"")</f>
        <v/>
      </c>
      <c r="Y17" s="53" t="str">
        <f>IF(AND('Mapa final'!$Y$38="Alta",'Mapa final'!$AA$38="Moderado"),CONCATENATE("R2C",'Mapa final'!$O$38),"")</f>
        <v/>
      </c>
      <c r="Z17" s="53" t="str">
        <f>IF(AND('Mapa final'!$Y$39="Alta",'Mapa final'!$AA$39="Moderado"),CONCATENATE("R2C",'Mapa final'!$O$39),"")</f>
        <v/>
      </c>
      <c r="AA17" s="54" t="str">
        <f>IF(AND('Mapa final'!$Y$40="Alta",'Mapa final'!$AA$40="Moderado"),CONCATENATE("R2C",'Mapa final'!$O$40),"")</f>
        <v/>
      </c>
      <c r="AB17" s="52" t="str">
        <f>IF(AND('Mapa final'!$Y$35="Alta",'Mapa final'!$AA$35="Mayor"),CONCATENATE("R2C",'Mapa final'!$O$35),"")</f>
        <v/>
      </c>
      <c r="AC17" s="53" t="str">
        <f>IF(AND('Mapa final'!$Y$36="Alta",'Mapa final'!$AA$36="Mayor"),CONCATENATE("R2C",'Mapa final'!$O$36),"")</f>
        <v/>
      </c>
      <c r="AD17" s="53" t="str">
        <f>IF(AND('Mapa final'!$Y$37="Alta",'Mapa final'!$AA$37="Mayor"),CONCATENATE("R2C",'Mapa final'!$O$37),"")</f>
        <v/>
      </c>
      <c r="AE17" s="53" t="str">
        <f>IF(AND('Mapa final'!$Y$38="Alta",'Mapa final'!$AA$38="Mayor"),CONCATENATE("R2C",'Mapa final'!$O$38),"")</f>
        <v/>
      </c>
      <c r="AF17" s="53" t="str">
        <f>IF(AND('Mapa final'!$Y$39="Alta",'Mapa final'!$AA$39="Mayor"),CONCATENATE("R2C",'Mapa final'!$O$39),"")</f>
        <v/>
      </c>
      <c r="AG17" s="54" t="str">
        <f>IF(AND('Mapa final'!$Y$40="Alta",'Mapa final'!$AA$40="Mayor"),CONCATENATE("R2C",'Mapa final'!$O$40),"")</f>
        <v/>
      </c>
      <c r="AH17" s="55" t="str">
        <f>IF(AND('Mapa final'!$Y$35="Alta",'Mapa final'!$AA$35="Catastrófico"),CONCATENATE("R2C",'Mapa final'!$O$35),"")</f>
        <v/>
      </c>
      <c r="AI17" s="56" t="str">
        <f>IF(AND('Mapa final'!$Y$36="Alta",'Mapa final'!$AA$36="Catastrófico"),CONCATENATE("R2C",'Mapa final'!$O$36),"")</f>
        <v/>
      </c>
      <c r="AJ17" s="56" t="str">
        <f>IF(AND('Mapa final'!$Y$37="Alta",'Mapa final'!$AA$37="Catastrófico"),CONCATENATE("R2C",'Mapa final'!$O$37),"")</f>
        <v/>
      </c>
      <c r="AK17" s="56" t="str">
        <f>IF(AND('Mapa final'!$Y$38="Alta",'Mapa final'!$AA$38="Catastrófico"),CONCATENATE("R2C",'Mapa final'!$O$38),"")</f>
        <v/>
      </c>
      <c r="AL17" s="56" t="str">
        <f>IF(AND('Mapa final'!$Y$39="Alta",'Mapa final'!$AA$39="Catastrófico"),CONCATENATE("R2C",'Mapa final'!$O$39),"")</f>
        <v/>
      </c>
      <c r="AM17" s="57" t="str">
        <f>IF(AND('Mapa final'!$Y$40="Alta",'Mapa final'!$AA$40="Catastrófico"),CONCATENATE("R2C",'Mapa final'!$O$40),"")</f>
        <v/>
      </c>
      <c r="AN17" s="83"/>
      <c r="AO17" s="460"/>
      <c r="AP17" s="461"/>
      <c r="AQ17" s="461"/>
      <c r="AR17" s="461"/>
      <c r="AS17" s="461"/>
      <c r="AT17" s="46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71"/>
      <c r="C18" s="371"/>
      <c r="D18" s="372"/>
      <c r="E18" s="470"/>
      <c r="F18" s="469"/>
      <c r="G18" s="469"/>
      <c r="H18" s="469"/>
      <c r="I18" s="469"/>
      <c r="J18" s="67" t="str">
        <f>IF(AND('Mapa final'!$Y$41="Alta",'Mapa final'!$AA$41="Leve"),CONCATENATE("R3C",'Mapa final'!$O$41),"")</f>
        <v/>
      </c>
      <c r="K18" s="68" t="str">
        <f>IF(AND('Mapa final'!$Y$42="Alta",'Mapa final'!$AA$42="Leve"),CONCATENATE("R3C",'Mapa final'!$O$42),"")</f>
        <v/>
      </c>
      <c r="L18" s="68" t="str">
        <f>IF(AND('Mapa final'!$Y$43="Alta",'Mapa final'!$AA$43="Leve"),CONCATENATE("R3C",'Mapa final'!$O$43),"")</f>
        <v/>
      </c>
      <c r="M18" s="68" t="str">
        <f>IF(AND('Mapa final'!$Y$44="Alta",'Mapa final'!$AA$44="Leve"),CONCATENATE("R3C",'Mapa final'!$O$44),"")</f>
        <v/>
      </c>
      <c r="N18" s="68" t="str">
        <f>IF(AND('Mapa final'!$Y$45="Alta",'Mapa final'!$AA$45="Leve"),CONCATENATE("R3C",'Mapa final'!$O$45),"")</f>
        <v/>
      </c>
      <c r="O18" s="69" t="str">
        <f>IF(AND('Mapa final'!$Y$46="Alta",'Mapa final'!$AA$46="Leve"),CONCATENATE("R3C",'Mapa final'!$O$46),"")</f>
        <v/>
      </c>
      <c r="P18" s="67" t="str">
        <f>IF(AND('Mapa final'!$Y$41="Alta",'Mapa final'!$AA$41="Menor"),CONCATENATE("R3C",'Mapa final'!$O$41),"")</f>
        <v/>
      </c>
      <c r="Q18" s="68" t="str">
        <f>IF(AND('Mapa final'!$Y$42="Alta",'Mapa final'!$AA$42="Menor"),CONCATENATE("R3C",'Mapa final'!$O$42),"")</f>
        <v/>
      </c>
      <c r="R18" s="68" t="str">
        <f>IF(AND('Mapa final'!$Y$43="Alta",'Mapa final'!$AA$43="Menor"),CONCATENATE("R3C",'Mapa final'!$O$43),"")</f>
        <v/>
      </c>
      <c r="S18" s="68" t="str">
        <f>IF(AND('Mapa final'!$Y$44="Alta",'Mapa final'!$AA$44="Menor"),CONCATENATE("R3C",'Mapa final'!$O$44),"")</f>
        <v/>
      </c>
      <c r="T18" s="68" t="str">
        <f>IF(AND('Mapa final'!$Y$45="Alta",'Mapa final'!$AA$45="Menor"),CONCATENATE("R3C",'Mapa final'!$O$45),"")</f>
        <v/>
      </c>
      <c r="U18" s="69" t="str">
        <f>IF(AND('Mapa final'!$Y$46="Alta",'Mapa final'!$AA$46="Menor"),CONCATENATE("R3C",'Mapa final'!$O$46),"")</f>
        <v/>
      </c>
      <c r="V18" s="52" t="str">
        <f>IF(AND('Mapa final'!$Y$41="Alta",'Mapa final'!$AA$41="Moderado"),CONCATENATE("R3C",'Mapa final'!$O$41),"")</f>
        <v/>
      </c>
      <c r="W18" s="53" t="str">
        <f>IF(AND('Mapa final'!$Y$42="Alta",'Mapa final'!$AA$42="Moderado"),CONCATENATE("R3C",'Mapa final'!$O$42),"")</f>
        <v/>
      </c>
      <c r="X18" s="53" t="str">
        <f>IF(AND('Mapa final'!$Y$43="Alta",'Mapa final'!$AA$43="Moderado"),CONCATENATE("R3C",'Mapa final'!$O$43),"")</f>
        <v/>
      </c>
      <c r="Y18" s="53" t="str">
        <f>IF(AND('Mapa final'!$Y$44="Alta",'Mapa final'!$AA$44="Moderado"),CONCATENATE("R3C",'Mapa final'!$O$44),"")</f>
        <v/>
      </c>
      <c r="Z18" s="53" t="str">
        <f>IF(AND('Mapa final'!$Y$45="Alta",'Mapa final'!$AA$45="Moderado"),CONCATENATE("R3C",'Mapa final'!$O$45),"")</f>
        <v/>
      </c>
      <c r="AA18" s="54" t="str">
        <f>IF(AND('Mapa final'!$Y$46="Alta",'Mapa final'!$AA$46="Moderado"),CONCATENATE("R3C",'Mapa final'!$O$46),"")</f>
        <v/>
      </c>
      <c r="AB18" s="52" t="str">
        <f>IF(AND('Mapa final'!$Y$41="Alta",'Mapa final'!$AA$41="Mayor"),CONCATENATE("R3C",'Mapa final'!$O$41),"")</f>
        <v/>
      </c>
      <c r="AC18" s="53" t="str">
        <f>IF(AND('Mapa final'!$Y$42="Alta",'Mapa final'!$AA$42="Mayor"),CONCATENATE("R3C",'Mapa final'!$O$42),"")</f>
        <v/>
      </c>
      <c r="AD18" s="53" t="str">
        <f>IF(AND('Mapa final'!$Y$43="Alta",'Mapa final'!$AA$43="Mayor"),CONCATENATE("R3C",'Mapa final'!$O$43),"")</f>
        <v/>
      </c>
      <c r="AE18" s="53" t="str">
        <f>IF(AND('Mapa final'!$Y$44="Alta",'Mapa final'!$AA$44="Mayor"),CONCATENATE("R3C",'Mapa final'!$O$44),"")</f>
        <v/>
      </c>
      <c r="AF18" s="53" t="str">
        <f>IF(AND('Mapa final'!$Y$45="Alta",'Mapa final'!$AA$45="Mayor"),CONCATENATE("R3C",'Mapa final'!$O$45),"")</f>
        <v/>
      </c>
      <c r="AG18" s="54" t="str">
        <f>IF(AND('Mapa final'!$Y$46="Alta",'Mapa final'!$AA$46="Mayor"),CONCATENATE("R3C",'Mapa final'!$O$46),"")</f>
        <v/>
      </c>
      <c r="AH18" s="55" t="str">
        <f>IF(AND('Mapa final'!$Y$41="Alta",'Mapa final'!$AA$41="Catastrófico"),CONCATENATE("R3C",'Mapa final'!$O$41),"")</f>
        <v/>
      </c>
      <c r="AI18" s="56" t="str">
        <f>IF(AND('Mapa final'!$Y$42="Alta",'Mapa final'!$AA$42="Catastrófico"),CONCATENATE("R3C",'Mapa final'!$O$42),"")</f>
        <v/>
      </c>
      <c r="AJ18" s="56" t="str">
        <f>IF(AND('Mapa final'!$Y$43="Alta",'Mapa final'!$AA$43="Catastrófico"),CONCATENATE("R3C",'Mapa final'!$O$43),"")</f>
        <v/>
      </c>
      <c r="AK18" s="56" t="str">
        <f>IF(AND('Mapa final'!$Y$44="Alta",'Mapa final'!$AA$44="Catastrófico"),CONCATENATE("R3C",'Mapa final'!$O$44),"")</f>
        <v/>
      </c>
      <c r="AL18" s="56" t="str">
        <f>IF(AND('Mapa final'!$Y$45="Alta",'Mapa final'!$AA$45="Catastrófico"),CONCATENATE("R3C",'Mapa final'!$O$45),"")</f>
        <v/>
      </c>
      <c r="AM18" s="57" t="str">
        <f>IF(AND('Mapa final'!$Y$46="Alta",'Mapa final'!$AA$46="Catastrófico"),CONCATENATE("R3C",'Mapa final'!$O$46),"")</f>
        <v/>
      </c>
      <c r="AN18" s="83"/>
      <c r="AO18" s="460"/>
      <c r="AP18" s="461"/>
      <c r="AQ18" s="461"/>
      <c r="AR18" s="461"/>
      <c r="AS18" s="461"/>
      <c r="AT18" s="46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71"/>
      <c r="C19" s="371"/>
      <c r="D19" s="372"/>
      <c r="E19" s="470"/>
      <c r="F19" s="469"/>
      <c r="G19" s="469"/>
      <c r="H19" s="469"/>
      <c r="I19" s="469"/>
      <c r="J19" s="67" t="str">
        <f>IF(AND('Mapa final'!$Y$47="Alta",'Mapa final'!$AA$47="Leve"),CONCATENATE("R4C",'Mapa final'!$O$47),"")</f>
        <v/>
      </c>
      <c r="K19" s="68" t="str">
        <f>IF(AND('Mapa final'!$Y$48="Alta",'Mapa final'!$AA$48="Leve"),CONCATENATE("R4C",'Mapa final'!$O$48),"")</f>
        <v/>
      </c>
      <c r="L19" s="68" t="str">
        <f>IF(AND('Mapa final'!$Y$49="Alta",'Mapa final'!$AA$49="Leve"),CONCATENATE("R4C",'Mapa final'!$O$49),"")</f>
        <v/>
      </c>
      <c r="M19" s="68" t="str">
        <f>IF(AND('Mapa final'!$Y$50="Alta",'Mapa final'!$AA$50="Leve"),CONCATENATE("R4C",'Mapa final'!$O$50),"")</f>
        <v/>
      </c>
      <c r="N19" s="68" t="str">
        <f>IF(AND('Mapa final'!$Y$51="Alta",'Mapa final'!$AA$51="Leve"),CONCATENATE("R4C",'Mapa final'!$O$51),"")</f>
        <v/>
      </c>
      <c r="O19" s="69" t="str">
        <f>IF(AND('Mapa final'!$Y$52="Alta",'Mapa final'!$AA$52="Leve"),CONCATENATE("R4C",'Mapa final'!$O$52),"")</f>
        <v/>
      </c>
      <c r="P19" s="67" t="str">
        <f>IF(AND('Mapa final'!$Y$47="Alta",'Mapa final'!$AA$47="Menor"),CONCATENATE("R4C",'Mapa final'!$O$47),"")</f>
        <v/>
      </c>
      <c r="Q19" s="68" t="str">
        <f>IF(AND('Mapa final'!$Y$48="Alta",'Mapa final'!$AA$48="Menor"),CONCATENATE("R4C",'Mapa final'!$O$48),"")</f>
        <v/>
      </c>
      <c r="R19" s="68" t="str">
        <f>IF(AND('Mapa final'!$Y$49="Alta",'Mapa final'!$AA$49="Menor"),CONCATENATE("R4C",'Mapa final'!$O$49),"")</f>
        <v/>
      </c>
      <c r="S19" s="68" t="str">
        <f>IF(AND('Mapa final'!$Y$50="Alta",'Mapa final'!$AA$50="Menor"),CONCATENATE("R4C",'Mapa final'!$O$50),"")</f>
        <v/>
      </c>
      <c r="T19" s="68" t="str">
        <f>IF(AND('Mapa final'!$Y$51="Alta",'Mapa final'!$AA$51="Menor"),CONCATENATE("R4C",'Mapa final'!$O$51),"")</f>
        <v/>
      </c>
      <c r="U19" s="69" t="str">
        <f>IF(AND('Mapa final'!$Y$52="Alta",'Mapa final'!$AA$52="Menor"),CONCATENATE("R4C",'Mapa final'!$O$52),"")</f>
        <v/>
      </c>
      <c r="V19" s="52" t="str">
        <f>IF(AND('Mapa final'!$Y$47="Alta",'Mapa final'!$AA$47="Moderado"),CONCATENATE("R4C",'Mapa final'!$O$47),"")</f>
        <v/>
      </c>
      <c r="W19" s="53" t="str">
        <f>IF(AND('Mapa final'!$Y$48="Alta",'Mapa final'!$AA$48="Moderado"),CONCATENATE("R4C",'Mapa final'!$O$48),"")</f>
        <v/>
      </c>
      <c r="X19" s="53" t="str">
        <f>IF(AND('Mapa final'!$Y$49="Alta",'Mapa final'!$AA$49="Moderado"),CONCATENATE("R4C",'Mapa final'!$O$49),"")</f>
        <v/>
      </c>
      <c r="Y19" s="53" t="str">
        <f>IF(AND('Mapa final'!$Y$50="Alta",'Mapa final'!$AA$50="Moderado"),CONCATENATE("R4C",'Mapa final'!$O$50),"")</f>
        <v/>
      </c>
      <c r="Z19" s="53" t="str">
        <f>IF(AND('Mapa final'!$Y$51="Alta",'Mapa final'!$AA$51="Moderado"),CONCATENATE("R4C",'Mapa final'!$O$51),"")</f>
        <v/>
      </c>
      <c r="AA19" s="54" t="str">
        <f>IF(AND('Mapa final'!$Y$52="Alta",'Mapa final'!$AA$52="Moderado"),CONCATENATE("R4C",'Mapa final'!$O$52),"")</f>
        <v/>
      </c>
      <c r="AB19" s="52" t="str">
        <f>IF(AND('Mapa final'!$Y$47="Alta",'Mapa final'!$AA$47="Mayor"),CONCATENATE("R4C",'Mapa final'!$O$47),"")</f>
        <v/>
      </c>
      <c r="AC19" s="53" t="str">
        <f>IF(AND('Mapa final'!$Y$48="Alta",'Mapa final'!$AA$48="Mayor"),CONCATENATE("R4C",'Mapa final'!$O$48),"")</f>
        <v/>
      </c>
      <c r="AD19" s="53" t="str">
        <f>IF(AND('Mapa final'!$Y$49="Alta",'Mapa final'!$AA$49="Mayor"),CONCATENATE("R4C",'Mapa final'!$O$49),"")</f>
        <v/>
      </c>
      <c r="AE19" s="53" t="str">
        <f>IF(AND('Mapa final'!$Y$50="Alta",'Mapa final'!$AA$50="Mayor"),CONCATENATE("R4C",'Mapa final'!$O$50),"")</f>
        <v/>
      </c>
      <c r="AF19" s="53" t="str">
        <f>IF(AND('Mapa final'!$Y$51="Alta",'Mapa final'!$AA$51="Mayor"),CONCATENATE("R4C",'Mapa final'!$O$51),"")</f>
        <v/>
      </c>
      <c r="AG19" s="54" t="str">
        <f>IF(AND('Mapa final'!$Y$52="Alta",'Mapa final'!$AA$52="Mayor"),CONCATENATE("R4C",'Mapa final'!$O$52),"")</f>
        <v/>
      </c>
      <c r="AH19" s="55" t="str">
        <f>IF(AND('Mapa final'!$Y$47="Alta",'Mapa final'!$AA$47="Catastrófico"),CONCATENATE("R4C",'Mapa final'!$O$47),"")</f>
        <v/>
      </c>
      <c r="AI19" s="56" t="str">
        <f>IF(AND('Mapa final'!$Y$48="Alta",'Mapa final'!$AA$48="Catastrófico"),CONCATENATE("R4C",'Mapa final'!$O$48),"")</f>
        <v/>
      </c>
      <c r="AJ19" s="56" t="str">
        <f>IF(AND('Mapa final'!$Y$49="Alta",'Mapa final'!$AA$49="Catastrófico"),CONCATENATE("R4C",'Mapa final'!$O$49),"")</f>
        <v/>
      </c>
      <c r="AK19" s="56" t="str">
        <f>IF(AND('Mapa final'!$Y$50="Alta",'Mapa final'!$AA$50="Catastrófico"),CONCATENATE("R4C",'Mapa final'!$O$50),"")</f>
        <v/>
      </c>
      <c r="AL19" s="56" t="str">
        <f>IF(AND('Mapa final'!$Y$51="Alta",'Mapa final'!$AA$51="Catastrófico"),CONCATENATE("R4C",'Mapa final'!$O$51),"")</f>
        <v/>
      </c>
      <c r="AM19" s="57" t="str">
        <f>IF(AND('Mapa final'!$Y$52="Alta",'Mapa final'!$AA$52="Catastrófico"),CONCATENATE("R4C",'Mapa final'!$O$52),"")</f>
        <v/>
      </c>
      <c r="AN19" s="83"/>
      <c r="AO19" s="460"/>
      <c r="AP19" s="461"/>
      <c r="AQ19" s="461"/>
      <c r="AR19" s="461"/>
      <c r="AS19" s="461"/>
      <c r="AT19" s="46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71"/>
      <c r="C20" s="371"/>
      <c r="D20" s="372"/>
      <c r="E20" s="470"/>
      <c r="F20" s="469"/>
      <c r="G20" s="469"/>
      <c r="H20" s="469"/>
      <c r="I20" s="469"/>
      <c r="J20" s="67" t="str">
        <f>IF(AND('Mapa final'!$Y$53="Alta",'Mapa final'!$AA$53="Leve"),CONCATENATE("R5C",'Mapa final'!$O$53),"")</f>
        <v/>
      </c>
      <c r="K20" s="68" t="str">
        <f>IF(AND('Mapa final'!$Y$54="Alta",'Mapa final'!$AA$54="Leve"),CONCATENATE("R5C",'Mapa final'!$O$54),"")</f>
        <v/>
      </c>
      <c r="L20" s="68" t="str">
        <f>IF(AND('Mapa final'!$Y$55="Alta",'Mapa final'!$AA$55="Leve"),CONCATENATE("R5C",'Mapa final'!$O$55),"")</f>
        <v/>
      </c>
      <c r="M20" s="68" t="str">
        <f>IF(AND('Mapa final'!$Y$56="Alta",'Mapa final'!$AA$56="Leve"),CONCATENATE("R5C",'Mapa final'!$O$56),"")</f>
        <v/>
      </c>
      <c r="N20" s="68" t="str">
        <f>IF(AND('Mapa final'!$Y$57="Alta",'Mapa final'!$AA$57="Leve"),CONCATENATE("R5C",'Mapa final'!$O$57),"")</f>
        <v/>
      </c>
      <c r="O20" s="69" t="str">
        <f>IF(AND('Mapa final'!$Y$58="Alta",'Mapa final'!$AA$58="Leve"),CONCATENATE("R5C",'Mapa final'!$O$58),"")</f>
        <v/>
      </c>
      <c r="P20" s="67" t="str">
        <f>IF(AND('Mapa final'!$Y$53="Alta",'Mapa final'!$AA$53="Menor"),CONCATENATE("R5C",'Mapa final'!$O$53),"")</f>
        <v/>
      </c>
      <c r="Q20" s="68" t="str">
        <f>IF(AND('Mapa final'!$Y$54="Alta",'Mapa final'!$AA$54="Menor"),CONCATENATE("R5C",'Mapa final'!$O$54),"")</f>
        <v/>
      </c>
      <c r="R20" s="68" t="str">
        <f>IF(AND('Mapa final'!$Y$55="Alta",'Mapa final'!$AA$55="Menor"),CONCATENATE("R5C",'Mapa final'!$O$55),"")</f>
        <v/>
      </c>
      <c r="S20" s="68" t="str">
        <f>IF(AND('Mapa final'!$Y$56="Alta",'Mapa final'!$AA$56="Menor"),CONCATENATE("R5C",'Mapa final'!$O$56),"")</f>
        <v/>
      </c>
      <c r="T20" s="68" t="str">
        <f>IF(AND('Mapa final'!$Y$57="Alta",'Mapa final'!$AA$57="Menor"),CONCATENATE("R5C",'Mapa final'!$O$57),"")</f>
        <v/>
      </c>
      <c r="U20" s="69" t="str">
        <f>IF(AND('Mapa final'!$Y$58="Alta",'Mapa final'!$AA$58="Menor"),CONCATENATE("R5C",'Mapa final'!$O$58),"")</f>
        <v/>
      </c>
      <c r="V20" s="52" t="str">
        <f>IF(AND('Mapa final'!$Y$53="Alta",'Mapa final'!$AA$53="Moderado"),CONCATENATE("R5C",'Mapa final'!$O$53),"")</f>
        <v/>
      </c>
      <c r="W20" s="53" t="str">
        <f>IF(AND('Mapa final'!$Y$54="Alta",'Mapa final'!$AA$54="Moderado"),CONCATENATE("R5C",'Mapa final'!$O$54),"")</f>
        <v/>
      </c>
      <c r="X20" s="53" t="str">
        <f>IF(AND('Mapa final'!$Y$55="Alta",'Mapa final'!$AA$55="Moderado"),CONCATENATE("R5C",'Mapa final'!$O$55),"")</f>
        <v/>
      </c>
      <c r="Y20" s="53" t="str">
        <f>IF(AND('Mapa final'!$Y$56="Alta",'Mapa final'!$AA$56="Moderado"),CONCATENATE("R5C",'Mapa final'!$O$56),"")</f>
        <v/>
      </c>
      <c r="Z20" s="53" t="str">
        <f>IF(AND('Mapa final'!$Y$57="Alta",'Mapa final'!$AA$57="Moderado"),CONCATENATE("R5C",'Mapa final'!$O$57),"")</f>
        <v/>
      </c>
      <c r="AA20" s="54" t="str">
        <f>IF(AND('Mapa final'!$Y$58="Alta",'Mapa final'!$AA$58="Moderado"),CONCATENATE("R5C",'Mapa final'!$O$58),"")</f>
        <v/>
      </c>
      <c r="AB20" s="52" t="str">
        <f>IF(AND('Mapa final'!$Y$53="Alta",'Mapa final'!$AA$53="Mayor"),CONCATENATE("R5C",'Mapa final'!$O$53),"")</f>
        <v/>
      </c>
      <c r="AC20" s="53" t="str">
        <f>IF(AND('Mapa final'!$Y$54="Alta",'Mapa final'!$AA$54="Mayor"),CONCATENATE("R5C",'Mapa final'!$O$54),"")</f>
        <v/>
      </c>
      <c r="AD20" s="53" t="str">
        <f>IF(AND('Mapa final'!$Y$55="Alta",'Mapa final'!$AA$55="Mayor"),CONCATENATE("R5C",'Mapa final'!$O$55),"")</f>
        <v/>
      </c>
      <c r="AE20" s="53" t="str">
        <f>IF(AND('Mapa final'!$Y$56="Alta",'Mapa final'!$AA$56="Mayor"),CONCATENATE("R5C",'Mapa final'!$O$56),"")</f>
        <v/>
      </c>
      <c r="AF20" s="53" t="str">
        <f>IF(AND('Mapa final'!$Y$57="Alta",'Mapa final'!$AA$57="Mayor"),CONCATENATE("R5C",'Mapa final'!$O$57),"")</f>
        <v/>
      </c>
      <c r="AG20" s="54" t="str">
        <f>IF(AND('Mapa final'!$Y$58="Alta",'Mapa final'!$AA$58="Mayor"),CONCATENATE("R5C",'Mapa final'!$O$58),"")</f>
        <v/>
      </c>
      <c r="AH20" s="55" t="str">
        <f>IF(AND('Mapa final'!$Y$53="Alta",'Mapa final'!$AA$53="Catastrófico"),CONCATENATE("R5C",'Mapa final'!$O$53),"")</f>
        <v/>
      </c>
      <c r="AI20" s="56" t="str">
        <f>IF(AND('Mapa final'!$Y$54="Alta",'Mapa final'!$AA$54="Catastrófico"),CONCATENATE("R5C",'Mapa final'!$O$54),"")</f>
        <v/>
      </c>
      <c r="AJ20" s="56" t="str">
        <f>IF(AND('Mapa final'!$Y$55="Alta",'Mapa final'!$AA$55="Catastrófico"),CONCATENATE("R5C",'Mapa final'!$O$55),"")</f>
        <v/>
      </c>
      <c r="AK20" s="56" t="str">
        <f>IF(AND('Mapa final'!$Y$56="Alta",'Mapa final'!$AA$56="Catastrófico"),CONCATENATE("R5C",'Mapa final'!$O$56),"")</f>
        <v/>
      </c>
      <c r="AL20" s="56" t="str">
        <f>IF(AND('Mapa final'!$Y$57="Alta",'Mapa final'!$AA$57="Catastrófico"),CONCATENATE("R5C",'Mapa final'!$O$57),"")</f>
        <v/>
      </c>
      <c r="AM20" s="57" t="str">
        <f>IF(AND('Mapa final'!$Y$58="Alta",'Mapa final'!$AA$58="Catastrófico"),CONCATENATE("R5C",'Mapa final'!$O$58),"")</f>
        <v/>
      </c>
      <c r="AN20" s="83"/>
      <c r="AO20" s="460"/>
      <c r="AP20" s="461"/>
      <c r="AQ20" s="461"/>
      <c r="AR20" s="461"/>
      <c r="AS20" s="461"/>
      <c r="AT20" s="46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71"/>
      <c r="C21" s="371"/>
      <c r="D21" s="372"/>
      <c r="E21" s="470"/>
      <c r="F21" s="469"/>
      <c r="G21" s="469"/>
      <c r="H21" s="469"/>
      <c r="I21" s="469"/>
      <c r="J21" s="67" t="str">
        <f>IF(AND('Mapa final'!$Y$59="Alta",'Mapa final'!$AA$59="Leve"),CONCATENATE("R6C",'Mapa final'!$O$59),"")</f>
        <v/>
      </c>
      <c r="K21" s="68" t="str">
        <f>IF(AND('Mapa final'!$Y$60="Alta",'Mapa final'!$AA$60="Leve"),CONCATENATE("R6C",'Mapa final'!$O$60),"")</f>
        <v/>
      </c>
      <c r="L21" s="68" t="str">
        <f>IF(AND('Mapa final'!$Y$61="Alta",'Mapa final'!$AA$61="Leve"),CONCATENATE("R6C",'Mapa final'!$O$61),"")</f>
        <v/>
      </c>
      <c r="M21" s="68" t="str">
        <f>IF(AND('Mapa final'!$Y$62="Alta",'Mapa final'!$AA$62="Leve"),CONCATENATE("R6C",'Mapa final'!$O$62),"")</f>
        <v/>
      </c>
      <c r="N21" s="68" t="str">
        <f>IF(AND('Mapa final'!$Y$63="Alta",'Mapa final'!$AA$63="Leve"),CONCATENATE("R6C",'Mapa final'!$O$63),"")</f>
        <v/>
      </c>
      <c r="O21" s="69" t="str">
        <f>IF(AND('Mapa final'!$Y$64="Alta",'Mapa final'!$AA$64="Leve"),CONCATENATE("R6C",'Mapa final'!$O$64),"")</f>
        <v/>
      </c>
      <c r="P21" s="67" t="str">
        <f>IF(AND('Mapa final'!$Y$59="Alta",'Mapa final'!$AA$59="Menor"),CONCATENATE("R6C",'Mapa final'!$O$59),"")</f>
        <v/>
      </c>
      <c r="Q21" s="68" t="str">
        <f>IF(AND('Mapa final'!$Y$60="Alta",'Mapa final'!$AA$60="Menor"),CONCATENATE("R6C",'Mapa final'!$O$60),"")</f>
        <v/>
      </c>
      <c r="R21" s="68" t="str">
        <f>IF(AND('Mapa final'!$Y$61="Alta",'Mapa final'!$AA$61="Menor"),CONCATENATE("R6C",'Mapa final'!$O$61),"")</f>
        <v/>
      </c>
      <c r="S21" s="68" t="str">
        <f>IF(AND('Mapa final'!$Y$62="Alta",'Mapa final'!$AA$62="Menor"),CONCATENATE("R6C",'Mapa final'!$O$62),"")</f>
        <v/>
      </c>
      <c r="T21" s="68" t="str">
        <f>IF(AND('Mapa final'!$Y$63="Alta",'Mapa final'!$AA$63="Menor"),CONCATENATE("R6C",'Mapa final'!$O$63),"")</f>
        <v/>
      </c>
      <c r="U21" s="69" t="str">
        <f>IF(AND('Mapa final'!$Y$64="Alta",'Mapa final'!$AA$64="Menor"),CONCATENATE("R6C",'Mapa final'!$O$64),"")</f>
        <v/>
      </c>
      <c r="V21" s="52" t="str">
        <f>IF(AND('Mapa final'!$Y$59="Alta",'Mapa final'!$AA$59="Moderado"),CONCATENATE("R6C",'Mapa final'!$O$59),"")</f>
        <v/>
      </c>
      <c r="W21" s="53" t="str">
        <f>IF(AND('Mapa final'!$Y$60="Alta",'Mapa final'!$AA$60="Moderado"),CONCATENATE("R6C",'Mapa final'!$O$60),"")</f>
        <v/>
      </c>
      <c r="X21" s="53" t="str">
        <f>IF(AND('Mapa final'!$Y$61="Alta",'Mapa final'!$AA$61="Moderado"),CONCATENATE("R6C",'Mapa final'!$O$61),"")</f>
        <v/>
      </c>
      <c r="Y21" s="53" t="str">
        <f>IF(AND('Mapa final'!$Y$62="Alta",'Mapa final'!$AA$62="Moderado"),CONCATENATE("R6C",'Mapa final'!$O$62),"")</f>
        <v/>
      </c>
      <c r="Z21" s="53" t="str">
        <f>IF(AND('Mapa final'!$Y$63="Alta",'Mapa final'!$AA$63="Moderado"),CONCATENATE("R6C",'Mapa final'!$O$63),"")</f>
        <v/>
      </c>
      <c r="AA21" s="54" t="str">
        <f>IF(AND('Mapa final'!$Y$64="Alta",'Mapa final'!$AA$64="Moderado"),CONCATENATE("R6C",'Mapa final'!$O$64),"")</f>
        <v/>
      </c>
      <c r="AB21" s="52" t="str">
        <f>IF(AND('Mapa final'!$Y$59="Alta",'Mapa final'!$AA$59="Mayor"),CONCATENATE("R6C",'Mapa final'!$O$59),"")</f>
        <v/>
      </c>
      <c r="AC21" s="53" t="str">
        <f>IF(AND('Mapa final'!$Y$60="Alta",'Mapa final'!$AA$60="Mayor"),CONCATENATE("R6C",'Mapa final'!$O$60),"")</f>
        <v/>
      </c>
      <c r="AD21" s="53" t="str">
        <f>IF(AND('Mapa final'!$Y$61="Alta",'Mapa final'!$AA$61="Mayor"),CONCATENATE("R6C",'Mapa final'!$O$61),"")</f>
        <v/>
      </c>
      <c r="AE21" s="53" t="str">
        <f>IF(AND('Mapa final'!$Y$62="Alta",'Mapa final'!$AA$62="Mayor"),CONCATENATE("R6C",'Mapa final'!$O$62),"")</f>
        <v/>
      </c>
      <c r="AF21" s="53" t="str">
        <f>IF(AND('Mapa final'!$Y$63="Alta",'Mapa final'!$AA$63="Mayor"),CONCATENATE("R6C",'Mapa final'!$O$63),"")</f>
        <v/>
      </c>
      <c r="AG21" s="54" t="str">
        <f>IF(AND('Mapa final'!$Y$64="Alta",'Mapa final'!$AA$64="Mayor"),CONCATENATE("R6C",'Mapa final'!$O$64),"")</f>
        <v/>
      </c>
      <c r="AH21" s="55" t="str">
        <f>IF(AND('Mapa final'!$Y$59="Alta",'Mapa final'!$AA$59="Catastrófico"),CONCATENATE("R6C",'Mapa final'!$O$59),"")</f>
        <v/>
      </c>
      <c r="AI21" s="56" t="str">
        <f>IF(AND('Mapa final'!$Y$60="Alta",'Mapa final'!$AA$60="Catastrófico"),CONCATENATE("R6C",'Mapa final'!$O$60),"")</f>
        <v/>
      </c>
      <c r="AJ21" s="56" t="str">
        <f>IF(AND('Mapa final'!$Y$61="Alta",'Mapa final'!$AA$61="Catastrófico"),CONCATENATE("R6C",'Mapa final'!$O$61),"")</f>
        <v/>
      </c>
      <c r="AK21" s="56" t="str">
        <f>IF(AND('Mapa final'!$Y$62="Alta",'Mapa final'!$AA$62="Catastrófico"),CONCATENATE("R6C",'Mapa final'!$O$62),"")</f>
        <v/>
      </c>
      <c r="AL21" s="56" t="str">
        <f>IF(AND('Mapa final'!$Y$63="Alta",'Mapa final'!$AA$63="Catastrófico"),CONCATENATE("R6C",'Mapa final'!$O$63),"")</f>
        <v/>
      </c>
      <c r="AM21" s="57" t="str">
        <f>IF(AND('Mapa final'!$Y$64="Alta",'Mapa final'!$AA$64="Catastrófico"),CONCATENATE("R6C",'Mapa final'!$O$64),"")</f>
        <v/>
      </c>
      <c r="AN21" s="83"/>
      <c r="AO21" s="460"/>
      <c r="AP21" s="461"/>
      <c r="AQ21" s="461"/>
      <c r="AR21" s="461"/>
      <c r="AS21" s="461"/>
      <c r="AT21" s="4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71"/>
      <c r="C22" s="371"/>
      <c r="D22" s="372"/>
      <c r="E22" s="470"/>
      <c r="F22" s="469"/>
      <c r="G22" s="469"/>
      <c r="H22" s="469"/>
      <c r="I22" s="469"/>
      <c r="J22" s="67" t="str">
        <f>IF(AND('Mapa final'!$Y$65="Alta",'Mapa final'!$AA$65="Leve"),CONCATENATE("R7C",'Mapa final'!$O$65),"")</f>
        <v/>
      </c>
      <c r="K22" s="68" t="str">
        <f>IF(AND('Mapa final'!$Y$66="Alta",'Mapa final'!$AA$66="Leve"),CONCATENATE("R7C",'Mapa final'!$O$66),"")</f>
        <v/>
      </c>
      <c r="L22" s="68" t="str">
        <f>IF(AND('Mapa final'!$Y$67="Alta",'Mapa final'!$AA$67="Leve"),CONCATENATE("R7C",'Mapa final'!$O$67),"")</f>
        <v/>
      </c>
      <c r="M22" s="68" t="str">
        <f>IF(AND('Mapa final'!$Y$68="Alta",'Mapa final'!$AA$68="Leve"),CONCATENATE("R7C",'Mapa final'!$O$68),"")</f>
        <v/>
      </c>
      <c r="N22" s="68" t="str">
        <f>IF(AND('Mapa final'!$Y$69="Alta",'Mapa final'!$AA$69="Leve"),CONCATENATE("R7C",'Mapa final'!$O$69),"")</f>
        <v/>
      </c>
      <c r="O22" s="69" t="str">
        <f>IF(AND('Mapa final'!$Y$70="Alta",'Mapa final'!$AA$70="Leve"),CONCATENATE("R7C",'Mapa final'!$O$70),"")</f>
        <v/>
      </c>
      <c r="P22" s="67" t="str">
        <f>IF(AND('Mapa final'!$Y$65="Alta",'Mapa final'!$AA$65="Menor"),CONCATENATE("R7C",'Mapa final'!$O$65),"")</f>
        <v/>
      </c>
      <c r="Q22" s="68" t="str">
        <f>IF(AND('Mapa final'!$Y$66="Alta",'Mapa final'!$AA$66="Menor"),CONCATENATE("R7C",'Mapa final'!$O$66),"")</f>
        <v/>
      </c>
      <c r="R22" s="68" t="str">
        <f>IF(AND('Mapa final'!$Y$67="Alta",'Mapa final'!$AA$67="Menor"),CONCATENATE("R7C",'Mapa final'!$O$67),"")</f>
        <v/>
      </c>
      <c r="S22" s="68" t="str">
        <f>IF(AND('Mapa final'!$Y$68="Alta",'Mapa final'!$AA$68="Menor"),CONCATENATE("R7C",'Mapa final'!$O$68),"")</f>
        <v/>
      </c>
      <c r="T22" s="68" t="str">
        <f>IF(AND('Mapa final'!$Y$69="Alta",'Mapa final'!$AA$69="Menor"),CONCATENATE("R7C",'Mapa final'!$O$69),"")</f>
        <v/>
      </c>
      <c r="U22" s="69" t="str">
        <f>IF(AND('Mapa final'!$Y$70="Alta",'Mapa final'!$AA$70="Menor"),CONCATENATE("R7C",'Mapa final'!$O$70),"")</f>
        <v/>
      </c>
      <c r="V22" s="52" t="str">
        <f>IF(AND('Mapa final'!$Y$65="Alta",'Mapa final'!$AA$65="Moderado"),CONCATENATE("R7C",'Mapa final'!$O$65),"")</f>
        <v/>
      </c>
      <c r="W22" s="53" t="str">
        <f>IF(AND('Mapa final'!$Y$66="Alta",'Mapa final'!$AA$66="Moderado"),CONCATENATE("R7C",'Mapa final'!$O$66),"")</f>
        <v/>
      </c>
      <c r="X22" s="53" t="str">
        <f>IF(AND('Mapa final'!$Y$67="Alta",'Mapa final'!$AA$67="Moderado"),CONCATENATE("R7C",'Mapa final'!$O$67),"")</f>
        <v/>
      </c>
      <c r="Y22" s="53" t="str">
        <f>IF(AND('Mapa final'!$Y$68="Alta",'Mapa final'!$AA$68="Moderado"),CONCATENATE("R7C",'Mapa final'!$O$68),"")</f>
        <v/>
      </c>
      <c r="Z22" s="53" t="str">
        <f>IF(AND('Mapa final'!$Y$69="Alta",'Mapa final'!$AA$69="Moderado"),CONCATENATE("R7C",'Mapa final'!$O$69),"")</f>
        <v/>
      </c>
      <c r="AA22" s="54" t="str">
        <f>IF(AND('Mapa final'!$Y$70="Alta",'Mapa final'!$AA$70="Moderado"),CONCATENATE("R7C",'Mapa final'!$O$70),"")</f>
        <v/>
      </c>
      <c r="AB22" s="52" t="str">
        <f>IF(AND('Mapa final'!$Y$65="Alta",'Mapa final'!$AA$65="Mayor"),CONCATENATE("R7C",'Mapa final'!$O$65),"")</f>
        <v/>
      </c>
      <c r="AC22" s="53" t="str">
        <f>IF(AND('Mapa final'!$Y$66="Alta",'Mapa final'!$AA$66="Mayor"),CONCATENATE("R7C",'Mapa final'!$O$66),"")</f>
        <v/>
      </c>
      <c r="AD22" s="53" t="str">
        <f>IF(AND('Mapa final'!$Y$67="Alta",'Mapa final'!$AA$67="Mayor"),CONCATENATE("R7C",'Mapa final'!$O$67),"")</f>
        <v/>
      </c>
      <c r="AE22" s="53" t="str">
        <f>IF(AND('Mapa final'!$Y$68="Alta",'Mapa final'!$AA$68="Mayor"),CONCATENATE("R7C",'Mapa final'!$O$68),"")</f>
        <v/>
      </c>
      <c r="AF22" s="53" t="str">
        <f>IF(AND('Mapa final'!$Y$69="Alta",'Mapa final'!$AA$69="Mayor"),CONCATENATE("R7C",'Mapa final'!$O$69),"")</f>
        <v/>
      </c>
      <c r="AG22" s="54" t="str">
        <f>IF(AND('Mapa final'!$Y$70="Alta",'Mapa final'!$AA$70="Mayor"),CONCATENATE("R7C",'Mapa final'!$O$70),"")</f>
        <v/>
      </c>
      <c r="AH22" s="55" t="str">
        <f>IF(AND('Mapa final'!$Y$65="Alta",'Mapa final'!$AA$65="Catastrófico"),CONCATENATE("R7C",'Mapa final'!$O$65),"")</f>
        <v/>
      </c>
      <c r="AI22" s="56" t="str">
        <f>IF(AND('Mapa final'!$Y$66="Alta",'Mapa final'!$AA$66="Catastrófico"),CONCATENATE("R7C",'Mapa final'!$O$66),"")</f>
        <v/>
      </c>
      <c r="AJ22" s="56" t="str">
        <f>IF(AND('Mapa final'!$Y$67="Alta",'Mapa final'!$AA$67="Catastrófico"),CONCATENATE("R7C",'Mapa final'!$O$67),"")</f>
        <v/>
      </c>
      <c r="AK22" s="56" t="str">
        <f>IF(AND('Mapa final'!$Y$68="Alta",'Mapa final'!$AA$68="Catastrófico"),CONCATENATE("R7C",'Mapa final'!$O$68),"")</f>
        <v/>
      </c>
      <c r="AL22" s="56" t="str">
        <f>IF(AND('Mapa final'!$Y$69="Alta",'Mapa final'!$AA$69="Catastrófico"),CONCATENATE("R7C",'Mapa final'!$O$69),"")</f>
        <v/>
      </c>
      <c r="AM22" s="57" t="str">
        <f>IF(AND('Mapa final'!$Y$70="Alta",'Mapa final'!$AA$70="Catastrófico"),CONCATENATE("R7C",'Mapa final'!$O$70),"")</f>
        <v/>
      </c>
      <c r="AN22" s="83"/>
      <c r="AO22" s="460"/>
      <c r="AP22" s="461"/>
      <c r="AQ22" s="461"/>
      <c r="AR22" s="461"/>
      <c r="AS22" s="461"/>
      <c r="AT22" s="46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71"/>
      <c r="C23" s="371"/>
      <c r="D23" s="372"/>
      <c r="E23" s="470"/>
      <c r="F23" s="469"/>
      <c r="G23" s="469"/>
      <c r="H23" s="469"/>
      <c r="I23" s="469"/>
      <c r="J23" s="67" t="str">
        <f>IF(AND('Mapa final'!$Y$71="Alta",'Mapa final'!$AA$71="Leve"),CONCATENATE("R8C",'Mapa final'!$O$71),"")</f>
        <v/>
      </c>
      <c r="K23" s="68" t="str">
        <f>IF(AND('Mapa final'!$Y$72="Alta",'Mapa final'!$AA$72="Leve"),CONCATENATE("R8C",'Mapa final'!$O$72),"")</f>
        <v/>
      </c>
      <c r="L23" s="68" t="str">
        <f>IF(AND('Mapa final'!$Y$73="Alta",'Mapa final'!$AA$73="Leve"),CONCATENATE("R8C",'Mapa final'!$O$73),"")</f>
        <v/>
      </c>
      <c r="M23" s="68" t="str">
        <f>IF(AND('Mapa final'!$Y$74="Alta",'Mapa final'!$AA$74="Leve"),CONCATENATE("R8C",'Mapa final'!$O$74),"")</f>
        <v/>
      </c>
      <c r="N23" s="68" t="str">
        <f>IF(AND('Mapa final'!$Y$75="Alta",'Mapa final'!$AA$75="Leve"),CONCATENATE("R8C",'Mapa final'!$O$75),"")</f>
        <v/>
      </c>
      <c r="O23" s="69" t="str">
        <f>IF(AND('Mapa final'!$Y$76="Alta",'Mapa final'!$AA$76="Leve"),CONCATENATE("R8C",'Mapa final'!$O$76),"")</f>
        <v/>
      </c>
      <c r="P23" s="67" t="str">
        <f>IF(AND('Mapa final'!$Y$71="Alta",'Mapa final'!$AA$71="Menor"),CONCATENATE("R8C",'Mapa final'!$O$71),"")</f>
        <v/>
      </c>
      <c r="Q23" s="68" t="str">
        <f>IF(AND('Mapa final'!$Y$72="Alta",'Mapa final'!$AA$72="Menor"),CONCATENATE("R8C",'Mapa final'!$O$72),"")</f>
        <v/>
      </c>
      <c r="R23" s="68" t="str">
        <f>IF(AND('Mapa final'!$Y$73="Alta",'Mapa final'!$AA$73="Menor"),CONCATENATE("R8C",'Mapa final'!$O$73),"")</f>
        <v/>
      </c>
      <c r="S23" s="68" t="str">
        <f>IF(AND('Mapa final'!$Y$74="Alta",'Mapa final'!$AA$74="Menor"),CONCATENATE("R8C",'Mapa final'!$O$74),"")</f>
        <v/>
      </c>
      <c r="T23" s="68" t="str">
        <f>IF(AND('Mapa final'!$Y$75="Alta",'Mapa final'!$AA$75="Menor"),CONCATENATE("R8C",'Mapa final'!$O$75),"")</f>
        <v/>
      </c>
      <c r="U23" s="69" t="str">
        <f>IF(AND('Mapa final'!$Y$76="Alta",'Mapa final'!$AA$76="Menor"),CONCATENATE("R8C",'Mapa final'!$O$76),"")</f>
        <v/>
      </c>
      <c r="V23" s="52" t="str">
        <f>IF(AND('Mapa final'!$Y$71="Alta",'Mapa final'!$AA$71="Moderado"),CONCATENATE("R8C",'Mapa final'!$O$71),"")</f>
        <v/>
      </c>
      <c r="W23" s="53" t="str">
        <f>IF(AND('Mapa final'!$Y$72="Alta",'Mapa final'!$AA$72="Moderado"),CONCATENATE("R8C",'Mapa final'!$O$72),"")</f>
        <v/>
      </c>
      <c r="X23" s="53" t="str">
        <f>IF(AND('Mapa final'!$Y$73="Alta",'Mapa final'!$AA$73="Moderado"),CONCATENATE("R8C",'Mapa final'!$O$73),"")</f>
        <v/>
      </c>
      <c r="Y23" s="53" t="str">
        <f>IF(AND('Mapa final'!$Y$74="Alta",'Mapa final'!$AA$74="Moderado"),CONCATENATE("R8C",'Mapa final'!$O$74),"")</f>
        <v/>
      </c>
      <c r="Z23" s="53" t="str">
        <f>IF(AND('Mapa final'!$Y$75="Alta",'Mapa final'!$AA$75="Moderado"),CONCATENATE("R8C",'Mapa final'!$O$75),"")</f>
        <v/>
      </c>
      <c r="AA23" s="54" t="str">
        <f>IF(AND('Mapa final'!$Y$76="Alta",'Mapa final'!$AA$76="Moderado"),CONCATENATE("R8C",'Mapa final'!$O$76),"")</f>
        <v/>
      </c>
      <c r="AB23" s="52" t="str">
        <f>IF(AND('Mapa final'!$Y$71="Alta",'Mapa final'!$AA$71="Mayor"),CONCATENATE("R8C",'Mapa final'!$O$71),"")</f>
        <v/>
      </c>
      <c r="AC23" s="53" t="str">
        <f>IF(AND('Mapa final'!$Y$72="Alta",'Mapa final'!$AA$72="Mayor"),CONCATENATE("R8C",'Mapa final'!$O$72),"")</f>
        <v/>
      </c>
      <c r="AD23" s="53" t="str">
        <f>IF(AND('Mapa final'!$Y$73="Alta",'Mapa final'!$AA$73="Mayor"),CONCATENATE("R8C",'Mapa final'!$O$73),"")</f>
        <v/>
      </c>
      <c r="AE23" s="53" t="str">
        <f>IF(AND('Mapa final'!$Y$74="Alta",'Mapa final'!$AA$74="Mayor"),CONCATENATE("R8C",'Mapa final'!$O$74),"")</f>
        <v/>
      </c>
      <c r="AF23" s="53" t="str">
        <f>IF(AND('Mapa final'!$Y$75="Alta",'Mapa final'!$AA$75="Mayor"),CONCATENATE("R8C",'Mapa final'!$O$75),"")</f>
        <v/>
      </c>
      <c r="AG23" s="54" t="str">
        <f>IF(AND('Mapa final'!$Y$76="Alta",'Mapa final'!$AA$76="Mayor"),CONCATENATE("R8C",'Mapa final'!$O$76),"")</f>
        <v/>
      </c>
      <c r="AH23" s="55" t="str">
        <f>IF(AND('Mapa final'!$Y$71="Alta",'Mapa final'!$AA$71="Catastrófico"),CONCATENATE("R8C",'Mapa final'!$O$71),"")</f>
        <v/>
      </c>
      <c r="AI23" s="56" t="str">
        <f>IF(AND('Mapa final'!$Y$72="Alta",'Mapa final'!$AA$72="Catastrófico"),CONCATENATE("R8C",'Mapa final'!$O$72),"")</f>
        <v/>
      </c>
      <c r="AJ23" s="56" t="str">
        <f>IF(AND('Mapa final'!$Y$73="Alta",'Mapa final'!$AA$73="Catastrófico"),CONCATENATE("R8C",'Mapa final'!$O$73),"")</f>
        <v/>
      </c>
      <c r="AK23" s="56" t="str">
        <f>IF(AND('Mapa final'!$Y$74="Alta",'Mapa final'!$AA$74="Catastrófico"),CONCATENATE("R8C",'Mapa final'!$O$74),"")</f>
        <v/>
      </c>
      <c r="AL23" s="56" t="str">
        <f>IF(AND('Mapa final'!$Y$75="Alta",'Mapa final'!$AA$75="Catastrófico"),CONCATENATE("R8C",'Mapa final'!$O$75),"")</f>
        <v/>
      </c>
      <c r="AM23" s="57" t="str">
        <f>IF(AND('Mapa final'!$Y$76="Alta",'Mapa final'!$AA$76="Catastrófico"),CONCATENATE("R8C",'Mapa final'!$O$76),"")</f>
        <v/>
      </c>
      <c r="AN23" s="83"/>
      <c r="AO23" s="460"/>
      <c r="AP23" s="461"/>
      <c r="AQ23" s="461"/>
      <c r="AR23" s="461"/>
      <c r="AS23" s="461"/>
      <c r="AT23" s="46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71"/>
      <c r="C24" s="371"/>
      <c r="D24" s="372"/>
      <c r="E24" s="470"/>
      <c r="F24" s="469"/>
      <c r="G24" s="469"/>
      <c r="H24" s="469"/>
      <c r="I24" s="469"/>
      <c r="J24" s="67" t="str">
        <f>IF(AND('Mapa final'!$Y$77="Alta",'Mapa final'!$AA$77="Leve"),CONCATENATE("R9C",'Mapa final'!$O$77),"")</f>
        <v/>
      </c>
      <c r="K24" s="68" t="str">
        <f>IF(AND('Mapa final'!$Y$78="Alta",'Mapa final'!$AA$78="Leve"),CONCATENATE("R9C",'Mapa final'!$O$78),"")</f>
        <v/>
      </c>
      <c r="L24" s="68" t="str">
        <f>IF(AND('Mapa final'!$Y$79="Alta",'Mapa final'!$AA$79="Leve"),CONCATENATE("R9C",'Mapa final'!$O$79),"")</f>
        <v/>
      </c>
      <c r="M24" s="68" t="str">
        <f>IF(AND('Mapa final'!$Y$80="Alta",'Mapa final'!$AA$80="Leve"),CONCATENATE("R9C",'Mapa final'!$O$80),"")</f>
        <v/>
      </c>
      <c r="N24" s="68" t="str">
        <f>IF(AND('Mapa final'!$Y$81="Alta",'Mapa final'!$AA$81="Leve"),CONCATENATE("R9C",'Mapa final'!$O$81),"")</f>
        <v/>
      </c>
      <c r="O24" s="69" t="str">
        <f>IF(AND('Mapa final'!$Y$82="Alta",'Mapa final'!$AA$82="Leve"),CONCATENATE("R9C",'Mapa final'!$O$82),"")</f>
        <v/>
      </c>
      <c r="P24" s="67" t="str">
        <f>IF(AND('Mapa final'!$Y$77="Alta",'Mapa final'!$AA$77="Menor"),CONCATENATE("R9C",'Mapa final'!$O$77),"")</f>
        <v/>
      </c>
      <c r="Q24" s="68" t="str">
        <f>IF(AND('Mapa final'!$Y$78="Alta",'Mapa final'!$AA$78="Menor"),CONCATENATE("R9C",'Mapa final'!$O$78),"")</f>
        <v/>
      </c>
      <c r="R24" s="68" t="str">
        <f>IF(AND('Mapa final'!$Y$79="Alta",'Mapa final'!$AA$79="Menor"),CONCATENATE("R9C",'Mapa final'!$O$79),"")</f>
        <v/>
      </c>
      <c r="S24" s="68" t="str">
        <f>IF(AND('Mapa final'!$Y$80="Alta",'Mapa final'!$AA$80="Menor"),CONCATENATE("R9C",'Mapa final'!$O$80),"")</f>
        <v/>
      </c>
      <c r="T24" s="68" t="str">
        <f>IF(AND('Mapa final'!$Y$81="Alta",'Mapa final'!$AA$81="Menor"),CONCATENATE("R9C",'Mapa final'!$O$81),"")</f>
        <v/>
      </c>
      <c r="U24" s="69" t="str">
        <f>IF(AND('Mapa final'!$Y$82="Alta",'Mapa final'!$AA$82="Menor"),CONCATENATE("R9C",'Mapa final'!$O$82),"")</f>
        <v/>
      </c>
      <c r="V24" s="52" t="str">
        <f>IF(AND('Mapa final'!$Y$77="Alta",'Mapa final'!$AA$77="Moderado"),CONCATENATE("R9C",'Mapa final'!$O$77),"")</f>
        <v/>
      </c>
      <c r="W24" s="53" t="str">
        <f>IF(AND('Mapa final'!$Y$78="Alta",'Mapa final'!$AA$78="Moderado"),CONCATENATE("R9C",'Mapa final'!$O$78),"")</f>
        <v/>
      </c>
      <c r="X24" s="53" t="str">
        <f>IF(AND('Mapa final'!$Y$79="Alta",'Mapa final'!$AA$79="Moderado"),CONCATENATE("R9C",'Mapa final'!$O$79),"")</f>
        <v/>
      </c>
      <c r="Y24" s="53" t="str">
        <f>IF(AND('Mapa final'!$Y$80="Alta",'Mapa final'!$AA$80="Moderado"),CONCATENATE("R9C",'Mapa final'!$O$80),"")</f>
        <v/>
      </c>
      <c r="Z24" s="53" t="str">
        <f>IF(AND('Mapa final'!$Y$81="Alta",'Mapa final'!$AA$81="Moderado"),CONCATENATE("R9C",'Mapa final'!$O$81),"")</f>
        <v/>
      </c>
      <c r="AA24" s="54" t="str">
        <f>IF(AND('Mapa final'!$Y$82="Alta",'Mapa final'!$AA$82="Moderado"),CONCATENATE("R9C",'Mapa final'!$O$82),"")</f>
        <v/>
      </c>
      <c r="AB24" s="52" t="str">
        <f>IF(AND('Mapa final'!$Y$77="Alta",'Mapa final'!$AA$77="Mayor"),CONCATENATE("R9C",'Mapa final'!$O$77),"")</f>
        <v/>
      </c>
      <c r="AC24" s="53" t="str">
        <f>IF(AND('Mapa final'!$Y$78="Alta",'Mapa final'!$AA$78="Mayor"),CONCATENATE("R9C",'Mapa final'!$O$78),"")</f>
        <v/>
      </c>
      <c r="AD24" s="53" t="str">
        <f>IF(AND('Mapa final'!$Y$79="Alta",'Mapa final'!$AA$79="Mayor"),CONCATENATE("R9C",'Mapa final'!$O$79),"")</f>
        <v/>
      </c>
      <c r="AE24" s="53" t="str">
        <f>IF(AND('Mapa final'!$Y$80="Alta",'Mapa final'!$AA$80="Mayor"),CONCATENATE("R9C",'Mapa final'!$O$80),"")</f>
        <v/>
      </c>
      <c r="AF24" s="53" t="str">
        <f>IF(AND('Mapa final'!$Y$81="Alta",'Mapa final'!$AA$81="Mayor"),CONCATENATE("R9C",'Mapa final'!$O$81),"")</f>
        <v/>
      </c>
      <c r="AG24" s="54" t="str">
        <f>IF(AND('Mapa final'!$Y$82="Alta",'Mapa final'!$AA$82="Mayor"),CONCATENATE("R9C",'Mapa final'!$O$82),"")</f>
        <v/>
      </c>
      <c r="AH24" s="55" t="str">
        <f>IF(AND('Mapa final'!$Y$77="Alta",'Mapa final'!$AA$77="Catastrófico"),CONCATENATE("R9C",'Mapa final'!$O$77),"")</f>
        <v/>
      </c>
      <c r="AI24" s="56" t="str">
        <f>IF(AND('Mapa final'!$Y$78="Alta",'Mapa final'!$AA$78="Catastrófico"),CONCATENATE("R9C",'Mapa final'!$O$78),"")</f>
        <v/>
      </c>
      <c r="AJ24" s="56" t="str">
        <f>IF(AND('Mapa final'!$Y$79="Alta",'Mapa final'!$AA$79="Catastrófico"),CONCATENATE("R9C",'Mapa final'!$O$79),"")</f>
        <v/>
      </c>
      <c r="AK24" s="56" t="str">
        <f>IF(AND('Mapa final'!$Y$80="Alta",'Mapa final'!$AA$80="Catastrófico"),CONCATENATE("R9C",'Mapa final'!$O$80),"")</f>
        <v/>
      </c>
      <c r="AL24" s="56" t="str">
        <f>IF(AND('Mapa final'!$Y$81="Alta",'Mapa final'!$AA$81="Catastrófico"),CONCATENATE("R9C",'Mapa final'!$O$81),"")</f>
        <v/>
      </c>
      <c r="AM24" s="57" t="str">
        <f>IF(AND('Mapa final'!$Y$82="Alta",'Mapa final'!$AA$82="Catastrófico"),CONCATENATE("R9C",'Mapa final'!$O$82),"")</f>
        <v/>
      </c>
      <c r="AN24" s="83"/>
      <c r="AO24" s="460"/>
      <c r="AP24" s="461"/>
      <c r="AQ24" s="461"/>
      <c r="AR24" s="461"/>
      <c r="AS24" s="461"/>
      <c r="AT24" s="46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71"/>
      <c r="C25" s="371"/>
      <c r="D25" s="372"/>
      <c r="E25" s="471"/>
      <c r="F25" s="472"/>
      <c r="G25" s="472"/>
      <c r="H25" s="472"/>
      <c r="I25" s="472"/>
      <c r="J25" s="70" t="str">
        <f>IF(AND('Mapa final'!$Y$83="Alta",'Mapa final'!$AA$83="Leve"),CONCATENATE("R10C",'Mapa final'!$O$83),"")</f>
        <v/>
      </c>
      <c r="K25" s="71" t="str">
        <f>IF(AND('Mapa final'!$Y$84="Alta",'Mapa final'!$AA$84="Leve"),CONCATENATE("R10C",'Mapa final'!$O$84),"")</f>
        <v/>
      </c>
      <c r="L25" s="71" t="str">
        <f>IF(AND('Mapa final'!$Y$85="Alta",'Mapa final'!$AA$85="Leve"),CONCATENATE("R10C",'Mapa final'!$O$85),"")</f>
        <v/>
      </c>
      <c r="M25" s="71" t="str">
        <f>IF(AND('Mapa final'!$Y$86="Alta",'Mapa final'!$AA$86="Leve"),CONCATENATE("R10C",'Mapa final'!$O$86),"")</f>
        <v/>
      </c>
      <c r="N25" s="71" t="str">
        <f>IF(AND('Mapa final'!$Y$87="Alta",'Mapa final'!$AA$87="Leve"),CONCATENATE("R10C",'Mapa final'!$O$87),"")</f>
        <v/>
      </c>
      <c r="O25" s="72" t="str">
        <f>IF(AND('Mapa final'!$Y$88="Alta",'Mapa final'!$AA$88="Leve"),CONCATENATE("R10C",'Mapa final'!$O$88),"")</f>
        <v/>
      </c>
      <c r="P25" s="70" t="str">
        <f>IF(AND('Mapa final'!$Y$83="Alta",'Mapa final'!$AA$83="Menor"),CONCATENATE("R10C",'Mapa final'!$O$83),"")</f>
        <v/>
      </c>
      <c r="Q25" s="71" t="str">
        <f>IF(AND('Mapa final'!$Y$84="Alta",'Mapa final'!$AA$84="Menor"),CONCATENATE("R10C",'Mapa final'!$O$84),"")</f>
        <v/>
      </c>
      <c r="R25" s="71" t="str">
        <f>IF(AND('Mapa final'!$Y$85="Alta",'Mapa final'!$AA$85="Menor"),CONCATENATE("R10C",'Mapa final'!$O$85),"")</f>
        <v/>
      </c>
      <c r="S25" s="71" t="str">
        <f>IF(AND('Mapa final'!$Y$86="Alta",'Mapa final'!$AA$86="Menor"),CONCATENATE("R10C",'Mapa final'!$O$86),"")</f>
        <v/>
      </c>
      <c r="T25" s="71" t="str">
        <f>IF(AND('Mapa final'!$Y$87="Alta",'Mapa final'!$AA$87="Menor"),CONCATENATE("R10C",'Mapa final'!$O$87),"")</f>
        <v/>
      </c>
      <c r="U25" s="72" t="str">
        <f>IF(AND('Mapa final'!$Y$88="Alta",'Mapa final'!$AA$88="Menor"),CONCATENATE("R10C",'Mapa final'!$O$88),"")</f>
        <v/>
      </c>
      <c r="V25" s="58" t="str">
        <f>IF(AND('Mapa final'!$Y$83="Alta",'Mapa final'!$AA$83="Moderado"),CONCATENATE("R10C",'Mapa final'!$O$83),"")</f>
        <v/>
      </c>
      <c r="W25" s="59" t="str">
        <f>IF(AND('Mapa final'!$Y$84="Alta",'Mapa final'!$AA$84="Moderado"),CONCATENATE("R10C",'Mapa final'!$O$84),"")</f>
        <v/>
      </c>
      <c r="X25" s="59" t="str">
        <f>IF(AND('Mapa final'!$Y$85="Alta",'Mapa final'!$AA$85="Moderado"),CONCATENATE("R10C",'Mapa final'!$O$85),"")</f>
        <v/>
      </c>
      <c r="Y25" s="59" t="str">
        <f>IF(AND('Mapa final'!$Y$86="Alta",'Mapa final'!$AA$86="Moderado"),CONCATENATE("R10C",'Mapa final'!$O$86),"")</f>
        <v/>
      </c>
      <c r="Z25" s="59" t="str">
        <f>IF(AND('Mapa final'!$Y$87="Alta",'Mapa final'!$AA$87="Moderado"),CONCATENATE("R10C",'Mapa final'!$O$87),"")</f>
        <v/>
      </c>
      <c r="AA25" s="60" t="str">
        <f>IF(AND('Mapa final'!$Y$88="Alta",'Mapa final'!$AA$88="Moderado"),CONCATENATE("R10C",'Mapa final'!$O$88),"")</f>
        <v/>
      </c>
      <c r="AB25" s="58" t="str">
        <f>IF(AND('Mapa final'!$Y$83="Alta",'Mapa final'!$AA$83="Mayor"),CONCATENATE("R10C",'Mapa final'!$O$83),"")</f>
        <v/>
      </c>
      <c r="AC25" s="59" t="str">
        <f>IF(AND('Mapa final'!$Y$84="Alta",'Mapa final'!$AA$84="Mayor"),CONCATENATE("R10C",'Mapa final'!$O$84),"")</f>
        <v/>
      </c>
      <c r="AD25" s="59" t="str">
        <f>IF(AND('Mapa final'!$Y$85="Alta",'Mapa final'!$AA$85="Mayor"),CONCATENATE("R10C",'Mapa final'!$O$85),"")</f>
        <v/>
      </c>
      <c r="AE25" s="59" t="str">
        <f>IF(AND('Mapa final'!$Y$86="Alta",'Mapa final'!$AA$86="Mayor"),CONCATENATE("R10C",'Mapa final'!$O$86),"")</f>
        <v/>
      </c>
      <c r="AF25" s="59" t="str">
        <f>IF(AND('Mapa final'!$Y$87="Alta",'Mapa final'!$AA$87="Mayor"),CONCATENATE("R10C",'Mapa final'!$O$87),"")</f>
        <v/>
      </c>
      <c r="AG25" s="60" t="str">
        <f>IF(AND('Mapa final'!$Y$88="Alta",'Mapa final'!$AA$88="Mayor"),CONCATENATE("R10C",'Mapa final'!$O$88),"")</f>
        <v/>
      </c>
      <c r="AH25" s="61" t="str">
        <f>IF(AND('Mapa final'!$Y$83="Alta",'Mapa final'!$AA$83="Catastrófico"),CONCATENATE("R10C",'Mapa final'!$O$83),"")</f>
        <v/>
      </c>
      <c r="AI25" s="62" t="str">
        <f>IF(AND('Mapa final'!$Y$84="Alta",'Mapa final'!$AA$84="Catastrófico"),CONCATENATE("R10C",'Mapa final'!$O$84),"")</f>
        <v/>
      </c>
      <c r="AJ25" s="62" t="str">
        <f>IF(AND('Mapa final'!$Y$85="Alta",'Mapa final'!$AA$85="Catastrófico"),CONCATENATE("R10C",'Mapa final'!$O$85),"")</f>
        <v/>
      </c>
      <c r="AK25" s="62" t="str">
        <f>IF(AND('Mapa final'!$Y$86="Alta",'Mapa final'!$AA$86="Catastrófico"),CONCATENATE("R10C",'Mapa final'!$O$86),"")</f>
        <v/>
      </c>
      <c r="AL25" s="62" t="str">
        <f>IF(AND('Mapa final'!$Y$87="Alta",'Mapa final'!$AA$87="Catastrófico"),CONCATENATE("R10C",'Mapa final'!$O$87),"")</f>
        <v/>
      </c>
      <c r="AM25" s="63" t="str">
        <f>IF(AND('Mapa final'!$Y$88="Alta",'Mapa final'!$AA$88="Catastrófico"),CONCATENATE("R10C",'Mapa final'!$O$88),"")</f>
        <v/>
      </c>
      <c r="AN25" s="83"/>
      <c r="AO25" s="463"/>
      <c r="AP25" s="464"/>
      <c r="AQ25" s="464"/>
      <c r="AR25" s="464"/>
      <c r="AS25" s="464"/>
      <c r="AT25" s="46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71"/>
      <c r="C26" s="371"/>
      <c r="D26" s="372"/>
      <c r="E26" s="466" t="s">
        <v>96</v>
      </c>
      <c r="F26" s="467"/>
      <c r="G26" s="467"/>
      <c r="H26" s="467"/>
      <c r="I26" s="484"/>
      <c r="J26" s="64" t="str">
        <f>IF(AND('Mapa final'!$Y$29="Media",'Mapa final'!$AA$29="Leve"),CONCATENATE("R1C",'Mapa final'!$O$29),"")</f>
        <v/>
      </c>
      <c r="K26" s="65" t="str">
        <f>IF(AND('Mapa final'!$Y$30="Media",'Mapa final'!$AA$30="Leve"),CONCATENATE("R1C",'Mapa final'!$O$30),"")</f>
        <v/>
      </c>
      <c r="L26" s="65" t="str">
        <f>IF(AND('Mapa final'!$Y$31="Media",'Mapa final'!$AA$31="Leve"),CONCATENATE("R1C",'Mapa final'!$O$31),"")</f>
        <v/>
      </c>
      <c r="M26" s="65" t="str">
        <f>IF(AND('Mapa final'!$Y$32="Media",'Mapa final'!$AA$32="Leve"),CONCATENATE("R1C",'Mapa final'!$O$32),"")</f>
        <v/>
      </c>
      <c r="N26" s="65" t="str">
        <f>IF(AND('Mapa final'!$Y$33="Media",'Mapa final'!$AA$33="Leve"),CONCATENATE("R1C",'Mapa final'!$O$33),"")</f>
        <v/>
      </c>
      <c r="O26" s="66" t="str">
        <f>IF(AND('Mapa final'!$Y$34="Media",'Mapa final'!$AA$34="Leve"),CONCATENATE("R1C",'Mapa final'!$O$34),"")</f>
        <v/>
      </c>
      <c r="P26" s="64" t="str">
        <f>IF(AND('Mapa final'!$Y$29="Media",'Mapa final'!$AA$29="Menor"),CONCATENATE("R1C",'Mapa final'!$O$29),"")</f>
        <v/>
      </c>
      <c r="Q26" s="65" t="str">
        <f>IF(AND('Mapa final'!$Y$30="Media",'Mapa final'!$AA$30="Menor"),CONCATENATE("R1C",'Mapa final'!$O$30),"")</f>
        <v/>
      </c>
      <c r="R26" s="65" t="str">
        <f>IF(AND('Mapa final'!$Y$31="Media",'Mapa final'!$AA$31="Menor"),CONCATENATE("R1C",'Mapa final'!$O$31),"")</f>
        <v/>
      </c>
      <c r="S26" s="65" t="str">
        <f>IF(AND('Mapa final'!$Y$32="Media",'Mapa final'!$AA$32="Menor"),CONCATENATE("R1C",'Mapa final'!$O$32),"")</f>
        <v/>
      </c>
      <c r="T26" s="65" t="str">
        <f>IF(AND('Mapa final'!$Y$33="Media",'Mapa final'!$AA$33="Menor"),CONCATENATE("R1C",'Mapa final'!$O$33),"")</f>
        <v/>
      </c>
      <c r="U26" s="66" t="str">
        <f>IF(AND('Mapa final'!$Y$34="Media",'Mapa final'!$AA$34="Menor"),CONCATENATE("R1C",'Mapa final'!$O$34),"")</f>
        <v/>
      </c>
      <c r="V26" s="64" t="str">
        <f>IF(AND('Mapa final'!$Y$29="Media",'Mapa final'!$AA$29="Moderado"),CONCATENATE("R1C",'Mapa final'!$O$29),"")</f>
        <v/>
      </c>
      <c r="W26" s="65" t="str">
        <f>IF(AND('Mapa final'!$Y$30="Media",'Mapa final'!$AA$30="Moderado"),CONCATENATE("R1C",'Mapa final'!$O$30),"")</f>
        <v/>
      </c>
      <c r="X26" s="65" t="str">
        <f>IF(AND('Mapa final'!$Y$31="Media",'Mapa final'!$AA$31="Moderado"),CONCATENATE("R1C",'Mapa final'!$O$31),"")</f>
        <v/>
      </c>
      <c r="Y26" s="65" t="str">
        <f>IF(AND('Mapa final'!$Y$32="Media",'Mapa final'!$AA$32="Moderado"),CONCATENATE("R1C",'Mapa final'!$O$32),"")</f>
        <v/>
      </c>
      <c r="Z26" s="65" t="str">
        <f>IF(AND('Mapa final'!$Y$33="Media",'Mapa final'!$AA$33="Moderado"),CONCATENATE("R1C",'Mapa final'!$O$33),"")</f>
        <v/>
      </c>
      <c r="AA26" s="66" t="str">
        <f>IF(AND('Mapa final'!$Y$34="Media",'Mapa final'!$AA$34="Moderado"),CONCATENATE("R1C",'Mapa final'!$O$34),"")</f>
        <v/>
      </c>
      <c r="AB26" s="46" t="str">
        <f>IF(AND('Mapa final'!$Y$29="Media",'Mapa final'!$AA$29="Mayor"),CONCATENATE("R1C",'Mapa final'!$O$29),"")</f>
        <v/>
      </c>
      <c r="AC26" s="47" t="str">
        <f>IF(AND('Mapa final'!$Y$30="Media",'Mapa final'!$AA$30="Mayor"),CONCATENATE("R1C",'Mapa final'!$O$30),"")</f>
        <v/>
      </c>
      <c r="AD26" s="47" t="str">
        <f>IF(AND('Mapa final'!$Y$31="Media",'Mapa final'!$AA$31="Mayor"),CONCATENATE("R1C",'Mapa final'!$O$31),"")</f>
        <v/>
      </c>
      <c r="AE26" s="47" t="str">
        <f>IF(AND('Mapa final'!$Y$32="Media",'Mapa final'!$AA$32="Mayor"),CONCATENATE("R1C",'Mapa final'!$O$32),"")</f>
        <v/>
      </c>
      <c r="AF26" s="47" t="str">
        <f>IF(AND('Mapa final'!$Y$33="Media",'Mapa final'!$AA$33="Mayor"),CONCATENATE("R1C",'Mapa final'!$O$33),"")</f>
        <v/>
      </c>
      <c r="AG26" s="48" t="str">
        <f>IF(AND('Mapa final'!$Y$34="Media",'Mapa final'!$AA$34="Mayor"),CONCATENATE("R1C",'Mapa final'!$O$34),"")</f>
        <v/>
      </c>
      <c r="AH26" s="49" t="str">
        <f>IF(AND('Mapa final'!$Y$29="Media",'Mapa final'!$AA$29="Catastrófico"),CONCATENATE("R1C",'Mapa final'!$O$29),"")</f>
        <v/>
      </c>
      <c r="AI26" s="50" t="str">
        <f>IF(AND('Mapa final'!$Y$30="Media",'Mapa final'!$AA$30="Catastrófico"),CONCATENATE("R1C",'Mapa final'!$O$30),"")</f>
        <v/>
      </c>
      <c r="AJ26" s="50" t="str">
        <f>IF(AND('Mapa final'!$Y$31="Media",'Mapa final'!$AA$31="Catastrófico"),CONCATENATE("R1C",'Mapa final'!$O$31),"")</f>
        <v/>
      </c>
      <c r="AK26" s="50" t="str">
        <f>IF(AND('Mapa final'!$Y$32="Media",'Mapa final'!$AA$32="Catastrófico"),CONCATENATE("R1C",'Mapa final'!$O$32),"")</f>
        <v/>
      </c>
      <c r="AL26" s="50" t="str">
        <f>IF(AND('Mapa final'!$Y$33="Media",'Mapa final'!$AA$33="Catastrófico"),CONCATENATE("R1C",'Mapa final'!$O$33),"")</f>
        <v/>
      </c>
      <c r="AM26" s="51" t="str">
        <f>IF(AND('Mapa final'!$Y$34="Media",'Mapa final'!$AA$34="Catastrófico"),CONCATENATE("R1C",'Mapa final'!$O$34),"")</f>
        <v/>
      </c>
      <c r="AN26" s="83"/>
      <c r="AO26" s="496" t="s">
        <v>97</v>
      </c>
      <c r="AP26" s="497"/>
      <c r="AQ26" s="497"/>
      <c r="AR26" s="497"/>
      <c r="AS26" s="497"/>
      <c r="AT26" s="49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71"/>
      <c r="C27" s="371"/>
      <c r="D27" s="372"/>
      <c r="E27" s="468"/>
      <c r="F27" s="469"/>
      <c r="G27" s="469"/>
      <c r="H27" s="469"/>
      <c r="I27" s="485"/>
      <c r="J27" s="67" t="str">
        <f>IF(AND('Mapa final'!$Y$35="Media",'Mapa final'!$AA$35="Leve"),CONCATENATE("R2C",'Mapa final'!$O$35),"")</f>
        <v/>
      </c>
      <c r="K27" s="68" t="str">
        <f>IF(AND('Mapa final'!$Y$36="Media",'Mapa final'!$AA$36="Leve"),CONCATENATE("R2C",'Mapa final'!$O$36),"")</f>
        <v/>
      </c>
      <c r="L27" s="68" t="str">
        <f>IF(AND('Mapa final'!$Y$37="Media",'Mapa final'!$AA$37="Leve"),CONCATENATE("R2C",'Mapa final'!$O$37),"")</f>
        <v/>
      </c>
      <c r="M27" s="68" t="str">
        <f>IF(AND('Mapa final'!$Y$38="Media",'Mapa final'!$AA$38="Leve"),CONCATENATE("R2C",'Mapa final'!$O$38),"")</f>
        <v/>
      </c>
      <c r="N27" s="68" t="str">
        <f>IF(AND('Mapa final'!$Y$39="Media",'Mapa final'!$AA$39="Leve"),CONCATENATE("R2C",'Mapa final'!$O$39),"")</f>
        <v/>
      </c>
      <c r="O27" s="69" t="str">
        <f>IF(AND('Mapa final'!$Y$40="Media",'Mapa final'!$AA$40="Leve"),CONCATENATE("R2C",'Mapa final'!$O$40),"")</f>
        <v/>
      </c>
      <c r="P27" s="67" t="str">
        <f>IF(AND('Mapa final'!$Y$35="Media",'Mapa final'!$AA$35="Menor"),CONCATENATE("R2C",'Mapa final'!$O$35),"")</f>
        <v/>
      </c>
      <c r="Q27" s="68" t="str">
        <f>IF(AND('Mapa final'!$Y$36="Media",'Mapa final'!$AA$36="Menor"),CONCATENATE("R2C",'Mapa final'!$O$36),"")</f>
        <v/>
      </c>
      <c r="R27" s="68" t="str">
        <f>IF(AND('Mapa final'!$Y$37="Media",'Mapa final'!$AA$37="Menor"),CONCATENATE("R2C",'Mapa final'!$O$37),"")</f>
        <v/>
      </c>
      <c r="S27" s="68" t="str">
        <f>IF(AND('Mapa final'!$Y$38="Media",'Mapa final'!$AA$38="Menor"),CONCATENATE("R2C",'Mapa final'!$O$38),"")</f>
        <v/>
      </c>
      <c r="T27" s="68" t="str">
        <f>IF(AND('Mapa final'!$Y$39="Media",'Mapa final'!$AA$39="Menor"),CONCATENATE("R2C",'Mapa final'!$O$39),"")</f>
        <v/>
      </c>
      <c r="U27" s="69" t="str">
        <f>IF(AND('Mapa final'!$Y$40="Media",'Mapa final'!$AA$40="Menor"),CONCATENATE("R2C",'Mapa final'!$O$40),"")</f>
        <v/>
      </c>
      <c r="V27" s="67" t="str">
        <f>IF(AND('Mapa final'!$Y$35="Media",'Mapa final'!$AA$35="Moderado"),CONCATENATE("R2C",'Mapa final'!$O$35),"")</f>
        <v/>
      </c>
      <c r="W27" s="68" t="str">
        <f>IF(AND('Mapa final'!$Y$36="Media",'Mapa final'!$AA$36="Moderado"),CONCATENATE("R2C",'Mapa final'!$O$36),"")</f>
        <v/>
      </c>
      <c r="X27" s="68" t="str">
        <f>IF(AND('Mapa final'!$Y$37="Media",'Mapa final'!$AA$37="Moderado"),CONCATENATE("R2C",'Mapa final'!$O$37),"")</f>
        <v/>
      </c>
      <c r="Y27" s="68" t="str">
        <f>IF(AND('Mapa final'!$Y$38="Media",'Mapa final'!$AA$38="Moderado"),CONCATENATE("R2C",'Mapa final'!$O$38),"")</f>
        <v/>
      </c>
      <c r="Z27" s="68" t="str">
        <f>IF(AND('Mapa final'!$Y$39="Media",'Mapa final'!$AA$39="Moderado"),CONCATENATE("R2C",'Mapa final'!$O$39),"")</f>
        <v/>
      </c>
      <c r="AA27" s="69" t="str">
        <f>IF(AND('Mapa final'!$Y$40="Media",'Mapa final'!$AA$40="Moderado"),CONCATENATE("R2C",'Mapa final'!$O$40),"")</f>
        <v/>
      </c>
      <c r="AB27" s="52" t="str">
        <f>IF(AND('Mapa final'!$Y$35="Media",'Mapa final'!$AA$35="Mayor"),CONCATENATE("R2C",'Mapa final'!$O$35),"")</f>
        <v/>
      </c>
      <c r="AC27" s="53" t="str">
        <f>IF(AND('Mapa final'!$Y$36="Media",'Mapa final'!$AA$36="Mayor"),CONCATENATE("R2C",'Mapa final'!$O$36),"")</f>
        <v/>
      </c>
      <c r="AD27" s="53" t="str">
        <f>IF(AND('Mapa final'!$Y$37="Media",'Mapa final'!$AA$37="Mayor"),CONCATENATE("R2C",'Mapa final'!$O$37),"")</f>
        <v/>
      </c>
      <c r="AE27" s="53" t="str">
        <f>IF(AND('Mapa final'!$Y$38="Media",'Mapa final'!$AA$38="Mayor"),CONCATENATE("R2C",'Mapa final'!$O$38),"")</f>
        <v/>
      </c>
      <c r="AF27" s="53" t="str">
        <f>IF(AND('Mapa final'!$Y$39="Media",'Mapa final'!$AA$39="Mayor"),CONCATENATE("R2C",'Mapa final'!$O$39),"")</f>
        <v/>
      </c>
      <c r="AG27" s="54" t="str">
        <f>IF(AND('Mapa final'!$Y$40="Media",'Mapa final'!$AA$40="Mayor"),CONCATENATE("R2C",'Mapa final'!$O$40),"")</f>
        <v/>
      </c>
      <c r="AH27" s="55" t="str">
        <f>IF(AND('Mapa final'!$Y$35="Media",'Mapa final'!$AA$35="Catastrófico"),CONCATENATE("R2C",'Mapa final'!$O$35),"")</f>
        <v/>
      </c>
      <c r="AI27" s="56" t="str">
        <f>IF(AND('Mapa final'!$Y$36="Media",'Mapa final'!$AA$36="Catastrófico"),CONCATENATE("R2C",'Mapa final'!$O$36),"")</f>
        <v/>
      </c>
      <c r="AJ27" s="56" t="str">
        <f>IF(AND('Mapa final'!$Y$37="Media",'Mapa final'!$AA$37="Catastrófico"),CONCATENATE("R2C",'Mapa final'!$O$37),"")</f>
        <v/>
      </c>
      <c r="AK27" s="56" t="str">
        <f>IF(AND('Mapa final'!$Y$38="Media",'Mapa final'!$AA$38="Catastrófico"),CONCATENATE("R2C",'Mapa final'!$O$38),"")</f>
        <v/>
      </c>
      <c r="AL27" s="56" t="str">
        <f>IF(AND('Mapa final'!$Y$39="Media",'Mapa final'!$AA$39="Catastrófico"),CONCATENATE("R2C",'Mapa final'!$O$39),"")</f>
        <v/>
      </c>
      <c r="AM27" s="57" t="str">
        <f>IF(AND('Mapa final'!$Y$40="Media",'Mapa final'!$AA$40="Catastrófico"),CONCATENATE("R2C",'Mapa final'!$O$40),"")</f>
        <v/>
      </c>
      <c r="AN27" s="83"/>
      <c r="AO27" s="499"/>
      <c r="AP27" s="500"/>
      <c r="AQ27" s="500"/>
      <c r="AR27" s="500"/>
      <c r="AS27" s="500"/>
      <c r="AT27" s="50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71"/>
      <c r="C28" s="371"/>
      <c r="D28" s="372"/>
      <c r="E28" s="470"/>
      <c r="F28" s="469"/>
      <c r="G28" s="469"/>
      <c r="H28" s="469"/>
      <c r="I28" s="485"/>
      <c r="J28" s="67" t="str">
        <f>IF(AND('Mapa final'!$Y$41="Media",'Mapa final'!$AA$41="Leve"),CONCATENATE("R3C",'Mapa final'!$O$41),"")</f>
        <v/>
      </c>
      <c r="K28" s="68" t="str">
        <f>IF(AND('Mapa final'!$Y$42="Media",'Mapa final'!$AA$42="Leve"),CONCATENATE("R3C",'Mapa final'!$O$42),"")</f>
        <v/>
      </c>
      <c r="L28" s="68" t="str">
        <f>IF(AND('Mapa final'!$Y$43="Media",'Mapa final'!$AA$43="Leve"),CONCATENATE("R3C",'Mapa final'!$O$43),"")</f>
        <v/>
      </c>
      <c r="M28" s="68" t="str">
        <f>IF(AND('Mapa final'!$Y$44="Media",'Mapa final'!$AA$44="Leve"),CONCATENATE("R3C",'Mapa final'!$O$44),"")</f>
        <v/>
      </c>
      <c r="N28" s="68" t="str">
        <f>IF(AND('Mapa final'!$Y$45="Media",'Mapa final'!$AA$45="Leve"),CONCATENATE("R3C",'Mapa final'!$O$45),"")</f>
        <v/>
      </c>
      <c r="O28" s="69" t="str">
        <f>IF(AND('Mapa final'!$Y$46="Media",'Mapa final'!$AA$46="Leve"),CONCATENATE("R3C",'Mapa final'!$O$46),"")</f>
        <v/>
      </c>
      <c r="P28" s="67" t="str">
        <f>IF(AND('Mapa final'!$Y$41="Media",'Mapa final'!$AA$41="Menor"),CONCATENATE("R3C",'Mapa final'!$O$41),"")</f>
        <v/>
      </c>
      <c r="Q28" s="68" t="str">
        <f>IF(AND('Mapa final'!$Y$42="Media",'Mapa final'!$AA$42="Menor"),CONCATENATE("R3C",'Mapa final'!$O$42),"")</f>
        <v/>
      </c>
      <c r="R28" s="68" t="str">
        <f>IF(AND('Mapa final'!$Y$43="Media",'Mapa final'!$AA$43="Menor"),CONCATENATE("R3C",'Mapa final'!$O$43),"")</f>
        <v/>
      </c>
      <c r="S28" s="68" t="str">
        <f>IF(AND('Mapa final'!$Y$44="Media",'Mapa final'!$AA$44="Menor"),CONCATENATE("R3C",'Mapa final'!$O$44),"")</f>
        <v/>
      </c>
      <c r="T28" s="68" t="str">
        <f>IF(AND('Mapa final'!$Y$45="Media",'Mapa final'!$AA$45="Menor"),CONCATENATE("R3C",'Mapa final'!$O$45),"")</f>
        <v/>
      </c>
      <c r="U28" s="69" t="str">
        <f>IF(AND('Mapa final'!$Y$46="Media",'Mapa final'!$AA$46="Menor"),CONCATENATE("R3C",'Mapa final'!$O$46),"")</f>
        <v/>
      </c>
      <c r="V28" s="67" t="str">
        <f>IF(AND('Mapa final'!$Y$41="Media",'Mapa final'!$AA$41="Moderado"),CONCATENATE("R3C",'Mapa final'!$O$41),"")</f>
        <v/>
      </c>
      <c r="W28" s="68" t="str">
        <f>IF(AND('Mapa final'!$Y$42="Media",'Mapa final'!$AA$42="Moderado"),CONCATENATE("R3C",'Mapa final'!$O$42),"")</f>
        <v/>
      </c>
      <c r="X28" s="68" t="str">
        <f>IF(AND('Mapa final'!$Y$43="Media",'Mapa final'!$AA$43="Moderado"),CONCATENATE("R3C",'Mapa final'!$O$43),"")</f>
        <v/>
      </c>
      <c r="Y28" s="68" t="str">
        <f>IF(AND('Mapa final'!$Y$44="Media",'Mapa final'!$AA$44="Moderado"),CONCATENATE("R3C",'Mapa final'!$O$44),"")</f>
        <v/>
      </c>
      <c r="Z28" s="68" t="str">
        <f>IF(AND('Mapa final'!$Y$45="Media",'Mapa final'!$AA$45="Moderado"),CONCATENATE("R3C",'Mapa final'!$O$45),"")</f>
        <v/>
      </c>
      <c r="AA28" s="69" t="str">
        <f>IF(AND('Mapa final'!$Y$46="Media",'Mapa final'!$AA$46="Moderado"),CONCATENATE("R3C",'Mapa final'!$O$46),"")</f>
        <v/>
      </c>
      <c r="AB28" s="52" t="str">
        <f>IF(AND('Mapa final'!$Y$41="Media",'Mapa final'!$AA$41="Mayor"),CONCATENATE("R3C",'Mapa final'!$O$41),"")</f>
        <v/>
      </c>
      <c r="AC28" s="53" t="str">
        <f>IF(AND('Mapa final'!$Y$42="Media",'Mapa final'!$AA$42="Mayor"),CONCATENATE("R3C",'Mapa final'!$O$42),"")</f>
        <v/>
      </c>
      <c r="AD28" s="53" t="str">
        <f>IF(AND('Mapa final'!$Y$43="Media",'Mapa final'!$AA$43="Mayor"),CONCATENATE("R3C",'Mapa final'!$O$43),"")</f>
        <v/>
      </c>
      <c r="AE28" s="53" t="str">
        <f>IF(AND('Mapa final'!$Y$44="Media",'Mapa final'!$AA$44="Mayor"),CONCATENATE("R3C",'Mapa final'!$O$44),"")</f>
        <v/>
      </c>
      <c r="AF28" s="53" t="str">
        <f>IF(AND('Mapa final'!$Y$45="Media",'Mapa final'!$AA$45="Mayor"),CONCATENATE("R3C",'Mapa final'!$O$45),"")</f>
        <v/>
      </c>
      <c r="AG28" s="54" t="str">
        <f>IF(AND('Mapa final'!$Y$46="Media",'Mapa final'!$AA$46="Mayor"),CONCATENATE("R3C",'Mapa final'!$O$46),"")</f>
        <v/>
      </c>
      <c r="AH28" s="55" t="str">
        <f>IF(AND('Mapa final'!$Y$41="Media",'Mapa final'!$AA$41="Catastrófico"),CONCATENATE("R3C",'Mapa final'!$O$41),"")</f>
        <v/>
      </c>
      <c r="AI28" s="56" t="str">
        <f>IF(AND('Mapa final'!$Y$42="Media",'Mapa final'!$AA$42="Catastrófico"),CONCATENATE("R3C",'Mapa final'!$O$42),"")</f>
        <v/>
      </c>
      <c r="AJ28" s="56" t="str">
        <f>IF(AND('Mapa final'!$Y$43="Media",'Mapa final'!$AA$43="Catastrófico"),CONCATENATE("R3C",'Mapa final'!$O$43),"")</f>
        <v/>
      </c>
      <c r="AK28" s="56" t="str">
        <f>IF(AND('Mapa final'!$Y$44="Media",'Mapa final'!$AA$44="Catastrófico"),CONCATENATE("R3C",'Mapa final'!$O$44),"")</f>
        <v/>
      </c>
      <c r="AL28" s="56" t="str">
        <f>IF(AND('Mapa final'!$Y$45="Media",'Mapa final'!$AA$45="Catastrófico"),CONCATENATE("R3C",'Mapa final'!$O$45),"")</f>
        <v/>
      </c>
      <c r="AM28" s="57" t="str">
        <f>IF(AND('Mapa final'!$Y$46="Media",'Mapa final'!$AA$46="Catastrófico"),CONCATENATE("R3C",'Mapa final'!$O$46),"")</f>
        <v/>
      </c>
      <c r="AN28" s="83"/>
      <c r="AO28" s="499"/>
      <c r="AP28" s="500"/>
      <c r="AQ28" s="500"/>
      <c r="AR28" s="500"/>
      <c r="AS28" s="500"/>
      <c r="AT28" s="50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71"/>
      <c r="C29" s="371"/>
      <c r="D29" s="372"/>
      <c r="E29" s="470"/>
      <c r="F29" s="469"/>
      <c r="G29" s="469"/>
      <c r="H29" s="469"/>
      <c r="I29" s="485"/>
      <c r="J29" s="67" t="str">
        <f>IF(AND('Mapa final'!$Y$47="Media",'Mapa final'!$AA$47="Leve"),CONCATENATE("R4C",'Mapa final'!$O$47),"")</f>
        <v/>
      </c>
      <c r="K29" s="68" t="str">
        <f>IF(AND('Mapa final'!$Y$48="Media",'Mapa final'!$AA$48="Leve"),CONCATENATE("R4C",'Mapa final'!$O$48),"")</f>
        <v/>
      </c>
      <c r="L29" s="68" t="str">
        <f>IF(AND('Mapa final'!$Y$49="Media",'Mapa final'!$AA$49="Leve"),CONCATENATE("R4C",'Mapa final'!$O$49),"")</f>
        <v/>
      </c>
      <c r="M29" s="68" t="str">
        <f>IF(AND('Mapa final'!$Y$50="Media",'Mapa final'!$AA$50="Leve"),CONCATENATE("R4C",'Mapa final'!$O$50),"")</f>
        <v/>
      </c>
      <c r="N29" s="68" t="str">
        <f>IF(AND('Mapa final'!$Y$51="Media",'Mapa final'!$AA$51="Leve"),CONCATENATE("R4C",'Mapa final'!$O$51),"")</f>
        <v/>
      </c>
      <c r="O29" s="69" t="str">
        <f>IF(AND('Mapa final'!$Y$52="Media",'Mapa final'!$AA$52="Leve"),CONCATENATE("R4C",'Mapa final'!$O$52),"")</f>
        <v/>
      </c>
      <c r="P29" s="67" t="str">
        <f>IF(AND('Mapa final'!$Y$47="Media",'Mapa final'!$AA$47="Menor"),CONCATENATE("R4C",'Mapa final'!$O$47),"")</f>
        <v/>
      </c>
      <c r="Q29" s="68" t="str">
        <f>IF(AND('Mapa final'!$Y$48="Media",'Mapa final'!$AA$48="Menor"),CONCATENATE("R4C",'Mapa final'!$O$48),"")</f>
        <v/>
      </c>
      <c r="R29" s="68" t="str">
        <f>IF(AND('Mapa final'!$Y$49="Media",'Mapa final'!$AA$49="Menor"),CONCATENATE("R4C",'Mapa final'!$O$49),"")</f>
        <v/>
      </c>
      <c r="S29" s="68" t="str">
        <f>IF(AND('Mapa final'!$Y$50="Media",'Mapa final'!$AA$50="Menor"),CONCATENATE("R4C",'Mapa final'!$O$50),"")</f>
        <v/>
      </c>
      <c r="T29" s="68" t="str">
        <f>IF(AND('Mapa final'!$Y$51="Media",'Mapa final'!$AA$51="Menor"),CONCATENATE("R4C",'Mapa final'!$O$51),"")</f>
        <v/>
      </c>
      <c r="U29" s="69" t="str">
        <f>IF(AND('Mapa final'!$Y$52="Media",'Mapa final'!$AA$52="Menor"),CONCATENATE("R4C",'Mapa final'!$O$52),"")</f>
        <v/>
      </c>
      <c r="V29" s="67" t="str">
        <f>IF(AND('Mapa final'!$Y$47="Media",'Mapa final'!$AA$47="Moderado"),CONCATENATE("R4C",'Mapa final'!$O$47),"")</f>
        <v/>
      </c>
      <c r="W29" s="68" t="str">
        <f>IF(AND('Mapa final'!$Y$48="Media",'Mapa final'!$AA$48="Moderado"),CONCATENATE("R4C",'Mapa final'!$O$48),"")</f>
        <v/>
      </c>
      <c r="X29" s="68" t="str">
        <f>IF(AND('Mapa final'!$Y$49="Media",'Mapa final'!$AA$49="Moderado"),CONCATENATE("R4C",'Mapa final'!$O$49),"")</f>
        <v/>
      </c>
      <c r="Y29" s="68" t="str">
        <f>IF(AND('Mapa final'!$Y$50="Media",'Mapa final'!$AA$50="Moderado"),CONCATENATE("R4C",'Mapa final'!$O$50),"")</f>
        <v/>
      </c>
      <c r="Z29" s="68" t="str">
        <f>IF(AND('Mapa final'!$Y$51="Media",'Mapa final'!$AA$51="Moderado"),CONCATENATE("R4C",'Mapa final'!$O$51),"")</f>
        <v/>
      </c>
      <c r="AA29" s="69" t="str">
        <f>IF(AND('Mapa final'!$Y$52="Media",'Mapa final'!$AA$52="Moderado"),CONCATENATE("R4C",'Mapa final'!$O$52),"")</f>
        <v/>
      </c>
      <c r="AB29" s="52" t="str">
        <f>IF(AND('Mapa final'!$Y$47="Media",'Mapa final'!$AA$47="Mayor"),CONCATENATE("R4C",'Mapa final'!$O$47),"")</f>
        <v/>
      </c>
      <c r="AC29" s="53" t="str">
        <f>IF(AND('Mapa final'!$Y$48="Media",'Mapa final'!$AA$48="Mayor"),CONCATENATE("R4C",'Mapa final'!$O$48),"")</f>
        <v/>
      </c>
      <c r="AD29" s="53" t="str">
        <f>IF(AND('Mapa final'!$Y$49="Media",'Mapa final'!$AA$49="Mayor"),CONCATENATE("R4C",'Mapa final'!$O$49),"")</f>
        <v/>
      </c>
      <c r="AE29" s="53" t="str">
        <f>IF(AND('Mapa final'!$Y$50="Media",'Mapa final'!$AA$50="Mayor"),CONCATENATE("R4C",'Mapa final'!$O$50),"")</f>
        <v/>
      </c>
      <c r="AF29" s="53" t="str">
        <f>IF(AND('Mapa final'!$Y$51="Media",'Mapa final'!$AA$51="Mayor"),CONCATENATE("R4C",'Mapa final'!$O$51),"")</f>
        <v/>
      </c>
      <c r="AG29" s="54" t="str">
        <f>IF(AND('Mapa final'!$Y$52="Media",'Mapa final'!$AA$52="Mayor"),CONCATENATE("R4C",'Mapa final'!$O$52),"")</f>
        <v/>
      </c>
      <c r="AH29" s="55" t="str">
        <f>IF(AND('Mapa final'!$Y$47="Media",'Mapa final'!$AA$47="Catastrófico"),CONCATENATE("R4C",'Mapa final'!$O$47),"")</f>
        <v/>
      </c>
      <c r="AI29" s="56" t="str">
        <f>IF(AND('Mapa final'!$Y$48="Media",'Mapa final'!$AA$48="Catastrófico"),CONCATENATE("R4C",'Mapa final'!$O$48),"")</f>
        <v/>
      </c>
      <c r="AJ29" s="56" t="str">
        <f>IF(AND('Mapa final'!$Y$49="Media",'Mapa final'!$AA$49="Catastrófico"),CONCATENATE("R4C",'Mapa final'!$O$49),"")</f>
        <v/>
      </c>
      <c r="AK29" s="56" t="str">
        <f>IF(AND('Mapa final'!$Y$50="Media",'Mapa final'!$AA$50="Catastrófico"),CONCATENATE("R4C",'Mapa final'!$O$50),"")</f>
        <v/>
      </c>
      <c r="AL29" s="56" t="str">
        <f>IF(AND('Mapa final'!$Y$51="Media",'Mapa final'!$AA$51="Catastrófico"),CONCATENATE("R4C",'Mapa final'!$O$51),"")</f>
        <v/>
      </c>
      <c r="AM29" s="57" t="str">
        <f>IF(AND('Mapa final'!$Y$52="Media",'Mapa final'!$AA$52="Catastrófico"),CONCATENATE("R4C",'Mapa final'!$O$52),"")</f>
        <v/>
      </c>
      <c r="AN29" s="83"/>
      <c r="AO29" s="499"/>
      <c r="AP29" s="500"/>
      <c r="AQ29" s="500"/>
      <c r="AR29" s="500"/>
      <c r="AS29" s="500"/>
      <c r="AT29" s="50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71"/>
      <c r="C30" s="371"/>
      <c r="D30" s="372"/>
      <c r="E30" s="470"/>
      <c r="F30" s="469"/>
      <c r="G30" s="469"/>
      <c r="H30" s="469"/>
      <c r="I30" s="485"/>
      <c r="J30" s="67" t="str">
        <f>IF(AND('Mapa final'!$Y$53="Media",'Mapa final'!$AA$53="Leve"),CONCATENATE("R5C",'Mapa final'!$O$53),"")</f>
        <v/>
      </c>
      <c r="K30" s="68" t="str">
        <f>IF(AND('Mapa final'!$Y$54="Media",'Mapa final'!$AA$54="Leve"),CONCATENATE("R5C",'Mapa final'!$O$54),"")</f>
        <v/>
      </c>
      <c r="L30" s="68" t="str">
        <f>IF(AND('Mapa final'!$Y$55="Media",'Mapa final'!$AA$55="Leve"),CONCATENATE("R5C",'Mapa final'!$O$55),"")</f>
        <v/>
      </c>
      <c r="M30" s="68" t="str">
        <f>IF(AND('Mapa final'!$Y$56="Media",'Mapa final'!$AA$56="Leve"),CONCATENATE("R5C",'Mapa final'!$O$56),"")</f>
        <v/>
      </c>
      <c r="N30" s="68" t="str">
        <f>IF(AND('Mapa final'!$Y$57="Media",'Mapa final'!$AA$57="Leve"),CONCATENATE("R5C",'Mapa final'!$O$57),"")</f>
        <v/>
      </c>
      <c r="O30" s="69" t="str">
        <f>IF(AND('Mapa final'!$Y$58="Media",'Mapa final'!$AA$58="Leve"),CONCATENATE("R5C",'Mapa final'!$O$58),"")</f>
        <v/>
      </c>
      <c r="P30" s="67" t="str">
        <f>IF(AND('Mapa final'!$Y$53="Media",'Mapa final'!$AA$53="Menor"),CONCATENATE("R5C",'Mapa final'!$O$53),"")</f>
        <v>R5C1</v>
      </c>
      <c r="Q30" s="68" t="str">
        <f>IF(AND('Mapa final'!$Y$54="Media",'Mapa final'!$AA$54="Menor"),CONCATENATE("R5C",'Mapa final'!$O$54),"")</f>
        <v/>
      </c>
      <c r="R30" s="68" t="str">
        <f>IF(AND('Mapa final'!$Y$55="Media",'Mapa final'!$AA$55="Menor"),CONCATENATE("R5C",'Mapa final'!$O$55),"")</f>
        <v/>
      </c>
      <c r="S30" s="68" t="str">
        <f>IF(AND('Mapa final'!$Y$56="Media",'Mapa final'!$AA$56="Menor"),CONCATENATE("R5C",'Mapa final'!$O$56),"")</f>
        <v/>
      </c>
      <c r="T30" s="68" t="str">
        <f>IF(AND('Mapa final'!$Y$57="Media",'Mapa final'!$AA$57="Menor"),CONCATENATE("R5C",'Mapa final'!$O$57),"")</f>
        <v/>
      </c>
      <c r="U30" s="69" t="str">
        <f>IF(AND('Mapa final'!$Y$58="Media",'Mapa final'!$AA$58="Menor"),CONCATENATE("R5C",'Mapa final'!$O$58),"")</f>
        <v/>
      </c>
      <c r="V30" s="67" t="str">
        <f>IF(AND('Mapa final'!$Y$53="Media",'Mapa final'!$AA$53="Moderado"),CONCATENATE("R5C",'Mapa final'!$O$53),"")</f>
        <v/>
      </c>
      <c r="W30" s="68" t="str">
        <f>IF(AND('Mapa final'!$Y$54="Media",'Mapa final'!$AA$54="Moderado"),CONCATENATE("R5C",'Mapa final'!$O$54),"")</f>
        <v/>
      </c>
      <c r="X30" s="68" t="str">
        <f>IF(AND('Mapa final'!$Y$55="Media",'Mapa final'!$AA$55="Moderado"),CONCATENATE("R5C",'Mapa final'!$O$55),"")</f>
        <v/>
      </c>
      <c r="Y30" s="68" t="str">
        <f>IF(AND('Mapa final'!$Y$56="Media",'Mapa final'!$AA$56="Moderado"),CONCATENATE("R5C",'Mapa final'!$O$56),"")</f>
        <v/>
      </c>
      <c r="Z30" s="68" t="str">
        <f>IF(AND('Mapa final'!$Y$57="Media",'Mapa final'!$AA$57="Moderado"),CONCATENATE("R5C",'Mapa final'!$O$57),"")</f>
        <v/>
      </c>
      <c r="AA30" s="69" t="str">
        <f>IF(AND('Mapa final'!$Y$58="Media",'Mapa final'!$AA$58="Moderado"),CONCATENATE("R5C",'Mapa final'!$O$58),"")</f>
        <v/>
      </c>
      <c r="AB30" s="52" t="str">
        <f>IF(AND('Mapa final'!$Y$53="Media",'Mapa final'!$AA$53="Mayor"),CONCATENATE("R5C",'Mapa final'!$O$53),"")</f>
        <v/>
      </c>
      <c r="AC30" s="53" t="str">
        <f>IF(AND('Mapa final'!$Y$54="Media",'Mapa final'!$AA$54="Mayor"),CONCATENATE("R5C",'Mapa final'!$O$54),"")</f>
        <v/>
      </c>
      <c r="AD30" s="53" t="str">
        <f>IF(AND('Mapa final'!$Y$55="Media",'Mapa final'!$AA$55="Mayor"),CONCATENATE("R5C",'Mapa final'!$O$55),"")</f>
        <v/>
      </c>
      <c r="AE30" s="53" t="str">
        <f>IF(AND('Mapa final'!$Y$56="Media",'Mapa final'!$AA$56="Mayor"),CONCATENATE("R5C",'Mapa final'!$O$56),"")</f>
        <v/>
      </c>
      <c r="AF30" s="53" t="str">
        <f>IF(AND('Mapa final'!$Y$57="Media",'Mapa final'!$AA$57="Mayor"),CONCATENATE("R5C",'Mapa final'!$O$57),"")</f>
        <v/>
      </c>
      <c r="AG30" s="54" t="str">
        <f>IF(AND('Mapa final'!$Y$58="Media",'Mapa final'!$AA$58="Mayor"),CONCATENATE("R5C",'Mapa final'!$O$58),"")</f>
        <v/>
      </c>
      <c r="AH30" s="55" t="str">
        <f>IF(AND('Mapa final'!$Y$53="Media",'Mapa final'!$AA$53="Catastrófico"),CONCATENATE("R5C",'Mapa final'!$O$53),"")</f>
        <v/>
      </c>
      <c r="AI30" s="56" t="str">
        <f>IF(AND('Mapa final'!$Y$54="Media",'Mapa final'!$AA$54="Catastrófico"),CONCATENATE("R5C",'Mapa final'!$O$54),"")</f>
        <v/>
      </c>
      <c r="AJ30" s="56" t="str">
        <f>IF(AND('Mapa final'!$Y$55="Media",'Mapa final'!$AA$55="Catastrófico"),CONCATENATE("R5C",'Mapa final'!$O$55),"")</f>
        <v/>
      </c>
      <c r="AK30" s="56" t="str">
        <f>IF(AND('Mapa final'!$Y$56="Media",'Mapa final'!$AA$56="Catastrófico"),CONCATENATE("R5C",'Mapa final'!$O$56),"")</f>
        <v/>
      </c>
      <c r="AL30" s="56" t="str">
        <f>IF(AND('Mapa final'!$Y$57="Media",'Mapa final'!$AA$57="Catastrófico"),CONCATENATE("R5C",'Mapa final'!$O$57),"")</f>
        <v/>
      </c>
      <c r="AM30" s="57" t="str">
        <f>IF(AND('Mapa final'!$Y$58="Media",'Mapa final'!$AA$58="Catastrófico"),CONCATENATE("R5C",'Mapa final'!$O$58),"")</f>
        <v/>
      </c>
      <c r="AN30" s="83"/>
      <c r="AO30" s="499"/>
      <c r="AP30" s="500"/>
      <c r="AQ30" s="500"/>
      <c r="AR30" s="500"/>
      <c r="AS30" s="500"/>
      <c r="AT30" s="50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71"/>
      <c r="C31" s="371"/>
      <c r="D31" s="372"/>
      <c r="E31" s="470"/>
      <c r="F31" s="469"/>
      <c r="G31" s="469"/>
      <c r="H31" s="469"/>
      <c r="I31" s="485"/>
      <c r="J31" s="67" t="str">
        <f>IF(AND('Mapa final'!$Y$59="Media",'Mapa final'!$AA$59="Leve"),CONCATENATE("R6C",'Mapa final'!$O$59),"")</f>
        <v/>
      </c>
      <c r="K31" s="68" t="str">
        <f>IF(AND('Mapa final'!$Y$60="Media",'Mapa final'!$AA$60="Leve"),CONCATENATE("R6C",'Mapa final'!$O$60),"")</f>
        <v/>
      </c>
      <c r="L31" s="68" t="str">
        <f>IF(AND('Mapa final'!$Y$61="Media",'Mapa final'!$AA$61="Leve"),CONCATENATE("R6C",'Mapa final'!$O$61),"")</f>
        <v/>
      </c>
      <c r="M31" s="68" t="str">
        <f>IF(AND('Mapa final'!$Y$62="Media",'Mapa final'!$AA$62="Leve"),CONCATENATE("R6C",'Mapa final'!$O$62),"")</f>
        <v/>
      </c>
      <c r="N31" s="68" t="str">
        <f>IF(AND('Mapa final'!$Y$63="Media",'Mapa final'!$AA$63="Leve"),CONCATENATE("R6C",'Mapa final'!$O$63),"")</f>
        <v/>
      </c>
      <c r="O31" s="69" t="str">
        <f>IF(AND('Mapa final'!$Y$64="Media",'Mapa final'!$AA$64="Leve"),CONCATENATE("R6C",'Mapa final'!$O$64),"")</f>
        <v/>
      </c>
      <c r="P31" s="67" t="str">
        <f>IF(AND('Mapa final'!$Y$59="Media",'Mapa final'!$AA$59="Menor"),CONCATENATE("R6C",'Mapa final'!$O$59),"")</f>
        <v/>
      </c>
      <c r="Q31" s="68" t="str">
        <f>IF(AND('Mapa final'!$Y$60="Media",'Mapa final'!$AA$60="Menor"),CONCATENATE("R6C",'Mapa final'!$O$60),"")</f>
        <v/>
      </c>
      <c r="R31" s="68" t="str">
        <f>IF(AND('Mapa final'!$Y$61="Media",'Mapa final'!$AA$61="Menor"),CONCATENATE("R6C",'Mapa final'!$O$61),"")</f>
        <v/>
      </c>
      <c r="S31" s="68" t="str">
        <f>IF(AND('Mapa final'!$Y$62="Media",'Mapa final'!$AA$62="Menor"),CONCATENATE("R6C",'Mapa final'!$O$62),"")</f>
        <v/>
      </c>
      <c r="T31" s="68" t="str">
        <f>IF(AND('Mapa final'!$Y$63="Media",'Mapa final'!$AA$63="Menor"),CONCATENATE("R6C",'Mapa final'!$O$63),"")</f>
        <v/>
      </c>
      <c r="U31" s="69" t="str">
        <f>IF(AND('Mapa final'!$Y$64="Media",'Mapa final'!$AA$64="Menor"),CONCATENATE("R6C",'Mapa final'!$O$64),"")</f>
        <v/>
      </c>
      <c r="V31" s="67" t="str">
        <f>IF(AND('Mapa final'!$Y$59="Media",'Mapa final'!$AA$59="Moderado"),CONCATENATE("R6C",'Mapa final'!$O$59),"")</f>
        <v/>
      </c>
      <c r="W31" s="68" t="str">
        <f>IF(AND('Mapa final'!$Y$60="Media",'Mapa final'!$AA$60="Moderado"),CONCATENATE("R6C",'Mapa final'!$O$60),"")</f>
        <v/>
      </c>
      <c r="X31" s="68" t="str">
        <f>IF(AND('Mapa final'!$Y$61="Media",'Mapa final'!$AA$61="Moderado"),CONCATENATE("R6C",'Mapa final'!$O$61),"")</f>
        <v/>
      </c>
      <c r="Y31" s="68" t="str">
        <f>IF(AND('Mapa final'!$Y$62="Media",'Mapa final'!$AA$62="Moderado"),CONCATENATE("R6C",'Mapa final'!$O$62),"")</f>
        <v/>
      </c>
      <c r="Z31" s="68" t="str">
        <f>IF(AND('Mapa final'!$Y$63="Media",'Mapa final'!$AA$63="Moderado"),CONCATENATE("R6C",'Mapa final'!$O$63),"")</f>
        <v/>
      </c>
      <c r="AA31" s="69" t="str">
        <f>IF(AND('Mapa final'!$Y$64="Media",'Mapa final'!$AA$64="Moderado"),CONCATENATE("R6C",'Mapa final'!$O$64),"")</f>
        <v/>
      </c>
      <c r="AB31" s="52" t="str">
        <f>IF(AND('Mapa final'!$Y$59="Media",'Mapa final'!$AA$59="Mayor"),CONCATENATE("R6C",'Mapa final'!$O$59),"")</f>
        <v/>
      </c>
      <c r="AC31" s="53" t="str">
        <f>IF(AND('Mapa final'!$Y$60="Media",'Mapa final'!$AA$60="Mayor"),CONCATENATE("R6C",'Mapa final'!$O$60),"")</f>
        <v/>
      </c>
      <c r="AD31" s="53" t="str">
        <f>IF(AND('Mapa final'!$Y$61="Media",'Mapa final'!$AA$61="Mayor"),CONCATENATE("R6C",'Mapa final'!$O$61),"")</f>
        <v/>
      </c>
      <c r="AE31" s="53" t="str">
        <f>IF(AND('Mapa final'!$Y$62="Media",'Mapa final'!$AA$62="Mayor"),CONCATENATE("R6C",'Mapa final'!$O$62),"")</f>
        <v/>
      </c>
      <c r="AF31" s="53" t="str">
        <f>IF(AND('Mapa final'!$Y$63="Media",'Mapa final'!$AA$63="Mayor"),CONCATENATE("R6C",'Mapa final'!$O$63),"")</f>
        <v/>
      </c>
      <c r="AG31" s="54" t="str">
        <f>IF(AND('Mapa final'!$Y$64="Media",'Mapa final'!$AA$64="Mayor"),CONCATENATE("R6C",'Mapa final'!$O$64),"")</f>
        <v/>
      </c>
      <c r="AH31" s="55" t="str">
        <f>IF(AND('Mapa final'!$Y$59="Media",'Mapa final'!$AA$59="Catastrófico"),CONCATENATE("R6C",'Mapa final'!$O$59),"")</f>
        <v/>
      </c>
      <c r="AI31" s="56" t="str">
        <f>IF(AND('Mapa final'!$Y$60="Media",'Mapa final'!$AA$60="Catastrófico"),CONCATENATE("R6C",'Mapa final'!$O$60),"")</f>
        <v/>
      </c>
      <c r="AJ31" s="56" t="str">
        <f>IF(AND('Mapa final'!$Y$61="Media",'Mapa final'!$AA$61="Catastrófico"),CONCATENATE("R6C",'Mapa final'!$O$61),"")</f>
        <v/>
      </c>
      <c r="AK31" s="56" t="str">
        <f>IF(AND('Mapa final'!$Y$62="Media",'Mapa final'!$AA$62="Catastrófico"),CONCATENATE("R6C",'Mapa final'!$O$62),"")</f>
        <v/>
      </c>
      <c r="AL31" s="56" t="str">
        <f>IF(AND('Mapa final'!$Y$63="Media",'Mapa final'!$AA$63="Catastrófico"),CONCATENATE("R6C",'Mapa final'!$O$63),"")</f>
        <v/>
      </c>
      <c r="AM31" s="57" t="str">
        <f>IF(AND('Mapa final'!$Y$64="Media",'Mapa final'!$AA$64="Catastrófico"),CONCATENATE("R6C",'Mapa final'!$O$64),"")</f>
        <v/>
      </c>
      <c r="AN31" s="83"/>
      <c r="AO31" s="499"/>
      <c r="AP31" s="500"/>
      <c r="AQ31" s="500"/>
      <c r="AR31" s="500"/>
      <c r="AS31" s="500"/>
      <c r="AT31" s="50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71"/>
      <c r="C32" s="371"/>
      <c r="D32" s="372"/>
      <c r="E32" s="470"/>
      <c r="F32" s="469"/>
      <c r="G32" s="469"/>
      <c r="H32" s="469"/>
      <c r="I32" s="485"/>
      <c r="J32" s="67" t="str">
        <f>IF(AND('Mapa final'!$Y$65="Media",'Mapa final'!$AA$65="Leve"),CONCATENATE("R7C",'Mapa final'!$O$65),"")</f>
        <v/>
      </c>
      <c r="K32" s="68" t="str">
        <f>IF(AND('Mapa final'!$Y$66="Media",'Mapa final'!$AA$66="Leve"),CONCATENATE("R7C",'Mapa final'!$O$66),"")</f>
        <v/>
      </c>
      <c r="L32" s="68" t="str">
        <f>IF(AND('Mapa final'!$Y$67="Media",'Mapa final'!$AA$67="Leve"),CONCATENATE("R7C",'Mapa final'!$O$67),"")</f>
        <v/>
      </c>
      <c r="M32" s="68" t="str">
        <f>IF(AND('Mapa final'!$Y$68="Media",'Mapa final'!$AA$68="Leve"),CONCATENATE("R7C",'Mapa final'!$O$68),"")</f>
        <v/>
      </c>
      <c r="N32" s="68" t="str">
        <f>IF(AND('Mapa final'!$Y$69="Media",'Mapa final'!$AA$69="Leve"),CONCATENATE("R7C",'Mapa final'!$O$69),"")</f>
        <v/>
      </c>
      <c r="O32" s="69" t="str">
        <f>IF(AND('Mapa final'!$Y$70="Media",'Mapa final'!$AA$70="Leve"),CONCATENATE("R7C",'Mapa final'!$O$70),"")</f>
        <v/>
      </c>
      <c r="P32" s="67" t="str">
        <f>IF(AND('Mapa final'!$Y$65="Media",'Mapa final'!$AA$65="Menor"),CONCATENATE("R7C",'Mapa final'!$O$65),"")</f>
        <v/>
      </c>
      <c r="Q32" s="68" t="str">
        <f>IF(AND('Mapa final'!$Y$66="Media",'Mapa final'!$AA$66="Menor"),CONCATENATE("R7C",'Mapa final'!$O$66),"")</f>
        <v/>
      </c>
      <c r="R32" s="68" t="str">
        <f>IF(AND('Mapa final'!$Y$67="Media",'Mapa final'!$AA$67="Menor"),CONCATENATE("R7C",'Mapa final'!$O$67),"")</f>
        <v/>
      </c>
      <c r="S32" s="68" t="str">
        <f>IF(AND('Mapa final'!$Y$68="Media",'Mapa final'!$AA$68="Menor"),CONCATENATE("R7C",'Mapa final'!$O$68),"")</f>
        <v/>
      </c>
      <c r="T32" s="68" t="str">
        <f>IF(AND('Mapa final'!$Y$69="Media",'Mapa final'!$AA$69="Menor"),CONCATENATE("R7C",'Mapa final'!$O$69),"")</f>
        <v/>
      </c>
      <c r="U32" s="69" t="str">
        <f>IF(AND('Mapa final'!$Y$70="Media",'Mapa final'!$AA$70="Menor"),CONCATENATE("R7C",'Mapa final'!$O$70),"")</f>
        <v/>
      </c>
      <c r="V32" s="67" t="str">
        <f>IF(AND('Mapa final'!$Y$65="Media",'Mapa final'!$AA$65="Moderado"),CONCATENATE("R7C",'Mapa final'!$O$65),"")</f>
        <v/>
      </c>
      <c r="W32" s="68" t="str">
        <f>IF(AND('Mapa final'!$Y$66="Media",'Mapa final'!$AA$66="Moderado"),CONCATENATE("R7C",'Mapa final'!$O$66),"")</f>
        <v/>
      </c>
      <c r="X32" s="68" t="str">
        <f>IF(AND('Mapa final'!$Y$67="Media",'Mapa final'!$AA$67="Moderado"),CONCATENATE("R7C",'Mapa final'!$O$67),"")</f>
        <v/>
      </c>
      <c r="Y32" s="68" t="str">
        <f>IF(AND('Mapa final'!$Y$68="Media",'Mapa final'!$AA$68="Moderado"),CONCATENATE("R7C",'Mapa final'!$O$68),"")</f>
        <v/>
      </c>
      <c r="Z32" s="68" t="str">
        <f>IF(AND('Mapa final'!$Y$69="Media",'Mapa final'!$AA$69="Moderado"),CONCATENATE("R7C",'Mapa final'!$O$69),"")</f>
        <v/>
      </c>
      <c r="AA32" s="69" t="str">
        <f>IF(AND('Mapa final'!$Y$70="Media",'Mapa final'!$AA$70="Moderado"),CONCATENATE("R7C",'Mapa final'!$O$70),"")</f>
        <v/>
      </c>
      <c r="AB32" s="52" t="str">
        <f>IF(AND('Mapa final'!$Y$65="Media",'Mapa final'!$AA$65="Mayor"),CONCATENATE("R7C",'Mapa final'!$O$65),"")</f>
        <v/>
      </c>
      <c r="AC32" s="53" t="str">
        <f>IF(AND('Mapa final'!$Y$66="Media",'Mapa final'!$AA$66="Mayor"),CONCATENATE("R7C",'Mapa final'!$O$66),"")</f>
        <v/>
      </c>
      <c r="AD32" s="53" t="str">
        <f>IF(AND('Mapa final'!$Y$67="Media",'Mapa final'!$AA$67="Mayor"),CONCATENATE("R7C",'Mapa final'!$O$67),"")</f>
        <v/>
      </c>
      <c r="AE32" s="53" t="str">
        <f>IF(AND('Mapa final'!$Y$68="Media",'Mapa final'!$AA$68="Mayor"),CONCATENATE("R7C",'Mapa final'!$O$68),"")</f>
        <v/>
      </c>
      <c r="AF32" s="53" t="str">
        <f>IF(AND('Mapa final'!$Y$69="Media",'Mapa final'!$AA$69="Mayor"),CONCATENATE("R7C",'Mapa final'!$O$69),"")</f>
        <v/>
      </c>
      <c r="AG32" s="54" t="str">
        <f>IF(AND('Mapa final'!$Y$70="Media",'Mapa final'!$AA$70="Mayor"),CONCATENATE("R7C",'Mapa final'!$O$70),"")</f>
        <v/>
      </c>
      <c r="AH32" s="55" t="str">
        <f>IF(AND('Mapa final'!$Y$65="Media",'Mapa final'!$AA$65="Catastrófico"),CONCATENATE("R7C",'Mapa final'!$O$65),"")</f>
        <v/>
      </c>
      <c r="AI32" s="56" t="str">
        <f>IF(AND('Mapa final'!$Y$66="Media",'Mapa final'!$AA$66="Catastrófico"),CONCATENATE("R7C",'Mapa final'!$O$66),"")</f>
        <v/>
      </c>
      <c r="AJ32" s="56" t="str">
        <f>IF(AND('Mapa final'!$Y$67="Media",'Mapa final'!$AA$67="Catastrófico"),CONCATENATE("R7C",'Mapa final'!$O$67),"")</f>
        <v/>
      </c>
      <c r="AK32" s="56" t="str">
        <f>IF(AND('Mapa final'!$Y$68="Media",'Mapa final'!$AA$68="Catastrófico"),CONCATENATE("R7C",'Mapa final'!$O$68),"")</f>
        <v/>
      </c>
      <c r="AL32" s="56" t="str">
        <f>IF(AND('Mapa final'!$Y$69="Media",'Mapa final'!$AA$69="Catastrófico"),CONCATENATE("R7C",'Mapa final'!$O$69),"")</f>
        <v/>
      </c>
      <c r="AM32" s="57" t="str">
        <f>IF(AND('Mapa final'!$Y$70="Media",'Mapa final'!$AA$70="Catastrófico"),CONCATENATE("R7C",'Mapa final'!$O$70),"")</f>
        <v/>
      </c>
      <c r="AN32" s="83"/>
      <c r="AO32" s="499"/>
      <c r="AP32" s="500"/>
      <c r="AQ32" s="500"/>
      <c r="AR32" s="500"/>
      <c r="AS32" s="500"/>
      <c r="AT32" s="50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71"/>
      <c r="C33" s="371"/>
      <c r="D33" s="372"/>
      <c r="E33" s="470"/>
      <c r="F33" s="469"/>
      <c r="G33" s="469"/>
      <c r="H33" s="469"/>
      <c r="I33" s="485"/>
      <c r="J33" s="67" t="str">
        <f>IF(AND('Mapa final'!$Y$71="Media",'Mapa final'!$AA$71="Leve"),CONCATENATE("R8C",'Mapa final'!$O$71),"")</f>
        <v/>
      </c>
      <c r="K33" s="68" t="str">
        <f>IF(AND('Mapa final'!$Y$72="Media",'Mapa final'!$AA$72="Leve"),CONCATENATE("R8C",'Mapa final'!$O$72),"")</f>
        <v/>
      </c>
      <c r="L33" s="68" t="str">
        <f>IF(AND('Mapa final'!$Y$73="Media",'Mapa final'!$AA$73="Leve"),CONCATENATE("R8C",'Mapa final'!$O$73),"")</f>
        <v/>
      </c>
      <c r="M33" s="68" t="str">
        <f>IF(AND('Mapa final'!$Y$74="Media",'Mapa final'!$AA$74="Leve"),CONCATENATE("R8C",'Mapa final'!$O$74),"")</f>
        <v/>
      </c>
      <c r="N33" s="68" t="str">
        <f>IF(AND('Mapa final'!$Y$75="Media",'Mapa final'!$AA$75="Leve"),CONCATENATE("R8C",'Mapa final'!$O$75),"")</f>
        <v/>
      </c>
      <c r="O33" s="69" t="str">
        <f>IF(AND('Mapa final'!$Y$76="Media",'Mapa final'!$AA$76="Leve"),CONCATENATE("R8C",'Mapa final'!$O$76),"")</f>
        <v/>
      </c>
      <c r="P33" s="67" t="str">
        <f>IF(AND('Mapa final'!$Y$71="Media",'Mapa final'!$AA$71="Menor"),CONCATENATE("R8C",'Mapa final'!$O$71),"")</f>
        <v/>
      </c>
      <c r="Q33" s="68" t="str">
        <f>IF(AND('Mapa final'!$Y$72="Media",'Mapa final'!$AA$72="Menor"),CONCATENATE("R8C",'Mapa final'!$O$72),"")</f>
        <v/>
      </c>
      <c r="R33" s="68" t="str">
        <f>IF(AND('Mapa final'!$Y$73="Media",'Mapa final'!$AA$73="Menor"),CONCATENATE("R8C",'Mapa final'!$O$73),"")</f>
        <v/>
      </c>
      <c r="S33" s="68" t="str">
        <f>IF(AND('Mapa final'!$Y$74="Media",'Mapa final'!$AA$74="Menor"),CONCATENATE("R8C",'Mapa final'!$O$74),"")</f>
        <v/>
      </c>
      <c r="T33" s="68" t="str">
        <f>IF(AND('Mapa final'!$Y$75="Media",'Mapa final'!$AA$75="Menor"),CONCATENATE("R8C",'Mapa final'!$O$75),"")</f>
        <v/>
      </c>
      <c r="U33" s="69" t="str">
        <f>IF(AND('Mapa final'!$Y$76="Media",'Mapa final'!$AA$76="Menor"),CONCATENATE("R8C",'Mapa final'!$O$76),"")</f>
        <v/>
      </c>
      <c r="V33" s="67" t="str">
        <f>IF(AND('Mapa final'!$Y$71="Media",'Mapa final'!$AA$71="Moderado"),CONCATENATE("R8C",'Mapa final'!$O$71),"")</f>
        <v/>
      </c>
      <c r="W33" s="68" t="str">
        <f>IF(AND('Mapa final'!$Y$72="Media",'Mapa final'!$AA$72="Moderado"),CONCATENATE("R8C",'Mapa final'!$O$72),"")</f>
        <v/>
      </c>
      <c r="X33" s="68" t="str">
        <f>IF(AND('Mapa final'!$Y$73="Media",'Mapa final'!$AA$73="Moderado"),CONCATENATE("R8C",'Mapa final'!$O$73),"")</f>
        <v/>
      </c>
      <c r="Y33" s="68" t="str">
        <f>IF(AND('Mapa final'!$Y$74="Media",'Mapa final'!$AA$74="Moderado"),CONCATENATE("R8C",'Mapa final'!$O$74),"")</f>
        <v/>
      </c>
      <c r="Z33" s="68" t="str">
        <f>IF(AND('Mapa final'!$Y$75="Media",'Mapa final'!$AA$75="Moderado"),CONCATENATE("R8C",'Mapa final'!$O$75),"")</f>
        <v/>
      </c>
      <c r="AA33" s="69" t="str">
        <f>IF(AND('Mapa final'!$Y$76="Media",'Mapa final'!$AA$76="Moderado"),CONCATENATE("R8C",'Mapa final'!$O$76),"")</f>
        <v/>
      </c>
      <c r="AB33" s="52" t="str">
        <f>IF(AND('Mapa final'!$Y$71="Media",'Mapa final'!$AA$71="Mayor"),CONCATENATE("R8C",'Mapa final'!$O$71),"")</f>
        <v/>
      </c>
      <c r="AC33" s="53" t="str">
        <f>IF(AND('Mapa final'!$Y$72="Media",'Mapa final'!$AA$72="Mayor"),CONCATENATE("R8C",'Mapa final'!$O$72),"")</f>
        <v/>
      </c>
      <c r="AD33" s="53" t="str">
        <f>IF(AND('Mapa final'!$Y$73="Media",'Mapa final'!$AA$73="Mayor"),CONCATENATE("R8C",'Mapa final'!$O$73),"")</f>
        <v/>
      </c>
      <c r="AE33" s="53" t="str">
        <f>IF(AND('Mapa final'!$Y$74="Media",'Mapa final'!$AA$74="Mayor"),CONCATENATE("R8C",'Mapa final'!$O$74),"")</f>
        <v/>
      </c>
      <c r="AF33" s="53" t="str">
        <f>IF(AND('Mapa final'!$Y$75="Media",'Mapa final'!$AA$75="Mayor"),CONCATENATE("R8C",'Mapa final'!$O$75),"")</f>
        <v/>
      </c>
      <c r="AG33" s="54" t="str">
        <f>IF(AND('Mapa final'!$Y$76="Media",'Mapa final'!$AA$76="Mayor"),CONCATENATE("R8C",'Mapa final'!$O$76),"")</f>
        <v/>
      </c>
      <c r="AH33" s="55" t="str">
        <f>IF(AND('Mapa final'!$Y$71="Media",'Mapa final'!$AA$71="Catastrófico"),CONCATENATE("R8C",'Mapa final'!$O$71),"")</f>
        <v/>
      </c>
      <c r="AI33" s="56" t="str">
        <f>IF(AND('Mapa final'!$Y$72="Media",'Mapa final'!$AA$72="Catastrófico"),CONCATENATE("R8C",'Mapa final'!$O$72),"")</f>
        <v/>
      </c>
      <c r="AJ33" s="56" t="str">
        <f>IF(AND('Mapa final'!$Y$73="Media",'Mapa final'!$AA$73="Catastrófico"),CONCATENATE("R8C",'Mapa final'!$O$73),"")</f>
        <v/>
      </c>
      <c r="AK33" s="56" t="str">
        <f>IF(AND('Mapa final'!$Y$74="Media",'Mapa final'!$AA$74="Catastrófico"),CONCATENATE("R8C",'Mapa final'!$O$74),"")</f>
        <v/>
      </c>
      <c r="AL33" s="56" t="str">
        <f>IF(AND('Mapa final'!$Y$75="Media",'Mapa final'!$AA$75="Catastrófico"),CONCATENATE("R8C",'Mapa final'!$O$75),"")</f>
        <v/>
      </c>
      <c r="AM33" s="57" t="str">
        <f>IF(AND('Mapa final'!$Y$76="Media",'Mapa final'!$AA$76="Catastrófico"),CONCATENATE("R8C",'Mapa final'!$O$76),"")</f>
        <v/>
      </c>
      <c r="AN33" s="83"/>
      <c r="AO33" s="499"/>
      <c r="AP33" s="500"/>
      <c r="AQ33" s="500"/>
      <c r="AR33" s="500"/>
      <c r="AS33" s="500"/>
      <c r="AT33" s="50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71"/>
      <c r="C34" s="371"/>
      <c r="D34" s="372"/>
      <c r="E34" s="470"/>
      <c r="F34" s="469"/>
      <c r="G34" s="469"/>
      <c r="H34" s="469"/>
      <c r="I34" s="485"/>
      <c r="J34" s="67" t="str">
        <f>IF(AND('Mapa final'!$Y$77="Media",'Mapa final'!$AA$77="Leve"),CONCATENATE("R9C",'Mapa final'!$O$77),"")</f>
        <v/>
      </c>
      <c r="K34" s="68" t="str">
        <f>IF(AND('Mapa final'!$Y$78="Media",'Mapa final'!$AA$78="Leve"),CONCATENATE("R9C",'Mapa final'!$O$78),"")</f>
        <v/>
      </c>
      <c r="L34" s="68" t="str">
        <f>IF(AND('Mapa final'!$Y$79="Media",'Mapa final'!$AA$79="Leve"),CONCATENATE("R9C",'Mapa final'!$O$79),"")</f>
        <v/>
      </c>
      <c r="M34" s="68" t="str">
        <f>IF(AND('Mapa final'!$Y$80="Media",'Mapa final'!$AA$80="Leve"),CONCATENATE("R9C",'Mapa final'!$O$80),"")</f>
        <v/>
      </c>
      <c r="N34" s="68" t="str">
        <f>IF(AND('Mapa final'!$Y$81="Media",'Mapa final'!$AA$81="Leve"),CONCATENATE("R9C",'Mapa final'!$O$81),"")</f>
        <v/>
      </c>
      <c r="O34" s="69" t="str">
        <f>IF(AND('Mapa final'!$Y$82="Media",'Mapa final'!$AA$82="Leve"),CONCATENATE("R9C",'Mapa final'!$O$82),"")</f>
        <v/>
      </c>
      <c r="P34" s="67" t="str">
        <f>IF(AND('Mapa final'!$Y$77="Media",'Mapa final'!$AA$77="Menor"),CONCATENATE("R9C",'Mapa final'!$O$77),"")</f>
        <v/>
      </c>
      <c r="Q34" s="68" t="str">
        <f>IF(AND('Mapa final'!$Y$78="Media",'Mapa final'!$AA$78="Menor"),CONCATENATE("R9C",'Mapa final'!$O$78),"")</f>
        <v/>
      </c>
      <c r="R34" s="68" t="str">
        <f>IF(AND('Mapa final'!$Y$79="Media",'Mapa final'!$AA$79="Menor"),CONCATENATE("R9C",'Mapa final'!$O$79),"")</f>
        <v/>
      </c>
      <c r="S34" s="68" t="str">
        <f>IF(AND('Mapa final'!$Y$80="Media",'Mapa final'!$AA$80="Menor"),CONCATENATE("R9C",'Mapa final'!$O$80),"")</f>
        <v/>
      </c>
      <c r="T34" s="68" t="str">
        <f>IF(AND('Mapa final'!$Y$81="Media",'Mapa final'!$AA$81="Menor"),CONCATENATE("R9C",'Mapa final'!$O$81),"")</f>
        <v/>
      </c>
      <c r="U34" s="69" t="str">
        <f>IF(AND('Mapa final'!$Y$82="Media",'Mapa final'!$AA$82="Menor"),CONCATENATE("R9C",'Mapa final'!$O$82),"")</f>
        <v/>
      </c>
      <c r="V34" s="67" t="str">
        <f>IF(AND('Mapa final'!$Y$77="Media",'Mapa final'!$AA$77="Moderado"),CONCATENATE("R9C",'Mapa final'!$O$77),"")</f>
        <v/>
      </c>
      <c r="W34" s="68" t="str">
        <f>IF(AND('Mapa final'!$Y$78="Media",'Mapa final'!$AA$78="Moderado"),CONCATENATE("R9C",'Mapa final'!$O$78),"")</f>
        <v/>
      </c>
      <c r="X34" s="68" t="str">
        <f>IF(AND('Mapa final'!$Y$79="Media",'Mapa final'!$AA$79="Moderado"),CONCATENATE("R9C",'Mapa final'!$O$79),"")</f>
        <v/>
      </c>
      <c r="Y34" s="68" t="str">
        <f>IF(AND('Mapa final'!$Y$80="Media",'Mapa final'!$AA$80="Moderado"),CONCATENATE("R9C",'Mapa final'!$O$80),"")</f>
        <v/>
      </c>
      <c r="Z34" s="68" t="str">
        <f>IF(AND('Mapa final'!$Y$81="Media",'Mapa final'!$AA$81="Moderado"),CONCATENATE("R9C",'Mapa final'!$O$81),"")</f>
        <v/>
      </c>
      <c r="AA34" s="69" t="str">
        <f>IF(AND('Mapa final'!$Y$82="Media",'Mapa final'!$AA$82="Moderado"),CONCATENATE("R9C",'Mapa final'!$O$82),"")</f>
        <v/>
      </c>
      <c r="AB34" s="52" t="str">
        <f>IF(AND('Mapa final'!$Y$77="Media",'Mapa final'!$AA$77="Mayor"),CONCATENATE("R9C",'Mapa final'!$O$77),"")</f>
        <v/>
      </c>
      <c r="AC34" s="53" t="str">
        <f>IF(AND('Mapa final'!$Y$78="Media",'Mapa final'!$AA$78="Mayor"),CONCATENATE("R9C",'Mapa final'!$O$78),"")</f>
        <v/>
      </c>
      <c r="AD34" s="53" t="str">
        <f>IF(AND('Mapa final'!$Y$79="Media",'Mapa final'!$AA$79="Mayor"),CONCATENATE("R9C",'Mapa final'!$O$79),"")</f>
        <v/>
      </c>
      <c r="AE34" s="53" t="str">
        <f>IF(AND('Mapa final'!$Y$80="Media",'Mapa final'!$AA$80="Mayor"),CONCATENATE("R9C",'Mapa final'!$O$80),"")</f>
        <v/>
      </c>
      <c r="AF34" s="53" t="str">
        <f>IF(AND('Mapa final'!$Y$81="Media",'Mapa final'!$AA$81="Mayor"),CONCATENATE("R9C",'Mapa final'!$O$81),"")</f>
        <v/>
      </c>
      <c r="AG34" s="54" t="str">
        <f>IF(AND('Mapa final'!$Y$82="Media",'Mapa final'!$AA$82="Mayor"),CONCATENATE("R9C",'Mapa final'!$O$82),"")</f>
        <v/>
      </c>
      <c r="AH34" s="55" t="str">
        <f>IF(AND('Mapa final'!$Y$77="Media",'Mapa final'!$AA$77="Catastrófico"),CONCATENATE("R9C",'Mapa final'!$O$77),"")</f>
        <v/>
      </c>
      <c r="AI34" s="56" t="str">
        <f>IF(AND('Mapa final'!$Y$78="Media",'Mapa final'!$AA$78="Catastrófico"),CONCATENATE("R9C",'Mapa final'!$O$78),"")</f>
        <v/>
      </c>
      <c r="AJ34" s="56" t="str">
        <f>IF(AND('Mapa final'!$Y$79="Media",'Mapa final'!$AA$79="Catastrófico"),CONCATENATE("R9C",'Mapa final'!$O$79),"")</f>
        <v/>
      </c>
      <c r="AK34" s="56" t="str">
        <f>IF(AND('Mapa final'!$Y$80="Media",'Mapa final'!$AA$80="Catastrófico"),CONCATENATE("R9C",'Mapa final'!$O$80),"")</f>
        <v/>
      </c>
      <c r="AL34" s="56" t="str">
        <f>IF(AND('Mapa final'!$Y$81="Media",'Mapa final'!$AA$81="Catastrófico"),CONCATENATE("R9C",'Mapa final'!$O$81),"")</f>
        <v/>
      </c>
      <c r="AM34" s="57" t="str">
        <f>IF(AND('Mapa final'!$Y$82="Media",'Mapa final'!$AA$82="Catastrófico"),CONCATENATE("R9C",'Mapa final'!$O$82),"")</f>
        <v/>
      </c>
      <c r="AN34" s="83"/>
      <c r="AO34" s="499"/>
      <c r="AP34" s="500"/>
      <c r="AQ34" s="500"/>
      <c r="AR34" s="500"/>
      <c r="AS34" s="500"/>
      <c r="AT34" s="50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71"/>
      <c r="C35" s="371"/>
      <c r="D35" s="372"/>
      <c r="E35" s="471"/>
      <c r="F35" s="472"/>
      <c r="G35" s="472"/>
      <c r="H35" s="472"/>
      <c r="I35" s="486"/>
      <c r="J35" s="67" t="str">
        <f>IF(AND('Mapa final'!$Y$83="Media",'Mapa final'!$AA$83="Leve"),CONCATENATE("R10C",'Mapa final'!$O$83),"")</f>
        <v/>
      </c>
      <c r="K35" s="68" t="str">
        <f>IF(AND('Mapa final'!$Y$84="Media",'Mapa final'!$AA$84="Leve"),CONCATENATE("R10C",'Mapa final'!$O$84),"")</f>
        <v/>
      </c>
      <c r="L35" s="68" t="str">
        <f>IF(AND('Mapa final'!$Y$85="Media",'Mapa final'!$AA$85="Leve"),CONCATENATE("R10C",'Mapa final'!$O$85),"")</f>
        <v/>
      </c>
      <c r="M35" s="68" t="str">
        <f>IF(AND('Mapa final'!$Y$86="Media",'Mapa final'!$AA$86="Leve"),CONCATENATE("R10C",'Mapa final'!$O$86),"")</f>
        <v/>
      </c>
      <c r="N35" s="68" t="str">
        <f>IF(AND('Mapa final'!$Y$87="Media",'Mapa final'!$AA$87="Leve"),CONCATENATE("R10C",'Mapa final'!$O$87),"")</f>
        <v/>
      </c>
      <c r="O35" s="69" t="str">
        <f>IF(AND('Mapa final'!$Y$88="Media",'Mapa final'!$AA$88="Leve"),CONCATENATE("R10C",'Mapa final'!$O$88),"")</f>
        <v/>
      </c>
      <c r="P35" s="67" t="str">
        <f>IF(AND('Mapa final'!$Y$83="Media",'Mapa final'!$AA$83="Menor"),CONCATENATE("R10C",'Mapa final'!$O$83),"")</f>
        <v/>
      </c>
      <c r="Q35" s="68" t="str">
        <f>IF(AND('Mapa final'!$Y$84="Media",'Mapa final'!$AA$84="Menor"),CONCATENATE("R10C",'Mapa final'!$O$84),"")</f>
        <v/>
      </c>
      <c r="R35" s="68" t="str">
        <f>IF(AND('Mapa final'!$Y$85="Media",'Mapa final'!$AA$85="Menor"),CONCATENATE("R10C",'Mapa final'!$O$85),"")</f>
        <v/>
      </c>
      <c r="S35" s="68" t="str">
        <f>IF(AND('Mapa final'!$Y$86="Media",'Mapa final'!$AA$86="Menor"),CONCATENATE("R10C",'Mapa final'!$O$86),"")</f>
        <v/>
      </c>
      <c r="T35" s="68" t="str">
        <f>IF(AND('Mapa final'!$Y$87="Media",'Mapa final'!$AA$87="Menor"),CONCATENATE("R10C",'Mapa final'!$O$87),"")</f>
        <v/>
      </c>
      <c r="U35" s="69" t="str">
        <f>IF(AND('Mapa final'!$Y$88="Media",'Mapa final'!$AA$88="Menor"),CONCATENATE("R10C",'Mapa final'!$O$88),"")</f>
        <v/>
      </c>
      <c r="V35" s="67" t="str">
        <f>IF(AND('Mapa final'!$Y$83="Media",'Mapa final'!$AA$83="Moderado"),CONCATENATE("R10C",'Mapa final'!$O$83),"")</f>
        <v/>
      </c>
      <c r="W35" s="68" t="str">
        <f>IF(AND('Mapa final'!$Y$84="Media",'Mapa final'!$AA$84="Moderado"),CONCATENATE("R10C",'Mapa final'!$O$84),"")</f>
        <v/>
      </c>
      <c r="X35" s="68" t="str">
        <f>IF(AND('Mapa final'!$Y$85="Media",'Mapa final'!$AA$85="Moderado"),CONCATENATE("R10C",'Mapa final'!$O$85),"")</f>
        <v/>
      </c>
      <c r="Y35" s="68" t="str">
        <f>IF(AND('Mapa final'!$Y$86="Media",'Mapa final'!$AA$86="Moderado"),CONCATENATE("R10C",'Mapa final'!$O$86),"")</f>
        <v/>
      </c>
      <c r="Z35" s="68" t="str">
        <f>IF(AND('Mapa final'!$Y$87="Media",'Mapa final'!$AA$87="Moderado"),CONCATENATE("R10C",'Mapa final'!$O$87),"")</f>
        <v/>
      </c>
      <c r="AA35" s="69" t="str">
        <f>IF(AND('Mapa final'!$Y$88="Media",'Mapa final'!$AA$88="Moderado"),CONCATENATE("R10C",'Mapa final'!$O$88),"")</f>
        <v/>
      </c>
      <c r="AB35" s="58" t="str">
        <f>IF(AND('Mapa final'!$Y$83="Media",'Mapa final'!$AA$83="Mayor"),CONCATENATE("R10C",'Mapa final'!$O$83),"")</f>
        <v/>
      </c>
      <c r="AC35" s="59" t="str">
        <f>IF(AND('Mapa final'!$Y$84="Media",'Mapa final'!$AA$84="Mayor"),CONCATENATE("R10C",'Mapa final'!$O$84),"")</f>
        <v/>
      </c>
      <c r="AD35" s="59" t="str">
        <f>IF(AND('Mapa final'!$Y$85="Media",'Mapa final'!$AA$85="Mayor"),CONCATENATE("R10C",'Mapa final'!$O$85),"")</f>
        <v/>
      </c>
      <c r="AE35" s="59" t="str">
        <f>IF(AND('Mapa final'!$Y$86="Media",'Mapa final'!$AA$86="Mayor"),CONCATENATE("R10C",'Mapa final'!$O$86),"")</f>
        <v/>
      </c>
      <c r="AF35" s="59" t="str">
        <f>IF(AND('Mapa final'!$Y$87="Media",'Mapa final'!$AA$87="Mayor"),CONCATENATE("R10C",'Mapa final'!$O$87),"")</f>
        <v/>
      </c>
      <c r="AG35" s="60" t="str">
        <f>IF(AND('Mapa final'!$Y$88="Media",'Mapa final'!$AA$88="Mayor"),CONCATENATE("R10C",'Mapa final'!$O$88),"")</f>
        <v/>
      </c>
      <c r="AH35" s="61" t="str">
        <f>IF(AND('Mapa final'!$Y$83="Media",'Mapa final'!$AA$83="Catastrófico"),CONCATENATE("R10C",'Mapa final'!$O$83),"")</f>
        <v/>
      </c>
      <c r="AI35" s="62" t="str">
        <f>IF(AND('Mapa final'!$Y$84="Media",'Mapa final'!$AA$84="Catastrófico"),CONCATENATE("R10C",'Mapa final'!$O$84),"")</f>
        <v/>
      </c>
      <c r="AJ35" s="62" t="str">
        <f>IF(AND('Mapa final'!$Y$85="Media",'Mapa final'!$AA$85="Catastrófico"),CONCATENATE("R10C",'Mapa final'!$O$85),"")</f>
        <v/>
      </c>
      <c r="AK35" s="62" t="str">
        <f>IF(AND('Mapa final'!$Y$86="Media",'Mapa final'!$AA$86="Catastrófico"),CONCATENATE("R10C",'Mapa final'!$O$86),"")</f>
        <v/>
      </c>
      <c r="AL35" s="62" t="str">
        <f>IF(AND('Mapa final'!$Y$87="Media",'Mapa final'!$AA$87="Catastrófico"),CONCATENATE("R10C",'Mapa final'!$O$87),"")</f>
        <v/>
      </c>
      <c r="AM35" s="63" t="str">
        <f>IF(AND('Mapa final'!$Y$88="Media",'Mapa final'!$AA$88="Catastrófico"),CONCATENATE("R10C",'Mapa final'!$O$88),"")</f>
        <v/>
      </c>
      <c r="AN35" s="83"/>
      <c r="AO35" s="502"/>
      <c r="AP35" s="503"/>
      <c r="AQ35" s="503"/>
      <c r="AR35" s="503"/>
      <c r="AS35" s="503"/>
      <c r="AT35" s="50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71"/>
      <c r="C36" s="371"/>
      <c r="D36" s="372"/>
      <c r="E36" s="466" t="s">
        <v>98</v>
      </c>
      <c r="F36" s="467"/>
      <c r="G36" s="467"/>
      <c r="H36" s="467"/>
      <c r="I36" s="467"/>
      <c r="J36" s="73" t="str">
        <f>IF(AND('Mapa final'!$Y$29="Baja",'Mapa final'!$AA$29="Leve"),CONCATENATE("R1C",'Mapa final'!$O$29),"")</f>
        <v/>
      </c>
      <c r="K36" s="74" t="str">
        <f>IF(AND('Mapa final'!$Y$30="Baja",'Mapa final'!$AA$30="Leve"),CONCATENATE("R1C",'Mapa final'!$O$30),"")</f>
        <v/>
      </c>
      <c r="L36" s="74" t="str">
        <f>IF(AND('Mapa final'!$Y$31="Baja",'Mapa final'!$AA$31="Leve"),CONCATENATE("R1C",'Mapa final'!$O$31),"")</f>
        <v/>
      </c>
      <c r="M36" s="74" t="str">
        <f>IF(AND('Mapa final'!$Y$32="Baja",'Mapa final'!$AA$32="Leve"),CONCATENATE("R1C",'Mapa final'!$O$32),"")</f>
        <v/>
      </c>
      <c r="N36" s="74" t="str">
        <f>IF(AND('Mapa final'!$Y$33="Baja",'Mapa final'!$AA$33="Leve"),CONCATENATE("R1C",'Mapa final'!$O$33),"")</f>
        <v/>
      </c>
      <c r="O36" s="75" t="str">
        <f>IF(AND('Mapa final'!$Y$34="Baja",'Mapa final'!$AA$34="Leve"),CONCATENATE("R1C",'Mapa final'!$O$34),"")</f>
        <v/>
      </c>
      <c r="P36" s="64" t="str">
        <f>IF(AND('Mapa final'!$Y$29="Baja",'Mapa final'!$AA$29="Menor"),CONCATENATE("R1C",'Mapa final'!$O$29),"")</f>
        <v/>
      </c>
      <c r="Q36" s="65" t="str">
        <f>IF(AND('Mapa final'!$Y$30="Baja",'Mapa final'!$AA$30="Menor"),CONCATENATE("R1C",'Mapa final'!$O$30),"")</f>
        <v/>
      </c>
      <c r="R36" s="65" t="str">
        <f>IF(AND('Mapa final'!$Y$31="Baja",'Mapa final'!$AA$31="Menor"),CONCATENATE("R1C",'Mapa final'!$O$31),"")</f>
        <v/>
      </c>
      <c r="S36" s="65" t="str">
        <f>IF(AND('Mapa final'!$Y$32="Baja",'Mapa final'!$AA$32="Menor"),CONCATENATE("R1C",'Mapa final'!$O$32),"")</f>
        <v/>
      </c>
      <c r="T36" s="65" t="str">
        <f>IF(AND('Mapa final'!$Y$33="Baja",'Mapa final'!$AA$33="Menor"),CONCATENATE("R1C",'Mapa final'!$O$33),"")</f>
        <v/>
      </c>
      <c r="U36" s="66" t="str">
        <f>IF(AND('Mapa final'!$Y$34="Baja",'Mapa final'!$AA$34="Menor"),CONCATENATE("R1C",'Mapa final'!$O$34),"")</f>
        <v/>
      </c>
      <c r="V36" s="64" t="str">
        <f>IF(AND('Mapa final'!$Y$29="Baja",'Mapa final'!$AA$29="Moderado"),CONCATENATE("R1C",'Mapa final'!$O$29),"")</f>
        <v/>
      </c>
      <c r="W36" s="65" t="str">
        <f>IF(AND('Mapa final'!$Y$30="Baja",'Mapa final'!$AA$30="Moderado"),CONCATENATE("R1C",'Mapa final'!$O$30),"")</f>
        <v/>
      </c>
      <c r="X36" s="65" t="str">
        <f>IF(AND('Mapa final'!$Y$31="Baja",'Mapa final'!$AA$31="Moderado"),CONCATENATE("R1C",'Mapa final'!$O$31),"")</f>
        <v/>
      </c>
      <c r="Y36" s="65" t="str">
        <f>IF(AND('Mapa final'!$Y$32="Baja",'Mapa final'!$AA$32="Moderado"),CONCATENATE("R1C",'Mapa final'!$O$32),"")</f>
        <v/>
      </c>
      <c r="Z36" s="65" t="str">
        <f>IF(AND('Mapa final'!$Y$33="Baja",'Mapa final'!$AA$33="Moderado"),CONCATENATE("R1C",'Mapa final'!$O$33),"")</f>
        <v/>
      </c>
      <c r="AA36" s="66" t="str">
        <f>IF(AND('Mapa final'!$Y$34="Baja",'Mapa final'!$AA$34="Moderado"),CONCATENATE("R1C",'Mapa final'!$O$34),"")</f>
        <v/>
      </c>
      <c r="AB36" s="46" t="str">
        <f>IF(AND('Mapa final'!$Y$29="Baja",'Mapa final'!$AA$29="Mayor"),CONCATENATE("R1C",'Mapa final'!$O$29),"")</f>
        <v/>
      </c>
      <c r="AC36" s="47" t="str">
        <f>IF(AND('Mapa final'!$Y$30="Baja",'Mapa final'!$AA$30="Mayor"),CONCATENATE("R1C",'Mapa final'!$O$30),"")</f>
        <v/>
      </c>
      <c r="AD36" s="47" t="str">
        <f>IF(AND('Mapa final'!$Y$31="Baja",'Mapa final'!$AA$31="Mayor"),CONCATENATE("R1C",'Mapa final'!$O$31),"")</f>
        <v/>
      </c>
      <c r="AE36" s="47" t="str">
        <f>IF(AND('Mapa final'!$Y$32="Baja",'Mapa final'!$AA$32="Mayor"),CONCATENATE("R1C",'Mapa final'!$O$32),"")</f>
        <v/>
      </c>
      <c r="AF36" s="47" t="str">
        <f>IF(AND('Mapa final'!$Y$33="Baja",'Mapa final'!$AA$33="Mayor"),CONCATENATE("R1C",'Mapa final'!$O$33),"")</f>
        <v/>
      </c>
      <c r="AG36" s="48" t="str">
        <f>IF(AND('Mapa final'!$Y$34="Baja",'Mapa final'!$AA$34="Mayor"),CONCATENATE("R1C",'Mapa final'!$O$34),"")</f>
        <v/>
      </c>
      <c r="AH36" s="49" t="str">
        <f>IF(AND('Mapa final'!$Y$29="Baja",'Mapa final'!$AA$29="Catastrófico"),CONCATENATE("R1C",'Mapa final'!$O$29),"")</f>
        <v/>
      </c>
      <c r="AI36" s="50" t="str">
        <f>IF(AND('Mapa final'!$Y$30="Baja",'Mapa final'!$AA$30="Catastrófico"),CONCATENATE("R1C",'Mapa final'!$O$30),"")</f>
        <v/>
      </c>
      <c r="AJ36" s="50" t="str">
        <f>IF(AND('Mapa final'!$Y$31="Baja",'Mapa final'!$AA$31="Catastrófico"),CONCATENATE("R1C",'Mapa final'!$O$31),"")</f>
        <v/>
      </c>
      <c r="AK36" s="50" t="str">
        <f>IF(AND('Mapa final'!$Y$32="Baja",'Mapa final'!$AA$32="Catastrófico"),CONCATENATE("R1C",'Mapa final'!$O$32),"")</f>
        <v/>
      </c>
      <c r="AL36" s="50" t="str">
        <f>IF(AND('Mapa final'!$Y$33="Baja",'Mapa final'!$AA$33="Catastrófico"),CONCATENATE("R1C",'Mapa final'!$O$33),"")</f>
        <v/>
      </c>
      <c r="AM36" s="51" t="str">
        <f>IF(AND('Mapa final'!$Y$34="Baja",'Mapa final'!$AA$34="Catastrófico"),CONCATENATE("R1C",'Mapa final'!$O$34),"")</f>
        <v/>
      </c>
      <c r="AN36" s="83"/>
      <c r="AO36" s="487" t="s">
        <v>99</v>
      </c>
      <c r="AP36" s="488"/>
      <c r="AQ36" s="488"/>
      <c r="AR36" s="488"/>
      <c r="AS36" s="488"/>
      <c r="AT36" s="48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71"/>
      <c r="C37" s="371"/>
      <c r="D37" s="372"/>
      <c r="E37" s="468"/>
      <c r="F37" s="469"/>
      <c r="G37" s="469"/>
      <c r="H37" s="469"/>
      <c r="I37" s="469"/>
      <c r="J37" s="76" t="str">
        <f>IF(AND('Mapa final'!$Y$35="Baja",'Mapa final'!$AA$35="Leve"),CONCATENATE("R2C",'Mapa final'!$O$35),"")</f>
        <v>R2C1</v>
      </c>
      <c r="K37" s="77" t="str">
        <f>IF(AND('Mapa final'!$Y$36="Baja",'Mapa final'!$AA$36="Leve"),CONCATENATE("R2C",'Mapa final'!$O$36),"")</f>
        <v>R2C2</v>
      </c>
      <c r="L37" s="77" t="str">
        <f>IF(AND('Mapa final'!$Y$37="Baja",'Mapa final'!$AA$37="Leve"),CONCATENATE("R2C",'Mapa final'!$O$37),"")</f>
        <v/>
      </c>
      <c r="M37" s="77" t="str">
        <f>IF(AND('Mapa final'!$Y$38="Baja",'Mapa final'!$AA$38="Leve"),CONCATENATE("R2C",'Mapa final'!$O$38),"")</f>
        <v/>
      </c>
      <c r="N37" s="77" t="str">
        <f>IF(AND('Mapa final'!$Y$39="Baja",'Mapa final'!$AA$39="Leve"),CONCATENATE("R2C",'Mapa final'!$O$39),"")</f>
        <v/>
      </c>
      <c r="O37" s="78" t="str">
        <f>IF(AND('Mapa final'!$Y$40="Baja",'Mapa final'!$AA$40="Leve"),CONCATENATE("R2C",'Mapa final'!$O$40),"")</f>
        <v/>
      </c>
      <c r="P37" s="67" t="str">
        <f>IF(AND('Mapa final'!$Y$35="Baja",'Mapa final'!$AA$35="Menor"),CONCATENATE("R2C",'Mapa final'!$O$35),"")</f>
        <v/>
      </c>
      <c r="Q37" s="68" t="str">
        <f>IF(AND('Mapa final'!$Y$36="Baja",'Mapa final'!$AA$36="Menor"),CONCATENATE("R2C",'Mapa final'!$O$36),"")</f>
        <v/>
      </c>
      <c r="R37" s="68" t="str">
        <f>IF(AND('Mapa final'!$Y$37="Baja",'Mapa final'!$AA$37="Menor"),CONCATENATE("R2C",'Mapa final'!$O$37),"")</f>
        <v/>
      </c>
      <c r="S37" s="68" t="str">
        <f>IF(AND('Mapa final'!$Y$38="Baja",'Mapa final'!$AA$38="Menor"),CONCATENATE("R2C",'Mapa final'!$O$38),"")</f>
        <v/>
      </c>
      <c r="T37" s="68" t="str">
        <f>IF(AND('Mapa final'!$Y$39="Baja",'Mapa final'!$AA$39="Menor"),CONCATENATE("R2C",'Mapa final'!$O$39),"")</f>
        <v/>
      </c>
      <c r="U37" s="69" t="str">
        <f>IF(AND('Mapa final'!$Y$40="Baja",'Mapa final'!$AA$40="Menor"),CONCATENATE("R2C",'Mapa final'!$O$40),"")</f>
        <v/>
      </c>
      <c r="V37" s="67" t="str">
        <f>IF(AND('Mapa final'!$Y$35="Baja",'Mapa final'!$AA$35="Moderado"),CONCATENATE("R2C",'Mapa final'!$O$35),"")</f>
        <v/>
      </c>
      <c r="W37" s="68" t="str">
        <f>IF(AND('Mapa final'!$Y$36="Baja",'Mapa final'!$AA$36="Moderado"),CONCATENATE("R2C",'Mapa final'!$O$36),"")</f>
        <v/>
      </c>
      <c r="X37" s="68" t="str">
        <f>IF(AND('Mapa final'!$Y$37="Baja",'Mapa final'!$AA$37="Moderado"),CONCATENATE("R2C",'Mapa final'!$O$37),"")</f>
        <v/>
      </c>
      <c r="Y37" s="68" t="str">
        <f>IF(AND('Mapa final'!$Y$38="Baja",'Mapa final'!$AA$38="Moderado"),CONCATENATE("R2C",'Mapa final'!$O$38),"")</f>
        <v/>
      </c>
      <c r="Z37" s="68" t="str">
        <f>IF(AND('Mapa final'!$Y$39="Baja",'Mapa final'!$AA$39="Moderado"),CONCATENATE("R2C",'Mapa final'!$O$39),"")</f>
        <v/>
      </c>
      <c r="AA37" s="69" t="str">
        <f>IF(AND('Mapa final'!$Y$40="Baja",'Mapa final'!$AA$40="Moderado"),CONCATENATE("R2C",'Mapa final'!$O$40),"")</f>
        <v/>
      </c>
      <c r="AB37" s="52" t="str">
        <f>IF(AND('Mapa final'!$Y$35="Baja",'Mapa final'!$AA$35="Mayor"),CONCATENATE("R2C",'Mapa final'!$O$35),"")</f>
        <v/>
      </c>
      <c r="AC37" s="53" t="str">
        <f>IF(AND('Mapa final'!$Y$36="Baja",'Mapa final'!$AA$36="Mayor"),CONCATENATE("R2C",'Mapa final'!$O$36),"")</f>
        <v/>
      </c>
      <c r="AD37" s="53" t="str">
        <f>IF(AND('Mapa final'!$Y$37="Baja",'Mapa final'!$AA$37="Mayor"),CONCATENATE("R2C",'Mapa final'!$O$37),"")</f>
        <v/>
      </c>
      <c r="AE37" s="53" t="str">
        <f>IF(AND('Mapa final'!$Y$38="Baja",'Mapa final'!$AA$38="Mayor"),CONCATENATE("R2C",'Mapa final'!$O$38),"")</f>
        <v/>
      </c>
      <c r="AF37" s="53" t="str">
        <f>IF(AND('Mapa final'!$Y$39="Baja",'Mapa final'!$AA$39="Mayor"),CONCATENATE("R2C",'Mapa final'!$O$39),"")</f>
        <v/>
      </c>
      <c r="AG37" s="54" t="str">
        <f>IF(AND('Mapa final'!$Y$40="Baja",'Mapa final'!$AA$40="Mayor"),CONCATENATE("R2C",'Mapa final'!$O$40),"")</f>
        <v/>
      </c>
      <c r="AH37" s="55" t="str">
        <f>IF(AND('Mapa final'!$Y$35="Baja",'Mapa final'!$AA$35="Catastrófico"),CONCATENATE("R2C",'Mapa final'!$O$35),"")</f>
        <v/>
      </c>
      <c r="AI37" s="56" t="str">
        <f>IF(AND('Mapa final'!$Y$36="Baja",'Mapa final'!$AA$36="Catastrófico"),CONCATENATE("R2C",'Mapa final'!$O$36),"")</f>
        <v/>
      </c>
      <c r="AJ37" s="56" t="str">
        <f>IF(AND('Mapa final'!$Y$37="Baja",'Mapa final'!$AA$37="Catastrófico"),CONCATENATE("R2C",'Mapa final'!$O$37),"")</f>
        <v/>
      </c>
      <c r="AK37" s="56" t="str">
        <f>IF(AND('Mapa final'!$Y$38="Baja",'Mapa final'!$AA$38="Catastrófico"),CONCATENATE("R2C",'Mapa final'!$O$38),"")</f>
        <v/>
      </c>
      <c r="AL37" s="56" t="str">
        <f>IF(AND('Mapa final'!$Y$39="Baja",'Mapa final'!$AA$39="Catastrófico"),CONCATENATE("R2C",'Mapa final'!$O$39),"")</f>
        <v/>
      </c>
      <c r="AM37" s="57" t="str">
        <f>IF(AND('Mapa final'!$Y$40="Baja",'Mapa final'!$AA$40="Catastrófico"),CONCATENATE("R2C",'Mapa final'!$O$40),"")</f>
        <v/>
      </c>
      <c r="AN37" s="83"/>
      <c r="AO37" s="490"/>
      <c r="AP37" s="491"/>
      <c r="AQ37" s="491"/>
      <c r="AR37" s="491"/>
      <c r="AS37" s="491"/>
      <c r="AT37" s="49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71"/>
      <c r="C38" s="371"/>
      <c r="D38" s="372"/>
      <c r="E38" s="470"/>
      <c r="F38" s="469"/>
      <c r="G38" s="469"/>
      <c r="H38" s="469"/>
      <c r="I38" s="469"/>
      <c r="J38" s="76" t="str">
        <f>IF(AND('Mapa final'!$Y$41="Baja",'Mapa final'!$AA$41="Leve"),CONCATENATE("R3C",'Mapa final'!$O$41),"")</f>
        <v/>
      </c>
      <c r="K38" s="77" t="str">
        <f>IF(AND('Mapa final'!$Y$42="Baja",'Mapa final'!$AA$42="Leve"),CONCATENATE("R3C",'Mapa final'!$O$42),"")</f>
        <v/>
      </c>
      <c r="L38" s="77" t="str">
        <f>IF(AND('Mapa final'!$Y$43="Baja",'Mapa final'!$AA$43="Leve"),CONCATENATE("R3C",'Mapa final'!$O$43),"")</f>
        <v/>
      </c>
      <c r="M38" s="77" t="str">
        <f>IF(AND('Mapa final'!$Y$44="Baja",'Mapa final'!$AA$44="Leve"),CONCATENATE("R3C",'Mapa final'!$O$44),"")</f>
        <v/>
      </c>
      <c r="N38" s="77" t="str">
        <f>IF(AND('Mapa final'!$Y$45="Baja",'Mapa final'!$AA$45="Leve"),CONCATENATE("R3C",'Mapa final'!$O$45),"")</f>
        <v/>
      </c>
      <c r="O38" s="78" t="str">
        <f>IF(AND('Mapa final'!$Y$46="Baja",'Mapa final'!$AA$46="Leve"),CONCATENATE("R3C",'Mapa final'!$O$46),"")</f>
        <v/>
      </c>
      <c r="P38" s="67" t="str">
        <f>IF(AND('Mapa final'!$Y$41="Baja",'Mapa final'!$AA$41="Menor"),CONCATENATE("R3C",'Mapa final'!$O$41),"")</f>
        <v/>
      </c>
      <c r="Q38" s="68" t="str">
        <f>IF(AND('Mapa final'!$Y$42="Baja",'Mapa final'!$AA$42="Menor"),CONCATENATE("R3C",'Mapa final'!$O$42),"")</f>
        <v/>
      </c>
      <c r="R38" s="68" t="str">
        <f>IF(AND('Mapa final'!$Y$43="Baja",'Mapa final'!$AA$43="Menor"),CONCATENATE("R3C",'Mapa final'!$O$43),"")</f>
        <v/>
      </c>
      <c r="S38" s="68" t="str">
        <f>IF(AND('Mapa final'!$Y$44="Baja",'Mapa final'!$AA$44="Menor"),CONCATENATE("R3C",'Mapa final'!$O$44),"")</f>
        <v/>
      </c>
      <c r="T38" s="68" t="str">
        <f>IF(AND('Mapa final'!$Y$45="Baja",'Mapa final'!$AA$45="Menor"),CONCATENATE("R3C",'Mapa final'!$O$45),"")</f>
        <v/>
      </c>
      <c r="U38" s="69" t="str">
        <f>IF(AND('Mapa final'!$Y$46="Baja",'Mapa final'!$AA$46="Menor"),CONCATENATE("R3C",'Mapa final'!$O$46),"")</f>
        <v/>
      </c>
      <c r="V38" s="67" t="str">
        <f>IF(AND('Mapa final'!$Y$41="Baja",'Mapa final'!$AA$41="Moderado"),CONCATENATE("R3C",'Mapa final'!$O$41),"")</f>
        <v>R3C1</v>
      </c>
      <c r="W38" s="68" t="str">
        <f>IF(AND('Mapa final'!$Y$42="Baja",'Mapa final'!$AA$42="Moderado"),CONCATENATE("R3C",'Mapa final'!$O$42),"")</f>
        <v/>
      </c>
      <c r="X38" s="68" t="str">
        <f>IF(AND('Mapa final'!$Y$43="Baja",'Mapa final'!$AA$43="Moderado"),CONCATENATE("R3C",'Mapa final'!$O$43),"")</f>
        <v/>
      </c>
      <c r="Y38" s="68" t="str">
        <f>IF(AND('Mapa final'!$Y$44="Baja",'Mapa final'!$AA$44="Moderado"),CONCATENATE("R3C",'Mapa final'!$O$44),"")</f>
        <v/>
      </c>
      <c r="Z38" s="68" t="str">
        <f>IF(AND('Mapa final'!$Y$45="Baja",'Mapa final'!$AA$45="Moderado"),CONCATENATE("R3C",'Mapa final'!$O$45),"")</f>
        <v/>
      </c>
      <c r="AA38" s="69" t="str">
        <f>IF(AND('Mapa final'!$Y$46="Baja",'Mapa final'!$AA$46="Moderado"),CONCATENATE("R3C",'Mapa final'!$O$46),"")</f>
        <v/>
      </c>
      <c r="AB38" s="52" t="str">
        <f>IF(AND('Mapa final'!$Y$41="Baja",'Mapa final'!$AA$41="Mayor"),CONCATENATE("R3C",'Mapa final'!$O$41),"")</f>
        <v/>
      </c>
      <c r="AC38" s="53" t="str">
        <f>IF(AND('Mapa final'!$Y$42="Baja",'Mapa final'!$AA$42="Mayor"),CONCATENATE("R3C",'Mapa final'!$O$42),"")</f>
        <v/>
      </c>
      <c r="AD38" s="53" t="str">
        <f>IF(AND('Mapa final'!$Y$43="Baja",'Mapa final'!$AA$43="Mayor"),CONCATENATE("R3C",'Mapa final'!$O$43),"")</f>
        <v/>
      </c>
      <c r="AE38" s="53" t="str">
        <f>IF(AND('Mapa final'!$Y$44="Baja",'Mapa final'!$AA$44="Mayor"),CONCATENATE("R3C",'Mapa final'!$O$44),"")</f>
        <v/>
      </c>
      <c r="AF38" s="53" t="str">
        <f>IF(AND('Mapa final'!$Y$45="Baja",'Mapa final'!$AA$45="Mayor"),CONCATENATE("R3C",'Mapa final'!$O$45),"")</f>
        <v/>
      </c>
      <c r="AG38" s="54" t="str">
        <f>IF(AND('Mapa final'!$Y$46="Baja",'Mapa final'!$AA$46="Mayor"),CONCATENATE("R3C",'Mapa final'!$O$46),"")</f>
        <v/>
      </c>
      <c r="AH38" s="55" t="str">
        <f>IF(AND('Mapa final'!$Y$41="Baja",'Mapa final'!$AA$41="Catastrófico"),CONCATENATE("R3C",'Mapa final'!$O$41),"")</f>
        <v/>
      </c>
      <c r="AI38" s="56" t="str">
        <f>IF(AND('Mapa final'!$Y$42="Baja",'Mapa final'!$AA$42="Catastrófico"),CONCATENATE("R3C",'Mapa final'!$O$42),"")</f>
        <v/>
      </c>
      <c r="AJ38" s="56" t="str">
        <f>IF(AND('Mapa final'!$Y$43="Baja",'Mapa final'!$AA$43="Catastrófico"),CONCATENATE("R3C",'Mapa final'!$O$43),"")</f>
        <v/>
      </c>
      <c r="AK38" s="56" t="str">
        <f>IF(AND('Mapa final'!$Y$44="Baja",'Mapa final'!$AA$44="Catastrófico"),CONCATENATE("R3C",'Mapa final'!$O$44),"")</f>
        <v/>
      </c>
      <c r="AL38" s="56" t="str">
        <f>IF(AND('Mapa final'!$Y$45="Baja",'Mapa final'!$AA$45="Catastrófico"),CONCATENATE("R3C",'Mapa final'!$O$45),"")</f>
        <v/>
      </c>
      <c r="AM38" s="57" t="str">
        <f>IF(AND('Mapa final'!$Y$46="Baja",'Mapa final'!$AA$46="Catastrófico"),CONCATENATE("R3C",'Mapa final'!$O$46),"")</f>
        <v/>
      </c>
      <c r="AN38" s="83"/>
      <c r="AO38" s="490"/>
      <c r="AP38" s="491"/>
      <c r="AQ38" s="491"/>
      <c r="AR38" s="491"/>
      <c r="AS38" s="491"/>
      <c r="AT38" s="49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71"/>
      <c r="C39" s="371"/>
      <c r="D39" s="372"/>
      <c r="E39" s="470"/>
      <c r="F39" s="469"/>
      <c r="G39" s="469"/>
      <c r="H39" s="469"/>
      <c r="I39" s="469"/>
      <c r="J39" s="76" t="str">
        <f>IF(AND('Mapa final'!$Y$47="Baja",'Mapa final'!$AA$47="Leve"),CONCATENATE("R4C",'Mapa final'!$O$47),"")</f>
        <v/>
      </c>
      <c r="K39" s="77" t="str">
        <f>IF(AND('Mapa final'!$Y$48="Baja",'Mapa final'!$AA$48="Leve"),CONCATENATE("R4C",'Mapa final'!$O$48),"")</f>
        <v/>
      </c>
      <c r="L39" s="77" t="str">
        <f>IF(AND('Mapa final'!$Y$49="Baja",'Mapa final'!$AA$49="Leve"),CONCATENATE("R4C",'Mapa final'!$O$49),"")</f>
        <v/>
      </c>
      <c r="M39" s="77" t="str">
        <f>IF(AND('Mapa final'!$Y$50="Baja",'Mapa final'!$AA$50="Leve"),CONCATENATE("R4C",'Mapa final'!$O$50),"")</f>
        <v/>
      </c>
      <c r="N39" s="77" t="str">
        <f>IF(AND('Mapa final'!$Y$51="Baja",'Mapa final'!$AA$51="Leve"),CONCATENATE("R4C",'Mapa final'!$O$51),"")</f>
        <v/>
      </c>
      <c r="O39" s="78" t="str">
        <f>IF(AND('Mapa final'!$Y$52="Baja",'Mapa final'!$AA$52="Leve"),CONCATENATE("R4C",'Mapa final'!$O$52),"")</f>
        <v/>
      </c>
      <c r="P39" s="67" t="str">
        <f>IF(AND('Mapa final'!$Y$47="Baja",'Mapa final'!$AA$47="Menor"),CONCATENATE("R4C",'Mapa final'!$O$47),"")</f>
        <v/>
      </c>
      <c r="Q39" s="68" t="str">
        <f>IF(AND('Mapa final'!$Y$48="Baja",'Mapa final'!$AA$48="Menor"),CONCATENATE("R4C",'Mapa final'!$O$48),"")</f>
        <v/>
      </c>
      <c r="R39" s="68" t="str">
        <f>IF(AND('Mapa final'!$Y$49="Baja",'Mapa final'!$AA$49="Menor"),CONCATENATE("R4C",'Mapa final'!$O$49),"")</f>
        <v/>
      </c>
      <c r="S39" s="68" t="str">
        <f>IF(AND('Mapa final'!$Y$50="Baja",'Mapa final'!$AA$50="Menor"),CONCATENATE("R4C",'Mapa final'!$O$50),"")</f>
        <v/>
      </c>
      <c r="T39" s="68" t="str">
        <f>IF(AND('Mapa final'!$Y$51="Baja",'Mapa final'!$AA$51="Menor"),CONCATENATE("R4C",'Mapa final'!$O$51),"")</f>
        <v/>
      </c>
      <c r="U39" s="69" t="str">
        <f>IF(AND('Mapa final'!$Y$52="Baja",'Mapa final'!$AA$52="Menor"),CONCATENATE("R4C",'Mapa final'!$O$52),"")</f>
        <v/>
      </c>
      <c r="V39" s="67" t="str">
        <f>IF(AND('Mapa final'!$Y$47="Baja",'Mapa final'!$AA$47="Moderado"),CONCATENATE("R4C",'Mapa final'!$O$47),"")</f>
        <v/>
      </c>
      <c r="W39" s="68" t="str">
        <f>IF(AND('Mapa final'!$Y$48="Baja",'Mapa final'!$AA$48="Moderado"),CONCATENATE("R4C",'Mapa final'!$O$48),"")</f>
        <v/>
      </c>
      <c r="X39" s="68" t="str">
        <f>IF(AND('Mapa final'!$Y$49="Baja",'Mapa final'!$AA$49="Moderado"),CONCATENATE("R4C",'Mapa final'!$O$49),"")</f>
        <v/>
      </c>
      <c r="Y39" s="68" t="str">
        <f>IF(AND('Mapa final'!$Y$50="Baja",'Mapa final'!$AA$50="Moderado"),CONCATENATE("R4C",'Mapa final'!$O$50),"")</f>
        <v/>
      </c>
      <c r="Z39" s="68" t="str">
        <f>IF(AND('Mapa final'!$Y$51="Baja",'Mapa final'!$AA$51="Moderado"),CONCATENATE("R4C",'Mapa final'!$O$51),"")</f>
        <v/>
      </c>
      <c r="AA39" s="69" t="str">
        <f>IF(AND('Mapa final'!$Y$52="Baja",'Mapa final'!$AA$52="Moderado"),CONCATENATE("R4C",'Mapa final'!$O$52),"")</f>
        <v/>
      </c>
      <c r="AB39" s="52" t="str">
        <f>IF(AND('Mapa final'!$Y$47="Baja",'Mapa final'!$AA$47="Mayor"),CONCATENATE("R4C",'Mapa final'!$O$47),"")</f>
        <v/>
      </c>
      <c r="AC39" s="53" t="str">
        <f>IF(AND('Mapa final'!$Y$48="Baja",'Mapa final'!$AA$48="Mayor"),CONCATENATE("R4C",'Mapa final'!$O$48),"")</f>
        <v/>
      </c>
      <c r="AD39" s="53" t="str">
        <f>IF(AND('Mapa final'!$Y$49="Baja",'Mapa final'!$AA$49="Mayor"),CONCATENATE("R4C",'Mapa final'!$O$49),"")</f>
        <v/>
      </c>
      <c r="AE39" s="53" t="str">
        <f>IF(AND('Mapa final'!$Y$50="Baja",'Mapa final'!$AA$50="Mayor"),CONCATENATE("R4C",'Mapa final'!$O$50),"")</f>
        <v/>
      </c>
      <c r="AF39" s="53" t="str">
        <f>IF(AND('Mapa final'!$Y$51="Baja",'Mapa final'!$AA$51="Mayor"),CONCATENATE("R4C",'Mapa final'!$O$51),"")</f>
        <v/>
      </c>
      <c r="AG39" s="54" t="str">
        <f>IF(AND('Mapa final'!$Y$52="Baja",'Mapa final'!$AA$52="Mayor"),CONCATENATE("R4C",'Mapa final'!$O$52),"")</f>
        <v/>
      </c>
      <c r="AH39" s="55" t="str">
        <f>IF(AND('Mapa final'!$Y$47="Baja",'Mapa final'!$AA$47="Catastrófico"),CONCATENATE("R4C",'Mapa final'!$O$47),"")</f>
        <v/>
      </c>
      <c r="AI39" s="56" t="str">
        <f>IF(AND('Mapa final'!$Y$48="Baja",'Mapa final'!$AA$48="Catastrófico"),CONCATENATE("R4C",'Mapa final'!$O$48),"")</f>
        <v/>
      </c>
      <c r="AJ39" s="56" t="str">
        <f>IF(AND('Mapa final'!$Y$49="Baja",'Mapa final'!$AA$49="Catastrófico"),CONCATENATE("R4C",'Mapa final'!$O$49),"")</f>
        <v/>
      </c>
      <c r="AK39" s="56" t="str">
        <f>IF(AND('Mapa final'!$Y$50="Baja",'Mapa final'!$AA$50="Catastrófico"),CONCATENATE("R4C",'Mapa final'!$O$50),"")</f>
        <v/>
      </c>
      <c r="AL39" s="56" t="str">
        <f>IF(AND('Mapa final'!$Y$51="Baja",'Mapa final'!$AA$51="Catastrófico"),CONCATENATE("R4C",'Mapa final'!$O$51),"")</f>
        <v/>
      </c>
      <c r="AM39" s="57" t="str">
        <f>IF(AND('Mapa final'!$Y$52="Baja",'Mapa final'!$AA$52="Catastrófico"),CONCATENATE("R4C",'Mapa final'!$O$52),"")</f>
        <v/>
      </c>
      <c r="AN39" s="83"/>
      <c r="AO39" s="490"/>
      <c r="AP39" s="491"/>
      <c r="AQ39" s="491"/>
      <c r="AR39" s="491"/>
      <c r="AS39" s="491"/>
      <c r="AT39" s="49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71"/>
      <c r="C40" s="371"/>
      <c r="D40" s="372"/>
      <c r="E40" s="470"/>
      <c r="F40" s="469"/>
      <c r="G40" s="469"/>
      <c r="H40" s="469"/>
      <c r="I40" s="469"/>
      <c r="J40" s="76" t="str">
        <f>IF(AND('Mapa final'!$Y$53="Baja",'Mapa final'!$AA$53="Leve"),CONCATENATE("R5C",'Mapa final'!$O$53),"")</f>
        <v/>
      </c>
      <c r="K40" s="77" t="str">
        <f>IF(AND('Mapa final'!$Y$54="Baja",'Mapa final'!$AA$54="Leve"),CONCATENATE("R5C",'Mapa final'!$O$54),"")</f>
        <v/>
      </c>
      <c r="L40" s="77" t="str">
        <f>IF(AND('Mapa final'!$Y$55="Baja",'Mapa final'!$AA$55="Leve"),CONCATENATE("R5C",'Mapa final'!$O$55),"")</f>
        <v/>
      </c>
      <c r="M40" s="77" t="str">
        <f>IF(AND('Mapa final'!$Y$56="Baja",'Mapa final'!$AA$56="Leve"),CONCATENATE("R5C",'Mapa final'!$O$56),"")</f>
        <v/>
      </c>
      <c r="N40" s="77" t="str">
        <f>IF(AND('Mapa final'!$Y$57="Baja",'Mapa final'!$AA$57="Leve"),CONCATENATE("R5C",'Mapa final'!$O$57),"")</f>
        <v/>
      </c>
      <c r="O40" s="78" t="str">
        <f>IF(AND('Mapa final'!$Y$58="Baja",'Mapa final'!$AA$58="Leve"),CONCATENATE("R5C",'Mapa final'!$O$58),"")</f>
        <v/>
      </c>
      <c r="P40" s="67" t="str">
        <f>IF(AND('Mapa final'!$Y$53="Baja",'Mapa final'!$AA$53="Menor"),CONCATENATE("R5C",'Mapa final'!$O$53),"")</f>
        <v/>
      </c>
      <c r="Q40" s="68" t="str">
        <f>IF(AND('Mapa final'!$Y$54="Baja",'Mapa final'!$AA$54="Menor"),CONCATENATE("R5C",'Mapa final'!$O$54),"")</f>
        <v/>
      </c>
      <c r="R40" s="68" t="str">
        <f>IF(AND('Mapa final'!$Y$55="Baja",'Mapa final'!$AA$55="Menor"),CONCATENATE("R5C",'Mapa final'!$O$55),"")</f>
        <v/>
      </c>
      <c r="S40" s="68" t="str">
        <f>IF(AND('Mapa final'!$Y$56="Baja",'Mapa final'!$AA$56="Menor"),CONCATENATE("R5C",'Mapa final'!$O$56),"")</f>
        <v/>
      </c>
      <c r="T40" s="68" t="str">
        <f>IF(AND('Mapa final'!$Y$57="Baja",'Mapa final'!$AA$57="Menor"),CONCATENATE("R5C",'Mapa final'!$O$57),"")</f>
        <v/>
      </c>
      <c r="U40" s="69" t="str">
        <f>IF(AND('Mapa final'!$Y$58="Baja",'Mapa final'!$AA$58="Menor"),CONCATENATE("R5C",'Mapa final'!$O$58),"")</f>
        <v/>
      </c>
      <c r="V40" s="67" t="str">
        <f>IF(AND('Mapa final'!$Y$53="Baja",'Mapa final'!$AA$53="Moderado"),CONCATENATE("R5C",'Mapa final'!$O$53),"")</f>
        <v/>
      </c>
      <c r="W40" s="68" t="str">
        <f>IF(AND('Mapa final'!$Y$54="Baja",'Mapa final'!$AA$54="Moderado"),CONCATENATE("R5C",'Mapa final'!$O$54),"")</f>
        <v/>
      </c>
      <c r="X40" s="68" t="str">
        <f>IF(AND('Mapa final'!$Y$55="Baja",'Mapa final'!$AA$55="Moderado"),CONCATENATE("R5C",'Mapa final'!$O$55),"")</f>
        <v/>
      </c>
      <c r="Y40" s="68" t="str">
        <f>IF(AND('Mapa final'!$Y$56="Baja",'Mapa final'!$AA$56="Moderado"),CONCATENATE("R5C",'Mapa final'!$O$56),"")</f>
        <v/>
      </c>
      <c r="Z40" s="68" t="str">
        <f>IF(AND('Mapa final'!$Y$57="Baja",'Mapa final'!$AA$57="Moderado"),CONCATENATE("R5C",'Mapa final'!$O$57),"")</f>
        <v/>
      </c>
      <c r="AA40" s="69" t="str">
        <f>IF(AND('Mapa final'!$Y$58="Baja",'Mapa final'!$AA$58="Moderado"),CONCATENATE("R5C",'Mapa final'!$O$58),"")</f>
        <v/>
      </c>
      <c r="AB40" s="52" t="str">
        <f>IF(AND('Mapa final'!$Y$53="Baja",'Mapa final'!$AA$53="Mayor"),CONCATENATE("R5C",'Mapa final'!$O$53),"")</f>
        <v/>
      </c>
      <c r="AC40" s="53" t="str">
        <f>IF(AND('Mapa final'!$Y$54="Baja",'Mapa final'!$AA$54="Mayor"),CONCATENATE("R5C",'Mapa final'!$O$54),"")</f>
        <v/>
      </c>
      <c r="AD40" s="53" t="str">
        <f>IF(AND('Mapa final'!$Y$55="Baja",'Mapa final'!$AA$55="Mayor"),CONCATENATE("R5C",'Mapa final'!$O$55),"")</f>
        <v/>
      </c>
      <c r="AE40" s="53" t="str">
        <f>IF(AND('Mapa final'!$Y$56="Baja",'Mapa final'!$AA$56="Mayor"),CONCATENATE("R5C",'Mapa final'!$O$56),"")</f>
        <v/>
      </c>
      <c r="AF40" s="53" t="str">
        <f>IF(AND('Mapa final'!$Y$57="Baja",'Mapa final'!$AA$57="Mayor"),CONCATENATE("R5C",'Mapa final'!$O$57),"")</f>
        <v/>
      </c>
      <c r="AG40" s="54" t="str">
        <f>IF(AND('Mapa final'!$Y$58="Baja",'Mapa final'!$AA$58="Mayor"),CONCATENATE("R5C",'Mapa final'!$O$58),"")</f>
        <v/>
      </c>
      <c r="AH40" s="55" t="str">
        <f>IF(AND('Mapa final'!$Y$53="Baja",'Mapa final'!$AA$53="Catastrófico"),CONCATENATE("R5C",'Mapa final'!$O$53),"")</f>
        <v/>
      </c>
      <c r="AI40" s="56" t="str">
        <f>IF(AND('Mapa final'!$Y$54="Baja",'Mapa final'!$AA$54="Catastrófico"),CONCATENATE("R5C",'Mapa final'!$O$54),"")</f>
        <v/>
      </c>
      <c r="AJ40" s="56" t="str">
        <f>IF(AND('Mapa final'!$Y$55="Baja",'Mapa final'!$AA$55="Catastrófico"),CONCATENATE("R5C",'Mapa final'!$O$55),"")</f>
        <v/>
      </c>
      <c r="AK40" s="56" t="str">
        <f>IF(AND('Mapa final'!$Y$56="Baja",'Mapa final'!$AA$56="Catastrófico"),CONCATENATE("R5C",'Mapa final'!$O$56),"")</f>
        <v/>
      </c>
      <c r="AL40" s="56" t="str">
        <f>IF(AND('Mapa final'!$Y$57="Baja",'Mapa final'!$AA$57="Catastrófico"),CONCATENATE("R5C",'Mapa final'!$O$57),"")</f>
        <v/>
      </c>
      <c r="AM40" s="57" t="str">
        <f>IF(AND('Mapa final'!$Y$58="Baja",'Mapa final'!$AA$58="Catastrófico"),CONCATENATE("R5C",'Mapa final'!$O$58),"")</f>
        <v/>
      </c>
      <c r="AN40" s="83"/>
      <c r="AO40" s="490"/>
      <c r="AP40" s="491"/>
      <c r="AQ40" s="491"/>
      <c r="AR40" s="491"/>
      <c r="AS40" s="491"/>
      <c r="AT40" s="49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71"/>
      <c r="C41" s="371"/>
      <c r="D41" s="372"/>
      <c r="E41" s="470"/>
      <c r="F41" s="469"/>
      <c r="G41" s="469"/>
      <c r="H41" s="469"/>
      <c r="I41" s="469"/>
      <c r="J41" s="76" t="str">
        <f>IF(AND('Mapa final'!$Y$59="Baja",'Mapa final'!$AA$59="Leve"),CONCATENATE("R6C",'Mapa final'!$O$59),"")</f>
        <v/>
      </c>
      <c r="K41" s="77" t="str">
        <f>IF(AND('Mapa final'!$Y$60="Baja",'Mapa final'!$AA$60="Leve"),CONCATENATE("R6C",'Mapa final'!$O$60),"")</f>
        <v/>
      </c>
      <c r="L41" s="77" t="str">
        <f>IF(AND('Mapa final'!$Y$61="Baja",'Mapa final'!$AA$61="Leve"),CONCATENATE("R6C",'Mapa final'!$O$61),"")</f>
        <v/>
      </c>
      <c r="M41" s="77" t="str">
        <f>IF(AND('Mapa final'!$Y$62="Baja",'Mapa final'!$AA$62="Leve"),CONCATENATE("R6C",'Mapa final'!$O$62),"")</f>
        <v/>
      </c>
      <c r="N41" s="77" t="str">
        <f>IF(AND('Mapa final'!$Y$63="Baja",'Mapa final'!$AA$63="Leve"),CONCATENATE("R6C",'Mapa final'!$O$63),"")</f>
        <v/>
      </c>
      <c r="O41" s="78" t="str">
        <f>IF(AND('Mapa final'!$Y$64="Baja",'Mapa final'!$AA$64="Leve"),CONCATENATE("R6C",'Mapa final'!$O$64),"")</f>
        <v/>
      </c>
      <c r="P41" s="67" t="str">
        <f>IF(AND('Mapa final'!$Y$59="Baja",'Mapa final'!$AA$59="Menor"),CONCATENATE("R6C",'Mapa final'!$O$59),"")</f>
        <v/>
      </c>
      <c r="Q41" s="68" t="str">
        <f>IF(AND('Mapa final'!$Y$60="Baja",'Mapa final'!$AA$60="Menor"),CONCATENATE("R6C",'Mapa final'!$O$60),"")</f>
        <v/>
      </c>
      <c r="R41" s="68" t="str">
        <f>IF(AND('Mapa final'!$Y$61="Baja",'Mapa final'!$AA$61="Menor"),CONCATENATE("R6C",'Mapa final'!$O$61),"")</f>
        <v/>
      </c>
      <c r="S41" s="68" t="str">
        <f>IF(AND('Mapa final'!$Y$62="Baja",'Mapa final'!$AA$62="Menor"),CONCATENATE("R6C",'Mapa final'!$O$62),"")</f>
        <v/>
      </c>
      <c r="T41" s="68" t="str">
        <f>IF(AND('Mapa final'!$Y$63="Baja",'Mapa final'!$AA$63="Menor"),CONCATENATE("R6C",'Mapa final'!$O$63),"")</f>
        <v/>
      </c>
      <c r="U41" s="69" t="str">
        <f>IF(AND('Mapa final'!$Y$64="Baja",'Mapa final'!$AA$64="Menor"),CONCATENATE("R6C",'Mapa final'!$O$64),"")</f>
        <v/>
      </c>
      <c r="V41" s="67" t="str">
        <f>IF(AND('Mapa final'!$Y$59="Baja",'Mapa final'!$AA$59="Moderado"),CONCATENATE("R6C",'Mapa final'!$O$59),"")</f>
        <v/>
      </c>
      <c r="W41" s="68" t="str">
        <f>IF(AND('Mapa final'!$Y$60="Baja",'Mapa final'!$AA$60="Moderado"),CONCATENATE("R6C",'Mapa final'!$O$60),"")</f>
        <v/>
      </c>
      <c r="X41" s="68" t="str">
        <f>IF(AND('Mapa final'!$Y$61="Baja",'Mapa final'!$AA$61="Moderado"),CONCATENATE("R6C",'Mapa final'!$O$61),"")</f>
        <v/>
      </c>
      <c r="Y41" s="68" t="str">
        <f>IF(AND('Mapa final'!$Y$62="Baja",'Mapa final'!$AA$62="Moderado"),CONCATENATE("R6C",'Mapa final'!$O$62),"")</f>
        <v/>
      </c>
      <c r="Z41" s="68" t="str">
        <f>IF(AND('Mapa final'!$Y$63="Baja",'Mapa final'!$AA$63="Moderado"),CONCATENATE("R6C",'Mapa final'!$O$63),"")</f>
        <v/>
      </c>
      <c r="AA41" s="69" t="str">
        <f>IF(AND('Mapa final'!$Y$64="Baja",'Mapa final'!$AA$64="Moderado"),CONCATENATE("R6C",'Mapa final'!$O$64),"")</f>
        <v/>
      </c>
      <c r="AB41" s="52" t="str">
        <f>IF(AND('Mapa final'!$Y$59="Baja",'Mapa final'!$AA$59="Mayor"),CONCATENATE("R6C",'Mapa final'!$O$59),"")</f>
        <v/>
      </c>
      <c r="AC41" s="53" t="str">
        <f>IF(AND('Mapa final'!$Y$60="Baja",'Mapa final'!$AA$60="Mayor"),CONCATENATE("R6C",'Mapa final'!$O$60),"")</f>
        <v/>
      </c>
      <c r="AD41" s="53" t="str">
        <f>IF(AND('Mapa final'!$Y$61="Baja",'Mapa final'!$AA$61="Mayor"),CONCATENATE("R6C",'Mapa final'!$O$61),"")</f>
        <v/>
      </c>
      <c r="AE41" s="53" t="str">
        <f>IF(AND('Mapa final'!$Y$62="Baja",'Mapa final'!$AA$62="Mayor"),CONCATENATE("R6C",'Mapa final'!$O$62),"")</f>
        <v/>
      </c>
      <c r="AF41" s="53" t="str">
        <f>IF(AND('Mapa final'!$Y$63="Baja",'Mapa final'!$AA$63="Mayor"),CONCATENATE("R6C",'Mapa final'!$O$63),"")</f>
        <v/>
      </c>
      <c r="AG41" s="54" t="str">
        <f>IF(AND('Mapa final'!$Y$64="Baja",'Mapa final'!$AA$64="Mayor"),CONCATENATE("R6C",'Mapa final'!$O$64),"")</f>
        <v/>
      </c>
      <c r="AH41" s="55" t="str">
        <f>IF(AND('Mapa final'!$Y$59="Baja",'Mapa final'!$AA$59="Catastrófico"),CONCATENATE("R6C",'Mapa final'!$O$59),"")</f>
        <v/>
      </c>
      <c r="AI41" s="56" t="str">
        <f>IF(AND('Mapa final'!$Y$60="Baja",'Mapa final'!$AA$60="Catastrófico"),CONCATENATE("R6C",'Mapa final'!$O$60),"")</f>
        <v/>
      </c>
      <c r="AJ41" s="56" t="str">
        <f>IF(AND('Mapa final'!$Y$61="Baja",'Mapa final'!$AA$61="Catastrófico"),CONCATENATE("R6C",'Mapa final'!$O$61),"")</f>
        <v/>
      </c>
      <c r="AK41" s="56" t="str">
        <f>IF(AND('Mapa final'!$Y$62="Baja",'Mapa final'!$AA$62="Catastrófico"),CONCATENATE("R6C",'Mapa final'!$O$62),"")</f>
        <v/>
      </c>
      <c r="AL41" s="56" t="str">
        <f>IF(AND('Mapa final'!$Y$63="Baja",'Mapa final'!$AA$63="Catastrófico"),CONCATENATE("R6C",'Mapa final'!$O$63),"")</f>
        <v/>
      </c>
      <c r="AM41" s="57" t="str">
        <f>IF(AND('Mapa final'!$Y$64="Baja",'Mapa final'!$AA$64="Catastrófico"),CONCATENATE("R6C",'Mapa final'!$O$64),"")</f>
        <v/>
      </c>
      <c r="AN41" s="83"/>
      <c r="AO41" s="490"/>
      <c r="AP41" s="491"/>
      <c r="AQ41" s="491"/>
      <c r="AR41" s="491"/>
      <c r="AS41" s="491"/>
      <c r="AT41" s="49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71"/>
      <c r="C42" s="371"/>
      <c r="D42" s="372"/>
      <c r="E42" s="470"/>
      <c r="F42" s="469"/>
      <c r="G42" s="469"/>
      <c r="H42" s="469"/>
      <c r="I42" s="469"/>
      <c r="J42" s="76" t="str">
        <f>IF(AND('Mapa final'!$Y$65="Baja",'Mapa final'!$AA$65="Leve"),CONCATENATE("R7C",'Mapa final'!$O$65),"")</f>
        <v/>
      </c>
      <c r="K42" s="77" t="str">
        <f>IF(AND('Mapa final'!$Y$66="Baja",'Mapa final'!$AA$66="Leve"),CONCATENATE("R7C",'Mapa final'!$O$66),"")</f>
        <v/>
      </c>
      <c r="L42" s="77" t="str">
        <f>IF(AND('Mapa final'!$Y$67="Baja",'Mapa final'!$AA$67="Leve"),CONCATENATE("R7C",'Mapa final'!$O$67),"")</f>
        <v/>
      </c>
      <c r="M42" s="77" t="str">
        <f>IF(AND('Mapa final'!$Y$68="Baja",'Mapa final'!$AA$68="Leve"),CONCATENATE("R7C",'Mapa final'!$O$68),"")</f>
        <v/>
      </c>
      <c r="N42" s="77" t="str">
        <f>IF(AND('Mapa final'!$Y$69="Baja",'Mapa final'!$AA$69="Leve"),CONCATENATE("R7C",'Mapa final'!$O$69),"")</f>
        <v/>
      </c>
      <c r="O42" s="78" t="str">
        <f>IF(AND('Mapa final'!$Y$70="Baja",'Mapa final'!$AA$70="Leve"),CONCATENATE("R7C",'Mapa final'!$O$70),"")</f>
        <v/>
      </c>
      <c r="P42" s="67" t="str">
        <f>IF(AND('Mapa final'!$Y$65="Baja",'Mapa final'!$AA$65="Menor"),CONCATENATE("R7C",'Mapa final'!$O$65),"")</f>
        <v/>
      </c>
      <c r="Q42" s="68" t="str">
        <f>IF(AND('Mapa final'!$Y$66="Baja",'Mapa final'!$AA$66="Menor"),CONCATENATE("R7C",'Mapa final'!$O$66),"")</f>
        <v/>
      </c>
      <c r="R42" s="68" t="str">
        <f>IF(AND('Mapa final'!$Y$67="Baja",'Mapa final'!$AA$67="Menor"),CONCATENATE("R7C",'Mapa final'!$O$67),"")</f>
        <v/>
      </c>
      <c r="S42" s="68" t="str">
        <f>IF(AND('Mapa final'!$Y$68="Baja",'Mapa final'!$AA$68="Menor"),CONCATENATE("R7C",'Mapa final'!$O$68),"")</f>
        <v/>
      </c>
      <c r="T42" s="68" t="str">
        <f>IF(AND('Mapa final'!$Y$69="Baja",'Mapa final'!$AA$69="Menor"),CONCATENATE("R7C",'Mapa final'!$O$69),"")</f>
        <v/>
      </c>
      <c r="U42" s="69" t="str">
        <f>IF(AND('Mapa final'!$Y$70="Baja",'Mapa final'!$AA$70="Menor"),CONCATENATE("R7C",'Mapa final'!$O$70),"")</f>
        <v/>
      </c>
      <c r="V42" s="67" t="str">
        <f>IF(AND('Mapa final'!$Y$65="Baja",'Mapa final'!$AA$65="Moderado"),CONCATENATE("R7C",'Mapa final'!$O$65),"")</f>
        <v/>
      </c>
      <c r="W42" s="68" t="str">
        <f>IF(AND('Mapa final'!$Y$66="Baja",'Mapa final'!$AA$66="Moderado"),CONCATENATE("R7C",'Mapa final'!$O$66),"")</f>
        <v/>
      </c>
      <c r="X42" s="68" t="str">
        <f>IF(AND('Mapa final'!$Y$67="Baja",'Mapa final'!$AA$67="Moderado"),CONCATENATE("R7C",'Mapa final'!$O$67),"")</f>
        <v/>
      </c>
      <c r="Y42" s="68" t="str">
        <f>IF(AND('Mapa final'!$Y$68="Baja",'Mapa final'!$AA$68="Moderado"),CONCATENATE("R7C",'Mapa final'!$O$68),"")</f>
        <v/>
      </c>
      <c r="Z42" s="68" t="str">
        <f>IF(AND('Mapa final'!$Y$69="Baja",'Mapa final'!$AA$69="Moderado"),CONCATENATE("R7C",'Mapa final'!$O$69),"")</f>
        <v/>
      </c>
      <c r="AA42" s="69" t="str">
        <f>IF(AND('Mapa final'!$Y$70="Baja",'Mapa final'!$AA$70="Moderado"),CONCATENATE("R7C",'Mapa final'!$O$70),"")</f>
        <v/>
      </c>
      <c r="AB42" s="52" t="str">
        <f>IF(AND('Mapa final'!$Y$65="Baja",'Mapa final'!$AA$65="Mayor"),CONCATENATE("R7C",'Mapa final'!$O$65),"")</f>
        <v/>
      </c>
      <c r="AC42" s="53" t="str">
        <f>IF(AND('Mapa final'!$Y$66="Baja",'Mapa final'!$AA$66="Mayor"),CONCATENATE("R7C",'Mapa final'!$O$66),"")</f>
        <v/>
      </c>
      <c r="AD42" s="53" t="str">
        <f>IF(AND('Mapa final'!$Y$67="Baja",'Mapa final'!$AA$67="Mayor"),CONCATENATE("R7C",'Mapa final'!$O$67),"")</f>
        <v/>
      </c>
      <c r="AE42" s="53" t="str">
        <f>IF(AND('Mapa final'!$Y$68="Baja",'Mapa final'!$AA$68="Mayor"),CONCATENATE("R7C",'Mapa final'!$O$68),"")</f>
        <v/>
      </c>
      <c r="AF42" s="53" t="str">
        <f>IF(AND('Mapa final'!$Y$69="Baja",'Mapa final'!$AA$69="Mayor"),CONCATENATE("R7C",'Mapa final'!$O$69),"")</f>
        <v/>
      </c>
      <c r="AG42" s="54" t="str">
        <f>IF(AND('Mapa final'!$Y$70="Baja",'Mapa final'!$AA$70="Mayor"),CONCATENATE("R7C",'Mapa final'!$O$70),"")</f>
        <v/>
      </c>
      <c r="AH42" s="55" t="str">
        <f>IF(AND('Mapa final'!$Y$65="Baja",'Mapa final'!$AA$65="Catastrófico"),CONCATENATE("R7C",'Mapa final'!$O$65),"")</f>
        <v/>
      </c>
      <c r="AI42" s="56" t="str">
        <f>IF(AND('Mapa final'!$Y$66="Baja",'Mapa final'!$AA$66="Catastrófico"),CONCATENATE("R7C",'Mapa final'!$O$66),"")</f>
        <v/>
      </c>
      <c r="AJ42" s="56" t="str">
        <f>IF(AND('Mapa final'!$Y$67="Baja",'Mapa final'!$AA$67="Catastrófico"),CONCATENATE("R7C",'Mapa final'!$O$67),"")</f>
        <v/>
      </c>
      <c r="AK42" s="56" t="str">
        <f>IF(AND('Mapa final'!$Y$68="Baja",'Mapa final'!$AA$68="Catastrófico"),CONCATENATE("R7C",'Mapa final'!$O$68),"")</f>
        <v/>
      </c>
      <c r="AL42" s="56" t="str">
        <f>IF(AND('Mapa final'!$Y$69="Baja",'Mapa final'!$AA$69="Catastrófico"),CONCATENATE("R7C",'Mapa final'!$O$69),"")</f>
        <v/>
      </c>
      <c r="AM42" s="57" t="str">
        <f>IF(AND('Mapa final'!$Y$70="Baja",'Mapa final'!$AA$70="Catastrófico"),CONCATENATE("R7C",'Mapa final'!$O$70),"")</f>
        <v/>
      </c>
      <c r="AN42" s="83"/>
      <c r="AO42" s="490"/>
      <c r="AP42" s="491"/>
      <c r="AQ42" s="491"/>
      <c r="AR42" s="491"/>
      <c r="AS42" s="491"/>
      <c r="AT42" s="49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71"/>
      <c r="C43" s="371"/>
      <c r="D43" s="372"/>
      <c r="E43" s="470"/>
      <c r="F43" s="469"/>
      <c r="G43" s="469"/>
      <c r="H43" s="469"/>
      <c r="I43" s="469"/>
      <c r="J43" s="76" t="str">
        <f>IF(AND('Mapa final'!$Y$71="Baja",'Mapa final'!$AA$71="Leve"),CONCATENATE("R8C",'Mapa final'!$O$71),"")</f>
        <v/>
      </c>
      <c r="K43" s="77" t="str">
        <f>IF(AND('Mapa final'!$Y$72="Baja",'Mapa final'!$AA$72="Leve"),CONCATENATE("R8C",'Mapa final'!$O$72),"")</f>
        <v/>
      </c>
      <c r="L43" s="77" t="str">
        <f>IF(AND('Mapa final'!$Y$73="Baja",'Mapa final'!$AA$73="Leve"),CONCATENATE("R8C",'Mapa final'!$O$73),"")</f>
        <v/>
      </c>
      <c r="M43" s="77" t="str">
        <f>IF(AND('Mapa final'!$Y$74="Baja",'Mapa final'!$AA$74="Leve"),CONCATENATE("R8C",'Mapa final'!$O$74),"")</f>
        <v/>
      </c>
      <c r="N43" s="77" t="str">
        <f>IF(AND('Mapa final'!$Y$75="Baja",'Mapa final'!$AA$75="Leve"),CONCATENATE("R8C",'Mapa final'!$O$75),"")</f>
        <v/>
      </c>
      <c r="O43" s="78" t="str">
        <f>IF(AND('Mapa final'!$Y$76="Baja",'Mapa final'!$AA$76="Leve"),CONCATENATE("R8C",'Mapa final'!$O$76),"")</f>
        <v/>
      </c>
      <c r="P43" s="67" t="str">
        <f>IF(AND('Mapa final'!$Y$71="Baja",'Mapa final'!$AA$71="Menor"),CONCATENATE("R8C",'Mapa final'!$O$71),"")</f>
        <v/>
      </c>
      <c r="Q43" s="68" t="str">
        <f>IF(AND('Mapa final'!$Y$72="Baja",'Mapa final'!$AA$72="Menor"),CONCATENATE("R8C",'Mapa final'!$O$72),"")</f>
        <v/>
      </c>
      <c r="R43" s="68" t="str">
        <f>IF(AND('Mapa final'!$Y$73="Baja",'Mapa final'!$AA$73="Menor"),CONCATENATE("R8C",'Mapa final'!$O$73),"")</f>
        <v/>
      </c>
      <c r="S43" s="68" t="str">
        <f>IF(AND('Mapa final'!$Y$74="Baja",'Mapa final'!$AA$74="Menor"),CONCATENATE("R8C",'Mapa final'!$O$74),"")</f>
        <v/>
      </c>
      <c r="T43" s="68" t="str">
        <f>IF(AND('Mapa final'!$Y$75="Baja",'Mapa final'!$AA$75="Menor"),CONCATENATE("R8C",'Mapa final'!$O$75),"")</f>
        <v/>
      </c>
      <c r="U43" s="69" t="str">
        <f>IF(AND('Mapa final'!$Y$76="Baja",'Mapa final'!$AA$76="Menor"),CONCATENATE("R8C",'Mapa final'!$O$76),"")</f>
        <v/>
      </c>
      <c r="V43" s="67" t="str">
        <f>IF(AND('Mapa final'!$Y$71="Baja",'Mapa final'!$AA$71="Moderado"),CONCATENATE("R8C",'Mapa final'!$O$71),"")</f>
        <v/>
      </c>
      <c r="W43" s="68" t="str">
        <f>IF(AND('Mapa final'!$Y$72="Baja",'Mapa final'!$AA$72="Moderado"),CONCATENATE("R8C",'Mapa final'!$O$72),"")</f>
        <v/>
      </c>
      <c r="X43" s="68" t="str">
        <f>IF(AND('Mapa final'!$Y$73="Baja",'Mapa final'!$AA$73="Moderado"),CONCATENATE("R8C",'Mapa final'!$O$73),"")</f>
        <v/>
      </c>
      <c r="Y43" s="68" t="str">
        <f>IF(AND('Mapa final'!$Y$74="Baja",'Mapa final'!$AA$74="Moderado"),CONCATENATE("R8C",'Mapa final'!$O$74),"")</f>
        <v/>
      </c>
      <c r="Z43" s="68" t="str">
        <f>IF(AND('Mapa final'!$Y$75="Baja",'Mapa final'!$AA$75="Moderado"),CONCATENATE("R8C",'Mapa final'!$O$75),"")</f>
        <v/>
      </c>
      <c r="AA43" s="69" t="str">
        <f>IF(AND('Mapa final'!$Y$76="Baja",'Mapa final'!$AA$76="Moderado"),CONCATENATE("R8C",'Mapa final'!$O$76),"")</f>
        <v/>
      </c>
      <c r="AB43" s="52" t="str">
        <f>IF(AND('Mapa final'!$Y$71="Baja",'Mapa final'!$AA$71="Mayor"),CONCATENATE("R8C",'Mapa final'!$O$71),"")</f>
        <v/>
      </c>
      <c r="AC43" s="53" t="str">
        <f>IF(AND('Mapa final'!$Y$72="Baja",'Mapa final'!$AA$72="Mayor"),CONCATENATE("R8C",'Mapa final'!$O$72),"")</f>
        <v/>
      </c>
      <c r="AD43" s="53" t="str">
        <f>IF(AND('Mapa final'!$Y$73="Baja",'Mapa final'!$AA$73="Mayor"),CONCATENATE("R8C",'Mapa final'!$O$73),"")</f>
        <v/>
      </c>
      <c r="AE43" s="53" t="str">
        <f>IF(AND('Mapa final'!$Y$74="Baja",'Mapa final'!$AA$74="Mayor"),CONCATENATE("R8C",'Mapa final'!$O$74),"")</f>
        <v/>
      </c>
      <c r="AF43" s="53" t="str">
        <f>IF(AND('Mapa final'!$Y$75="Baja",'Mapa final'!$AA$75="Mayor"),CONCATENATE("R8C",'Mapa final'!$O$75),"")</f>
        <v/>
      </c>
      <c r="AG43" s="54" t="str">
        <f>IF(AND('Mapa final'!$Y$76="Baja",'Mapa final'!$AA$76="Mayor"),CONCATENATE("R8C",'Mapa final'!$O$76),"")</f>
        <v/>
      </c>
      <c r="AH43" s="55" t="str">
        <f>IF(AND('Mapa final'!$Y$71="Baja",'Mapa final'!$AA$71="Catastrófico"),CONCATENATE("R8C",'Mapa final'!$O$71),"")</f>
        <v/>
      </c>
      <c r="AI43" s="56" t="str">
        <f>IF(AND('Mapa final'!$Y$72="Baja",'Mapa final'!$AA$72="Catastrófico"),CONCATENATE("R8C",'Mapa final'!$O$72),"")</f>
        <v/>
      </c>
      <c r="AJ43" s="56" t="str">
        <f>IF(AND('Mapa final'!$Y$73="Baja",'Mapa final'!$AA$73="Catastrófico"),CONCATENATE("R8C",'Mapa final'!$O$73),"")</f>
        <v/>
      </c>
      <c r="AK43" s="56" t="str">
        <f>IF(AND('Mapa final'!$Y$74="Baja",'Mapa final'!$AA$74="Catastrófico"),CONCATENATE("R8C",'Mapa final'!$O$74),"")</f>
        <v/>
      </c>
      <c r="AL43" s="56" t="str">
        <f>IF(AND('Mapa final'!$Y$75="Baja",'Mapa final'!$AA$75="Catastrófico"),CONCATENATE("R8C",'Mapa final'!$O$75),"")</f>
        <v/>
      </c>
      <c r="AM43" s="57" t="str">
        <f>IF(AND('Mapa final'!$Y$76="Baja",'Mapa final'!$AA$76="Catastrófico"),CONCATENATE("R8C",'Mapa final'!$O$76),"")</f>
        <v/>
      </c>
      <c r="AN43" s="83"/>
      <c r="AO43" s="490"/>
      <c r="AP43" s="491"/>
      <c r="AQ43" s="491"/>
      <c r="AR43" s="491"/>
      <c r="AS43" s="491"/>
      <c r="AT43" s="49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71"/>
      <c r="C44" s="371"/>
      <c r="D44" s="372"/>
      <c r="E44" s="470"/>
      <c r="F44" s="469"/>
      <c r="G44" s="469"/>
      <c r="H44" s="469"/>
      <c r="I44" s="469"/>
      <c r="J44" s="76" t="str">
        <f>IF(AND('Mapa final'!$Y$77="Baja",'Mapa final'!$AA$77="Leve"),CONCATENATE("R9C",'Mapa final'!$O$77),"")</f>
        <v/>
      </c>
      <c r="K44" s="77" t="str">
        <f>IF(AND('Mapa final'!$Y$78="Baja",'Mapa final'!$AA$78="Leve"),CONCATENATE("R9C",'Mapa final'!$O$78),"")</f>
        <v/>
      </c>
      <c r="L44" s="77" t="str">
        <f>IF(AND('Mapa final'!$Y$79="Baja",'Mapa final'!$AA$79="Leve"),CONCATENATE("R9C",'Mapa final'!$O$79),"")</f>
        <v/>
      </c>
      <c r="M44" s="77" t="str">
        <f>IF(AND('Mapa final'!$Y$80="Baja",'Mapa final'!$AA$80="Leve"),CONCATENATE("R9C",'Mapa final'!$O$80),"")</f>
        <v/>
      </c>
      <c r="N44" s="77" t="str">
        <f>IF(AND('Mapa final'!$Y$81="Baja",'Mapa final'!$AA$81="Leve"),CONCATENATE("R9C",'Mapa final'!$O$81),"")</f>
        <v/>
      </c>
      <c r="O44" s="78" t="str">
        <f>IF(AND('Mapa final'!$Y$82="Baja",'Mapa final'!$AA$82="Leve"),CONCATENATE("R9C",'Mapa final'!$O$82),"")</f>
        <v/>
      </c>
      <c r="P44" s="67" t="str">
        <f>IF(AND('Mapa final'!$Y$77="Baja",'Mapa final'!$AA$77="Menor"),CONCATENATE("R9C",'Mapa final'!$O$77),"")</f>
        <v/>
      </c>
      <c r="Q44" s="68" t="str">
        <f>IF(AND('Mapa final'!$Y$78="Baja",'Mapa final'!$AA$78="Menor"),CONCATENATE("R9C",'Mapa final'!$O$78),"")</f>
        <v/>
      </c>
      <c r="R44" s="68" t="str">
        <f>IF(AND('Mapa final'!$Y$79="Baja",'Mapa final'!$AA$79="Menor"),CONCATENATE("R9C",'Mapa final'!$O$79),"")</f>
        <v/>
      </c>
      <c r="S44" s="68" t="str">
        <f>IF(AND('Mapa final'!$Y$80="Baja",'Mapa final'!$AA$80="Menor"),CONCATENATE("R9C",'Mapa final'!$O$80),"")</f>
        <v/>
      </c>
      <c r="T44" s="68" t="str">
        <f>IF(AND('Mapa final'!$Y$81="Baja",'Mapa final'!$AA$81="Menor"),CONCATENATE("R9C",'Mapa final'!$O$81),"")</f>
        <v/>
      </c>
      <c r="U44" s="69" t="str">
        <f>IF(AND('Mapa final'!$Y$82="Baja",'Mapa final'!$AA$82="Menor"),CONCATENATE("R9C",'Mapa final'!$O$82),"")</f>
        <v/>
      </c>
      <c r="V44" s="67" t="str">
        <f>IF(AND('Mapa final'!$Y$77="Baja",'Mapa final'!$AA$77="Moderado"),CONCATENATE("R9C",'Mapa final'!$O$77),"")</f>
        <v/>
      </c>
      <c r="W44" s="68" t="str">
        <f>IF(AND('Mapa final'!$Y$78="Baja",'Mapa final'!$AA$78="Moderado"),CONCATENATE("R9C",'Mapa final'!$O$78),"")</f>
        <v/>
      </c>
      <c r="X44" s="68" t="str">
        <f>IF(AND('Mapa final'!$Y$79="Baja",'Mapa final'!$AA$79="Moderado"),CONCATENATE("R9C",'Mapa final'!$O$79),"")</f>
        <v/>
      </c>
      <c r="Y44" s="68" t="str">
        <f>IF(AND('Mapa final'!$Y$80="Baja",'Mapa final'!$AA$80="Moderado"),CONCATENATE("R9C",'Mapa final'!$O$80),"")</f>
        <v/>
      </c>
      <c r="Z44" s="68" t="str">
        <f>IF(AND('Mapa final'!$Y$81="Baja",'Mapa final'!$AA$81="Moderado"),CONCATENATE("R9C",'Mapa final'!$O$81),"")</f>
        <v/>
      </c>
      <c r="AA44" s="69" t="str">
        <f>IF(AND('Mapa final'!$Y$82="Baja",'Mapa final'!$AA$82="Moderado"),CONCATENATE("R9C",'Mapa final'!$O$82),"")</f>
        <v/>
      </c>
      <c r="AB44" s="52" t="str">
        <f>IF(AND('Mapa final'!$Y$77="Baja",'Mapa final'!$AA$77="Mayor"),CONCATENATE("R9C",'Mapa final'!$O$77),"")</f>
        <v/>
      </c>
      <c r="AC44" s="53" t="str">
        <f>IF(AND('Mapa final'!$Y$78="Baja",'Mapa final'!$AA$78="Mayor"),CONCATENATE("R9C",'Mapa final'!$O$78),"")</f>
        <v/>
      </c>
      <c r="AD44" s="53" t="str">
        <f>IF(AND('Mapa final'!$Y$79="Baja",'Mapa final'!$AA$79="Mayor"),CONCATENATE("R9C",'Mapa final'!$O$79),"")</f>
        <v/>
      </c>
      <c r="AE44" s="53" t="str">
        <f>IF(AND('Mapa final'!$Y$80="Baja",'Mapa final'!$AA$80="Mayor"),CONCATENATE("R9C",'Mapa final'!$O$80),"")</f>
        <v/>
      </c>
      <c r="AF44" s="53" t="str">
        <f>IF(AND('Mapa final'!$Y$81="Baja",'Mapa final'!$AA$81="Mayor"),CONCATENATE("R9C",'Mapa final'!$O$81),"")</f>
        <v/>
      </c>
      <c r="AG44" s="54" t="str">
        <f>IF(AND('Mapa final'!$Y$82="Baja",'Mapa final'!$AA$82="Mayor"),CONCATENATE("R9C",'Mapa final'!$O$82),"")</f>
        <v/>
      </c>
      <c r="AH44" s="55" t="str">
        <f>IF(AND('Mapa final'!$Y$77="Baja",'Mapa final'!$AA$77="Catastrófico"),CONCATENATE("R9C",'Mapa final'!$O$77),"")</f>
        <v/>
      </c>
      <c r="AI44" s="56" t="str">
        <f>IF(AND('Mapa final'!$Y$78="Baja",'Mapa final'!$AA$78="Catastrófico"),CONCATENATE("R9C",'Mapa final'!$O$78),"")</f>
        <v/>
      </c>
      <c r="AJ44" s="56" t="str">
        <f>IF(AND('Mapa final'!$Y$79="Baja",'Mapa final'!$AA$79="Catastrófico"),CONCATENATE("R9C",'Mapa final'!$O$79),"")</f>
        <v/>
      </c>
      <c r="AK44" s="56" t="str">
        <f>IF(AND('Mapa final'!$Y$80="Baja",'Mapa final'!$AA$80="Catastrófico"),CONCATENATE("R9C",'Mapa final'!$O$80),"")</f>
        <v/>
      </c>
      <c r="AL44" s="56" t="str">
        <f>IF(AND('Mapa final'!$Y$81="Baja",'Mapa final'!$AA$81="Catastrófico"),CONCATENATE("R9C",'Mapa final'!$O$81),"")</f>
        <v/>
      </c>
      <c r="AM44" s="57" t="str">
        <f>IF(AND('Mapa final'!$Y$82="Baja",'Mapa final'!$AA$82="Catastrófico"),CONCATENATE("R9C",'Mapa final'!$O$82),"")</f>
        <v/>
      </c>
      <c r="AN44" s="83"/>
      <c r="AO44" s="490"/>
      <c r="AP44" s="491"/>
      <c r="AQ44" s="491"/>
      <c r="AR44" s="491"/>
      <c r="AS44" s="491"/>
      <c r="AT44" s="49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71"/>
      <c r="C45" s="371"/>
      <c r="D45" s="372"/>
      <c r="E45" s="471"/>
      <c r="F45" s="472"/>
      <c r="G45" s="472"/>
      <c r="H45" s="472"/>
      <c r="I45" s="472"/>
      <c r="J45" s="79" t="str">
        <f>IF(AND('Mapa final'!$Y$83="Baja",'Mapa final'!$AA$83="Leve"),CONCATENATE("R10C",'Mapa final'!$O$83),"")</f>
        <v/>
      </c>
      <c r="K45" s="80" t="str">
        <f>IF(AND('Mapa final'!$Y$84="Baja",'Mapa final'!$AA$84="Leve"),CONCATENATE("R10C",'Mapa final'!$O$84),"")</f>
        <v/>
      </c>
      <c r="L45" s="80" t="str">
        <f>IF(AND('Mapa final'!$Y$85="Baja",'Mapa final'!$AA$85="Leve"),CONCATENATE("R10C",'Mapa final'!$O$85),"")</f>
        <v/>
      </c>
      <c r="M45" s="80" t="str">
        <f>IF(AND('Mapa final'!$Y$86="Baja",'Mapa final'!$AA$86="Leve"),CONCATENATE("R10C",'Mapa final'!$O$86),"")</f>
        <v/>
      </c>
      <c r="N45" s="80" t="str">
        <f>IF(AND('Mapa final'!$Y$87="Baja",'Mapa final'!$AA$87="Leve"),CONCATENATE("R10C",'Mapa final'!$O$87),"")</f>
        <v/>
      </c>
      <c r="O45" s="81" t="str">
        <f>IF(AND('Mapa final'!$Y$88="Baja",'Mapa final'!$AA$88="Leve"),CONCATENATE("R10C",'Mapa final'!$O$88),"")</f>
        <v/>
      </c>
      <c r="P45" s="67" t="str">
        <f>IF(AND('Mapa final'!$Y$83="Baja",'Mapa final'!$AA$83="Menor"),CONCATENATE("R10C",'Mapa final'!$O$83),"")</f>
        <v/>
      </c>
      <c r="Q45" s="68" t="str">
        <f>IF(AND('Mapa final'!$Y$84="Baja",'Mapa final'!$AA$84="Menor"),CONCATENATE("R10C",'Mapa final'!$O$84),"")</f>
        <v/>
      </c>
      <c r="R45" s="68" t="str">
        <f>IF(AND('Mapa final'!$Y$85="Baja",'Mapa final'!$AA$85="Menor"),CONCATENATE("R10C",'Mapa final'!$O$85),"")</f>
        <v/>
      </c>
      <c r="S45" s="68" t="str">
        <f>IF(AND('Mapa final'!$Y$86="Baja",'Mapa final'!$AA$86="Menor"),CONCATENATE("R10C",'Mapa final'!$O$86),"")</f>
        <v/>
      </c>
      <c r="T45" s="68" t="str">
        <f>IF(AND('Mapa final'!$Y$87="Baja",'Mapa final'!$AA$87="Menor"),CONCATENATE("R10C",'Mapa final'!$O$87),"")</f>
        <v/>
      </c>
      <c r="U45" s="69" t="str">
        <f>IF(AND('Mapa final'!$Y$88="Baja",'Mapa final'!$AA$88="Menor"),CONCATENATE("R10C",'Mapa final'!$O$88),"")</f>
        <v/>
      </c>
      <c r="V45" s="70" t="str">
        <f>IF(AND('Mapa final'!$Y$83="Baja",'Mapa final'!$AA$83="Moderado"),CONCATENATE("R10C",'Mapa final'!$O$83),"")</f>
        <v/>
      </c>
      <c r="W45" s="71" t="str">
        <f>IF(AND('Mapa final'!$Y$84="Baja",'Mapa final'!$AA$84="Moderado"),CONCATENATE("R10C",'Mapa final'!$O$84),"")</f>
        <v/>
      </c>
      <c r="X45" s="71" t="str">
        <f>IF(AND('Mapa final'!$Y$85="Baja",'Mapa final'!$AA$85="Moderado"),CONCATENATE("R10C",'Mapa final'!$O$85),"")</f>
        <v/>
      </c>
      <c r="Y45" s="71" t="str">
        <f>IF(AND('Mapa final'!$Y$86="Baja",'Mapa final'!$AA$86="Moderado"),CONCATENATE("R10C",'Mapa final'!$O$86),"")</f>
        <v/>
      </c>
      <c r="Z45" s="71" t="str">
        <f>IF(AND('Mapa final'!$Y$87="Baja",'Mapa final'!$AA$87="Moderado"),CONCATENATE("R10C",'Mapa final'!$O$87),"")</f>
        <v/>
      </c>
      <c r="AA45" s="72" t="str">
        <f>IF(AND('Mapa final'!$Y$88="Baja",'Mapa final'!$AA$88="Moderado"),CONCATENATE("R10C",'Mapa final'!$O$88),"")</f>
        <v/>
      </c>
      <c r="AB45" s="58" t="str">
        <f>IF(AND('Mapa final'!$Y$83="Baja",'Mapa final'!$AA$83="Mayor"),CONCATENATE("R10C",'Mapa final'!$O$83),"")</f>
        <v/>
      </c>
      <c r="AC45" s="59" t="str">
        <f>IF(AND('Mapa final'!$Y$84="Baja",'Mapa final'!$AA$84="Mayor"),CONCATENATE("R10C",'Mapa final'!$O$84),"")</f>
        <v/>
      </c>
      <c r="AD45" s="59" t="str">
        <f>IF(AND('Mapa final'!$Y$85="Baja",'Mapa final'!$AA$85="Mayor"),CONCATENATE("R10C",'Mapa final'!$O$85),"")</f>
        <v/>
      </c>
      <c r="AE45" s="59" t="str">
        <f>IF(AND('Mapa final'!$Y$86="Baja",'Mapa final'!$AA$86="Mayor"),CONCATENATE("R10C",'Mapa final'!$O$86),"")</f>
        <v/>
      </c>
      <c r="AF45" s="59" t="str">
        <f>IF(AND('Mapa final'!$Y$87="Baja",'Mapa final'!$AA$87="Mayor"),CONCATENATE("R10C",'Mapa final'!$O$87),"")</f>
        <v/>
      </c>
      <c r="AG45" s="60" t="str">
        <f>IF(AND('Mapa final'!$Y$88="Baja",'Mapa final'!$AA$88="Mayor"),CONCATENATE("R10C",'Mapa final'!$O$88),"")</f>
        <v/>
      </c>
      <c r="AH45" s="61" t="str">
        <f>IF(AND('Mapa final'!$Y$83="Baja",'Mapa final'!$AA$83="Catastrófico"),CONCATENATE("R10C",'Mapa final'!$O$83),"")</f>
        <v/>
      </c>
      <c r="AI45" s="62" t="str">
        <f>IF(AND('Mapa final'!$Y$84="Baja",'Mapa final'!$AA$84="Catastrófico"),CONCATENATE("R10C",'Mapa final'!$O$84),"")</f>
        <v/>
      </c>
      <c r="AJ45" s="62" t="str">
        <f>IF(AND('Mapa final'!$Y$85="Baja",'Mapa final'!$AA$85="Catastrófico"),CONCATENATE("R10C",'Mapa final'!$O$85),"")</f>
        <v/>
      </c>
      <c r="AK45" s="62" t="str">
        <f>IF(AND('Mapa final'!$Y$86="Baja",'Mapa final'!$AA$86="Catastrófico"),CONCATENATE("R10C",'Mapa final'!$O$86),"")</f>
        <v/>
      </c>
      <c r="AL45" s="62" t="str">
        <f>IF(AND('Mapa final'!$Y$87="Baja",'Mapa final'!$AA$87="Catastrófico"),CONCATENATE("R10C",'Mapa final'!$O$87),"")</f>
        <v/>
      </c>
      <c r="AM45" s="63" t="str">
        <f>IF(AND('Mapa final'!$Y$88="Baja",'Mapa final'!$AA$88="Catastrófico"),CONCATENATE("R10C",'Mapa final'!$O$88),"")</f>
        <v/>
      </c>
      <c r="AN45" s="83"/>
      <c r="AO45" s="493"/>
      <c r="AP45" s="494"/>
      <c r="AQ45" s="494"/>
      <c r="AR45" s="494"/>
      <c r="AS45" s="494"/>
      <c r="AT45" s="495"/>
    </row>
    <row r="46" spans="1:80" ht="46.5" customHeight="1" x14ac:dyDescent="0.35">
      <c r="A46" s="83"/>
      <c r="B46" s="371"/>
      <c r="C46" s="371"/>
      <c r="D46" s="372"/>
      <c r="E46" s="466" t="s">
        <v>100</v>
      </c>
      <c r="F46" s="467"/>
      <c r="G46" s="467"/>
      <c r="H46" s="467"/>
      <c r="I46" s="484"/>
      <c r="J46" s="73" t="str">
        <f>IF(AND('Mapa final'!$Y$29="Muy Baja",'Mapa final'!$AA$29="Leve"),CONCATENATE("R1C",'Mapa final'!$O$29),"")</f>
        <v/>
      </c>
      <c r="K46" s="74" t="str">
        <f>IF(AND('Mapa final'!$Y$30="Muy Baja",'Mapa final'!$AA$30="Leve"),CONCATENATE("R1C",'Mapa final'!$O$30),"")</f>
        <v/>
      </c>
      <c r="L46" s="74" t="str">
        <f>IF(AND('Mapa final'!$Y$31="Muy Baja",'Mapa final'!$AA$31="Leve"),CONCATENATE("R1C",'Mapa final'!$O$31),"")</f>
        <v/>
      </c>
      <c r="M46" s="74" t="str">
        <f>IF(AND('Mapa final'!$Y$32="Muy Baja",'Mapa final'!$AA$32="Leve"),CONCATENATE("R1C",'Mapa final'!$O$32),"")</f>
        <v/>
      </c>
      <c r="N46" s="74" t="str">
        <f>IF(AND('Mapa final'!$Y$33="Muy Baja",'Mapa final'!$AA$33="Leve"),CONCATENATE("R1C",'Mapa final'!$O$33),"")</f>
        <v/>
      </c>
      <c r="O46" s="75" t="str">
        <f>IF(AND('Mapa final'!$Y$34="Muy Baja",'Mapa final'!$AA$34="Leve"),CONCATENATE("R1C",'Mapa final'!$O$34),"")</f>
        <v/>
      </c>
      <c r="P46" s="73" t="str">
        <f>IF(AND('Mapa final'!$Y$29="Muy Baja",'Mapa final'!$AA$29="Menor"),CONCATENATE("R1C",'Mapa final'!$O$29),"")</f>
        <v>R1C1</v>
      </c>
      <c r="Q46" s="74" t="str">
        <f>IF(AND('Mapa final'!$Y$30="Muy Baja",'Mapa final'!$AA$30="Menor"),CONCATENATE("R1C",'Mapa final'!$O$30),"")</f>
        <v>R1C2</v>
      </c>
      <c r="R46" s="74" t="str">
        <f>IF(AND('Mapa final'!$Y$31="Muy Baja",'Mapa final'!$AA$31="Menor"),CONCATENATE("R1C",'Mapa final'!$O$31),"")</f>
        <v/>
      </c>
      <c r="S46" s="74" t="str">
        <f>IF(AND('Mapa final'!$Y$32="Muy Baja",'Mapa final'!$AA$32="Menor"),CONCATENATE("R1C",'Mapa final'!$O$32),"")</f>
        <v/>
      </c>
      <c r="T46" s="74" t="str">
        <f>IF(AND('Mapa final'!$Y$33="Muy Baja",'Mapa final'!$AA$33="Menor"),CONCATENATE("R1C",'Mapa final'!$O$33),"")</f>
        <v/>
      </c>
      <c r="U46" s="75" t="str">
        <f>IF(AND('Mapa final'!$Y$34="Muy Baja",'Mapa final'!$AA$34="Menor"),CONCATENATE("R1C",'Mapa final'!$O$34),"")</f>
        <v/>
      </c>
      <c r="V46" s="64" t="str">
        <f>IF(AND('Mapa final'!$Y$29="Muy Baja",'Mapa final'!$AA$29="Moderado"),CONCATENATE("R1C",'Mapa final'!$O$29),"")</f>
        <v/>
      </c>
      <c r="W46" s="82" t="str">
        <f>IF(AND('Mapa final'!$Y$30="Muy Baja",'Mapa final'!$AA$30="Moderado"),CONCATENATE("R1C",'Mapa final'!$O$30),"")</f>
        <v/>
      </c>
      <c r="X46" s="65" t="str">
        <f>IF(AND('Mapa final'!$Y$31="Muy Baja",'Mapa final'!$AA$31="Moderado"),CONCATENATE("R1C",'Mapa final'!$O$31),"")</f>
        <v/>
      </c>
      <c r="Y46" s="65" t="str">
        <f>IF(AND('Mapa final'!$Y$32="Muy Baja",'Mapa final'!$AA$32="Moderado"),CONCATENATE("R1C",'Mapa final'!$O$32),"")</f>
        <v/>
      </c>
      <c r="Z46" s="65" t="str">
        <f>IF(AND('Mapa final'!$Y$33="Muy Baja",'Mapa final'!$AA$33="Moderado"),CONCATENATE("R1C",'Mapa final'!$O$33),"")</f>
        <v/>
      </c>
      <c r="AA46" s="66" t="str">
        <f>IF(AND('Mapa final'!$Y$34="Muy Baja",'Mapa final'!$AA$34="Moderado"),CONCATENATE("R1C",'Mapa final'!$O$34),"")</f>
        <v/>
      </c>
      <c r="AB46" s="46" t="str">
        <f>IF(AND('Mapa final'!$Y$29="Muy Baja",'Mapa final'!$AA$29="Mayor"),CONCATENATE("R1C",'Mapa final'!$O$29),"")</f>
        <v/>
      </c>
      <c r="AC46" s="47" t="str">
        <f>IF(AND('Mapa final'!$Y$30="Muy Baja",'Mapa final'!$AA$30="Mayor"),CONCATENATE("R1C",'Mapa final'!$O$30),"")</f>
        <v/>
      </c>
      <c r="AD46" s="47" t="str">
        <f>IF(AND('Mapa final'!$Y$31="Muy Baja",'Mapa final'!$AA$31="Mayor"),CONCATENATE("R1C",'Mapa final'!$O$31),"")</f>
        <v/>
      </c>
      <c r="AE46" s="47" t="str">
        <f>IF(AND('Mapa final'!$Y$32="Muy Baja",'Mapa final'!$AA$32="Mayor"),CONCATENATE("R1C",'Mapa final'!$O$32),"")</f>
        <v/>
      </c>
      <c r="AF46" s="47" t="str">
        <f>IF(AND('Mapa final'!$Y$33="Muy Baja",'Mapa final'!$AA$33="Mayor"),CONCATENATE("R1C",'Mapa final'!$O$33),"")</f>
        <v/>
      </c>
      <c r="AG46" s="48" t="str">
        <f>IF(AND('Mapa final'!$Y$34="Muy Baja",'Mapa final'!$AA$34="Mayor"),CONCATENATE("R1C",'Mapa final'!$O$34),"")</f>
        <v/>
      </c>
      <c r="AH46" s="49" t="str">
        <f>IF(AND('Mapa final'!$Y$29="Muy Baja",'Mapa final'!$AA$29="Catastrófico"),CONCATENATE("R1C",'Mapa final'!$O$29),"")</f>
        <v/>
      </c>
      <c r="AI46" s="50" t="str">
        <f>IF(AND('Mapa final'!$Y$30="Muy Baja",'Mapa final'!$AA$30="Catastrófico"),CONCATENATE("R1C",'Mapa final'!$O$30),"")</f>
        <v/>
      </c>
      <c r="AJ46" s="50" t="str">
        <f>IF(AND('Mapa final'!$Y$31="Muy Baja",'Mapa final'!$AA$31="Catastrófico"),CONCATENATE("R1C",'Mapa final'!$O$31),"")</f>
        <v/>
      </c>
      <c r="AK46" s="50" t="str">
        <f>IF(AND('Mapa final'!$Y$32="Muy Baja",'Mapa final'!$AA$32="Catastrófico"),CONCATENATE("R1C",'Mapa final'!$O$32),"")</f>
        <v/>
      </c>
      <c r="AL46" s="50" t="str">
        <f>IF(AND('Mapa final'!$Y$33="Muy Baja",'Mapa final'!$AA$33="Catastrófico"),CONCATENATE("R1C",'Mapa final'!$O$33),"")</f>
        <v/>
      </c>
      <c r="AM46" s="51" t="str">
        <f>IF(AND('Mapa final'!$Y$34="Muy Baja",'Mapa final'!$AA$34="Catastrófico"),CONCATENATE("R1C",'Mapa final'!$O$34),"")</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71"/>
      <c r="C47" s="371"/>
      <c r="D47" s="372"/>
      <c r="E47" s="468"/>
      <c r="F47" s="469"/>
      <c r="G47" s="469"/>
      <c r="H47" s="469"/>
      <c r="I47" s="485"/>
      <c r="J47" s="76" t="str">
        <f>IF(AND('Mapa final'!$Y$35="Muy Baja",'Mapa final'!$AA$35="Leve"),CONCATENATE("R2C",'Mapa final'!$O$35),"")</f>
        <v/>
      </c>
      <c r="K47" s="77" t="str">
        <f>IF(AND('Mapa final'!$Y$36="Muy Baja",'Mapa final'!$AA$36="Leve"),CONCATENATE("R2C",'Mapa final'!$O$36),"")</f>
        <v/>
      </c>
      <c r="L47" s="77" t="str">
        <f>IF(AND('Mapa final'!$Y$37="Muy Baja",'Mapa final'!$AA$37="Leve"),CONCATENATE("R2C",'Mapa final'!$O$37),"")</f>
        <v>R2C3</v>
      </c>
      <c r="M47" s="77" t="str">
        <f>IF(AND('Mapa final'!$Y$38="Muy Baja",'Mapa final'!$AA$38="Leve"),CONCATENATE("R2C",'Mapa final'!$O$38),"")</f>
        <v>R2C4</v>
      </c>
      <c r="N47" s="77" t="str">
        <f>IF(AND('Mapa final'!$Y$39="Muy Baja",'Mapa final'!$AA$39="Leve"),CONCATENATE("R2C",'Mapa final'!$O$39),"")</f>
        <v/>
      </c>
      <c r="O47" s="78" t="str">
        <f>IF(AND('Mapa final'!$Y$40="Muy Baja",'Mapa final'!$AA$40="Leve"),CONCATENATE("R2C",'Mapa final'!$O$40),"")</f>
        <v/>
      </c>
      <c r="P47" s="76" t="str">
        <f>IF(AND('Mapa final'!$Y$35="Muy Baja",'Mapa final'!$AA$35="Menor"),CONCATENATE("R2C",'Mapa final'!$O$35),"")</f>
        <v/>
      </c>
      <c r="Q47" s="77" t="str">
        <f>IF(AND('Mapa final'!$Y$36="Muy Baja",'Mapa final'!$AA$36="Menor"),CONCATENATE("R2C",'Mapa final'!$O$36),"")</f>
        <v/>
      </c>
      <c r="R47" s="77" t="str">
        <f>IF(AND('Mapa final'!$Y$37="Muy Baja",'Mapa final'!$AA$37="Menor"),CONCATENATE("R2C",'Mapa final'!$O$37),"")</f>
        <v/>
      </c>
      <c r="S47" s="77" t="str">
        <f>IF(AND('Mapa final'!$Y$38="Muy Baja",'Mapa final'!$AA$38="Menor"),CONCATENATE("R2C",'Mapa final'!$O$38),"")</f>
        <v/>
      </c>
      <c r="T47" s="77" t="str">
        <f>IF(AND('Mapa final'!$Y$39="Muy Baja",'Mapa final'!$AA$39="Menor"),CONCATENATE("R2C",'Mapa final'!$O$39),"")</f>
        <v/>
      </c>
      <c r="U47" s="78" t="str">
        <f>IF(AND('Mapa final'!$Y$40="Muy Baja",'Mapa final'!$AA$40="Menor"),CONCATENATE("R2C",'Mapa final'!$O$40),"")</f>
        <v/>
      </c>
      <c r="V47" s="67" t="str">
        <f>IF(AND('Mapa final'!$Y$35="Muy Baja",'Mapa final'!$AA$35="Moderado"),CONCATENATE("R2C",'Mapa final'!$O$35),"")</f>
        <v/>
      </c>
      <c r="W47" s="68" t="str">
        <f>IF(AND('Mapa final'!$Y$36="Muy Baja",'Mapa final'!$AA$36="Moderado"),CONCATENATE("R2C",'Mapa final'!$O$36),"")</f>
        <v/>
      </c>
      <c r="X47" s="68" t="str">
        <f>IF(AND('Mapa final'!$Y$37="Muy Baja",'Mapa final'!$AA$37="Moderado"),CONCATENATE("R2C",'Mapa final'!$O$37),"")</f>
        <v/>
      </c>
      <c r="Y47" s="68" t="str">
        <f>IF(AND('Mapa final'!$Y$38="Muy Baja",'Mapa final'!$AA$38="Moderado"),CONCATENATE("R2C",'Mapa final'!$O$38),"")</f>
        <v/>
      </c>
      <c r="Z47" s="68" t="str">
        <f>IF(AND('Mapa final'!$Y$39="Muy Baja",'Mapa final'!$AA$39="Moderado"),CONCATENATE("R2C",'Mapa final'!$O$39),"")</f>
        <v/>
      </c>
      <c r="AA47" s="69" t="str">
        <f>IF(AND('Mapa final'!$Y$40="Muy Baja",'Mapa final'!$AA$40="Moderado"),CONCATENATE("R2C",'Mapa final'!$O$40),"")</f>
        <v/>
      </c>
      <c r="AB47" s="52" t="str">
        <f>IF(AND('Mapa final'!$Y$35="Muy Baja",'Mapa final'!$AA$35="Mayor"),CONCATENATE("R2C",'Mapa final'!$O$35),"")</f>
        <v/>
      </c>
      <c r="AC47" s="53" t="str">
        <f>IF(AND('Mapa final'!$Y$36="Muy Baja",'Mapa final'!$AA$36="Mayor"),CONCATENATE("R2C",'Mapa final'!$O$36),"")</f>
        <v/>
      </c>
      <c r="AD47" s="53" t="str">
        <f>IF(AND('Mapa final'!$Y$37="Muy Baja",'Mapa final'!$AA$37="Mayor"),CONCATENATE("R2C",'Mapa final'!$O$37),"")</f>
        <v/>
      </c>
      <c r="AE47" s="53" t="str">
        <f>IF(AND('Mapa final'!$Y$38="Muy Baja",'Mapa final'!$AA$38="Mayor"),CONCATENATE("R2C",'Mapa final'!$O$38),"")</f>
        <v/>
      </c>
      <c r="AF47" s="53" t="str">
        <f>IF(AND('Mapa final'!$Y$39="Muy Baja",'Mapa final'!$AA$39="Mayor"),CONCATENATE("R2C",'Mapa final'!$O$39),"")</f>
        <v/>
      </c>
      <c r="AG47" s="54" t="str">
        <f>IF(AND('Mapa final'!$Y$40="Muy Baja",'Mapa final'!$AA$40="Mayor"),CONCATENATE("R2C",'Mapa final'!$O$40),"")</f>
        <v/>
      </c>
      <c r="AH47" s="55" t="str">
        <f>IF(AND('Mapa final'!$Y$35="Muy Baja",'Mapa final'!$AA$35="Catastrófico"),CONCATENATE("R2C",'Mapa final'!$O$35),"")</f>
        <v/>
      </c>
      <c r="AI47" s="56" t="str">
        <f>IF(AND('Mapa final'!$Y$36="Muy Baja",'Mapa final'!$AA$36="Catastrófico"),CONCATENATE("R2C",'Mapa final'!$O$36),"")</f>
        <v/>
      </c>
      <c r="AJ47" s="56" t="str">
        <f>IF(AND('Mapa final'!$Y$37="Muy Baja",'Mapa final'!$AA$37="Catastrófico"),CONCATENATE("R2C",'Mapa final'!$O$37),"")</f>
        <v/>
      </c>
      <c r="AK47" s="56" t="str">
        <f>IF(AND('Mapa final'!$Y$38="Muy Baja",'Mapa final'!$AA$38="Catastrófico"),CONCATENATE("R2C",'Mapa final'!$O$38),"")</f>
        <v/>
      </c>
      <c r="AL47" s="56" t="str">
        <f>IF(AND('Mapa final'!$Y$39="Muy Baja",'Mapa final'!$AA$39="Catastrófico"),CONCATENATE("R2C",'Mapa final'!$O$39),"")</f>
        <v/>
      </c>
      <c r="AM47" s="57" t="str">
        <f>IF(AND('Mapa final'!$Y$40="Muy Baja",'Mapa final'!$AA$40="Catastrófico"),CONCATENATE("R2C",'Mapa final'!$O$40),"")</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71"/>
      <c r="C48" s="371"/>
      <c r="D48" s="372"/>
      <c r="E48" s="468"/>
      <c r="F48" s="469"/>
      <c r="G48" s="469"/>
      <c r="H48" s="469"/>
      <c r="I48" s="485"/>
      <c r="J48" s="76" t="str">
        <f>IF(AND('Mapa final'!$Y$41="Muy Baja",'Mapa final'!$AA$41="Leve"),CONCATENATE("R3C",'Mapa final'!$O$41),"")</f>
        <v/>
      </c>
      <c r="K48" s="77" t="str">
        <f>IF(AND('Mapa final'!$Y$42="Muy Baja",'Mapa final'!$AA$42="Leve"),CONCATENATE("R3C",'Mapa final'!$O$42),"")</f>
        <v/>
      </c>
      <c r="L48" s="77" t="str">
        <f>IF(AND('Mapa final'!$Y$43="Muy Baja",'Mapa final'!$AA$43="Leve"),CONCATENATE("R3C",'Mapa final'!$O$43),"")</f>
        <v/>
      </c>
      <c r="M48" s="77" t="str">
        <f>IF(AND('Mapa final'!$Y$44="Muy Baja",'Mapa final'!$AA$44="Leve"),CONCATENATE("R3C",'Mapa final'!$O$44),"")</f>
        <v/>
      </c>
      <c r="N48" s="77" t="str">
        <f>IF(AND('Mapa final'!$Y$45="Muy Baja",'Mapa final'!$AA$45="Leve"),CONCATENATE("R3C",'Mapa final'!$O$45),"")</f>
        <v/>
      </c>
      <c r="O48" s="78" t="str">
        <f>IF(AND('Mapa final'!$Y$46="Muy Baja",'Mapa final'!$AA$46="Leve"),CONCATENATE("R3C",'Mapa final'!$O$46),"")</f>
        <v/>
      </c>
      <c r="P48" s="76" t="str">
        <f>IF(AND('Mapa final'!$Y$41="Muy Baja",'Mapa final'!$AA$41="Menor"),CONCATENATE("R3C",'Mapa final'!$O$41),"")</f>
        <v/>
      </c>
      <c r="Q48" s="77" t="str">
        <f>IF(AND('Mapa final'!$Y$42="Muy Baja",'Mapa final'!$AA$42="Menor"),CONCATENATE("R3C",'Mapa final'!$O$42),"")</f>
        <v/>
      </c>
      <c r="R48" s="77" t="str">
        <f>IF(AND('Mapa final'!$Y$43="Muy Baja",'Mapa final'!$AA$43="Menor"),CONCATENATE("R3C",'Mapa final'!$O$43),"")</f>
        <v/>
      </c>
      <c r="S48" s="77" t="str">
        <f>IF(AND('Mapa final'!$Y$44="Muy Baja",'Mapa final'!$AA$44="Menor"),CONCATENATE("R3C",'Mapa final'!$O$44),"")</f>
        <v/>
      </c>
      <c r="T48" s="77" t="str">
        <f>IF(AND('Mapa final'!$Y$45="Muy Baja",'Mapa final'!$AA$45="Menor"),CONCATENATE("R3C",'Mapa final'!$O$45),"")</f>
        <v/>
      </c>
      <c r="U48" s="78" t="str">
        <f>IF(AND('Mapa final'!$Y$46="Muy Baja",'Mapa final'!$AA$46="Menor"),CONCATENATE("R3C",'Mapa final'!$O$46),"")</f>
        <v/>
      </c>
      <c r="V48" s="67" t="str">
        <f>IF(AND('Mapa final'!$Y$41="Muy Baja",'Mapa final'!$AA$41="Moderado"),CONCATENATE("R3C",'Mapa final'!$O$41),"")</f>
        <v/>
      </c>
      <c r="W48" s="68" t="str">
        <f>IF(AND('Mapa final'!$Y$42="Muy Baja",'Mapa final'!$AA$42="Moderado"),CONCATENATE("R3C",'Mapa final'!$O$42),"")</f>
        <v/>
      </c>
      <c r="X48" s="68" t="str">
        <f>IF(AND('Mapa final'!$Y$43="Muy Baja",'Mapa final'!$AA$43="Moderado"),CONCATENATE("R3C",'Mapa final'!$O$43),"")</f>
        <v/>
      </c>
      <c r="Y48" s="68" t="str">
        <f>IF(AND('Mapa final'!$Y$44="Muy Baja",'Mapa final'!$AA$44="Moderado"),CONCATENATE("R3C",'Mapa final'!$O$44),"")</f>
        <v/>
      </c>
      <c r="Z48" s="68" t="str">
        <f>IF(AND('Mapa final'!$Y$45="Muy Baja",'Mapa final'!$AA$45="Moderado"),CONCATENATE("R3C",'Mapa final'!$O$45),"")</f>
        <v/>
      </c>
      <c r="AA48" s="69" t="str">
        <f>IF(AND('Mapa final'!$Y$46="Muy Baja",'Mapa final'!$AA$46="Moderado"),CONCATENATE("R3C",'Mapa final'!$O$46),"")</f>
        <v/>
      </c>
      <c r="AB48" s="52" t="str">
        <f>IF(AND('Mapa final'!$Y$41="Muy Baja",'Mapa final'!$AA$41="Mayor"),CONCATENATE("R3C",'Mapa final'!$O$41),"")</f>
        <v/>
      </c>
      <c r="AC48" s="53" t="str">
        <f>IF(AND('Mapa final'!$Y$42="Muy Baja",'Mapa final'!$AA$42="Mayor"),CONCATENATE("R3C",'Mapa final'!$O$42),"")</f>
        <v/>
      </c>
      <c r="AD48" s="53" t="str">
        <f>IF(AND('Mapa final'!$Y$43="Muy Baja",'Mapa final'!$AA$43="Mayor"),CONCATENATE("R3C",'Mapa final'!$O$43),"")</f>
        <v/>
      </c>
      <c r="AE48" s="53" t="str">
        <f>IF(AND('Mapa final'!$Y$44="Muy Baja",'Mapa final'!$AA$44="Mayor"),CONCATENATE("R3C",'Mapa final'!$O$44),"")</f>
        <v/>
      </c>
      <c r="AF48" s="53" t="str">
        <f>IF(AND('Mapa final'!$Y$45="Muy Baja",'Mapa final'!$AA$45="Mayor"),CONCATENATE("R3C",'Mapa final'!$O$45),"")</f>
        <v/>
      </c>
      <c r="AG48" s="54" t="str">
        <f>IF(AND('Mapa final'!$Y$46="Muy Baja",'Mapa final'!$AA$46="Mayor"),CONCATENATE("R3C",'Mapa final'!$O$46),"")</f>
        <v/>
      </c>
      <c r="AH48" s="55" t="str">
        <f>IF(AND('Mapa final'!$Y$41="Muy Baja",'Mapa final'!$AA$41="Catastrófico"),CONCATENATE("R3C",'Mapa final'!$O$41),"")</f>
        <v/>
      </c>
      <c r="AI48" s="56" t="str">
        <f>IF(AND('Mapa final'!$Y$42="Muy Baja",'Mapa final'!$AA$42="Catastrófico"),CONCATENATE("R3C",'Mapa final'!$O$42),"")</f>
        <v/>
      </c>
      <c r="AJ48" s="56" t="str">
        <f>IF(AND('Mapa final'!$Y$43="Muy Baja",'Mapa final'!$AA$43="Catastrófico"),CONCATENATE("R3C",'Mapa final'!$O$43),"")</f>
        <v/>
      </c>
      <c r="AK48" s="56" t="str">
        <f>IF(AND('Mapa final'!$Y$44="Muy Baja",'Mapa final'!$AA$44="Catastrófico"),CONCATENATE("R3C",'Mapa final'!$O$44),"")</f>
        <v/>
      </c>
      <c r="AL48" s="56" t="str">
        <f>IF(AND('Mapa final'!$Y$45="Muy Baja",'Mapa final'!$AA$45="Catastrófico"),CONCATENATE("R3C",'Mapa final'!$O$45),"")</f>
        <v/>
      </c>
      <c r="AM48" s="57" t="str">
        <f>IF(AND('Mapa final'!$Y$46="Muy Baja",'Mapa final'!$AA$46="Catastrófico"),CONCATENATE("R3C",'Mapa final'!$O$46),"")</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71"/>
      <c r="C49" s="371"/>
      <c r="D49" s="372"/>
      <c r="E49" s="470"/>
      <c r="F49" s="469"/>
      <c r="G49" s="469"/>
      <c r="H49" s="469"/>
      <c r="I49" s="485"/>
      <c r="J49" s="76" t="str">
        <f>IF(AND('Mapa final'!$Y$47="Muy Baja",'Mapa final'!$AA$47="Leve"),CONCATENATE("R4C",'Mapa final'!$O$47),"")</f>
        <v/>
      </c>
      <c r="K49" s="77" t="str">
        <f>IF(AND('Mapa final'!$Y$48="Muy Baja",'Mapa final'!$AA$48="Leve"),CONCATENATE("R4C",'Mapa final'!$O$48),"")</f>
        <v/>
      </c>
      <c r="L49" s="77" t="str">
        <f>IF(AND('Mapa final'!$Y$49="Muy Baja",'Mapa final'!$AA$49="Leve"),CONCATENATE("R4C",'Mapa final'!$O$49),"")</f>
        <v/>
      </c>
      <c r="M49" s="77" t="str">
        <f>IF(AND('Mapa final'!$Y$50="Muy Baja",'Mapa final'!$AA$50="Leve"),CONCATENATE("R4C",'Mapa final'!$O$50),"")</f>
        <v/>
      </c>
      <c r="N49" s="77" t="str">
        <f>IF(AND('Mapa final'!$Y$51="Muy Baja",'Mapa final'!$AA$51="Leve"),CONCATENATE("R4C",'Mapa final'!$O$51),"")</f>
        <v/>
      </c>
      <c r="O49" s="78" t="str">
        <f>IF(AND('Mapa final'!$Y$52="Muy Baja",'Mapa final'!$AA$52="Leve"),CONCATENATE("R4C",'Mapa final'!$O$52),"")</f>
        <v/>
      </c>
      <c r="P49" s="76" t="str">
        <f>IF(AND('Mapa final'!$Y$47="Muy Baja",'Mapa final'!$AA$47="Menor"),CONCATENATE("R4C",'Mapa final'!$O$47),"")</f>
        <v/>
      </c>
      <c r="Q49" s="77" t="str">
        <f>IF(AND('Mapa final'!$Y$48="Muy Baja",'Mapa final'!$AA$48="Menor"),CONCATENATE("R4C",'Mapa final'!$O$48),"")</f>
        <v/>
      </c>
      <c r="R49" s="77" t="str">
        <f>IF(AND('Mapa final'!$Y$49="Muy Baja",'Mapa final'!$AA$49="Menor"),CONCATENATE("R4C",'Mapa final'!$O$49),"")</f>
        <v/>
      </c>
      <c r="S49" s="77" t="str">
        <f>IF(AND('Mapa final'!$Y$50="Muy Baja",'Mapa final'!$AA$50="Menor"),CONCATENATE("R4C",'Mapa final'!$O$50),"")</f>
        <v/>
      </c>
      <c r="T49" s="77" t="str">
        <f>IF(AND('Mapa final'!$Y$51="Muy Baja",'Mapa final'!$AA$51="Menor"),CONCATENATE("R4C",'Mapa final'!$O$51),"")</f>
        <v/>
      </c>
      <c r="U49" s="78" t="str">
        <f>IF(AND('Mapa final'!$Y$52="Muy Baja",'Mapa final'!$AA$52="Menor"),CONCATENATE("R4C",'Mapa final'!$O$52),"")</f>
        <v/>
      </c>
      <c r="V49" s="67" t="str">
        <f>IF(AND('Mapa final'!$Y$47="Muy Baja",'Mapa final'!$AA$47="Moderado"),CONCATENATE("R4C",'Mapa final'!$O$47),"")</f>
        <v>R4C1</v>
      </c>
      <c r="W49" s="68" t="str">
        <f>IF(AND('Mapa final'!$Y$48="Muy Baja",'Mapa final'!$AA$48="Moderado"),CONCATENATE("R4C",'Mapa final'!$O$48),"")</f>
        <v/>
      </c>
      <c r="X49" s="68" t="str">
        <f>IF(AND('Mapa final'!$Y$49="Muy Baja",'Mapa final'!$AA$49="Moderado"),CONCATENATE("R4C",'Mapa final'!$O$49),"")</f>
        <v/>
      </c>
      <c r="Y49" s="68" t="str">
        <f>IF(AND('Mapa final'!$Y$50="Muy Baja",'Mapa final'!$AA$50="Moderado"),CONCATENATE("R4C",'Mapa final'!$O$50),"")</f>
        <v/>
      </c>
      <c r="Z49" s="68" t="str">
        <f>IF(AND('Mapa final'!$Y$51="Muy Baja",'Mapa final'!$AA$51="Moderado"),CONCATENATE("R4C",'Mapa final'!$O$51),"")</f>
        <v/>
      </c>
      <c r="AA49" s="69" t="str">
        <f>IF(AND('Mapa final'!$Y$52="Muy Baja",'Mapa final'!$AA$52="Moderado"),CONCATENATE("R4C",'Mapa final'!$O$52),"")</f>
        <v/>
      </c>
      <c r="AB49" s="52" t="str">
        <f>IF(AND('Mapa final'!$Y$47="Muy Baja",'Mapa final'!$AA$47="Mayor"),CONCATENATE("R4C",'Mapa final'!$O$47),"")</f>
        <v/>
      </c>
      <c r="AC49" s="53" t="str">
        <f>IF(AND('Mapa final'!$Y$48="Muy Baja",'Mapa final'!$AA$48="Mayor"),CONCATENATE("R4C",'Mapa final'!$O$48),"")</f>
        <v/>
      </c>
      <c r="AD49" s="53" t="str">
        <f>IF(AND('Mapa final'!$Y$49="Muy Baja",'Mapa final'!$AA$49="Mayor"),CONCATENATE("R4C",'Mapa final'!$O$49),"")</f>
        <v/>
      </c>
      <c r="AE49" s="53" t="str">
        <f>IF(AND('Mapa final'!$Y$50="Muy Baja",'Mapa final'!$AA$50="Mayor"),CONCATENATE("R4C",'Mapa final'!$O$50),"")</f>
        <v/>
      </c>
      <c r="AF49" s="53" t="str">
        <f>IF(AND('Mapa final'!$Y$51="Muy Baja",'Mapa final'!$AA$51="Mayor"),CONCATENATE("R4C",'Mapa final'!$O$51),"")</f>
        <v/>
      </c>
      <c r="AG49" s="54" t="str">
        <f>IF(AND('Mapa final'!$Y$52="Muy Baja",'Mapa final'!$AA$52="Mayor"),CONCATENATE("R4C",'Mapa final'!$O$52),"")</f>
        <v/>
      </c>
      <c r="AH49" s="55" t="str">
        <f>IF(AND('Mapa final'!$Y$47="Muy Baja",'Mapa final'!$AA$47="Catastrófico"),CONCATENATE("R4C",'Mapa final'!$O$47),"")</f>
        <v/>
      </c>
      <c r="AI49" s="56" t="str">
        <f>IF(AND('Mapa final'!$Y$48="Muy Baja",'Mapa final'!$AA$48="Catastrófico"),CONCATENATE("R4C",'Mapa final'!$O$48),"")</f>
        <v/>
      </c>
      <c r="AJ49" s="56" t="str">
        <f>IF(AND('Mapa final'!$Y$49="Muy Baja",'Mapa final'!$AA$49="Catastrófico"),CONCATENATE("R4C",'Mapa final'!$O$49),"")</f>
        <v/>
      </c>
      <c r="AK49" s="56" t="str">
        <f>IF(AND('Mapa final'!$Y$50="Muy Baja",'Mapa final'!$AA$50="Catastrófico"),CONCATENATE("R4C",'Mapa final'!$O$50),"")</f>
        <v/>
      </c>
      <c r="AL49" s="56" t="str">
        <f>IF(AND('Mapa final'!$Y$51="Muy Baja",'Mapa final'!$AA$51="Catastrófico"),CONCATENATE("R4C",'Mapa final'!$O$51),"")</f>
        <v/>
      </c>
      <c r="AM49" s="57" t="str">
        <f>IF(AND('Mapa final'!$Y$52="Muy Baja",'Mapa final'!$AA$52="Catastrófico"),CONCATENATE("R4C",'Mapa final'!$O$52),"")</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71"/>
      <c r="C50" s="371"/>
      <c r="D50" s="372"/>
      <c r="E50" s="470"/>
      <c r="F50" s="469"/>
      <c r="G50" s="469"/>
      <c r="H50" s="469"/>
      <c r="I50" s="485"/>
      <c r="J50" s="76" t="str">
        <f>IF(AND('Mapa final'!$Y$53="Muy Baja",'Mapa final'!$AA$53="Leve"),CONCATENATE("R5C",'Mapa final'!$O$53),"")</f>
        <v/>
      </c>
      <c r="K50" s="77" t="str">
        <f>IF(AND('Mapa final'!$Y$54="Muy Baja",'Mapa final'!$AA$54="Leve"),CONCATENATE("R5C",'Mapa final'!$O$54),"")</f>
        <v/>
      </c>
      <c r="L50" s="77" t="str">
        <f>IF(AND('Mapa final'!$Y$55="Muy Baja",'Mapa final'!$AA$55="Leve"),CONCATENATE("R5C",'Mapa final'!$O$55),"")</f>
        <v/>
      </c>
      <c r="M50" s="77" t="str">
        <f>IF(AND('Mapa final'!$Y$56="Muy Baja",'Mapa final'!$AA$56="Leve"),CONCATENATE("R5C",'Mapa final'!$O$56),"")</f>
        <v/>
      </c>
      <c r="N50" s="77" t="str">
        <f>IF(AND('Mapa final'!$Y$57="Muy Baja",'Mapa final'!$AA$57="Leve"),CONCATENATE("R5C",'Mapa final'!$O$57),"")</f>
        <v/>
      </c>
      <c r="O50" s="78" t="str">
        <f>IF(AND('Mapa final'!$Y$58="Muy Baja",'Mapa final'!$AA$58="Leve"),CONCATENATE("R5C",'Mapa final'!$O$58),"")</f>
        <v/>
      </c>
      <c r="P50" s="76" t="str">
        <f>IF(AND('Mapa final'!$Y$53="Muy Baja",'Mapa final'!$AA$53="Menor"),CONCATENATE("R5C",'Mapa final'!$O$53),"")</f>
        <v/>
      </c>
      <c r="Q50" s="77" t="str">
        <f>IF(AND('Mapa final'!$Y$54="Muy Baja",'Mapa final'!$AA$54="Menor"),CONCATENATE("R5C",'Mapa final'!$O$54),"")</f>
        <v/>
      </c>
      <c r="R50" s="77" t="str">
        <f>IF(AND('Mapa final'!$Y$55="Muy Baja",'Mapa final'!$AA$55="Menor"),CONCATENATE("R5C",'Mapa final'!$O$55),"")</f>
        <v/>
      </c>
      <c r="S50" s="77" t="str">
        <f>IF(AND('Mapa final'!$Y$56="Muy Baja",'Mapa final'!$AA$56="Menor"),CONCATENATE("R5C",'Mapa final'!$O$56),"")</f>
        <v/>
      </c>
      <c r="T50" s="77" t="str">
        <f>IF(AND('Mapa final'!$Y$57="Muy Baja",'Mapa final'!$AA$57="Menor"),CONCATENATE("R5C",'Mapa final'!$O$57),"")</f>
        <v/>
      </c>
      <c r="U50" s="78" t="str">
        <f>IF(AND('Mapa final'!$Y$58="Muy Baja",'Mapa final'!$AA$58="Menor"),CONCATENATE("R5C",'Mapa final'!$O$58),"")</f>
        <v/>
      </c>
      <c r="V50" s="67" t="str">
        <f>IF(AND('Mapa final'!$Y$53="Muy Baja",'Mapa final'!$AA$53="Moderado"),CONCATENATE("R5C",'Mapa final'!$O$53),"")</f>
        <v/>
      </c>
      <c r="W50" s="68" t="str">
        <f>IF(AND('Mapa final'!$Y$54="Muy Baja",'Mapa final'!$AA$54="Moderado"),CONCATENATE("R5C",'Mapa final'!$O$54),"")</f>
        <v/>
      </c>
      <c r="X50" s="68" t="str">
        <f>IF(AND('Mapa final'!$Y$55="Muy Baja",'Mapa final'!$AA$55="Moderado"),CONCATENATE("R5C",'Mapa final'!$O$55),"")</f>
        <v/>
      </c>
      <c r="Y50" s="68" t="str">
        <f>IF(AND('Mapa final'!$Y$56="Muy Baja",'Mapa final'!$AA$56="Moderado"),CONCATENATE("R5C",'Mapa final'!$O$56),"")</f>
        <v/>
      </c>
      <c r="Z50" s="68" t="str">
        <f>IF(AND('Mapa final'!$Y$57="Muy Baja",'Mapa final'!$AA$57="Moderado"),CONCATENATE("R5C",'Mapa final'!$O$57),"")</f>
        <v/>
      </c>
      <c r="AA50" s="69" t="str">
        <f>IF(AND('Mapa final'!$Y$58="Muy Baja",'Mapa final'!$AA$58="Moderado"),CONCATENATE("R5C",'Mapa final'!$O$58),"")</f>
        <v/>
      </c>
      <c r="AB50" s="52" t="str">
        <f>IF(AND('Mapa final'!$Y$53="Muy Baja",'Mapa final'!$AA$53="Mayor"),CONCATENATE("R5C",'Mapa final'!$O$53),"")</f>
        <v/>
      </c>
      <c r="AC50" s="53" t="str">
        <f>IF(AND('Mapa final'!$Y$54="Muy Baja",'Mapa final'!$AA$54="Mayor"),CONCATENATE("R5C",'Mapa final'!$O$54),"")</f>
        <v/>
      </c>
      <c r="AD50" s="53" t="str">
        <f>IF(AND('Mapa final'!$Y$55="Muy Baja",'Mapa final'!$AA$55="Mayor"),CONCATENATE("R5C",'Mapa final'!$O$55),"")</f>
        <v/>
      </c>
      <c r="AE50" s="53" t="str">
        <f>IF(AND('Mapa final'!$Y$56="Muy Baja",'Mapa final'!$AA$56="Mayor"),CONCATENATE("R5C",'Mapa final'!$O$56),"")</f>
        <v/>
      </c>
      <c r="AF50" s="53" t="str">
        <f>IF(AND('Mapa final'!$Y$57="Muy Baja",'Mapa final'!$AA$57="Mayor"),CONCATENATE("R5C",'Mapa final'!$O$57),"")</f>
        <v/>
      </c>
      <c r="AG50" s="54" t="str">
        <f>IF(AND('Mapa final'!$Y$58="Muy Baja",'Mapa final'!$AA$58="Mayor"),CONCATENATE("R5C",'Mapa final'!$O$58),"")</f>
        <v/>
      </c>
      <c r="AH50" s="55" t="str">
        <f>IF(AND('Mapa final'!$Y$53="Muy Baja",'Mapa final'!$AA$53="Catastrófico"),CONCATENATE("R5C",'Mapa final'!$O$53),"")</f>
        <v/>
      </c>
      <c r="AI50" s="56" t="str">
        <f>IF(AND('Mapa final'!$Y$54="Muy Baja",'Mapa final'!$AA$54="Catastrófico"),CONCATENATE("R5C",'Mapa final'!$O$54),"")</f>
        <v/>
      </c>
      <c r="AJ50" s="56" t="str">
        <f>IF(AND('Mapa final'!$Y$55="Muy Baja",'Mapa final'!$AA$55="Catastrófico"),CONCATENATE("R5C",'Mapa final'!$O$55),"")</f>
        <v/>
      </c>
      <c r="AK50" s="56" t="str">
        <f>IF(AND('Mapa final'!$Y$56="Muy Baja",'Mapa final'!$AA$56="Catastrófico"),CONCATENATE("R5C",'Mapa final'!$O$56),"")</f>
        <v/>
      </c>
      <c r="AL50" s="56" t="str">
        <f>IF(AND('Mapa final'!$Y$57="Muy Baja",'Mapa final'!$AA$57="Catastrófico"),CONCATENATE("R5C",'Mapa final'!$O$57),"")</f>
        <v/>
      </c>
      <c r="AM50" s="57" t="str">
        <f>IF(AND('Mapa final'!$Y$58="Muy Baja",'Mapa final'!$AA$58="Catastrófico"),CONCATENATE("R5C",'Mapa final'!$O$58),"")</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71"/>
      <c r="C51" s="371"/>
      <c r="D51" s="372"/>
      <c r="E51" s="470"/>
      <c r="F51" s="469"/>
      <c r="G51" s="469"/>
      <c r="H51" s="469"/>
      <c r="I51" s="485"/>
      <c r="J51" s="76" t="str">
        <f>IF(AND('Mapa final'!$Y$59="Muy Baja",'Mapa final'!$AA$59="Leve"),CONCATENATE("R6C",'Mapa final'!$O$59),"")</f>
        <v/>
      </c>
      <c r="K51" s="77" t="str">
        <f>IF(AND('Mapa final'!$Y$60="Muy Baja",'Mapa final'!$AA$60="Leve"),CONCATENATE("R6C",'Mapa final'!$O$60),"")</f>
        <v/>
      </c>
      <c r="L51" s="77" t="str">
        <f>IF(AND('Mapa final'!$Y$61="Muy Baja",'Mapa final'!$AA$61="Leve"),CONCATENATE("R6C",'Mapa final'!$O$61),"")</f>
        <v/>
      </c>
      <c r="M51" s="77" t="str">
        <f>IF(AND('Mapa final'!$Y$62="Muy Baja",'Mapa final'!$AA$62="Leve"),CONCATENATE("R6C",'Mapa final'!$O$62),"")</f>
        <v/>
      </c>
      <c r="N51" s="77" t="str">
        <f>IF(AND('Mapa final'!$Y$63="Muy Baja",'Mapa final'!$AA$63="Leve"),CONCATENATE("R6C",'Mapa final'!$O$63),"")</f>
        <v/>
      </c>
      <c r="O51" s="78" t="str">
        <f>IF(AND('Mapa final'!$Y$64="Muy Baja",'Mapa final'!$AA$64="Leve"),CONCATENATE("R6C",'Mapa final'!$O$64),"")</f>
        <v/>
      </c>
      <c r="P51" s="76" t="str">
        <f>IF(AND('Mapa final'!$Y$59="Muy Baja",'Mapa final'!$AA$59="Menor"),CONCATENATE("R6C",'Mapa final'!$O$59),"")</f>
        <v/>
      </c>
      <c r="Q51" s="77" t="str">
        <f>IF(AND('Mapa final'!$Y$60="Muy Baja",'Mapa final'!$AA$60="Menor"),CONCATENATE("R6C",'Mapa final'!$O$60),"")</f>
        <v/>
      </c>
      <c r="R51" s="77" t="str">
        <f>IF(AND('Mapa final'!$Y$61="Muy Baja",'Mapa final'!$AA$61="Menor"),CONCATENATE("R6C",'Mapa final'!$O$61),"")</f>
        <v/>
      </c>
      <c r="S51" s="77" t="str">
        <f>IF(AND('Mapa final'!$Y$62="Muy Baja",'Mapa final'!$AA$62="Menor"),CONCATENATE("R6C",'Mapa final'!$O$62),"")</f>
        <v/>
      </c>
      <c r="T51" s="77" t="str">
        <f>IF(AND('Mapa final'!$Y$63="Muy Baja",'Mapa final'!$AA$63="Menor"),CONCATENATE("R6C",'Mapa final'!$O$63),"")</f>
        <v/>
      </c>
      <c r="U51" s="78" t="str">
        <f>IF(AND('Mapa final'!$Y$64="Muy Baja",'Mapa final'!$AA$64="Menor"),CONCATENATE("R6C",'Mapa final'!$O$64),"")</f>
        <v/>
      </c>
      <c r="V51" s="67" t="str">
        <f>IF(AND('Mapa final'!$Y$59="Muy Baja",'Mapa final'!$AA$59="Moderado"),CONCATENATE("R6C",'Mapa final'!$O$59),"")</f>
        <v/>
      </c>
      <c r="W51" s="68" t="str">
        <f>IF(AND('Mapa final'!$Y$60="Muy Baja",'Mapa final'!$AA$60="Moderado"),CONCATENATE("R6C",'Mapa final'!$O$60),"")</f>
        <v/>
      </c>
      <c r="X51" s="68" t="str">
        <f>IF(AND('Mapa final'!$Y$61="Muy Baja",'Mapa final'!$AA$61="Moderado"),CONCATENATE("R6C",'Mapa final'!$O$61),"")</f>
        <v/>
      </c>
      <c r="Y51" s="68" t="str">
        <f>IF(AND('Mapa final'!$Y$62="Muy Baja",'Mapa final'!$AA$62="Moderado"),CONCATENATE("R6C",'Mapa final'!$O$62),"")</f>
        <v/>
      </c>
      <c r="Z51" s="68" t="str">
        <f>IF(AND('Mapa final'!$Y$63="Muy Baja",'Mapa final'!$AA$63="Moderado"),CONCATENATE("R6C",'Mapa final'!$O$63),"")</f>
        <v/>
      </c>
      <c r="AA51" s="69" t="str">
        <f>IF(AND('Mapa final'!$Y$64="Muy Baja",'Mapa final'!$AA$64="Moderado"),CONCATENATE("R6C",'Mapa final'!$O$64),"")</f>
        <v/>
      </c>
      <c r="AB51" s="52" t="str">
        <f>IF(AND('Mapa final'!$Y$59="Muy Baja",'Mapa final'!$AA$59="Mayor"),CONCATENATE("R6C",'Mapa final'!$O$59),"")</f>
        <v/>
      </c>
      <c r="AC51" s="53" t="str">
        <f>IF(AND('Mapa final'!$Y$60="Muy Baja",'Mapa final'!$AA$60="Mayor"),CONCATENATE("R6C",'Mapa final'!$O$60),"")</f>
        <v/>
      </c>
      <c r="AD51" s="53" t="str">
        <f>IF(AND('Mapa final'!$Y$61="Muy Baja",'Mapa final'!$AA$61="Mayor"),CONCATENATE("R6C",'Mapa final'!$O$61),"")</f>
        <v/>
      </c>
      <c r="AE51" s="53" t="str">
        <f>IF(AND('Mapa final'!$Y$62="Muy Baja",'Mapa final'!$AA$62="Mayor"),CONCATENATE("R6C",'Mapa final'!$O$62),"")</f>
        <v/>
      </c>
      <c r="AF51" s="53" t="str">
        <f>IF(AND('Mapa final'!$Y$63="Muy Baja",'Mapa final'!$AA$63="Mayor"),CONCATENATE("R6C",'Mapa final'!$O$63),"")</f>
        <v/>
      </c>
      <c r="AG51" s="54" t="str">
        <f>IF(AND('Mapa final'!$Y$64="Muy Baja",'Mapa final'!$AA$64="Mayor"),CONCATENATE("R6C",'Mapa final'!$O$64),"")</f>
        <v/>
      </c>
      <c r="AH51" s="55" t="str">
        <f>IF(AND('Mapa final'!$Y$59="Muy Baja",'Mapa final'!$AA$59="Catastrófico"),CONCATENATE("R6C",'Mapa final'!$O$59),"")</f>
        <v/>
      </c>
      <c r="AI51" s="56" t="str">
        <f>IF(AND('Mapa final'!$Y$60="Muy Baja",'Mapa final'!$AA$60="Catastrófico"),CONCATENATE("R6C",'Mapa final'!$O$60),"")</f>
        <v/>
      </c>
      <c r="AJ51" s="56" t="str">
        <f>IF(AND('Mapa final'!$Y$61="Muy Baja",'Mapa final'!$AA$61="Catastrófico"),CONCATENATE("R6C",'Mapa final'!$O$61),"")</f>
        <v/>
      </c>
      <c r="AK51" s="56" t="str">
        <f>IF(AND('Mapa final'!$Y$62="Muy Baja",'Mapa final'!$AA$62="Catastrófico"),CONCATENATE("R6C",'Mapa final'!$O$62),"")</f>
        <v/>
      </c>
      <c r="AL51" s="56" t="str">
        <f>IF(AND('Mapa final'!$Y$63="Muy Baja",'Mapa final'!$AA$63="Catastrófico"),CONCATENATE("R6C",'Mapa final'!$O$63),"")</f>
        <v/>
      </c>
      <c r="AM51" s="57" t="str">
        <f>IF(AND('Mapa final'!$Y$64="Muy Baja",'Mapa final'!$AA$64="Catastrófico"),CONCATENATE("R6C",'Mapa final'!$O$64),"")</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71"/>
      <c r="C52" s="371"/>
      <c r="D52" s="372"/>
      <c r="E52" s="470"/>
      <c r="F52" s="469"/>
      <c r="G52" s="469"/>
      <c r="H52" s="469"/>
      <c r="I52" s="485"/>
      <c r="J52" s="76" t="str">
        <f>IF(AND('Mapa final'!$Y$65="Muy Baja",'Mapa final'!$AA$65="Leve"),CONCATENATE("R7C",'Mapa final'!$O$65),"")</f>
        <v/>
      </c>
      <c r="K52" s="77" t="str">
        <f>IF(AND('Mapa final'!$Y$66="Muy Baja",'Mapa final'!$AA$66="Leve"),CONCATENATE("R7C",'Mapa final'!$O$66),"")</f>
        <v/>
      </c>
      <c r="L52" s="77" t="str">
        <f>IF(AND('Mapa final'!$Y$67="Muy Baja",'Mapa final'!$AA$67="Leve"),CONCATENATE("R7C",'Mapa final'!$O$67),"")</f>
        <v/>
      </c>
      <c r="M52" s="77" t="str">
        <f>IF(AND('Mapa final'!$Y$68="Muy Baja",'Mapa final'!$AA$68="Leve"),CONCATENATE("R7C",'Mapa final'!$O$68),"")</f>
        <v/>
      </c>
      <c r="N52" s="77" t="str">
        <f>IF(AND('Mapa final'!$Y$69="Muy Baja",'Mapa final'!$AA$69="Leve"),CONCATENATE("R7C",'Mapa final'!$O$69),"")</f>
        <v/>
      </c>
      <c r="O52" s="78" t="str">
        <f>IF(AND('Mapa final'!$Y$70="Muy Baja",'Mapa final'!$AA$70="Leve"),CONCATENATE("R7C",'Mapa final'!$O$70),"")</f>
        <v/>
      </c>
      <c r="P52" s="76" t="str">
        <f>IF(AND('Mapa final'!$Y$65="Muy Baja",'Mapa final'!$AA$65="Menor"),CONCATENATE("R7C",'Mapa final'!$O$65),"")</f>
        <v/>
      </c>
      <c r="Q52" s="77" t="str">
        <f>IF(AND('Mapa final'!$Y$66="Muy Baja",'Mapa final'!$AA$66="Menor"),CONCATENATE("R7C",'Mapa final'!$O$66),"")</f>
        <v/>
      </c>
      <c r="R52" s="77" t="str">
        <f>IF(AND('Mapa final'!$Y$67="Muy Baja",'Mapa final'!$AA$67="Menor"),CONCATENATE("R7C",'Mapa final'!$O$67),"")</f>
        <v/>
      </c>
      <c r="S52" s="77" t="str">
        <f>IF(AND('Mapa final'!$Y$68="Muy Baja",'Mapa final'!$AA$68="Menor"),CONCATENATE("R7C",'Mapa final'!$O$68),"")</f>
        <v/>
      </c>
      <c r="T52" s="77" t="str">
        <f>IF(AND('Mapa final'!$Y$69="Muy Baja",'Mapa final'!$AA$69="Menor"),CONCATENATE("R7C",'Mapa final'!$O$69),"")</f>
        <v/>
      </c>
      <c r="U52" s="78" t="str">
        <f>IF(AND('Mapa final'!$Y$70="Muy Baja",'Mapa final'!$AA$70="Menor"),CONCATENATE("R7C",'Mapa final'!$O$70),"")</f>
        <v/>
      </c>
      <c r="V52" s="67" t="str">
        <f>IF(AND('Mapa final'!$Y$65="Muy Baja",'Mapa final'!$AA$65="Moderado"),CONCATENATE("R7C",'Mapa final'!$O$65),"")</f>
        <v/>
      </c>
      <c r="W52" s="68" t="str">
        <f>IF(AND('Mapa final'!$Y$66="Muy Baja",'Mapa final'!$AA$66="Moderado"),CONCATENATE("R7C",'Mapa final'!$O$66),"")</f>
        <v/>
      </c>
      <c r="X52" s="68" t="str">
        <f>IF(AND('Mapa final'!$Y$67="Muy Baja",'Mapa final'!$AA$67="Moderado"),CONCATENATE("R7C",'Mapa final'!$O$67),"")</f>
        <v/>
      </c>
      <c r="Y52" s="68" t="str">
        <f>IF(AND('Mapa final'!$Y$68="Muy Baja",'Mapa final'!$AA$68="Moderado"),CONCATENATE("R7C",'Mapa final'!$O$68),"")</f>
        <v/>
      </c>
      <c r="Z52" s="68" t="str">
        <f>IF(AND('Mapa final'!$Y$69="Muy Baja",'Mapa final'!$AA$69="Moderado"),CONCATENATE("R7C",'Mapa final'!$O$69),"")</f>
        <v/>
      </c>
      <c r="AA52" s="69" t="str">
        <f>IF(AND('Mapa final'!$Y$70="Muy Baja",'Mapa final'!$AA$70="Moderado"),CONCATENATE("R7C",'Mapa final'!$O$70),"")</f>
        <v/>
      </c>
      <c r="AB52" s="52" t="str">
        <f>IF(AND('Mapa final'!$Y$65="Muy Baja",'Mapa final'!$AA$65="Mayor"),CONCATENATE("R7C",'Mapa final'!$O$65),"")</f>
        <v/>
      </c>
      <c r="AC52" s="53" t="str">
        <f>IF(AND('Mapa final'!$Y$66="Muy Baja",'Mapa final'!$AA$66="Mayor"),CONCATENATE("R7C",'Mapa final'!$O$66),"")</f>
        <v/>
      </c>
      <c r="AD52" s="53" t="str">
        <f>IF(AND('Mapa final'!$Y$67="Muy Baja",'Mapa final'!$AA$67="Mayor"),CONCATENATE("R7C",'Mapa final'!$O$67),"")</f>
        <v/>
      </c>
      <c r="AE52" s="53" t="str">
        <f>IF(AND('Mapa final'!$Y$68="Muy Baja",'Mapa final'!$AA$68="Mayor"),CONCATENATE("R7C",'Mapa final'!$O$68),"")</f>
        <v/>
      </c>
      <c r="AF52" s="53" t="str">
        <f>IF(AND('Mapa final'!$Y$69="Muy Baja",'Mapa final'!$AA$69="Mayor"),CONCATENATE("R7C",'Mapa final'!$O$69),"")</f>
        <v/>
      </c>
      <c r="AG52" s="54" t="str">
        <f>IF(AND('Mapa final'!$Y$70="Muy Baja",'Mapa final'!$AA$70="Mayor"),CONCATENATE("R7C",'Mapa final'!$O$70),"")</f>
        <v/>
      </c>
      <c r="AH52" s="55" t="str">
        <f>IF(AND('Mapa final'!$Y$65="Muy Baja",'Mapa final'!$AA$65="Catastrófico"),CONCATENATE("R7C",'Mapa final'!$O$65),"")</f>
        <v/>
      </c>
      <c r="AI52" s="56" t="str">
        <f>IF(AND('Mapa final'!$Y$66="Muy Baja",'Mapa final'!$AA$66="Catastrófico"),CONCATENATE("R7C",'Mapa final'!$O$66),"")</f>
        <v/>
      </c>
      <c r="AJ52" s="56" t="str">
        <f>IF(AND('Mapa final'!$Y$67="Muy Baja",'Mapa final'!$AA$67="Catastrófico"),CONCATENATE("R7C",'Mapa final'!$O$67),"")</f>
        <v/>
      </c>
      <c r="AK52" s="56" t="str">
        <f>IF(AND('Mapa final'!$Y$68="Muy Baja",'Mapa final'!$AA$68="Catastrófico"),CONCATENATE("R7C",'Mapa final'!$O$68),"")</f>
        <v/>
      </c>
      <c r="AL52" s="56" t="str">
        <f>IF(AND('Mapa final'!$Y$69="Muy Baja",'Mapa final'!$AA$69="Catastrófico"),CONCATENATE("R7C",'Mapa final'!$O$69),"")</f>
        <v/>
      </c>
      <c r="AM52" s="57" t="str">
        <f>IF(AND('Mapa final'!$Y$70="Muy Baja",'Mapa final'!$AA$70="Catastrófico"),CONCATENATE("R7C",'Mapa final'!$O$70),"")</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71"/>
      <c r="C53" s="371"/>
      <c r="D53" s="372"/>
      <c r="E53" s="470"/>
      <c r="F53" s="469"/>
      <c r="G53" s="469"/>
      <c r="H53" s="469"/>
      <c r="I53" s="485"/>
      <c r="J53" s="76" t="str">
        <f>IF(AND('Mapa final'!$Y$71="Muy Baja",'Mapa final'!$AA$71="Leve"),CONCATENATE("R8C",'Mapa final'!$O$71),"")</f>
        <v/>
      </c>
      <c r="K53" s="77" t="str">
        <f>IF(AND('Mapa final'!$Y$72="Muy Baja",'Mapa final'!$AA$72="Leve"),CONCATENATE("R8C",'Mapa final'!$O$72),"")</f>
        <v/>
      </c>
      <c r="L53" s="77" t="str">
        <f>IF(AND('Mapa final'!$Y$73="Muy Baja",'Mapa final'!$AA$73="Leve"),CONCATENATE("R8C",'Mapa final'!$O$73),"")</f>
        <v/>
      </c>
      <c r="M53" s="77" t="str">
        <f>IF(AND('Mapa final'!$Y$74="Muy Baja",'Mapa final'!$AA$74="Leve"),CONCATENATE("R8C",'Mapa final'!$O$74),"")</f>
        <v/>
      </c>
      <c r="N53" s="77" t="str">
        <f>IF(AND('Mapa final'!$Y$75="Muy Baja",'Mapa final'!$AA$75="Leve"),CONCATENATE("R8C",'Mapa final'!$O$75),"")</f>
        <v/>
      </c>
      <c r="O53" s="78" t="str">
        <f>IF(AND('Mapa final'!$Y$76="Muy Baja",'Mapa final'!$AA$76="Leve"),CONCATENATE("R8C",'Mapa final'!$O$76),"")</f>
        <v/>
      </c>
      <c r="P53" s="76" t="str">
        <f>IF(AND('Mapa final'!$Y$71="Muy Baja",'Mapa final'!$AA$71="Menor"),CONCATENATE("R8C",'Mapa final'!$O$71),"")</f>
        <v/>
      </c>
      <c r="Q53" s="77" t="str">
        <f>IF(AND('Mapa final'!$Y$72="Muy Baja",'Mapa final'!$AA$72="Menor"),CONCATENATE("R8C",'Mapa final'!$O$72),"")</f>
        <v/>
      </c>
      <c r="R53" s="77" t="str">
        <f>IF(AND('Mapa final'!$Y$73="Muy Baja",'Mapa final'!$AA$73="Menor"),CONCATENATE("R8C",'Mapa final'!$O$73),"")</f>
        <v/>
      </c>
      <c r="S53" s="77" t="str">
        <f>IF(AND('Mapa final'!$Y$74="Muy Baja",'Mapa final'!$AA$74="Menor"),CONCATENATE("R8C",'Mapa final'!$O$74),"")</f>
        <v/>
      </c>
      <c r="T53" s="77" t="str">
        <f>IF(AND('Mapa final'!$Y$75="Muy Baja",'Mapa final'!$AA$75="Menor"),CONCATENATE("R8C",'Mapa final'!$O$75),"")</f>
        <v/>
      </c>
      <c r="U53" s="78" t="str">
        <f>IF(AND('Mapa final'!$Y$76="Muy Baja",'Mapa final'!$AA$76="Menor"),CONCATENATE("R8C",'Mapa final'!$O$76),"")</f>
        <v/>
      </c>
      <c r="V53" s="67" t="str">
        <f>IF(AND('Mapa final'!$Y$71="Muy Baja",'Mapa final'!$AA$71="Moderado"),CONCATENATE("R8C",'Mapa final'!$O$71),"")</f>
        <v/>
      </c>
      <c r="W53" s="68" t="str">
        <f>IF(AND('Mapa final'!$Y$72="Muy Baja",'Mapa final'!$AA$72="Moderado"),CONCATENATE("R8C",'Mapa final'!$O$72),"")</f>
        <v/>
      </c>
      <c r="X53" s="68" t="str">
        <f>IF(AND('Mapa final'!$Y$73="Muy Baja",'Mapa final'!$AA$73="Moderado"),CONCATENATE("R8C",'Mapa final'!$O$73),"")</f>
        <v/>
      </c>
      <c r="Y53" s="68" t="str">
        <f>IF(AND('Mapa final'!$Y$74="Muy Baja",'Mapa final'!$AA$74="Moderado"),CONCATENATE("R8C",'Mapa final'!$O$74),"")</f>
        <v/>
      </c>
      <c r="Z53" s="68" t="str">
        <f>IF(AND('Mapa final'!$Y$75="Muy Baja",'Mapa final'!$AA$75="Moderado"),CONCATENATE("R8C",'Mapa final'!$O$75),"")</f>
        <v/>
      </c>
      <c r="AA53" s="69" t="str">
        <f>IF(AND('Mapa final'!$Y$76="Muy Baja",'Mapa final'!$AA$76="Moderado"),CONCATENATE("R8C",'Mapa final'!$O$76),"")</f>
        <v/>
      </c>
      <c r="AB53" s="52" t="str">
        <f>IF(AND('Mapa final'!$Y$71="Muy Baja",'Mapa final'!$AA$71="Mayor"),CONCATENATE("R8C",'Mapa final'!$O$71),"")</f>
        <v/>
      </c>
      <c r="AC53" s="53" t="str">
        <f>IF(AND('Mapa final'!$Y$72="Muy Baja",'Mapa final'!$AA$72="Mayor"),CONCATENATE("R8C",'Mapa final'!$O$72),"")</f>
        <v/>
      </c>
      <c r="AD53" s="53" t="str">
        <f>IF(AND('Mapa final'!$Y$73="Muy Baja",'Mapa final'!$AA$73="Mayor"),CONCATENATE("R8C",'Mapa final'!$O$73),"")</f>
        <v/>
      </c>
      <c r="AE53" s="53" t="str">
        <f>IF(AND('Mapa final'!$Y$74="Muy Baja",'Mapa final'!$AA$74="Mayor"),CONCATENATE("R8C",'Mapa final'!$O$74),"")</f>
        <v/>
      </c>
      <c r="AF53" s="53" t="str">
        <f>IF(AND('Mapa final'!$Y$75="Muy Baja",'Mapa final'!$AA$75="Mayor"),CONCATENATE("R8C",'Mapa final'!$O$75),"")</f>
        <v/>
      </c>
      <c r="AG53" s="54" t="str">
        <f>IF(AND('Mapa final'!$Y$76="Muy Baja",'Mapa final'!$AA$76="Mayor"),CONCATENATE("R8C",'Mapa final'!$O$76),"")</f>
        <v/>
      </c>
      <c r="AH53" s="55" t="str">
        <f>IF(AND('Mapa final'!$Y$71="Muy Baja",'Mapa final'!$AA$71="Catastrófico"),CONCATENATE("R8C",'Mapa final'!$O$71),"")</f>
        <v/>
      </c>
      <c r="AI53" s="56" t="str">
        <f>IF(AND('Mapa final'!$Y$72="Muy Baja",'Mapa final'!$AA$72="Catastrófico"),CONCATENATE("R8C",'Mapa final'!$O$72),"")</f>
        <v/>
      </c>
      <c r="AJ53" s="56" t="str">
        <f>IF(AND('Mapa final'!$Y$73="Muy Baja",'Mapa final'!$AA$73="Catastrófico"),CONCATENATE("R8C",'Mapa final'!$O$73),"")</f>
        <v/>
      </c>
      <c r="AK53" s="56" t="str">
        <f>IF(AND('Mapa final'!$Y$74="Muy Baja",'Mapa final'!$AA$74="Catastrófico"),CONCATENATE("R8C",'Mapa final'!$O$74),"")</f>
        <v/>
      </c>
      <c r="AL53" s="56" t="str">
        <f>IF(AND('Mapa final'!$Y$75="Muy Baja",'Mapa final'!$AA$75="Catastrófico"),CONCATENATE("R8C",'Mapa final'!$O$75),"")</f>
        <v/>
      </c>
      <c r="AM53" s="57" t="str">
        <f>IF(AND('Mapa final'!$Y$76="Muy Baja",'Mapa final'!$AA$76="Catastrófico"),CONCATENATE("R8C",'Mapa final'!$O$76),"")</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71"/>
      <c r="C54" s="371"/>
      <c r="D54" s="372"/>
      <c r="E54" s="470"/>
      <c r="F54" s="469"/>
      <c r="G54" s="469"/>
      <c r="H54" s="469"/>
      <c r="I54" s="485"/>
      <c r="J54" s="76" t="str">
        <f>IF(AND('Mapa final'!$Y$77="Muy Baja",'Mapa final'!$AA$77="Leve"),CONCATENATE("R9C",'Mapa final'!$O$77),"")</f>
        <v/>
      </c>
      <c r="K54" s="77" t="str">
        <f>IF(AND('Mapa final'!$Y$78="Muy Baja",'Mapa final'!$AA$78="Leve"),CONCATENATE("R9C",'Mapa final'!$O$78),"")</f>
        <v/>
      </c>
      <c r="L54" s="77" t="str">
        <f>IF(AND('Mapa final'!$Y$79="Muy Baja",'Mapa final'!$AA$79="Leve"),CONCATENATE("R9C",'Mapa final'!$O$79),"")</f>
        <v/>
      </c>
      <c r="M54" s="77" t="str">
        <f>IF(AND('Mapa final'!$Y$80="Muy Baja",'Mapa final'!$AA$80="Leve"),CONCATENATE("R9C",'Mapa final'!$O$80),"")</f>
        <v/>
      </c>
      <c r="N54" s="77" t="str">
        <f>IF(AND('Mapa final'!$Y$81="Muy Baja",'Mapa final'!$AA$81="Leve"),CONCATENATE("R9C",'Mapa final'!$O$81),"")</f>
        <v/>
      </c>
      <c r="O54" s="78" t="str">
        <f>IF(AND('Mapa final'!$Y$82="Muy Baja",'Mapa final'!$AA$82="Leve"),CONCATENATE("R9C",'Mapa final'!$O$82),"")</f>
        <v/>
      </c>
      <c r="P54" s="76" t="str">
        <f>IF(AND('Mapa final'!$Y$77="Muy Baja",'Mapa final'!$AA$77="Menor"),CONCATENATE("R9C",'Mapa final'!$O$77),"")</f>
        <v/>
      </c>
      <c r="Q54" s="77" t="str">
        <f>IF(AND('Mapa final'!$Y$78="Muy Baja",'Mapa final'!$AA$78="Menor"),CONCATENATE("R9C",'Mapa final'!$O$78),"")</f>
        <v/>
      </c>
      <c r="R54" s="77" t="str">
        <f>IF(AND('Mapa final'!$Y$79="Muy Baja",'Mapa final'!$AA$79="Menor"),CONCATENATE("R9C",'Mapa final'!$O$79),"")</f>
        <v/>
      </c>
      <c r="S54" s="77" t="str">
        <f>IF(AND('Mapa final'!$Y$80="Muy Baja",'Mapa final'!$AA$80="Menor"),CONCATENATE("R9C",'Mapa final'!$O$80),"")</f>
        <v/>
      </c>
      <c r="T54" s="77" t="str">
        <f>IF(AND('Mapa final'!$Y$81="Muy Baja",'Mapa final'!$AA$81="Menor"),CONCATENATE("R9C",'Mapa final'!$O$81),"")</f>
        <v/>
      </c>
      <c r="U54" s="78" t="str">
        <f>IF(AND('Mapa final'!$Y$82="Muy Baja",'Mapa final'!$AA$82="Menor"),CONCATENATE("R9C",'Mapa final'!$O$82),"")</f>
        <v/>
      </c>
      <c r="V54" s="67" t="str">
        <f>IF(AND('Mapa final'!$Y$77="Muy Baja",'Mapa final'!$AA$77="Moderado"),CONCATENATE("R9C",'Mapa final'!$O$77),"")</f>
        <v/>
      </c>
      <c r="W54" s="68" t="str">
        <f>IF(AND('Mapa final'!$Y$78="Muy Baja",'Mapa final'!$AA$78="Moderado"),CONCATENATE("R9C",'Mapa final'!$O$78),"")</f>
        <v/>
      </c>
      <c r="X54" s="68" t="str">
        <f>IF(AND('Mapa final'!$Y$79="Muy Baja",'Mapa final'!$AA$79="Moderado"),CONCATENATE("R9C",'Mapa final'!$O$79),"")</f>
        <v/>
      </c>
      <c r="Y54" s="68" t="str">
        <f>IF(AND('Mapa final'!$Y$80="Muy Baja",'Mapa final'!$AA$80="Moderado"),CONCATENATE("R9C",'Mapa final'!$O$80),"")</f>
        <v/>
      </c>
      <c r="Z54" s="68" t="str">
        <f>IF(AND('Mapa final'!$Y$81="Muy Baja",'Mapa final'!$AA$81="Moderado"),CONCATENATE("R9C",'Mapa final'!$O$81),"")</f>
        <v/>
      </c>
      <c r="AA54" s="69" t="str">
        <f>IF(AND('Mapa final'!$Y$82="Muy Baja",'Mapa final'!$AA$82="Moderado"),CONCATENATE("R9C",'Mapa final'!$O$82),"")</f>
        <v/>
      </c>
      <c r="AB54" s="52" t="str">
        <f>IF(AND('Mapa final'!$Y$77="Muy Baja",'Mapa final'!$AA$77="Mayor"),CONCATENATE("R9C",'Mapa final'!$O$77),"")</f>
        <v/>
      </c>
      <c r="AC54" s="53" t="str">
        <f>IF(AND('Mapa final'!$Y$78="Muy Baja",'Mapa final'!$AA$78="Mayor"),CONCATENATE("R9C",'Mapa final'!$O$78),"")</f>
        <v/>
      </c>
      <c r="AD54" s="53" t="str">
        <f>IF(AND('Mapa final'!$Y$79="Muy Baja",'Mapa final'!$AA$79="Mayor"),CONCATENATE("R9C",'Mapa final'!$O$79),"")</f>
        <v/>
      </c>
      <c r="AE54" s="53" t="str">
        <f>IF(AND('Mapa final'!$Y$80="Muy Baja",'Mapa final'!$AA$80="Mayor"),CONCATENATE("R9C",'Mapa final'!$O$80),"")</f>
        <v/>
      </c>
      <c r="AF54" s="53" t="str">
        <f>IF(AND('Mapa final'!$Y$81="Muy Baja",'Mapa final'!$AA$81="Mayor"),CONCATENATE("R9C",'Mapa final'!$O$81),"")</f>
        <v/>
      </c>
      <c r="AG54" s="54" t="str">
        <f>IF(AND('Mapa final'!$Y$82="Muy Baja",'Mapa final'!$AA$82="Mayor"),CONCATENATE("R9C",'Mapa final'!$O$82),"")</f>
        <v/>
      </c>
      <c r="AH54" s="55" t="str">
        <f>IF(AND('Mapa final'!$Y$77="Muy Baja",'Mapa final'!$AA$77="Catastrófico"),CONCATENATE("R9C",'Mapa final'!$O$77),"")</f>
        <v/>
      </c>
      <c r="AI54" s="56" t="str">
        <f>IF(AND('Mapa final'!$Y$78="Muy Baja",'Mapa final'!$AA$78="Catastrófico"),CONCATENATE("R9C",'Mapa final'!$O$78),"")</f>
        <v/>
      </c>
      <c r="AJ54" s="56" t="str">
        <f>IF(AND('Mapa final'!$Y$79="Muy Baja",'Mapa final'!$AA$79="Catastrófico"),CONCATENATE("R9C",'Mapa final'!$O$79),"")</f>
        <v/>
      </c>
      <c r="AK54" s="56" t="str">
        <f>IF(AND('Mapa final'!$Y$80="Muy Baja",'Mapa final'!$AA$80="Catastrófico"),CONCATENATE("R9C",'Mapa final'!$O$80),"")</f>
        <v/>
      </c>
      <c r="AL54" s="56" t="str">
        <f>IF(AND('Mapa final'!$Y$81="Muy Baja",'Mapa final'!$AA$81="Catastrófico"),CONCATENATE("R9C",'Mapa final'!$O$81),"")</f>
        <v/>
      </c>
      <c r="AM54" s="57" t="str">
        <f>IF(AND('Mapa final'!$Y$82="Muy Baja",'Mapa final'!$AA$82="Catastrófico"),CONCATENATE("R9C",'Mapa final'!$O$82),"")</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71"/>
      <c r="C55" s="371"/>
      <c r="D55" s="372"/>
      <c r="E55" s="471"/>
      <c r="F55" s="472"/>
      <c r="G55" s="472"/>
      <c r="H55" s="472"/>
      <c r="I55" s="486"/>
      <c r="J55" s="79" t="str">
        <f>IF(AND('Mapa final'!$Y$83="Muy Baja",'Mapa final'!$AA$83="Leve"),CONCATENATE("R10C",'Mapa final'!$O$83),"")</f>
        <v/>
      </c>
      <c r="K55" s="80" t="str">
        <f>IF(AND('Mapa final'!$Y$84="Muy Baja",'Mapa final'!$AA$84="Leve"),CONCATENATE("R10C",'Mapa final'!$O$84),"")</f>
        <v/>
      </c>
      <c r="L55" s="80" t="str">
        <f>IF(AND('Mapa final'!$Y$85="Muy Baja",'Mapa final'!$AA$85="Leve"),CONCATENATE("R10C",'Mapa final'!$O$85),"")</f>
        <v/>
      </c>
      <c r="M55" s="80" t="str">
        <f>IF(AND('Mapa final'!$Y$86="Muy Baja",'Mapa final'!$AA$86="Leve"),CONCATENATE("R10C",'Mapa final'!$O$86),"")</f>
        <v/>
      </c>
      <c r="N55" s="80" t="str">
        <f>IF(AND('Mapa final'!$Y$87="Muy Baja",'Mapa final'!$AA$87="Leve"),CONCATENATE("R10C",'Mapa final'!$O$87),"")</f>
        <v/>
      </c>
      <c r="O55" s="81" t="str">
        <f>IF(AND('Mapa final'!$Y$88="Muy Baja",'Mapa final'!$AA$88="Leve"),CONCATENATE("R10C",'Mapa final'!$O$88),"")</f>
        <v/>
      </c>
      <c r="P55" s="79" t="str">
        <f>IF(AND('Mapa final'!$Y$83="Muy Baja",'Mapa final'!$AA$83="Menor"),CONCATENATE("R10C",'Mapa final'!$O$83),"")</f>
        <v/>
      </c>
      <c r="Q55" s="80" t="str">
        <f>IF(AND('Mapa final'!$Y$84="Muy Baja",'Mapa final'!$AA$84="Menor"),CONCATENATE("R10C",'Mapa final'!$O$84),"")</f>
        <v/>
      </c>
      <c r="R55" s="80" t="str">
        <f>IF(AND('Mapa final'!$Y$85="Muy Baja",'Mapa final'!$AA$85="Menor"),CONCATENATE("R10C",'Mapa final'!$O$85),"")</f>
        <v/>
      </c>
      <c r="S55" s="80" t="str">
        <f>IF(AND('Mapa final'!$Y$86="Muy Baja",'Mapa final'!$AA$86="Menor"),CONCATENATE("R10C",'Mapa final'!$O$86),"")</f>
        <v/>
      </c>
      <c r="T55" s="80" t="str">
        <f>IF(AND('Mapa final'!$Y$87="Muy Baja",'Mapa final'!$AA$87="Menor"),CONCATENATE("R10C",'Mapa final'!$O$87),"")</f>
        <v/>
      </c>
      <c r="U55" s="81" t="str">
        <f>IF(AND('Mapa final'!$Y$88="Muy Baja",'Mapa final'!$AA$88="Menor"),CONCATENATE("R10C",'Mapa final'!$O$88),"")</f>
        <v/>
      </c>
      <c r="V55" s="70" t="str">
        <f>IF(AND('Mapa final'!$Y$83="Muy Baja",'Mapa final'!$AA$83="Moderado"),CONCATENATE("R10C",'Mapa final'!$O$83),"")</f>
        <v/>
      </c>
      <c r="W55" s="71" t="str">
        <f>IF(AND('Mapa final'!$Y$84="Muy Baja",'Mapa final'!$AA$84="Moderado"),CONCATENATE("R10C",'Mapa final'!$O$84),"")</f>
        <v/>
      </c>
      <c r="X55" s="71" t="str">
        <f>IF(AND('Mapa final'!$Y$85="Muy Baja",'Mapa final'!$AA$85="Moderado"),CONCATENATE("R10C",'Mapa final'!$O$85),"")</f>
        <v/>
      </c>
      <c r="Y55" s="71" t="str">
        <f>IF(AND('Mapa final'!$Y$86="Muy Baja",'Mapa final'!$AA$86="Moderado"),CONCATENATE("R10C",'Mapa final'!$O$86),"")</f>
        <v/>
      </c>
      <c r="Z55" s="71" t="str">
        <f>IF(AND('Mapa final'!$Y$87="Muy Baja",'Mapa final'!$AA$87="Moderado"),CONCATENATE("R10C",'Mapa final'!$O$87),"")</f>
        <v/>
      </c>
      <c r="AA55" s="72" t="str">
        <f>IF(AND('Mapa final'!$Y$88="Muy Baja",'Mapa final'!$AA$88="Moderado"),CONCATENATE("R10C",'Mapa final'!$O$88),"")</f>
        <v/>
      </c>
      <c r="AB55" s="58" t="str">
        <f>IF(AND('Mapa final'!$Y$83="Muy Baja",'Mapa final'!$AA$83="Mayor"),CONCATENATE("R10C",'Mapa final'!$O$83),"")</f>
        <v/>
      </c>
      <c r="AC55" s="59" t="str">
        <f>IF(AND('Mapa final'!$Y$84="Muy Baja",'Mapa final'!$AA$84="Mayor"),CONCATENATE("R10C",'Mapa final'!$O$84),"")</f>
        <v/>
      </c>
      <c r="AD55" s="59" t="str">
        <f>IF(AND('Mapa final'!$Y$85="Muy Baja",'Mapa final'!$AA$85="Mayor"),CONCATENATE("R10C",'Mapa final'!$O$85),"")</f>
        <v/>
      </c>
      <c r="AE55" s="59" t="str">
        <f>IF(AND('Mapa final'!$Y$86="Muy Baja",'Mapa final'!$AA$86="Mayor"),CONCATENATE("R10C",'Mapa final'!$O$86),"")</f>
        <v/>
      </c>
      <c r="AF55" s="59" t="str">
        <f>IF(AND('Mapa final'!$Y$87="Muy Baja",'Mapa final'!$AA$87="Mayor"),CONCATENATE("R10C",'Mapa final'!$O$87),"")</f>
        <v/>
      </c>
      <c r="AG55" s="60" t="str">
        <f>IF(AND('Mapa final'!$Y$88="Muy Baja",'Mapa final'!$AA$88="Mayor"),CONCATENATE("R10C",'Mapa final'!$O$88),"")</f>
        <v/>
      </c>
      <c r="AH55" s="61" t="str">
        <f>IF(AND('Mapa final'!$Y$83="Muy Baja",'Mapa final'!$AA$83="Catastrófico"),CONCATENATE("R10C",'Mapa final'!$O$83),"")</f>
        <v/>
      </c>
      <c r="AI55" s="62" t="str">
        <f>IF(AND('Mapa final'!$Y$84="Muy Baja",'Mapa final'!$AA$84="Catastrófico"),CONCATENATE("R10C",'Mapa final'!$O$84),"")</f>
        <v/>
      </c>
      <c r="AJ55" s="62" t="str">
        <f>IF(AND('Mapa final'!$Y$85="Muy Baja",'Mapa final'!$AA$85="Catastrófico"),CONCATENATE("R10C",'Mapa final'!$O$85),"")</f>
        <v/>
      </c>
      <c r="AK55" s="62" t="str">
        <f>IF(AND('Mapa final'!$Y$86="Muy Baja",'Mapa final'!$AA$86="Catastrófico"),CONCATENATE("R10C",'Mapa final'!$O$86),"")</f>
        <v/>
      </c>
      <c r="AL55" s="62" t="str">
        <f>IF(AND('Mapa final'!$Y$87="Muy Baja",'Mapa final'!$AA$87="Catastrófico"),CONCATENATE("R10C",'Mapa final'!$O$87),"")</f>
        <v/>
      </c>
      <c r="AM55" s="63" t="str">
        <f>IF(AND('Mapa final'!$Y$88="Muy Baja",'Mapa final'!$AA$88="Catastrófico"),CONCATENATE("R10C",'Mapa final'!$O$88),"")</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66" t="s">
        <v>101</v>
      </c>
      <c r="K56" s="467"/>
      <c r="L56" s="467"/>
      <c r="M56" s="467"/>
      <c r="N56" s="467"/>
      <c r="O56" s="484"/>
      <c r="P56" s="466" t="s">
        <v>102</v>
      </c>
      <c r="Q56" s="467"/>
      <c r="R56" s="467"/>
      <c r="S56" s="467"/>
      <c r="T56" s="467"/>
      <c r="U56" s="484"/>
      <c r="V56" s="466" t="s">
        <v>103</v>
      </c>
      <c r="W56" s="467"/>
      <c r="X56" s="467"/>
      <c r="Y56" s="467"/>
      <c r="Z56" s="467"/>
      <c r="AA56" s="484"/>
      <c r="AB56" s="466" t="s">
        <v>104</v>
      </c>
      <c r="AC56" s="505"/>
      <c r="AD56" s="467"/>
      <c r="AE56" s="467"/>
      <c r="AF56" s="467"/>
      <c r="AG56" s="484"/>
      <c r="AH56" s="466" t="s">
        <v>105</v>
      </c>
      <c r="AI56" s="467"/>
      <c r="AJ56" s="467"/>
      <c r="AK56" s="467"/>
      <c r="AL56" s="467"/>
      <c r="AM56" s="48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70"/>
      <c r="K57" s="469"/>
      <c r="L57" s="469"/>
      <c r="M57" s="469"/>
      <c r="N57" s="469"/>
      <c r="O57" s="485"/>
      <c r="P57" s="470"/>
      <c r="Q57" s="469"/>
      <c r="R57" s="469"/>
      <c r="S57" s="469"/>
      <c r="T57" s="469"/>
      <c r="U57" s="485"/>
      <c r="V57" s="470"/>
      <c r="W57" s="469"/>
      <c r="X57" s="469"/>
      <c r="Y57" s="469"/>
      <c r="Z57" s="469"/>
      <c r="AA57" s="485"/>
      <c r="AB57" s="470"/>
      <c r="AC57" s="469"/>
      <c r="AD57" s="469"/>
      <c r="AE57" s="469"/>
      <c r="AF57" s="469"/>
      <c r="AG57" s="485"/>
      <c r="AH57" s="470"/>
      <c r="AI57" s="469"/>
      <c r="AJ57" s="469"/>
      <c r="AK57" s="469"/>
      <c r="AL57" s="469"/>
      <c r="AM57" s="48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70"/>
      <c r="K58" s="469"/>
      <c r="L58" s="469"/>
      <c r="M58" s="469"/>
      <c r="N58" s="469"/>
      <c r="O58" s="485"/>
      <c r="P58" s="470"/>
      <c r="Q58" s="469"/>
      <c r="R58" s="469"/>
      <c r="S58" s="469"/>
      <c r="T58" s="469"/>
      <c r="U58" s="485"/>
      <c r="V58" s="470"/>
      <c r="W58" s="469"/>
      <c r="X58" s="469"/>
      <c r="Y58" s="469"/>
      <c r="Z58" s="469"/>
      <c r="AA58" s="485"/>
      <c r="AB58" s="470"/>
      <c r="AC58" s="469"/>
      <c r="AD58" s="469"/>
      <c r="AE58" s="469"/>
      <c r="AF58" s="469"/>
      <c r="AG58" s="485"/>
      <c r="AH58" s="470"/>
      <c r="AI58" s="469"/>
      <c r="AJ58" s="469"/>
      <c r="AK58" s="469"/>
      <c r="AL58" s="469"/>
      <c r="AM58" s="48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70"/>
      <c r="K59" s="469"/>
      <c r="L59" s="469"/>
      <c r="M59" s="469"/>
      <c r="N59" s="469"/>
      <c r="O59" s="485"/>
      <c r="P59" s="470"/>
      <c r="Q59" s="469"/>
      <c r="R59" s="469"/>
      <c r="S59" s="469"/>
      <c r="T59" s="469"/>
      <c r="U59" s="485"/>
      <c r="V59" s="470"/>
      <c r="W59" s="469"/>
      <c r="X59" s="469"/>
      <c r="Y59" s="469"/>
      <c r="Z59" s="469"/>
      <c r="AA59" s="485"/>
      <c r="AB59" s="470"/>
      <c r="AC59" s="469"/>
      <c r="AD59" s="469"/>
      <c r="AE59" s="469"/>
      <c r="AF59" s="469"/>
      <c r="AG59" s="485"/>
      <c r="AH59" s="470"/>
      <c r="AI59" s="469"/>
      <c r="AJ59" s="469"/>
      <c r="AK59" s="469"/>
      <c r="AL59" s="469"/>
      <c r="AM59" s="48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70"/>
      <c r="K60" s="469"/>
      <c r="L60" s="469"/>
      <c r="M60" s="469"/>
      <c r="N60" s="469"/>
      <c r="O60" s="485"/>
      <c r="P60" s="470"/>
      <c r="Q60" s="469"/>
      <c r="R60" s="469"/>
      <c r="S60" s="469"/>
      <c r="T60" s="469"/>
      <c r="U60" s="485"/>
      <c r="V60" s="470"/>
      <c r="W60" s="469"/>
      <c r="X60" s="469"/>
      <c r="Y60" s="469"/>
      <c r="Z60" s="469"/>
      <c r="AA60" s="485"/>
      <c r="AB60" s="470"/>
      <c r="AC60" s="469"/>
      <c r="AD60" s="469"/>
      <c r="AE60" s="469"/>
      <c r="AF60" s="469"/>
      <c r="AG60" s="485"/>
      <c r="AH60" s="470"/>
      <c r="AI60" s="469"/>
      <c r="AJ60" s="469"/>
      <c r="AK60" s="469"/>
      <c r="AL60" s="469"/>
      <c r="AM60" s="48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71"/>
      <c r="K61" s="472"/>
      <c r="L61" s="472"/>
      <c r="M61" s="472"/>
      <c r="N61" s="472"/>
      <c r="O61" s="486"/>
      <c r="P61" s="471"/>
      <c r="Q61" s="472"/>
      <c r="R61" s="472"/>
      <c r="S61" s="472"/>
      <c r="T61" s="472"/>
      <c r="U61" s="486"/>
      <c r="V61" s="471"/>
      <c r="W61" s="472"/>
      <c r="X61" s="472"/>
      <c r="Y61" s="472"/>
      <c r="Z61" s="472"/>
      <c r="AA61" s="486"/>
      <c r="AB61" s="471"/>
      <c r="AC61" s="472"/>
      <c r="AD61" s="472"/>
      <c r="AE61" s="472"/>
      <c r="AF61" s="472"/>
      <c r="AG61" s="486"/>
      <c r="AH61" s="471"/>
      <c r="AI61" s="472"/>
      <c r="AJ61" s="472"/>
      <c r="AK61" s="472"/>
      <c r="AL61" s="472"/>
      <c r="AM61" s="486"/>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E27" sqref="E2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06" t="s">
        <v>107</v>
      </c>
      <c r="C1" s="506"/>
      <c r="D1" s="50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07" t="s">
        <v>119</v>
      </c>
      <c r="C1" s="507"/>
      <c r="D1" s="507"/>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508" t="s">
        <v>159</v>
      </c>
      <c r="C1" s="509"/>
      <c r="D1" s="509"/>
      <c r="E1" s="509"/>
      <c r="F1" s="510"/>
    </row>
    <row r="2" spans="2:6" ht="16.5" thickBot="1" x14ac:dyDescent="0.3">
      <c r="B2" s="89"/>
      <c r="C2" s="89"/>
      <c r="D2" s="89"/>
      <c r="E2" s="89"/>
      <c r="F2" s="89"/>
    </row>
    <row r="3" spans="2:6" ht="16.5" thickBot="1" x14ac:dyDescent="0.25">
      <c r="B3" s="512" t="s">
        <v>160</v>
      </c>
      <c r="C3" s="513"/>
      <c r="D3" s="513"/>
      <c r="E3" s="101" t="s">
        <v>161</v>
      </c>
      <c r="F3" s="102" t="s">
        <v>162</v>
      </c>
    </row>
    <row r="4" spans="2:6" ht="31.5" x14ac:dyDescent="0.2">
      <c r="B4" s="514" t="s">
        <v>163</v>
      </c>
      <c r="C4" s="516" t="s">
        <v>83</v>
      </c>
      <c r="D4" s="90" t="s">
        <v>164</v>
      </c>
      <c r="E4" s="91" t="s">
        <v>165</v>
      </c>
      <c r="F4" s="92">
        <v>0.25</v>
      </c>
    </row>
    <row r="5" spans="2:6" ht="47.25" x14ac:dyDescent="0.2">
      <c r="B5" s="515"/>
      <c r="C5" s="517"/>
      <c r="D5" s="93" t="s">
        <v>166</v>
      </c>
      <c r="E5" s="94" t="s">
        <v>167</v>
      </c>
      <c r="F5" s="95">
        <v>0.15</v>
      </c>
    </row>
    <row r="6" spans="2:6" ht="47.25" x14ac:dyDescent="0.2">
      <c r="B6" s="515"/>
      <c r="C6" s="517"/>
      <c r="D6" s="93" t="s">
        <v>168</v>
      </c>
      <c r="E6" s="94" t="s">
        <v>169</v>
      </c>
      <c r="F6" s="95">
        <v>0.1</v>
      </c>
    </row>
    <row r="7" spans="2:6" ht="63" x14ac:dyDescent="0.2">
      <c r="B7" s="515"/>
      <c r="C7" s="517" t="s">
        <v>84</v>
      </c>
      <c r="D7" s="93" t="s">
        <v>170</v>
      </c>
      <c r="E7" s="94" t="s">
        <v>171</v>
      </c>
      <c r="F7" s="95">
        <v>0.25</v>
      </c>
    </row>
    <row r="8" spans="2:6" ht="31.5" x14ac:dyDescent="0.2">
      <c r="B8" s="515"/>
      <c r="C8" s="517"/>
      <c r="D8" s="93" t="s">
        <v>172</v>
      </c>
      <c r="E8" s="94" t="s">
        <v>173</v>
      </c>
      <c r="F8" s="95">
        <v>0.15</v>
      </c>
    </row>
    <row r="9" spans="2:6" ht="47.25" x14ac:dyDescent="0.2">
      <c r="B9" s="515" t="s">
        <v>174</v>
      </c>
      <c r="C9" s="517" t="s">
        <v>86</v>
      </c>
      <c r="D9" s="93" t="s">
        <v>175</v>
      </c>
      <c r="E9" s="94" t="s">
        <v>176</v>
      </c>
      <c r="F9" s="96" t="s">
        <v>177</v>
      </c>
    </row>
    <row r="10" spans="2:6" ht="63" x14ac:dyDescent="0.2">
      <c r="B10" s="515"/>
      <c r="C10" s="517"/>
      <c r="D10" s="93" t="s">
        <v>178</v>
      </c>
      <c r="E10" s="94" t="s">
        <v>179</v>
      </c>
      <c r="F10" s="96" t="s">
        <v>177</v>
      </c>
    </row>
    <row r="11" spans="2:6" ht="47.25" x14ac:dyDescent="0.2">
      <c r="B11" s="515"/>
      <c r="C11" s="517" t="s">
        <v>87</v>
      </c>
      <c r="D11" s="93" t="s">
        <v>180</v>
      </c>
      <c r="E11" s="94" t="s">
        <v>181</v>
      </c>
      <c r="F11" s="96" t="s">
        <v>177</v>
      </c>
    </row>
    <row r="12" spans="2:6" ht="47.25" x14ac:dyDescent="0.2">
      <c r="B12" s="515"/>
      <c r="C12" s="517"/>
      <c r="D12" s="93" t="s">
        <v>182</v>
      </c>
      <c r="E12" s="94" t="s">
        <v>183</v>
      </c>
      <c r="F12" s="96" t="s">
        <v>177</v>
      </c>
    </row>
    <row r="13" spans="2:6" ht="31.5" x14ac:dyDescent="0.2">
      <c r="B13" s="515"/>
      <c r="C13" s="517" t="s">
        <v>88</v>
      </c>
      <c r="D13" s="93" t="s">
        <v>184</v>
      </c>
      <c r="E13" s="94" t="s">
        <v>185</v>
      </c>
      <c r="F13" s="96" t="s">
        <v>177</v>
      </c>
    </row>
    <row r="14" spans="2:6" ht="32.25" thickBot="1" x14ac:dyDescent="0.25">
      <c r="B14" s="518"/>
      <c r="C14" s="519"/>
      <c r="D14" s="97" t="s">
        <v>186</v>
      </c>
      <c r="E14" s="98" t="s">
        <v>187</v>
      </c>
      <c r="F14" s="99" t="s">
        <v>177</v>
      </c>
    </row>
    <row r="15" spans="2:6" ht="49.5" customHeight="1" x14ac:dyDescent="0.2">
      <c r="B15" s="511" t="s">
        <v>188</v>
      </c>
      <c r="C15" s="511"/>
      <c r="D15" s="511"/>
      <c r="E15" s="511"/>
      <c r="F15" s="511"/>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SDG</cp:lastModifiedBy>
  <cp:revision/>
  <dcterms:created xsi:type="dcterms:W3CDTF">2020-03-24T23:12:47Z</dcterms:created>
  <dcterms:modified xsi:type="dcterms:W3CDTF">2022-03-28T20:52:21Z</dcterms:modified>
  <cp:category/>
  <cp:contentStatus/>
</cp:coreProperties>
</file>