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hidePivotFieldList="1" defaultThemeVersion="124226"/>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2/4. Abril/Caso HOLA 241910/"/>
    </mc:Choice>
  </mc:AlternateContent>
  <xr:revisionPtr revIDLastSave="0" documentId="8_{34583808-AFD7-4745-9B95-BC58A94346CC}" xr6:coauthVersionLast="47" xr6:coauthVersionMax="47" xr10:uidLastSave="{00000000-0000-0000-0000-000000000000}"/>
  <bookViews>
    <workbookView xWindow="-120" yWindow="-120" windowWidth="20730" windowHeight="11160" tabRatio="882" firstSheet="1" activeTab="2" xr2:uid="{00000000-000D-0000-FFFF-FFFF00000000}"/>
  </bookViews>
  <sheets>
    <sheet name="Instructivo" sheetId="20" r:id="rId1"/>
    <sheet name="Contexto proceso" sheetId="21" r:id="rId2"/>
    <sheet name="Mapa final" sheetId="1" r:id="rId3"/>
    <sheet name="Impacto-clasificacion" sheetId="22" state="hidden" r:id="rId4"/>
    <sheet name="Matriz Calor Inherente" sheetId="18" r:id="rId5"/>
    <sheet name="Matriz Calor Residual" sheetId="19" r:id="rId6"/>
    <sheet name="Tabla probabilidad" sheetId="12" r:id="rId7"/>
    <sheet name="Tabla Impacto" sheetId="13" r:id="rId8"/>
    <sheet name="Criterios riesgos amb." sheetId="23" r:id="rId9"/>
    <sheet name="Tabla Valoración controles" sheetId="15" r:id="rId10"/>
    <sheet name="Opciones Tratamiento" sheetId="16" state="hidden" r:id="rId11"/>
    <sheet name="Hoja1" sheetId="11" state="hidden" r:id="rId12"/>
  </sheets>
  <externalReferences>
    <externalReference r:id="rId13"/>
    <externalReference r:id="rId14"/>
    <externalReference r:id="rId15"/>
    <externalReference r:id="rId16"/>
    <externalReference r:id="rId17"/>
  </externalReferences>
  <definedNames>
    <definedName name="_1_SE">#REF!</definedName>
    <definedName name="A">#REF!</definedName>
    <definedName name="AA">#REF!</definedName>
    <definedName name="aaaa">#REF!</definedName>
    <definedName name="accion">#REF!</definedName>
    <definedName name="AGENTE">#REF!</definedName>
    <definedName name="AREA_IMPACTO">#REF!</definedName>
    <definedName name="areaimpacto">'[1]SM-FO-27'!$BQ$476:$BQ$482</definedName>
    <definedName name="B">#REF!</definedName>
    <definedName name="CALIFICACION">#REF!</definedName>
    <definedName name="CAUSAS">[2]CAUSAS!$C$6:$O$11</definedName>
    <definedName name="cl">'[1]SM-FO-27'!#REF!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ODIGO">#REF!</definedName>
    <definedName name="CODIGO_RIESGO">#REF!</definedName>
    <definedName name="CODIGO1">#REF!</definedName>
    <definedName name="Con">#REF!</definedName>
    <definedName name="CONFLICTOS_SOCIALES">#REF!</definedName>
    <definedName name="CONTROL">'[2]NO BORRAR'!$C$41:$C$53</definedName>
    <definedName name="Control_Existente">[3]Hoja4!$H$3:$H$4</definedName>
    <definedName name="CONTROLES">#REF!</definedName>
    <definedName name="DIRECCION_ACTIVIDADES_MARITIMAS">#REF!</definedName>
    <definedName name="ESTABILIDAD_POLITICA">#REF!</definedName>
    <definedName name="EVENTOS_NATURALES">#REF!</definedName>
    <definedName name="FRECUENCIA">#REF!</definedName>
    <definedName name="FUENTE">#REF!</definedName>
    <definedName name="FUENTES_RIESGO">#REF!</definedName>
    <definedName name="fuentesriesgo">'[1]SM-FO-27'!$BP$476:$BP$480</definedName>
    <definedName name="g">#REF!</definedName>
    <definedName name="GRAVEDAD">#REF!</definedName>
    <definedName name="Impacto">[3]Hoja4!$F$3:$F$7</definedName>
    <definedName name="INSTALACIONES">#REF!</definedName>
    <definedName name="LET">#REF!</definedName>
    <definedName name="MACROPROCESO">#REF!</definedName>
    <definedName name="nivelorgriesgo">'[1]SM-FO-27'!$BR$481:$BR$483</definedName>
    <definedName name="NN">#REF!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#REF!</definedName>
    <definedName name="Probabilidad">[3]Hoja4!$E$3:$E$7</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#REF!</definedName>
    <definedName name="SE">#REF!</definedName>
    <definedName name="SI_NO">'[4]NO BORRAR'!$F$1:$F$2</definedName>
    <definedName name="SINO">#REF!</definedName>
    <definedName name="SISTEMAS">#REF!</definedName>
    <definedName name="TECNOLOGIA">#REF!</definedName>
    <definedName name="Tipificacionriesgo">'[1]SM-FO-27'!$BR$486:$BR$499</definedName>
    <definedName name="TIPO">'[5]Base de Datos'!$A$4:$A$8</definedName>
    <definedName name="Tipo_de_Riesgo">[3]Hoja4!$D$3:$D$9</definedName>
    <definedName name="TIPOACCION">'[2]NO BORRAR'!$I$1:$I$9</definedName>
    <definedName name="TOTAL_PUNTAJE_RIESGO">#REF!</definedName>
    <definedName name="TRATAMIENTO">#REF!</definedName>
    <definedName name="TRATAMIENTO_RIESGO">'[4]NO BORRAR'!$G$1:$G$5</definedName>
    <definedName name="trIANGULO">#REF!</definedName>
    <definedName name="X">#REF!</definedName>
    <definedName name="Y">#REF!</definedName>
    <definedName name="Z">#REF!</definedName>
    <definedName name="zona">#REF!</definedName>
  </definedNames>
  <calcPr calcId="191029"/>
  <pivotCaches>
    <pivotCache cacheId="6" r:id="rId1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4" i="23" l="1"/>
  <c r="T24" i="1" l="1"/>
  <c r="Q24" i="1"/>
  <c r="H24" i="1"/>
  <c r="I24" i="1" s="1"/>
  <c r="K43" i="1"/>
  <c r="K40" i="1"/>
  <c r="K38" i="1"/>
  <c r="K50" i="1"/>
  <c r="K30" i="1"/>
  <c r="K41" i="1"/>
  <c r="K35" i="1"/>
  <c r="K32" i="1"/>
  <c r="K44" i="1"/>
  <c r="K37" i="1"/>
  <c r="K46" i="1"/>
  <c r="K47" i="1"/>
  <c r="K36" i="1"/>
  <c r="K48" i="1"/>
  <c r="K28" i="1"/>
  <c r="K49" i="1"/>
  <c r="K34" i="1"/>
  <c r="K42" i="1"/>
  <c r="F221" i="13" l="1"/>
  <c r="F211" i="13"/>
  <c r="F212" i="13"/>
  <c r="F213" i="13"/>
  <c r="F214" i="13"/>
  <c r="F215" i="13"/>
  <c r="F216" i="13"/>
  <c r="F217" i="13"/>
  <c r="F218" i="13"/>
  <c r="F219" i="13"/>
  <c r="F220" i="13"/>
  <c r="F210" i="13"/>
  <c r="K25" i="1"/>
  <c r="B221" i="13" a="1"/>
  <c r="B221" i="13" l="1"/>
  <c r="Q33"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0" i="1" l="1"/>
  <c r="Q50" i="1"/>
  <c r="T49" i="1"/>
  <c r="Q49" i="1"/>
  <c r="T48" i="1"/>
  <c r="Q48" i="1"/>
  <c r="T47" i="1"/>
  <c r="Q47" i="1"/>
  <c r="T46" i="1"/>
  <c r="Q46" i="1"/>
  <c r="T45" i="1"/>
  <c r="Q45" i="1"/>
  <c r="H45" i="1"/>
  <c r="I45" i="1" s="1"/>
  <c r="T44" i="1"/>
  <c r="Q44" i="1"/>
  <c r="T43" i="1"/>
  <c r="Q43" i="1"/>
  <c r="T42" i="1"/>
  <c r="Q42" i="1"/>
  <c r="T41" i="1"/>
  <c r="Q41" i="1"/>
  <c r="T40" i="1"/>
  <c r="Q40" i="1"/>
  <c r="T39" i="1"/>
  <c r="Q39" i="1"/>
  <c r="H39" i="1"/>
  <c r="I39" i="1" s="1"/>
  <c r="T38" i="1"/>
  <c r="Q38" i="1"/>
  <c r="T37" i="1"/>
  <c r="Q37" i="1"/>
  <c r="T36" i="1"/>
  <c r="Q36" i="1"/>
  <c r="T35" i="1"/>
  <c r="Q35" i="1"/>
  <c r="T34" i="1"/>
  <c r="Q34" i="1"/>
  <c r="AB34" i="1" s="1"/>
  <c r="T33" i="1"/>
  <c r="H33" i="1"/>
  <c r="I33" i="1" s="1"/>
  <c r="T31" i="1"/>
  <c r="Q31" i="1"/>
  <c r="H31" i="1"/>
  <c r="I31" i="1" s="1"/>
  <c r="T30" i="1"/>
  <c r="Q30" i="1"/>
  <c r="T29" i="1"/>
  <c r="Q29" i="1"/>
  <c r="H29" i="1"/>
  <c r="I29" i="1" s="1"/>
  <c r="T27" i="1"/>
  <c r="Q27" i="1"/>
  <c r="H27" i="1"/>
  <c r="I27" i="1" s="1"/>
  <c r="H26" i="1"/>
  <c r="T26" i="1"/>
  <c r="Q26" i="1"/>
  <c r="AB46" i="1" l="1"/>
  <c r="AB40" i="1"/>
  <c r="I26" i="1"/>
  <c r="X26" i="1" s="1"/>
  <c r="X45" i="1"/>
  <c r="X39" i="1"/>
  <c r="X33" i="1"/>
  <c r="X31" i="1"/>
  <c r="X29" i="1"/>
  <c r="X27" i="1"/>
  <c r="Y45" i="1" l="1"/>
  <c r="Z45" i="1"/>
  <c r="X46" i="1" s="1"/>
  <c r="Y46" i="1" s="1"/>
  <c r="Y39" i="1"/>
  <c r="Z39" i="1"/>
  <c r="X40" i="1" s="1"/>
  <c r="Z40" i="1" s="1"/>
  <c r="X41" i="1" s="1"/>
  <c r="Y33" i="1"/>
  <c r="Z33" i="1"/>
  <c r="X34" i="1" s="1"/>
  <c r="Z34" i="1" s="1"/>
  <c r="X35" i="1" s="1"/>
  <c r="Y31" i="1"/>
  <c r="Z31" i="1"/>
  <c r="Y29" i="1"/>
  <c r="Z29" i="1"/>
  <c r="X30" i="1" s="1"/>
  <c r="Z30" i="1" s="1"/>
  <c r="Y27" i="1"/>
  <c r="Z27" i="1"/>
  <c r="X28" i="1" s="1"/>
  <c r="Y26" i="1"/>
  <c r="Z26" i="1"/>
  <c r="Y40" i="1" l="1"/>
  <c r="Y34" i="1"/>
  <c r="Y30" i="1"/>
  <c r="Z41" i="1"/>
  <c r="X42" i="1" s="1"/>
  <c r="Y41" i="1"/>
  <c r="Z35" i="1"/>
  <c r="X36" i="1" s="1"/>
  <c r="Y35" i="1"/>
  <c r="Z46" i="1"/>
  <c r="X47" i="1" s="1"/>
  <c r="X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Y42" i="1" l="1"/>
  <c r="Z42" i="1"/>
  <c r="Y36" i="1"/>
  <c r="Z36" i="1"/>
  <c r="X37" i="1" s="1"/>
  <c r="Y47" i="1"/>
  <c r="Z47" i="1"/>
  <c r="X48" i="1" s="1"/>
  <c r="Y37" i="1" l="1"/>
  <c r="Z37" i="1"/>
  <c r="X38" i="1" s="1"/>
  <c r="X43" i="1"/>
  <c r="X44" i="1"/>
  <c r="Z48" i="1"/>
  <c r="Y48" i="1"/>
  <c r="Y44" i="1" l="1"/>
  <c r="Z44" i="1"/>
  <c r="Y43" i="1"/>
  <c r="Z43" i="1"/>
  <c r="Y38" i="1"/>
  <c r="Z38" i="1"/>
  <c r="X49" i="1"/>
  <c r="X50" i="1"/>
  <c r="X24" i="1"/>
  <c r="Y24" i="1" s="1"/>
  <c r="Y50" i="1" l="1"/>
  <c r="Z50" i="1"/>
  <c r="Y49" i="1"/>
  <c r="Z49" i="1"/>
  <c r="Z24" i="1" l="1"/>
  <c r="X25" i="1" s="1"/>
  <c r="AB47" i="1" l="1"/>
  <c r="AB39" i="1"/>
  <c r="AB33" i="1"/>
  <c r="AA33" i="1" s="1"/>
  <c r="J11" i="19" l="1"/>
  <c r="V11" i="19"/>
  <c r="AB21" i="19"/>
  <c r="P31" i="19"/>
  <c r="J31" i="19"/>
  <c r="AB41" i="19"/>
  <c r="AH41" i="19"/>
  <c r="P41" i="19"/>
  <c r="J21" i="19"/>
  <c r="AB31" i="19"/>
  <c r="AB51" i="19"/>
  <c r="P21" i="19"/>
  <c r="V41" i="19"/>
  <c r="V31" i="19"/>
  <c r="AH21" i="19"/>
  <c r="AB11" i="19"/>
  <c r="P51" i="19"/>
  <c r="V21" i="19"/>
  <c r="AH31" i="19"/>
  <c r="V51" i="19"/>
  <c r="J51" i="19"/>
  <c r="AH51" i="19"/>
  <c r="AH11" i="19"/>
  <c r="J41" i="19"/>
  <c r="P11" i="19"/>
  <c r="AC33"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39" i="1"/>
  <c r="AA46" i="1"/>
  <c r="AA47" i="1"/>
  <c r="AB48" i="1"/>
  <c r="AA34" i="1"/>
  <c r="AB35" i="1"/>
  <c r="AA40" i="1"/>
  <c r="AB41" i="1"/>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AA48" i="1"/>
  <c r="AB49" i="1"/>
  <c r="K35" i="19"/>
  <c r="AC25" i="19"/>
  <c r="K45" i="19"/>
  <c r="AI45" i="19"/>
  <c r="W45" i="19"/>
  <c r="Q35" i="19"/>
  <c r="K55" i="19"/>
  <c r="AC15" i="19"/>
  <c r="Q15" i="19"/>
  <c r="AC35" i="19"/>
  <c r="AI35" i="19"/>
  <c r="Q55" i="19"/>
  <c r="AI25" i="19"/>
  <c r="AC46"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40"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AC47"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39"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AA35" i="1"/>
  <c r="AB36" i="1"/>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A41" i="1"/>
  <c r="AB42" i="1"/>
  <c r="K23" i="19"/>
  <c r="AI43" i="19"/>
  <c r="AC43" i="19"/>
  <c r="AC53" i="19"/>
  <c r="W43" i="19"/>
  <c r="K13" i="19"/>
  <c r="Q53" i="19"/>
  <c r="AI53" i="19"/>
  <c r="K33" i="19"/>
  <c r="K43" i="19"/>
  <c r="AI33" i="19"/>
  <c r="AC33" i="19"/>
  <c r="AC34" i="1"/>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A36" i="1"/>
  <c r="AB37" i="1"/>
  <c r="AA49" i="1"/>
  <c r="AB50" i="1"/>
  <c r="AA50"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AC35" i="1"/>
  <c r="X23" i="19"/>
  <c r="R33" i="19"/>
  <c r="R43" i="19"/>
  <c r="AD53" i="19"/>
  <c r="AJ13" i="19"/>
  <c r="R23" i="19"/>
  <c r="R13" i="19"/>
  <c r="AJ53" i="19"/>
  <c r="L33" i="19"/>
  <c r="L23" i="19"/>
  <c r="X43" i="19"/>
  <c r="X53" i="19"/>
  <c r="AD13" i="19"/>
  <c r="L53" i="19"/>
  <c r="L13" i="19"/>
  <c r="AD23" i="19"/>
  <c r="AJ33" i="19"/>
  <c r="AJ23" i="19"/>
  <c r="R53" i="19"/>
  <c r="M55" i="19"/>
  <c r="AK15" i="19"/>
  <c r="AE25" i="19"/>
  <c r="AC48"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A42" i="1"/>
  <c r="AB43" i="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AC41" i="1"/>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42" i="1"/>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C50" i="1"/>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49"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A37" i="1"/>
  <c r="AB38" i="1"/>
  <c r="AA38"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43" i="1"/>
  <c r="AB44" i="1"/>
  <c r="AA44" i="1" s="1"/>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36"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44" i="1"/>
  <c r="AA14" i="19"/>
  <c r="O54" i="19"/>
  <c r="U44" i="19"/>
  <c r="U43" i="19"/>
  <c r="U13" i="19"/>
  <c r="AM53" i="19"/>
  <c r="AA53" i="19"/>
  <c r="AA43" i="19"/>
  <c r="O53" i="19"/>
  <c r="O23" i="19"/>
  <c r="O13" i="19"/>
  <c r="AG43" i="19"/>
  <c r="U33" i="19"/>
  <c r="U23" i="19"/>
  <c r="AM13" i="19"/>
  <c r="AM23" i="19"/>
  <c r="AG13" i="19"/>
  <c r="AA23" i="19"/>
  <c r="AG33" i="19"/>
  <c r="AA33" i="19"/>
  <c r="AM33" i="19"/>
  <c r="AA13" i="19"/>
  <c r="AC38"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43" i="1"/>
  <c r="AF53" i="19"/>
  <c r="T43" i="19"/>
  <c r="Z53" i="19"/>
  <c r="N43" i="19"/>
  <c r="T23" i="19"/>
  <c r="AF43" i="19"/>
  <c r="Z13" i="19"/>
  <c r="Z43" i="19"/>
  <c r="AF23" i="19"/>
  <c r="AL13" i="19"/>
  <c r="Z23" i="19"/>
  <c r="AL43" i="19"/>
  <c r="AF13" i="19"/>
  <c r="AL23" i="19"/>
  <c r="N13" i="19"/>
  <c r="T33" i="19"/>
  <c r="AL53" i="19"/>
  <c r="N23" i="19"/>
  <c r="N53" i="19"/>
  <c r="AF33" i="19"/>
  <c r="N33" i="19"/>
  <c r="AC37"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K24" i="1" l="1"/>
  <c r="L24" i="1" s="1"/>
  <c r="K29" i="1"/>
  <c r="K27" i="1"/>
  <c r="L27" i="1" s="1"/>
  <c r="K33" i="1"/>
  <c r="L33" i="1" s="1"/>
  <c r="K31" i="1"/>
  <c r="L31" i="1" s="1"/>
  <c r="K26" i="1"/>
  <c r="L26" i="1" s="1"/>
  <c r="K45" i="1"/>
  <c r="L45" i="1" s="1"/>
  <c r="K39" i="1"/>
  <c r="L39" i="1" s="1"/>
  <c r="M24" i="1" l="1"/>
  <c r="N24" i="1"/>
  <c r="X6" i="18"/>
  <c r="AJ30" i="18"/>
  <c r="R22" i="18"/>
  <c r="L6" i="18"/>
  <c r="R30" i="18"/>
  <c r="X22" i="18"/>
  <c r="X38" i="18"/>
  <c r="AD38" i="18"/>
  <c r="N26" i="1"/>
  <c r="AD22" i="18"/>
  <c r="M26" i="1"/>
  <c r="AB26" i="1" s="1"/>
  <c r="AA26" i="1" s="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31" i="1"/>
  <c r="L32" i="18"/>
  <c r="X8" i="18"/>
  <c r="X24" i="18"/>
  <c r="AJ8" i="18"/>
  <c r="M31" i="1"/>
  <c r="AB31" i="1" s="1"/>
  <c r="AA31" i="1" s="1"/>
  <c r="R40" i="18"/>
  <c r="L40" i="18"/>
  <c r="X16" i="18"/>
  <c r="L24" i="18"/>
  <c r="AJ24" i="18"/>
  <c r="X32" i="18"/>
  <c r="AJ40" i="18"/>
  <c r="R16" i="18"/>
  <c r="AD40" i="18"/>
  <c r="AD32" i="18"/>
  <c r="AD16" i="18"/>
  <c r="J42" i="18"/>
  <c r="P34" i="18"/>
  <c r="AB18" i="18"/>
  <c r="AB42" i="18"/>
  <c r="AH34" i="18"/>
  <c r="P10" i="18"/>
  <c r="V34" i="18"/>
  <c r="P42" i="18"/>
  <c r="V42" i="18"/>
  <c r="AH42" i="18"/>
  <c r="AB26" i="18"/>
  <c r="AH26" i="18"/>
  <c r="V26" i="18"/>
  <c r="AB34" i="18"/>
  <c r="V10" i="18"/>
  <c r="AH18" i="18"/>
  <c r="J34" i="18"/>
  <c r="J10" i="18"/>
  <c r="AB10" i="18"/>
  <c r="J18" i="18"/>
  <c r="P26" i="18"/>
  <c r="J26" i="18"/>
  <c r="AH10" i="18"/>
  <c r="P18" i="18"/>
  <c r="V18" i="18"/>
  <c r="X42" i="18"/>
  <c r="AD34" i="18"/>
  <c r="AD10" i="18"/>
  <c r="AD26" i="18"/>
  <c r="L10" i="18"/>
  <c r="L42" i="18"/>
  <c r="L26" i="18"/>
  <c r="X18" i="18"/>
  <c r="X34" i="18"/>
  <c r="X10" i="18"/>
  <c r="R18" i="18"/>
  <c r="AJ10" i="18"/>
  <c r="AD42" i="18"/>
  <c r="AJ34" i="18"/>
  <c r="R26" i="18"/>
  <c r="M33" i="1"/>
  <c r="L18" i="18"/>
  <c r="AJ26" i="18"/>
  <c r="AD18" i="18"/>
  <c r="R34" i="18"/>
  <c r="L34" i="18"/>
  <c r="AJ42" i="18"/>
  <c r="R10" i="18"/>
  <c r="R42" i="18"/>
  <c r="X26" i="18"/>
  <c r="AJ18" i="18"/>
  <c r="N33" i="1"/>
  <c r="T14" i="18"/>
  <c r="AL38" i="18"/>
  <c r="N14" i="18"/>
  <c r="Z6" i="18"/>
  <c r="T38" i="18"/>
  <c r="T22" i="18"/>
  <c r="AL14" i="18"/>
  <c r="N22" i="18"/>
  <c r="N27" i="1"/>
  <c r="AF22" i="18"/>
  <c r="N6" i="18"/>
  <c r="AF6" i="18"/>
  <c r="AF38" i="18"/>
  <c r="M27" i="1"/>
  <c r="AB27" i="1" s="1"/>
  <c r="AA27" i="1" s="1"/>
  <c r="N38" i="18"/>
  <c r="AL30" i="18"/>
  <c r="AL22" i="18"/>
  <c r="T6" i="18"/>
  <c r="AF14" i="18"/>
  <c r="AF30" i="18"/>
  <c r="Z22" i="18"/>
  <c r="T30" i="18"/>
  <c r="Z30" i="18"/>
  <c r="AL6" i="18"/>
  <c r="Z14" i="18"/>
  <c r="Z38" i="18"/>
  <c r="N30" i="18"/>
  <c r="J40" i="18"/>
  <c r="AB40" i="18"/>
  <c r="AH32" i="18"/>
  <c r="AB24" i="18"/>
  <c r="V16" i="18"/>
  <c r="M29" i="1"/>
  <c r="AB29" i="1" s="1"/>
  <c r="J16" i="18"/>
  <c r="P32" i="18"/>
  <c r="V24" i="18"/>
  <c r="P24" i="18"/>
  <c r="V40" i="18"/>
  <c r="P16" i="18"/>
  <c r="P40" i="18"/>
  <c r="V32" i="18"/>
  <c r="AH16" i="18"/>
  <c r="AB16" i="18"/>
  <c r="V8" i="18"/>
  <c r="AH24" i="18"/>
  <c r="AH8" i="18"/>
  <c r="AH40" i="18"/>
  <c r="J8" i="18"/>
  <c r="AB32" i="18"/>
  <c r="AB8" i="18"/>
  <c r="J24" i="18"/>
  <c r="J32" i="18"/>
  <c r="P8" i="18"/>
  <c r="N29" i="1"/>
  <c r="Z42" i="18"/>
  <c r="T18" i="18"/>
  <c r="AF34" i="18"/>
  <c r="AF42" i="18"/>
  <c r="N42" i="18"/>
  <c r="Z18" i="18"/>
  <c r="AL10" i="18"/>
  <c r="AL26" i="18"/>
  <c r="AF26" i="18"/>
  <c r="Z10" i="18"/>
  <c r="N18" i="18"/>
  <c r="T26" i="18"/>
  <c r="AF10" i="18"/>
  <c r="T34" i="18"/>
  <c r="N26" i="18"/>
  <c r="AL18" i="18"/>
  <c r="N10" i="18"/>
  <c r="AF18" i="18"/>
  <c r="Z26" i="18"/>
  <c r="AL34" i="18"/>
  <c r="M39" i="1"/>
  <c r="Z34" i="18"/>
  <c r="T10" i="18"/>
  <c r="N39" i="1"/>
  <c r="AL42" i="18"/>
  <c r="N34" i="18"/>
  <c r="T42" i="18"/>
  <c r="P14" i="18"/>
  <c r="V22" i="18"/>
  <c r="V14" i="18"/>
  <c r="P22" i="18"/>
  <c r="V38" i="18"/>
  <c r="AH14" i="18"/>
  <c r="AH38" i="18"/>
  <c r="J14" i="18"/>
  <c r="AB22" i="18"/>
  <c r="V30" i="18"/>
  <c r="AB14" i="18"/>
  <c r="AB38" i="18"/>
  <c r="J30" i="18"/>
  <c r="P38" i="18"/>
  <c r="AB6" i="18"/>
  <c r="AB24" i="1"/>
  <c r="AA24" i="1" s="1"/>
  <c r="AH30" i="18"/>
  <c r="J38" i="18"/>
  <c r="AH6" i="18"/>
  <c r="V6" i="18"/>
  <c r="AB30" i="18"/>
  <c r="J22" i="18"/>
  <c r="J6" i="18"/>
  <c r="P30" i="18"/>
  <c r="AH22" i="18"/>
  <c r="P6" i="18"/>
  <c r="AH12" i="18"/>
  <c r="J20" i="18"/>
  <c r="J44" i="18"/>
  <c r="AB28" i="18"/>
  <c r="P28" i="18"/>
  <c r="N45" i="1"/>
  <c r="P12" i="18"/>
  <c r="AH20" i="18"/>
  <c r="P44" i="18"/>
  <c r="AB12" i="18"/>
  <c r="P20" i="18"/>
  <c r="J36" i="18"/>
  <c r="P36" i="18"/>
  <c r="AB44" i="18"/>
  <c r="V44" i="18"/>
  <c r="J28" i="18"/>
  <c r="AH36" i="18"/>
  <c r="V12" i="18"/>
  <c r="V28" i="18"/>
  <c r="AH44" i="18"/>
  <c r="AB20" i="18"/>
  <c r="AB36" i="18"/>
  <c r="AH28" i="18"/>
  <c r="V36" i="18"/>
  <c r="V20" i="18"/>
  <c r="M45" i="1"/>
  <c r="AB45" i="1" s="1"/>
  <c r="AA45" i="1" s="1"/>
  <c r="J12" i="18"/>
  <c r="AF24" i="18"/>
  <c r="AF32" i="18"/>
  <c r="T40" i="18"/>
  <c r="Z40" i="18"/>
  <c r="AL8" i="18"/>
  <c r="AF8" i="18"/>
  <c r="T8" i="18"/>
  <c r="Z16" i="18"/>
  <c r="T24" i="18"/>
  <c r="AL24" i="18"/>
  <c r="Z32" i="18"/>
  <c r="N32" i="18"/>
  <c r="N16" i="18"/>
  <c r="Z8" i="18"/>
  <c r="AL40" i="18"/>
  <c r="N8" i="18"/>
  <c r="N24" i="18"/>
  <c r="T32" i="18"/>
  <c r="T16" i="18"/>
  <c r="AF40" i="18"/>
  <c r="AF16" i="18"/>
  <c r="AL32" i="18"/>
  <c r="N40" i="18"/>
  <c r="Z24" i="18"/>
  <c r="AL16" i="18"/>
  <c r="J40" i="19" l="1"/>
  <c r="V20" i="19"/>
  <c r="J50" i="19"/>
  <c r="P50" i="19"/>
  <c r="J10" i="19"/>
  <c r="V10" i="19"/>
  <c r="V40" i="19"/>
  <c r="V50" i="19"/>
  <c r="V30" i="19"/>
  <c r="AH10" i="19"/>
  <c r="AB40" i="19"/>
  <c r="AB10" i="19"/>
  <c r="AB20" i="19"/>
  <c r="P20" i="19"/>
  <c r="AB30" i="19"/>
  <c r="AH40" i="19"/>
  <c r="AH20" i="19"/>
  <c r="P10" i="19"/>
  <c r="P30" i="19"/>
  <c r="AH30" i="19"/>
  <c r="AH50" i="19"/>
  <c r="J20" i="19"/>
  <c r="J30" i="19"/>
  <c r="AB50" i="19"/>
  <c r="AC31" i="1"/>
  <c r="P40" i="19"/>
  <c r="AA29" i="1"/>
  <c r="AB30" i="1"/>
  <c r="AA30" i="1" s="1"/>
  <c r="P18" i="19"/>
  <c r="J28" i="19"/>
  <c r="J48" i="19"/>
  <c r="V28" i="19"/>
  <c r="AB8" i="19"/>
  <c r="P28" i="19"/>
  <c r="J18" i="19"/>
  <c r="AH8" i="19"/>
  <c r="V8" i="19"/>
  <c r="AH48" i="19"/>
  <c r="V18" i="19"/>
  <c r="AB28" i="19"/>
  <c r="V38" i="19"/>
  <c r="AH28" i="19"/>
  <c r="AB38" i="19"/>
  <c r="V48" i="19"/>
  <c r="P8" i="19"/>
  <c r="AC27" i="1"/>
  <c r="P38" i="19"/>
  <c r="AH38" i="19"/>
  <c r="P48" i="19"/>
  <c r="AB18" i="19"/>
  <c r="J8" i="19"/>
  <c r="AB48" i="19"/>
  <c r="AH18" i="19"/>
  <c r="J38" i="19"/>
  <c r="P47" i="19"/>
  <c r="J37" i="19"/>
  <c r="V7" i="19"/>
  <c r="P17" i="19"/>
  <c r="AB17" i="19"/>
  <c r="P7" i="19"/>
  <c r="J47" i="19"/>
  <c r="AB27" i="19"/>
  <c r="AC26" i="1"/>
  <c r="AH37" i="19"/>
  <c r="V17" i="19"/>
  <c r="J7" i="19"/>
  <c r="AH27" i="19"/>
  <c r="V27" i="19"/>
  <c r="J17" i="19"/>
  <c r="AB37" i="19"/>
  <c r="P27" i="19"/>
  <c r="AH47" i="19"/>
  <c r="V37" i="19"/>
  <c r="AB47" i="19"/>
  <c r="AH7" i="19"/>
  <c r="V47" i="19"/>
  <c r="J27" i="19"/>
  <c r="AB7" i="19"/>
  <c r="AH17" i="19"/>
  <c r="P37" i="19"/>
  <c r="AB32" i="19"/>
  <c r="V32" i="19"/>
  <c r="J52" i="19"/>
  <c r="AB42" i="19"/>
  <c r="P12" i="19"/>
  <c r="J12" i="19"/>
  <c r="V12" i="19"/>
  <c r="P42" i="19"/>
  <c r="AH12" i="19"/>
  <c r="V42" i="19"/>
  <c r="P52" i="19"/>
  <c r="J42" i="19"/>
  <c r="AB12" i="19"/>
  <c r="J32" i="19"/>
  <c r="AH42" i="19"/>
  <c r="V52" i="19"/>
  <c r="AH52" i="19"/>
  <c r="AB52" i="19"/>
  <c r="P32" i="19"/>
  <c r="AB22" i="19"/>
  <c r="J22" i="19"/>
  <c r="AH32" i="19"/>
  <c r="AH22" i="19"/>
  <c r="V22" i="19"/>
  <c r="P22" i="19"/>
  <c r="P16" i="19"/>
  <c r="P6" i="19"/>
  <c r="AH6" i="19"/>
  <c r="V46" i="19"/>
  <c r="AH46" i="19"/>
  <c r="AB46" i="19"/>
  <c r="J6" i="19"/>
  <c r="P46" i="19"/>
  <c r="AB26" i="19"/>
  <c r="AB16" i="19"/>
  <c r="AH26" i="19"/>
  <c r="J16" i="19"/>
  <c r="V26" i="19"/>
  <c r="AH36" i="19"/>
  <c r="P26" i="19"/>
  <c r="V16" i="19"/>
  <c r="V36" i="19"/>
  <c r="AC24" i="1"/>
  <c r="AH16" i="19"/>
  <c r="V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C45" i="1"/>
  <c r="AB25" i="19"/>
  <c r="AH35" i="19"/>
  <c r="P55" i="19"/>
  <c r="J45" i="19"/>
  <c r="P25" i="19"/>
  <c r="P35" i="19"/>
  <c r="V55" i="19"/>
  <c r="K39" i="19" l="1"/>
  <c r="W9" i="19"/>
  <c r="AC9" i="19"/>
  <c r="Q39" i="19"/>
  <c r="AI39" i="19"/>
  <c r="AC29" i="19"/>
  <c r="Q9" i="19"/>
  <c r="W29" i="19"/>
  <c r="Q49" i="19"/>
  <c r="Q29" i="19"/>
  <c r="K9" i="19"/>
  <c r="AC49" i="19"/>
  <c r="W49" i="19"/>
  <c r="W19" i="19"/>
  <c r="AI19" i="19"/>
  <c r="AC39" i="19"/>
  <c r="AC19" i="19"/>
  <c r="AI9" i="19"/>
  <c r="AC30" i="1"/>
  <c r="K29" i="19"/>
  <c r="K19" i="19"/>
  <c r="AI29" i="19"/>
  <c r="K49" i="19"/>
  <c r="AI49" i="19"/>
  <c r="W39" i="19"/>
  <c r="Q19" i="19"/>
  <c r="AB39" i="19"/>
  <c r="AB9" i="19"/>
  <c r="J29" i="19"/>
  <c r="AB49" i="19"/>
  <c r="P19" i="19"/>
  <c r="AH19" i="19"/>
  <c r="AH49" i="19"/>
  <c r="V39" i="19"/>
  <c r="J19" i="19"/>
  <c r="AB29" i="19"/>
  <c r="V49" i="19"/>
  <c r="AH29" i="19"/>
  <c r="AC29" i="1"/>
  <c r="P39" i="19"/>
  <c r="V9" i="19"/>
  <c r="V29" i="19"/>
  <c r="P49" i="19"/>
  <c r="AH39" i="19"/>
  <c r="AB19" i="19"/>
  <c r="J39" i="19"/>
  <c r="P9" i="19"/>
  <c r="AH9" i="19"/>
  <c r="P29" i="19"/>
  <c r="J49" i="19"/>
  <c r="V19" i="19"/>
  <c r="J9"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<sst xmlns="http://schemas.openxmlformats.org/spreadsheetml/2006/main" count="497" uniqueCount="337">
  <si>
    <t>Matriz Mapa de Riesgos</t>
  </si>
  <si>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</si>
  <si>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</si>
  <si>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</si>
  <si>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</si>
  <si>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</si>
  <si>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</si>
  <si>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</si>
  <si>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</si>
  <si>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</si>
  <si>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</si>
  <si>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</si>
  <si>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</si>
  <si>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</si>
  <si>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</si>
  <si>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</si>
  <si>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</si>
  <si>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</si>
  <si>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</si>
  <si>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</si>
  <si>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</si>
  <si>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</si>
  <si>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</si>
  <si>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</si>
  <si>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</si>
  <si>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</si>
  <si>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</si>
  <si>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</si>
  <si>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</si>
  <si>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</si>
  <si>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</si>
  <si>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</si>
  <si>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</si>
  <si>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</si>
  <si>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</si>
  <si>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</si>
  <si>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</si>
  <si>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</si>
  <si>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</si>
  <si>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</si>
  <si>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</si>
  <si>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</si>
  <si>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</si>
  <si>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</si>
  <si>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</si>
  <si>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</si>
  <si>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</si>
  <si>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</si>
  <si>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</si>
  <si>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</si>
  <si>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</si>
  <si>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</si>
  <si>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</si>
  <si>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</si>
  <si>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</si>
  <si>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</si>
  <si>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</si>
  <si>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</si>
  <si>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</si>
  <si>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</si>
  <si>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</si>
  <si>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</si>
  <si>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</si>
  <si>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</si>
  <si>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</si>
  <si>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</si>
  <si>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</si>
  <si>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</si>
  <si>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</si>
  <si>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</si>
  <si>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</si>
  <si>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</si>
  <si>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</si>
  <si>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</si>
  <si>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</si>
  <si>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</si>
  <si>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</si>
  <si>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</si>
  <si>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</si>
  <si>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</si>
  <si>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Implementación</t>
  </si>
  <si>
    <t>Fecha Seguimiento</t>
  </si>
  <si>
    <t>Seguimiento</t>
  </si>
  <si>
    <t>Tipo</t>
  </si>
  <si>
    <t>Implementación</t>
  </si>
  <si>
    <t>Calificación</t>
  </si>
  <si>
    <t>Documentación</t>
  </si>
  <si>
    <t>Frecuencia</t>
  </si>
  <si>
    <t>Evidencia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</si>
  <si>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</si>
  <si>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</si>
  <si>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</si>
  <si>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</si>
  <si>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</si>
  <si>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</si>
  <si>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</si>
  <si>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</si>
  <si>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</si>
  <si>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</si>
  <si>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</si>
  <si>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</si>
  <si>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</si>
  <si>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</si>
  <si>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</si>
  <si>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</si>
  <si>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</si>
  <si>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</si>
  <si>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</si>
  <si>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</si>
  <si>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</si>
  <si>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</si>
  <si>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</si>
  <si>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</si>
  <si>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</si>
  <si>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</si>
  <si>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</si>
  <si>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</si>
  <si>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</si>
  <si>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</si>
  <si>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</si>
  <si>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</si>
  <si>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</si>
  <si>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</si>
  <si>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</si>
  <si>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</si>
  <si>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</si>
  <si>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</si>
  <si>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</si>
  <si>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</si>
  <si>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</si>
  <si>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</si>
  <si>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</si>
  <si>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</si>
  <si>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</si>
  <si>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</si>
  <si>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</si>
  <si>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</si>
  <si>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</si>
  <si>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</si>
  <si>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</si>
  <si>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</si>
  <si>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</si>
  <si>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</si>
  <si>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</si>
  <si>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</si>
  <si>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</si>
  <si>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</si>
  <si>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</si>
  <si>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</si>
  <si>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</si>
  <si>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</si>
  <si>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</si>
  <si>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</si>
  <si>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</si>
  <si>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</si>
  <si>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</si>
  <si>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</si>
  <si>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</si>
  <si>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</si>
  <si>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</si>
  <si>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</si>
  <si>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</si>
  <si>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</si>
  <si>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</si>
  <si>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</si>
  <si>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</si>
  <si>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</si>
  <si>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</si>
  <si>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</si>
  <si>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</si>
  <si>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</si>
  <si>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</si>
  <si>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</si>
  <si>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</si>
  <si>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</si>
  <si>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</si>
  <si>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</si>
  <si>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</si>
  <si>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</si>
  <si>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</si>
  <si>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Continua</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</si>
  <si>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</si>
  <si>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</si>
  <si>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</si>
  <si>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</si>
  <si>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</si>
  <si>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</si>
  <si>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</si>
  <si>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</si>
  <si>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</si>
  <si>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</si>
  <si>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</si>
  <si>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</si>
  <si>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</si>
  <si>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Económico y Reputacional</t>
  </si>
  <si>
    <t>Reducir (mitigar)</t>
  </si>
  <si>
    <t>Plan de accion (solo para la opción reducir)</t>
  </si>
  <si>
    <t>Finalizado</t>
  </si>
  <si>
    <t>En curso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</si>
  <si>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</si>
  <si>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</si>
  <si>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</si>
  <si>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</si>
  <si>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</si>
  <si>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</si>
  <si>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</si>
  <si>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</si>
  <si>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</si>
  <si>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</si>
  <si>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</si>
  <si>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t>
  </si>
  <si>
    <t xml:space="preserve">ANÁLISIS DOFA        </t>
  </si>
  <si>
    <t>Origen Interno</t>
  </si>
  <si>
    <t>Fortalezas</t>
  </si>
  <si>
    <t>Debilidades</t>
  </si>
  <si>
    <t>Origen Externo</t>
  </si>
  <si>
    <t>Oportunidades</t>
  </si>
  <si>
    <t>Amenazas</t>
  </si>
  <si>
    <r>
      <t xml:space="preserve">El archivo contiene las siguientes hojas:
- Instructivo
-   </t>
    </r>
    <r>
      <rPr>
        <b/>
        <sz val="11"/>
        <rFont val="Arial Narrow"/>
        <family val="2"/>
      </rPr>
      <t xml:space="preserve">Hoja 1 Contexto del proceso:  </t>
    </r>
    <r>
      <rPr>
        <sz val="11"/>
        <rFont val="Arial Narrow"/>
        <family val="2"/>
      </rPr>
      <t xml:space="preserve">Diligenciar analisis DOFA para cada proceso </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</si>
  <si>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Código</t>
  </si>
  <si>
    <t>PLE-PIN-F001</t>
  </si>
  <si>
    <t>Versión</t>
  </si>
  <si>
    <t>Vigencia</t>
  </si>
  <si>
    <t>Caso HOLA:</t>
  </si>
  <si>
    <t>CONTROL DE CAMBIOS MATRIZ DE RIESGOS</t>
  </si>
  <si>
    <t>VERSIÓN</t>
  </si>
  <si>
    <t>FECHA</t>
  </si>
  <si>
    <t>DESCRIPCIÓN DE LA MODIFICACIÓN</t>
  </si>
  <si>
    <t>NOTA: Para el diligenciamiento de esta matriz tenga en cuenta el manual "Gestión del Riesgo" PLE-PIN-M001</t>
  </si>
  <si>
    <t>MATRIZ MAPA DE RIESGO</t>
  </si>
  <si>
    <t>Ambiental</t>
  </si>
  <si>
    <t>Daños Activos Físicos</t>
  </si>
  <si>
    <t>Ejecución y Administración de Procesos</t>
  </si>
  <si>
    <t>Fallas Tecnológicas</t>
  </si>
  <si>
    <t>Usuarios, productos y prácticas organizacionales</t>
  </si>
  <si>
    <t>Ambientales</t>
  </si>
  <si>
    <t>Afectación Ambiental</t>
  </si>
  <si>
    <t>Entre 1-12.500</t>
  </si>
  <si>
    <t>&gt; 12.500 - 25.000</t>
  </si>
  <si>
    <t>&gt; 25.000 – 125.000</t>
  </si>
  <si>
    <t>&gt; 125.000 – 500.000</t>
  </si>
  <si>
    <t>El riesgo afecta la imagen de la entidad internamente, de conocimiento general, nivel interno, de junta directiva y accionistas y/o de provedores</t>
  </si>
  <si>
    <t>&gt; 500.000 – 1.000.000</t>
  </si>
  <si>
    <t>No.</t>
  </si>
  <si>
    <t>CRITERIOS DE VALORACIÓN</t>
  </si>
  <si>
    <t>ESCALA DE VALOR</t>
  </si>
  <si>
    <t>Se refiere al área de influencia del impacto en relación con el entorno donde se genera.</t>
  </si>
  <si>
    <t>Puntual 1</t>
  </si>
  <si>
    <t>El impacto queda confinado dentro del área donde se genera.</t>
  </si>
  <si>
    <t>Local 5</t>
  </si>
  <si>
    <t>Trasciende los límites del área de influencia.</t>
  </si>
  <si>
    <t>Regional o nacional 10</t>
  </si>
  <si>
    <t>Tiene consecuencias a nivel regional o trasciende los límites del Distrito.</t>
  </si>
  <si>
    <t>Se refiere a la posibilidad que se dé el impacto y está relacionada con la "REGULARIDAD" (Normal, anormal o</t>
  </si>
  <si>
    <t>de emergencia).</t>
  </si>
  <si>
    <t>Baja 1</t>
  </si>
  <si>
    <t>Existe una posibilidad muy remota de que suceda</t>
  </si>
  <si>
    <t>Media 5</t>
  </si>
  <si>
    <t>Existe una posibilidad media de que suceda.</t>
  </si>
  <si>
    <t>Alta 10</t>
  </si>
  <si>
    <t>Es muy posible que suceda en cualquier momento.</t>
  </si>
  <si>
    <t>Duración</t>
  </si>
  <si>
    <t>Se refiere al tiempo que permanecerá el efecto positivo o negativo del impacto en el ambiente.</t>
  </si>
  <si>
    <t>Breve 1</t>
  </si>
  <si>
    <t>Alteración del recurso durante un lapso muy pequeño.</t>
  </si>
  <si>
    <t>Temporal 5</t>
  </si>
  <si>
    <t>Alteración del recurso durante un lapso moderado.</t>
  </si>
  <si>
    <t>Permanente 10</t>
  </si>
  <si>
    <t>Alteración del recurso permanente en el tiempo</t>
  </si>
  <si>
    <t>Recuperabilidad</t>
  </si>
  <si>
    <t>Se refiere a la posibilidad de reconstrucción, total o parcial del recurso afectado por el impacto.</t>
  </si>
  <si>
    <t>Reversible 1</t>
  </si>
  <si>
    <t>Recuperable 5</t>
  </si>
  <si>
    <t>Irrecuperable /irreversible 10</t>
  </si>
  <si>
    <t>El/los recursos afectados no retornan a las condiciones originales a través de ningún medio.</t>
  </si>
  <si>
    <t>Cantidad</t>
  </si>
  <si>
    <t>Se refiere a la magnitud del impacto, es decir, la severidad con la que ocurrirá la afectación y/o riesgo sobre el recurso.</t>
  </si>
  <si>
    <t>Alteración mínima del recurso. Existe bajo potencial de riesgo sobre el recurso o el ambiente.</t>
  </si>
  <si>
    <t>Moderada 5</t>
  </si>
  <si>
    <t>Alteración moderada del recurso. Tiene un potencial de riesgo medio sobre el recurso o el ambiente.</t>
  </si>
  <si>
    <t>Alteración Significativa del recurso. Tiene efectos importantes sobre el recurso o el ambiente.</t>
  </si>
  <si>
    <t>Normatividad</t>
  </si>
  <si>
    <t>Hace referencia a la normatividad ambiental aplicable    al    aspecto    y/o    el    impacto ambiental.</t>
  </si>
  <si>
    <t>No tiene normatividad relacionada.</t>
  </si>
  <si>
    <t>N/A</t>
  </si>
  <si>
    <t>Tiene normatividad relacionada.</t>
  </si>
  <si>
    <t>Se puede disminuir el efecto a través de medidas de control hasta un estándar determinado.</t>
  </si>
  <si>
    <t>Puede eliminarse el efecto por medio de actividades humanas tendientes a restablecer las condiciones originales del recurso.</t>
  </si>
  <si>
    <t>Creación del documento de acuerdo a la nueva estructura organizacional de la Entidad (Decreto 411 de 2016), el nuevo marco estratégico (Resolución 162 de 2017) y el nuevo modelo de operación por procesos, en la anterior estructura organizacional, este proceso hacía parte del proceso Gestión y Adquisición de Servicios. Quedan obsoletos los riesgos de gestión documental identificados en la matriz de riesgos del antiguo proceso denominado Gestión y Adquisición de Recursos</t>
  </si>
  <si>
    <t>Se actualiza la matriz de riesgos con ocasión a los lineamientos emitidos por el Departamento Administrativo de la Función Pública - DAFP y versión 4 del Manual de Riesgos. se unificaron los riesgos R1 y R2 toda vez que tenían elementos en común  se ajusta los riesgos R3-R4 y  R5  y se adecuaron los controles respectivos.</t>
  </si>
  <si>
    <t>Se actualiza la matriz de riesgos con ocasión a la emergencia sanitaria COVID 19 ingresa el R7 a la matriz con el respectivo control, se ajusta las evidencias del control de los  riesgos y evaluación del diseño del control.</t>
  </si>
  <si>
    <t>Se actualizan los riesgos R1 y R2, modificando eventos, causas y consecuencias y ajustando el control establecido, de acuerdo a la actualidad del proceso. Se adiciona el riesgo R3 relacionado con biodeterioro.   El riesgo relacionado con el “incorrecto direccionamiento al destinatario”, se decidió, en conjunto con el grupo de atención a la ciudadanía, retirarlo de la matriz. “El procedimiento de recepción de solicitudes ciudadanas se realiza a través de los CDI y la entrega de respuesta a la ciudadanía por medio de correo certificado que esta tercerizado con el operador de correo 472”.</t>
  </si>
  <si>
    <t>Se realiza actualización de matriz de riesgos de gestión de acuerdo con los lineamientos establecidos en el manual de gestión del riesgo PLE-PIN-M001 versión 6. Se realizó a través de mesa de trabajo a la que asistió el promotor de mejora con el acompañamiento técnico del grupo de riesgos de la Oficina Asesora de Planeación. Se aprobó bajo caso HOLA N. XXXXXXXXXXXX</t>
  </si>
  <si>
    <t>F1. El personal del grupo de gestión documental, tiene competencias y capacidades técnicas suficientes para el desarrollo de las labores</t>
  </si>
  <si>
    <t>F2. Se cuenta con los insumos físicos para el almacenamiento de los documentos</t>
  </si>
  <si>
    <t>F3. Se cuenta con los manuales y procedimientos necesarios para adelantar las labores de gestión documental</t>
  </si>
  <si>
    <t>F4. Se cuenta con formatos vigentes que cumplen con los parámetros básicos para cumplir con la gestión documental</t>
  </si>
  <si>
    <t>F5. El grupo de gestión documental realiza las actividades en cumplimiento de la ley 1712 de 2014</t>
  </si>
  <si>
    <t>F5. El grupo de gestión documental apoya a las dependencias que requieren personal para la ejecución de las labores archivísticas</t>
  </si>
  <si>
    <t xml:space="preserve">D1. No se cuenta con el suficiente personal profesional </t>
  </si>
  <si>
    <t>D2. Alta rotación del personal del grupo de gestión documental</t>
  </si>
  <si>
    <t>D3. No todas las dependecias cuentan con buenas condiciones de almacenamiento de la documentación.</t>
  </si>
  <si>
    <t>D4. El archivo central de la entidad no cuenta con el suficiente apoyo por parte de las alcadías locales</t>
  </si>
  <si>
    <t>D5. Para el cumplimiento de los planes en los que está involucrado el grupo de gestión documental, no se tiene continuidad para el desarrollo de las actividades programadas</t>
  </si>
  <si>
    <t>D5. El personal auxiliar que se contrata, en ocasiones no cuenta con la experiencia y conocimientos necesarios para las actividades de gestión documental</t>
  </si>
  <si>
    <t>D6. La entidad cuenta con el modelo de requisitos para la gestión de documentación electrónica</t>
  </si>
  <si>
    <t>O1. Dado que se construirá una nueva instalación para el archivo central, se podrán conservar de mejor manera los documentos y se reanudaran las transferencias</t>
  </si>
  <si>
    <t>A1. Frente a la emergencia sanitaria por el Covid - 19, que llevó a implementar el trabajo en casa, no se tiene claro que documentación va a ser necesaria mantener impresa cuando termine la contingencia.</t>
  </si>
  <si>
    <t>Gestión del Patrimonio Documental</t>
  </si>
  <si>
    <t>Emitir lineamientos para ejecutar las diferentes labores y actividades correspondientes a la Gestión, trámite, Organización, Transferencia, Disposición y Preservación de los documentos que se produzcan o ingresen a la entidad con el fin de proteger su patrimonio y su memoria histórica.</t>
  </si>
  <si>
    <t>El proceso de Gestión del Patrimonio Documental es trasversal a todas las dependencias de la Secretaría Distrital de Gobierno. Inicia con la recepción de la documentación que llega a la entidad por cualquier medio y en cualquier soporte; termina con la implementación de la decisión de disposición final: eliminación, selección o conservación total.</t>
  </si>
  <si>
    <t>Insuficiente capacidad instalada del equipo de Gestión del Patrimonio Documental para realizar los controles que garanticen la actualización de instrumentos</t>
  </si>
  <si>
    <t>Inadecuada recolección, análisis y consolidación de información para la elaboración del diagnóstico integral de la Gestión Documental de la Secretaría Distrital de Gobierno</t>
  </si>
  <si>
    <t>No se identifican a tiempo las modificaciones de los documentos producidos por los diferentes procesos y/o dependencias de la SDG y no se actualizan los instrumentos archivisticos</t>
  </si>
  <si>
    <t>Posibilidad de afectación reputacional por la inoportuna actualización de los instrumentos archivisticos en que se soporta el proceso documental en la entidad</t>
  </si>
  <si>
    <t xml:space="preserve">El profesional designado por el Director Adminstrativo identifica las necesidades y los requerimientos de gestión documental de la SDG, se realizarán durante el primer trimestre de cada vigencia, a fin de evaluar la pertinencia de actualización de los instrumentos archivísticos de la entidad, considerando los siguientes elementos:  recomendaciones, acciones de mejora, requerimientos y necesidades en aspectos administrativos, archivísticos, conservación, infraestructura y tecnología; así, como la validación del cumplimiento normativo, identificación de aspectos críticos, debilidades, fortalezas, oportunidades y amenazas de la entidad entorno al cumplimiento de la función archivística. En caso de identificar otras necesidades o requerimientos se elaborará un plan de acción orientado a la actualización de los mismos cuando sea  necesario. Como evidencia de estas acciones queda una evidencia de reunión. </t>
  </si>
  <si>
    <t>Insuficiencia de cumplimiento por parte de los servidores de las distintas dependencias de los protoclos establecidos para el manejo archivistico</t>
  </si>
  <si>
    <t>Inventarios documentales que no corresponden a la verdadera producción documental</t>
  </si>
  <si>
    <t>Probabilidad de afectación reputacional por la dificultad para garantizar de forma precisa la recuperación y el acceso a la información y su consulta.</t>
  </si>
  <si>
    <t>El referente documental de cada dependencia, anualmente actualiza el inventario documental en concordancia con la TRD aprobada para garantizar la adecuada conservación y consulta. En caso de no realizar el inventario  en forma adecuada y oportuna  el jefe de la dependencia corroborará el cumplimiento del diligenciamiento del formato FUID GDI-GPD-F001. Como evidencia de la ejecución del control quedan: el inventario documental de la dependencia, evidencias de reunión e informes del referente documental.</t>
  </si>
  <si>
    <t>No se cuenta con un sistema integrado de conservación de los documentos y los recursos que garanticen la adecuada conservación.</t>
  </si>
  <si>
    <t xml:space="preserve">Falta de inventarios debidamente diligenciados  </t>
  </si>
  <si>
    <t>Insuficiencia en la aplicación de controles que garenticen la integridad del patrimonio documental de la entidad frente al biodeterioro</t>
  </si>
  <si>
    <t>Posibilidad de afectación reputacional por el biodeterioro del patrimonio documental de la entidad</t>
  </si>
  <si>
    <t xml:space="preserve">El Profesional designado de la Dirección administrativa realiza y/o actualiza, cada dos vigencias, el diagnóstico de los factores de deterioro biológico y físico químico en las diferentes fases del ciclo vital del documento y de estado de conservación de la documentación, diligenciando el formato de Evaluación de condiciones locativas, código GDI-GPD-F006 y el Formato de Diagnóstico Documental, código GDI-GPD-F007, al igual que  elaborar o actualizar el Plan de Conservación Documental  conforme a lo establecido en el acuerdo 006 de 2014 del AGN, el cual debe ser presentado ante el comité definido por la SDG para su respectiva aprobación al incio de cada vigencia, en caso de no contar con los correctivos para la conservación de la documentación será informado en sesiones del Comité con el fin de que se tomen las medidas requeridas , como evidencia de la ejecución del control quedan los documentos realizados y aprobados en comité. </t>
  </si>
  <si>
    <t>Debilidad en la ejecución de seguimiento al  tratamiento y/o disposición final de los residuos generados en el desarrollo de las actividades del proceso de gestión del patrimonio documental.</t>
  </si>
  <si>
    <t>Posibilidad de afectación ambiental por la gestión inadecuada de residuos sólidos aprovechables, provenientes de eliminación documental.</t>
  </si>
  <si>
    <t>Leve</t>
  </si>
  <si>
    <t>El profesional ambiental, anualmente desarrolla jornadas de socialización para la Implementación de las actividades establecidas en las instrucciones de gestión integral de residuos aprovechables y no aprovechables, así como el Procedimiento de  Disposición de Documentos  a los responsables de la manipulación de este tipo de residuos. En caso de no desarrollar las jornadas de socializacion programadas el profesional ambiental deberá reprogramarlas y reportarlas, como evidencia de la ejecución del control queda el registro de socialización.</t>
  </si>
  <si>
    <t>El profesional ambiental, anualmente realiza inspecciones ambientales  verificando la implementación de las actividades establecidas en las instrucciones de gestión integral de residuos aprovechables y no aprovechables, por parte de los responsables de la manipulación de este tipo de residuos. En caso de no cumplir con la implementación de las actividades informará al lider del proceso a fin de que se tomen las medidas del caso. Como evidencia de la ejecución del control queda el formato de inspección ambiental realizada y las comunicaciones oficiales.</t>
  </si>
  <si>
    <t>Inadecuada manipulación del expediente</t>
  </si>
  <si>
    <t>Teletrabajo - Trabajo en casa a causa de la emergencia sanitaria</t>
  </si>
  <si>
    <t>Incumplimiento a los lineamientos establecidos en el procedimiento aplicable del sistema de gestión</t>
  </si>
  <si>
    <t xml:space="preserve">Posibilidad de afectación reputacional Pérdida o deterioro de documentos por el manejo de expedientes fuera de las instalaciones de la SDG </t>
  </si>
  <si>
    <t>El referente documental designado por el jefe de cada dependencia, deberá diligenciar el formato GDI-GPD-F018 cada vez que se solicite el retiro de expedientes o documentos, registrando la información que éste contiene, igualmente al momento de su reintegro deberá verificar la integridad documental del expediente entregrado; en caso de que se presente alguna novedad se deberá informar al jefe de la dependencia y este tomará las medidas necesarias; en este caso quedará como evidencia del control el formato diligenciado. En lo que respecta a la manipulacion de los expedientes que se soliciten para retirar de la entidad, se deberán tomar medidas de bioseguidad tanto para su retiro como para su retorno, tales como que el expediente se conserve en bolsas plásticas y que quienes reciben y entregen usen los elementos de protección personal requeridos tales como tapabocas y guantes con el fin de evitar la contaminación de los expedientes y/o documentos y por ende de quienes los manipulen. Finalmente en caso de perdida o deterioro del expediente y /o documentos, se deberá consultar el instructivo  para la pérdida y reconstrucción de los mismos GDI-GPD-IN012</t>
  </si>
  <si>
    <t>Desconocimiento de los lineamientos  establecidos para  la  gestión adecuada de residuos sólidos.</t>
  </si>
  <si>
    <t>27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</si>
</sst>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8"/>
      <color indexed="60"/>
      <name val="Arial"/>
      <family val="2"/>
    </font>
    <font>
      <b/>
      <sz val="48"/>
      <color indexed="60"/>
      <name val="Arial"/>
      <family val="2"/>
    </font>
    <font>
      <b/>
      <sz val="10"/>
      <name val="Arial"/>
      <family val="2"/>
    </font>
    <font>
      <b/>
      <sz val="12"/>
      <color indexed="16"/>
      <name val="Arial"/>
      <family val="2"/>
    </font>
    <font>
      <b/>
      <sz val="12"/>
      <color rgb="FFA6A6A6"/>
      <name val="Titillium Web"/>
    </font>
    <font>
      <b/>
      <sz val="20"/>
      <color rgb="FFC00000"/>
      <name val="Arial Narrow"/>
      <family val="2"/>
    </font>
    <font>
      <sz val="11"/>
      <color rgb="FF000000"/>
      <name val="Calibri"/>
      <family val="2"/>
      <scheme val="minor"/>
    </font>
    <font>
      <b/>
      <sz val="48"/>
      <color rgb="FF993300"/>
      <name val="Arial"/>
      <family val="2"/>
    </font>
    <font>
      <b/>
      <sz val="18"/>
      <name val="Arial"/>
      <family val="2"/>
    </font>
    <font>
      <b/>
      <sz val="12"/>
      <name val="Arial"/>
      <family val="2"/>
    </font>
    <font>
      <sz val="10"/>
      <color rgb="FF000000"/>
      <name val="Arial"/>
      <family val="2"/>
    </font>
    <font>
      <sz val="12"/>
      <name val="Arial"/>
      <family val="2"/>
    </font>
    <font>
      <b/>
      <sz val="11"/>
      <color rgb="FF800000"/>
      <name val="Arial"/>
      <family val="2"/>
    </font>
    <font>
      <sz val="11"/>
      <color rgb="FF000000"/>
      <name val="Arial"/>
      <family val="2"/>
    </font>
    <font>
      <b/>
      <sz val="11"/>
      <color rgb="FF000000"/>
      <name val="Arial"/>
      <family val="2"/>
    </font>
    <font>
      <sz val="10"/>
      <color rgb="FFFFFFFF"/>
      <name val="Arial"/>
      <family val="2"/>
    </font>
    <font>
      <b/>
      <sz val="12"/>
      <color rgb="FFFF0000"/>
      <name val="Arial"/>
      <family val="2"/>
    </font>
    <font>
      <b/>
      <sz val="9"/>
      <color rgb="FFFFFFFF"/>
      <name val="Arial"/>
      <family val="2"/>
    </font>
    <font>
      <b/>
      <sz val="11"/>
      <name val="Arial"/>
      <family val="2"/>
    </font>
    <font>
      <b/>
      <i/>
      <sz val="14"/>
      <color rgb="FFA6A6A6"/>
      <name val="Arial"/>
      <family val="2"/>
    </font>
    <font>
      <b/>
      <sz val="28"/>
      <color rgb="FF993300"/>
      <name val="Arial"/>
      <family val="2"/>
    </font>
    <font>
      <sz val="12"/>
      <color theme="1"/>
      <name val="Garamond"/>
      <family val="1"/>
    </font>
    <font>
      <sz val="12"/>
      <color rgb="FF000000"/>
      <name val="Garamond"/>
      <family val="1"/>
    </font>
  </fonts>
  <fills count="2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
      <patternFill patternType="solid">
        <fgColor theme="0"/>
        <bgColor rgb="FF000000"/>
      </patternFill>
    </fill>
    <fill>
      <patternFill patternType="solid">
        <fgColor rgb="FFFFFF00"/>
        <bgColor rgb="FF000000"/>
      </patternFill>
    </fill>
    <fill>
      <patternFill patternType="solid">
        <fgColor rgb="FFB8CCE4"/>
        <bgColor indexed="64"/>
      </patternFill>
    </fill>
    <fill>
      <patternFill patternType="solid">
        <fgColor rgb="FFDBE5F1"/>
        <bgColor indexed="64"/>
      </patternFill>
    </fill>
    <fill>
      <patternFill patternType="solid">
        <fgColor rgb="FFFF9900"/>
        <bgColor indexed="64"/>
      </patternFill>
    </fill>
  </fills>
  <borders count="90">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top style="thin">
        <color rgb="FFFFFFFF"/>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4F81BD"/>
      </left>
      <right style="medium">
        <color rgb="FF4F81BD"/>
      </right>
      <top style="medium">
        <color rgb="FF4F81BD"/>
      </top>
      <bottom style="medium">
        <color rgb="FF4F81BD"/>
      </bottom>
      <diagonal/>
    </border>
    <border>
      <left/>
      <right style="medium">
        <color rgb="FF4F81BD"/>
      </right>
      <top style="medium">
        <color rgb="FF4F81BD"/>
      </top>
      <bottom style="medium">
        <color rgb="FF4F81BD"/>
      </bottom>
      <diagonal/>
    </border>
    <border>
      <left/>
      <right/>
      <top style="medium">
        <color rgb="FF4F81BD"/>
      </top>
      <bottom style="medium">
        <color rgb="FF4F81BD"/>
      </bottom>
      <diagonal/>
    </border>
    <border>
      <left style="medium">
        <color rgb="FF4F81BD"/>
      </left>
      <right style="medium">
        <color rgb="FF4F81BD"/>
      </right>
      <top/>
      <bottom style="medium">
        <color rgb="FF4F81BD"/>
      </bottom>
      <diagonal/>
    </border>
    <border>
      <left style="medium">
        <color rgb="FF4F81BD"/>
      </left>
      <right style="medium">
        <color rgb="FF4F81BD"/>
      </right>
      <top/>
      <bottom/>
      <diagonal/>
    </border>
    <border>
      <left/>
      <right style="medium">
        <color rgb="FF4F81BD"/>
      </right>
      <top/>
      <bottom style="medium">
        <color rgb="FF4F81BD"/>
      </bottom>
      <diagonal/>
    </border>
    <border>
      <left/>
      <right style="medium">
        <color rgb="FF4F81BD"/>
      </right>
      <top/>
      <bottom/>
      <diagonal/>
    </border>
    <border>
      <left style="medium">
        <color rgb="FF4F81BD"/>
      </left>
      <right/>
      <top style="medium">
        <color rgb="FF4F81BD"/>
      </top>
      <bottom style="medium">
        <color rgb="FF4F81BD"/>
      </bottom>
      <diagonal/>
    </border>
    <border>
      <left style="medium">
        <color rgb="FF4F81BD"/>
      </left>
      <right style="medium">
        <color rgb="FF4F81BD"/>
      </right>
      <top style="medium">
        <color rgb="FF4F81BD"/>
      </top>
      <bottom/>
      <diagonal/>
    </border>
    <border>
      <left/>
      <right style="medium">
        <color rgb="FF4F81BD"/>
      </right>
      <top style="medium">
        <color rgb="FF4F81BD"/>
      </top>
      <bottom/>
      <diagonal/>
    </border>
    <border>
      <left/>
      <right/>
      <top style="medium">
        <color rgb="FF4F81BD"/>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17">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4" fillId="3" borderId="0" xfId="0" applyFont="1" applyFill="1" applyAlignment="1">
      <alignment horizontal="left" vertical="center" wrapText="1"/>
    </xf>
    <xf numFmtId="0" fontId="55"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3"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1" fillId="3" borderId="14" xfId="2" quotePrefix="1" applyFont="1" applyFill="1" applyBorder="1" applyAlignment="1">
      <alignment horizontal="left" vertical="top" wrapText="1"/>
    </xf>
    <xf numFmtId="0" fontId="52" fillId="3" borderId="0" xfId="2" quotePrefix="1" applyFont="1" applyFill="1" applyAlignment="1">
      <alignment horizontal="left" vertical="top" wrapText="1"/>
    </xf>
    <xf numFmtId="0" fontId="52"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49" fontId="58" fillId="16" borderId="0" xfId="0" applyNumberFormat="1" applyFont="1" applyFill="1" applyAlignment="1" applyProtection="1">
      <alignment horizontal="center" vertical="center" wrapText="1"/>
      <protection locked="0"/>
    </xf>
    <xf numFmtId="0" fontId="60" fillId="18" borderId="33" xfId="0" applyFont="1" applyFill="1" applyBorder="1" applyAlignment="1" applyProtection="1">
      <alignment horizontal="center" vertical="center" wrapText="1"/>
      <protection locked="0"/>
    </xf>
    <xf numFmtId="49" fontId="65" fillId="19" borderId="0" xfId="0" applyNumberFormat="1" applyFont="1" applyFill="1" applyAlignment="1" applyProtection="1">
      <alignment vertical="center" wrapText="1"/>
      <protection locked="0"/>
    </xf>
    <xf numFmtId="0" fontId="63" fillId="19" borderId="0" xfId="0" applyFont="1" applyFill="1" applyProtection="1">
      <protection locked="0"/>
    </xf>
    <xf numFmtId="0" fontId="66" fillId="19" borderId="0" xfId="0" applyFont="1" applyFill="1" applyAlignment="1" applyProtection="1">
      <alignment horizontal="left" vertical="center" wrapText="1"/>
      <protection locked="0"/>
    </xf>
    <xf numFmtId="0" fontId="67" fillId="19" borderId="0" xfId="0" applyFont="1" applyFill="1" applyAlignment="1" applyProtection="1">
      <alignment vertical="center" wrapText="1"/>
      <protection locked="0"/>
    </xf>
    <xf numFmtId="0" fontId="67" fillId="19" borderId="0" xfId="0" applyFont="1" applyFill="1" applyProtection="1">
      <protection locked="0"/>
    </xf>
    <xf numFmtId="0" fontId="67" fillId="19" borderId="0" xfId="0" applyFont="1" applyFill="1" applyAlignment="1" applyProtection="1">
      <alignment horizontal="center"/>
      <protection locked="0"/>
    </xf>
    <xf numFmtId="0" fontId="63" fillId="19" borderId="0" xfId="0" applyFont="1" applyFill="1" applyAlignment="1" applyProtection="1">
      <alignment horizontal="center"/>
      <protection locked="0"/>
    </xf>
    <xf numFmtId="0" fontId="68" fillId="0" borderId="69" xfId="0" applyFont="1" applyBorder="1" applyAlignment="1" applyProtection="1">
      <alignment horizontal="right"/>
      <protection locked="0"/>
    </xf>
    <xf numFmtId="0" fontId="70" fillId="19" borderId="0" xfId="0" applyFont="1" applyFill="1" applyAlignment="1" applyProtection="1">
      <alignment horizontal="center" vertical="center" wrapText="1"/>
      <protection locked="0"/>
    </xf>
    <xf numFmtId="14" fontId="68" fillId="0" borderId="69" xfId="0" applyNumberFormat="1" applyFont="1" applyBorder="1" applyAlignment="1" applyProtection="1">
      <alignment horizontal="right"/>
      <protection locked="0"/>
    </xf>
    <xf numFmtId="0" fontId="70" fillId="19" borderId="0" xfId="0" applyFont="1" applyFill="1" applyAlignment="1" applyProtection="1">
      <alignment vertical="center" wrapText="1"/>
      <protection locked="0"/>
    </xf>
    <xf numFmtId="0" fontId="71" fillId="19" borderId="0" xfId="0" applyFont="1" applyFill="1" applyAlignment="1" applyProtection="1">
      <alignment vertical="center" wrapText="1"/>
      <protection locked="0"/>
    </xf>
    <xf numFmtId="0" fontId="66" fillId="19" borderId="0" xfId="0" applyFont="1" applyFill="1" applyAlignment="1" applyProtection="1">
      <alignment horizontal="center" vertical="center" wrapText="1"/>
      <protection locked="0"/>
    </xf>
    <xf numFmtId="0" fontId="63" fillId="19" borderId="0" xfId="0" applyFont="1" applyFill="1" applyAlignment="1" applyProtection="1">
      <alignment horizontal="center" vertical="center"/>
      <protection locked="0"/>
    </xf>
    <xf numFmtId="0" fontId="67" fillId="19" borderId="0" xfId="0" applyFont="1" applyFill="1" applyAlignment="1" applyProtection="1">
      <alignment horizontal="center" vertical="center" wrapText="1"/>
      <protection locked="0"/>
    </xf>
    <xf numFmtId="0" fontId="67" fillId="19" borderId="0" xfId="0" applyFont="1" applyFill="1" applyAlignment="1" applyProtection="1">
      <alignment horizontal="center" vertical="center"/>
      <protection locked="0"/>
    </xf>
    <xf numFmtId="0" fontId="72" fillId="19" borderId="0" xfId="0" applyFont="1" applyFill="1" applyAlignment="1" applyProtection="1">
      <alignment horizontal="center" vertical="center"/>
      <protection locked="0"/>
    </xf>
    <xf numFmtId="2" fontId="68" fillId="19" borderId="0" xfId="0" applyNumberFormat="1" applyFont="1" applyFill="1" applyAlignment="1" applyProtection="1">
      <alignment horizontal="center" vertical="center" wrapText="1"/>
      <protection locked="0"/>
    </xf>
    <xf numFmtId="0" fontId="72" fillId="19" borderId="0" xfId="0" applyFont="1" applyFill="1" applyProtection="1">
      <protection locked="0"/>
    </xf>
    <xf numFmtId="0" fontId="72" fillId="19" borderId="0" xfId="0" applyFont="1" applyFill="1" applyAlignment="1" applyProtection="1">
      <alignment horizontal="center"/>
      <protection locked="0"/>
    </xf>
    <xf numFmtId="0" fontId="73" fillId="19" borderId="0" xfId="0" applyFont="1" applyFill="1" applyAlignment="1" applyProtection="1">
      <alignment horizontal="left" vertical="center"/>
      <protection locked="0"/>
    </xf>
    <xf numFmtId="165" fontId="66" fillId="19" borderId="0" xfId="0" applyNumberFormat="1" applyFont="1" applyFill="1" applyAlignment="1" applyProtection="1">
      <alignment horizontal="center" vertical="center"/>
      <protection locked="0"/>
    </xf>
    <xf numFmtId="0" fontId="63" fillId="0" borderId="0" xfId="0" applyFont="1" applyProtection="1">
      <protection locked="0"/>
    </xf>
    <xf numFmtId="0" fontId="48" fillId="19" borderId="0" xfId="0" applyFont="1" applyFill="1" applyAlignment="1" applyProtection="1">
      <alignment vertical="center" wrapText="1"/>
      <protection locked="0"/>
    </xf>
    <xf numFmtId="0" fontId="74" fillId="20" borderId="0" xfId="0" applyFont="1" applyFill="1" applyBorder="1" applyAlignment="1" applyProtection="1">
      <alignment horizontal="center" vertical="center" wrapText="1"/>
      <protection locked="0"/>
    </xf>
    <xf numFmtId="2" fontId="68" fillId="20" borderId="0" xfId="0" applyNumberFormat="1" applyFont="1" applyFill="1" applyBorder="1" applyAlignment="1" applyProtection="1">
      <alignment horizontal="center" vertical="center" wrapText="1"/>
      <protection hidden="1"/>
    </xf>
    <xf numFmtId="0" fontId="75" fillId="20" borderId="0" xfId="0" applyFont="1" applyFill="1" applyBorder="1" applyAlignment="1" applyProtection="1">
      <alignment horizontal="center" vertical="center" wrapText="1"/>
      <protection hidden="1"/>
    </xf>
    <xf numFmtId="0" fontId="70" fillId="19" borderId="69" xfId="0" applyFont="1" applyFill="1" applyBorder="1" applyAlignment="1" applyProtection="1">
      <alignment vertical="center" wrapText="1"/>
      <protection locked="0"/>
    </xf>
    <xf numFmtId="0" fontId="70" fillId="19" borderId="0" xfId="0" applyFont="1" applyFill="1" applyBorder="1" applyAlignment="1" applyProtection="1">
      <alignment vertical="center" wrapText="1"/>
      <protection locked="0"/>
    </xf>
    <xf numFmtId="0" fontId="69" fillId="0" borderId="33" xfId="0" applyFont="1" applyBorder="1" applyAlignment="1" applyProtection="1">
      <alignment horizontal="center" vertical="center" wrapText="1"/>
      <protection locked="0"/>
    </xf>
    <xf numFmtId="0" fontId="69" fillId="19" borderId="0" xfId="0" applyFont="1" applyFill="1" applyBorder="1" applyAlignment="1" applyProtection="1">
      <alignment horizontal="right" wrapText="1"/>
      <protection locked="0"/>
    </xf>
    <xf numFmtId="49" fontId="64" fillId="19" borderId="0" xfId="0" applyNumberFormat="1" applyFont="1" applyFill="1" applyAlignment="1" applyProtection="1">
      <alignment vertical="center" wrapText="1"/>
      <protection locked="0"/>
    </xf>
    <xf numFmtId="0" fontId="37" fillId="0" borderId="0" xfId="0" applyFont="1" applyAlignment="1">
      <alignment vertical="center"/>
    </xf>
    <xf numFmtId="0" fontId="78" fillId="22" borderId="79" xfId="0" applyFont="1" applyFill="1" applyBorder="1" applyAlignment="1">
      <alignment horizontal="center" vertical="center" wrapText="1"/>
    </xf>
    <xf numFmtId="0" fontId="79" fillId="22" borderId="80" xfId="0" applyFont="1" applyFill="1" applyBorder="1" applyAlignment="1">
      <alignment horizontal="center" vertical="center" wrapText="1"/>
    </xf>
    <xf numFmtId="0" fontId="79" fillId="23" borderId="85" xfId="0" applyFont="1" applyFill="1" applyBorder="1" applyAlignment="1">
      <alignment horizontal="center" vertical="center" wrapText="1"/>
    </xf>
    <xf numFmtId="0" fontId="78" fillId="0" borderId="85" xfId="0" applyFont="1" applyBorder="1" applyAlignment="1">
      <alignment horizontal="center" vertical="center" wrapText="1"/>
    </xf>
    <xf numFmtId="0" fontId="78" fillId="23" borderId="85" xfId="0" applyFont="1" applyFill="1" applyBorder="1" applyAlignment="1">
      <alignment horizontal="center" vertical="center" wrapText="1"/>
    </xf>
    <xf numFmtId="0" fontId="79" fillId="23" borderId="84" xfId="0" applyFont="1" applyFill="1" applyBorder="1" applyAlignment="1">
      <alignment horizontal="center" vertical="center" wrapText="1"/>
    </xf>
    <xf numFmtId="0" fontId="78" fillId="0" borderId="84" xfId="0" applyFont="1" applyBorder="1" applyAlignment="1">
      <alignment horizontal="center" vertical="center" wrapText="1"/>
    </xf>
    <xf numFmtId="0" fontId="37" fillId="0" borderId="84" xfId="0" applyFont="1" applyBorder="1" applyAlignment="1">
      <alignment vertical="center" wrapText="1"/>
    </xf>
    <xf numFmtId="0" fontId="37" fillId="0" borderId="84" xfId="0" applyFont="1" applyBorder="1" applyAlignment="1">
      <alignment horizontal="center" vertical="center" wrapText="1"/>
    </xf>
    <xf numFmtId="0" fontId="79" fillId="23" borderId="88" xfId="0" applyFont="1" applyFill="1" applyBorder="1" applyAlignment="1">
      <alignment horizontal="center" vertical="center" wrapText="1"/>
    </xf>
    <xf numFmtId="0" fontId="78" fillId="0" borderId="88" xfId="0" applyFont="1" applyBorder="1" applyAlignment="1">
      <alignment horizontal="center" vertical="center" wrapText="1"/>
    </xf>
    <xf numFmtId="164" fontId="1" fillId="0" borderId="2" xfId="1" applyNumberFormat="1" applyFont="1" applyBorder="1" applyAlignment="1">
      <alignment horizontal="center" vertical="center"/>
    </xf>
    <xf numFmtId="0" fontId="74" fillId="20" borderId="0" xfId="0" applyFont="1" applyFill="1" applyBorder="1" applyAlignment="1" applyProtection="1">
      <alignment horizontal="center" vertical="center" wrapText="1"/>
      <protection locked="0"/>
    </xf>
    <xf numFmtId="0" fontId="1" fillId="0" borderId="4" xfId="0" applyFont="1" applyBorder="1" applyAlignment="1">
      <alignment horizontal="center" vertical="center"/>
    </xf>
    <xf numFmtId="9" fontId="1" fillId="0" borderId="4" xfId="0" applyNumberFormat="1" applyFont="1" applyBorder="1" applyAlignment="1" applyProtection="1">
      <alignment horizontal="center" vertical="center" wrapText="1"/>
      <protection locked="0"/>
    </xf>
    <xf numFmtId="9" fontId="1" fillId="0" borderId="4"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protection hidden="1"/>
    </xf>
    <xf numFmtId="0" fontId="1" fillId="0" borderId="4" xfId="0" applyFont="1" applyBorder="1" applyAlignment="1" applyProtection="1">
      <alignment horizontal="center" vertical="center"/>
      <protection locked="0"/>
    </xf>
    <xf numFmtId="0" fontId="1" fillId="0" borderId="4" xfId="0" applyFont="1" applyBorder="1" applyAlignment="1" applyProtection="1">
      <alignment horizontal="center" vertical="center" textRotation="90"/>
      <protection locked="0"/>
    </xf>
    <xf numFmtId="9" fontId="1" fillId="0" borderId="4" xfId="0" applyNumberFormat="1" applyFont="1" applyBorder="1" applyAlignment="1" applyProtection="1">
      <alignment horizontal="center" vertical="center"/>
      <protection hidden="1"/>
    </xf>
    <xf numFmtId="0" fontId="37" fillId="0" borderId="0" xfId="0" applyFont="1" applyFill="1" applyAlignment="1">
      <alignment vertical="center"/>
    </xf>
    <xf numFmtId="0" fontId="37" fillId="0" borderId="33" xfId="0" applyFont="1" applyBorder="1" applyAlignment="1">
      <alignment horizontal="center" vertical="center"/>
    </xf>
    <xf numFmtId="0" fontId="37" fillId="5" borderId="33" xfId="0" applyFont="1" applyFill="1" applyBorder="1" applyAlignment="1">
      <alignment horizontal="center" vertical="center"/>
    </xf>
    <xf numFmtId="0" fontId="78" fillId="0" borderId="0" xfId="0" applyFont="1" applyBorder="1" applyAlignment="1">
      <alignment horizontal="center" vertical="center" wrapText="1"/>
    </xf>
    <xf numFmtId="0" fontId="37" fillId="24" borderId="33" xfId="0" applyFont="1" applyFill="1" applyBorder="1" applyAlignment="1">
      <alignment vertical="center"/>
    </xf>
    <xf numFmtId="0" fontId="78" fillId="0" borderId="89" xfId="0" applyFont="1" applyBorder="1" applyAlignment="1">
      <alignment horizontal="center" vertical="center" wrapText="1"/>
    </xf>
    <xf numFmtId="0" fontId="68" fillId="19" borderId="33" xfId="0" applyFont="1" applyFill="1" applyBorder="1" applyAlignment="1" applyProtection="1">
      <alignment horizontal="center" vertical="center" wrapText="1"/>
      <protection locked="0"/>
    </xf>
    <xf numFmtId="14" fontId="68" fillId="19" borderId="33" xfId="0" applyNumberFormat="1" applyFont="1" applyFill="1" applyBorder="1" applyAlignment="1" applyProtection="1">
      <alignment horizontal="center" vertical="center" wrapText="1"/>
      <protection locked="0"/>
    </xf>
    <xf numFmtId="0" fontId="61" fillId="0" borderId="33" xfId="0" applyFont="1" applyBorder="1" applyAlignment="1">
      <alignment horizontal="left" vertical="center" wrapText="1"/>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0" fontId="4"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164" fontId="1" fillId="9" borderId="2" xfId="1" applyNumberFormat="1" applyFont="1" applyFill="1" applyBorder="1" applyAlignment="1">
      <alignment horizontal="center" vertical="center"/>
    </xf>
    <xf numFmtId="0" fontId="1" fillId="0" borderId="2" xfId="0" applyFont="1" applyBorder="1" applyAlignment="1">
      <alignment horizontal="left" vertical="center" wrapText="1"/>
    </xf>
    <xf numFmtId="0" fontId="1" fillId="0" borderId="2" xfId="0" applyFont="1" applyBorder="1" applyAlignment="1">
      <alignment vertical="center" wrapText="1"/>
    </xf>
    <xf numFmtId="0" fontId="62" fillId="3" borderId="48" xfId="2" applyFont="1" applyFill="1" applyBorder="1" applyAlignment="1">
      <alignment horizontal="center" vertical="center" wrapText="1"/>
    </xf>
    <xf numFmtId="0" fontId="62" fillId="3" borderId="49" xfId="2" applyFont="1" applyFill="1" applyBorder="1" applyAlignment="1">
      <alignment horizontal="center" vertical="center" wrapText="1"/>
    </xf>
    <xf numFmtId="0" fontId="62" fillId="3"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1" fillId="3" borderId="51" xfId="2" quotePrefix="1" applyFont="1" applyFill="1" applyBorder="1" applyAlignment="1">
      <alignment horizontal="left" vertical="top" wrapText="1"/>
    </xf>
    <xf numFmtId="0" fontId="52" fillId="3" borderId="52" xfId="2" quotePrefix="1" applyFont="1" applyFill="1" applyBorder="1" applyAlignment="1">
      <alignment horizontal="left" vertical="top" wrapText="1"/>
    </xf>
    <xf numFmtId="0" fontId="52"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4" fillId="14" borderId="54" xfId="3" applyFont="1" applyFill="1" applyBorder="1" applyAlignment="1">
      <alignment horizontal="center" vertical="center" wrapText="1"/>
    </xf>
    <xf numFmtId="0" fontId="54" fillId="14" borderId="55" xfId="3" applyFont="1" applyFill="1" applyBorder="1" applyAlignment="1">
      <alignment horizontal="center" vertical="center" wrapText="1"/>
    </xf>
    <xf numFmtId="0" fontId="54" fillId="14" borderId="56" xfId="2" applyFont="1" applyFill="1" applyBorder="1" applyAlignment="1">
      <alignment horizontal="center" vertical="center"/>
    </xf>
    <xf numFmtId="0" fontId="54"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54" fillId="3" borderId="58" xfId="3" applyFont="1" applyFill="1" applyBorder="1" applyAlignment="1">
      <alignment horizontal="left" vertical="top" wrapText="1" readingOrder="1"/>
    </xf>
    <xf numFmtId="0" fontId="54" fillId="3" borderId="59" xfId="3" applyFont="1" applyFill="1" applyBorder="1" applyAlignment="1">
      <alignment horizontal="left" vertical="top" wrapText="1" readingOrder="1"/>
    </xf>
    <xf numFmtId="0" fontId="55" fillId="3" borderId="60" xfId="2" applyFont="1" applyFill="1" applyBorder="1" applyAlignment="1">
      <alignment horizontal="justify" vertical="center" wrapText="1"/>
    </xf>
    <xf numFmtId="0" fontId="55" fillId="3" borderId="61" xfId="2" applyFont="1" applyFill="1" applyBorder="1" applyAlignment="1">
      <alignment horizontal="justify" vertical="center" wrapText="1"/>
    </xf>
    <xf numFmtId="0" fontId="54" fillId="3" borderId="62" xfId="0" applyFont="1" applyFill="1" applyBorder="1" applyAlignment="1">
      <alignment horizontal="left" vertical="center" wrapText="1"/>
    </xf>
    <xf numFmtId="0" fontId="54" fillId="3" borderId="63" xfId="0" applyFont="1" applyFill="1" applyBorder="1" applyAlignment="1">
      <alignment horizontal="left" vertical="center" wrapText="1"/>
    </xf>
    <xf numFmtId="0" fontId="55" fillId="3" borderId="64" xfId="2" applyFont="1" applyFill="1" applyBorder="1" applyAlignment="1">
      <alignment horizontal="justify" vertical="center" wrapText="1"/>
    </xf>
    <xf numFmtId="0" fontId="55" fillId="3" borderId="65" xfId="2" applyFont="1" applyFill="1" applyBorder="1" applyAlignment="1">
      <alignment horizontal="justify"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4" fillId="3" borderId="71" xfId="0" applyFont="1" applyFill="1" applyBorder="1" applyAlignment="1">
      <alignment horizontal="left" vertical="center" wrapText="1"/>
    </xf>
    <xf numFmtId="0" fontId="54" fillId="3" borderId="72" xfId="0" applyFont="1" applyFill="1" applyBorder="1" applyAlignment="1">
      <alignment horizontal="left" vertical="center" wrapText="1"/>
    </xf>
    <xf numFmtId="0" fontId="54" fillId="3" borderId="73" xfId="0" applyFont="1" applyFill="1" applyBorder="1" applyAlignment="1">
      <alignment horizontal="left" vertical="center" wrapText="1"/>
    </xf>
    <xf numFmtId="0" fontId="54" fillId="3" borderId="74" xfId="0" applyFont="1" applyFill="1" applyBorder="1" applyAlignment="1">
      <alignment horizontal="left" vertical="center" wrapText="1"/>
    </xf>
    <xf numFmtId="0" fontId="55" fillId="3" borderId="66" xfId="0" applyFont="1" applyFill="1" applyBorder="1" applyAlignment="1">
      <alignment horizontal="justify" vertical="center" wrapText="1"/>
    </xf>
    <xf numFmtId="0" fontId="55" fillId="3" borderId="67" xfId="0" applyFont="1" applyFill="1" applyBorder="1" applyAlignment="1">
      <alignment horizontal="justify" vertical="center" wrapText="1"/>
    </xf>
    <xf numFmtId="49" fontId="57" fillId="16" borderId="0" xfId="0" applyNumberFormat="1" applyFont="1" applyFill="1" applyAlignment="1" applyProtection="1">
      <alignment horizontal="right" vertical="center" wrapText="1"/>
      <protection locked="0"/>
    </xf>
    <xf numFmtId="0" fontId="59" fillId="17" borderId="33" xfId="0" applyFont="1" applyFill="1" applyBorder="1" applyAlignment="1">
      <alignment horizontal="center" vertical="center" wrapText="1"/>
    </xf>
    <xf numFmtId="0" fontId="61" fillId="0" borderId="33" xfId="0" applyFont="1" applyBorder="1" applyAlignment="1">
      <alignment horizontal="left" vertical="center" wrapText="1"/>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textRotation="90"/>
      <protection locked="0"/>
    </xf>
    <xf numFmtId="0" fontId="1" fillId="0" borderId="5" xfId="0" applyFont="1" applyBorder="1" applyAlignment="1" applyProtection="1">
      <alignment horizontal="center" vertical="center" textRotation="90"/>
      <protection locked="0"/>
    </xf>
    <xf numFmtId="9" fontId="1" fillId="0" borderId="4" xfId="0" applyNumberFormat="1" applyFont="1" applyBorder="1" applyAlignment="1" applyProtection="1">
      <alignment horizontal="center" vertical="center"/>
      <protection hidden="1"/>
    </xf>
    <xf numFmtId="9" fontId="1" fillId="0" borderId="5" xfId="0" applyNumberFormat="1" applyFont="1" applyBorder="1" applyAlignment="1" applyProtection="1">
      <alignment horizontal="center" vertical="center"/>
      <protection hidden="1"/>
    </xf>
    <xf numFmtId="0" fontId="4" fillId="0" borderId="4" xfId="0" applyFont="1" applyBorder="1" applyAlignment="1" applyProtection="1">
      <alignment horizontal="center" vertical="center" textRotation="90" wrapText="1"/>
      <protection hidden="1"/>
    </xf>
    <xf numFmtId="0" fontId="4" fillId="0" borderId="5" xfId="0" applyFont="1" applyBorder="1" applyAlignment="1" applyProtection="1">
      <alignment horizontal="center" vertical="center" textRotation="90" wrapText="1"/>
      <protection hidden="1"/>
    </xf>
    <xf numFmtId="0" fontId="4" fillId="0" borderId="4" xfId="0" applyFont="1" applyBorder="1" applyAlignment="1" applyProtection="1">
      <alignment horizontal="center" vertical="center" textRotation="90"/>
      <protection hidden="1"/>
    </xf>
    <xf numFmtId="0" fontId="4" fillId="0" borderId="5" xfId="0" applyFont="1" applyBorder="1" applyAlignment="1" applyProtection="1">
      <alignment horizontal="center" vertical="center" textRotation="90"/>
      <protection hidden="1"/>
    </xf>
    <xf numFmtId="49" fontId="77" fillId="19" borderId="0" xfId="0" applyNumberFormat="1" applyFont="1" applyFill="1" applyAlignment="1" applyProtection="1">
      <alignment horizontal="center" vertical="center" wrapText="1"/>
      <protection locked="0"/>
    </xf>
    <xf numFmtId="2" fontId="68" fillId="20" borderId="0" xfId="0" applyNumberFormat="1" applyFont="1" applyFill="1" applyBorder="1" applyAlignment="1" applyProtection="1">
      <alignment horizontal="center" vertical="center" wrapText="1"/>
      <protection hidden="1"/>
    </xf>
    <xf numFmtId="0" fontId="76" fillId="19" borderId="0" xfId="0" applyFont="1" applyFill="1" applyAlignment="1" applyProtection="1">
      <alignment horizontal="left" vertical="top"/>
      <protection locked="0"/>
    </xf>
    <xf numFmtId="0" fontId="69" fillId="0" borderId="75" xfId="0" applyFont="1" applyBorder="1" applyAlignment="1" applyProtection="1">
      <alignment horizontal="center" vertical="center" wrapText="1"/>
      <protection locked="0"/>
    </xf>
    <xf numFmtId="0" fontId="74" fillId="20" borderId="0" xfId="0" applyFont="1" applyFill="1" applyBorder="1" applyAlignment="1" applyProtection="1">
      <alignment horizontal="center" vertical="center" wrapText="1"/>
      <protection locked="0"/>
    </xf>
    <xf numFmtId="0" fontId="69" fillId="0" borderId="76" xfId="0" applyFont="1" applyBorder="1" applyAlignment="1" applyProtection="1">
      <alignment horizontal="center" vertical="center" wrapText="1"/>
      <protection locked="0"/>
    </xf>
    <xf numFmtId="0" fontId="69" fillId="0" borderId="77" xfId="0" applyFont="1" applyBorder="1" applyAlignment="1" applyProtection="1">
      <alignment horizontal="center" vertical="center" wrapText="1"/>
      <protection locked="0"/>
    </xf>
    <xf numFmtId="0" fontId="69" fillId="0" borderId="78" xfId="0" applyFont="1" applyBorder="1" applyAlignment="1" applyProtection="1">
      <alignment horizontal="center" vertical="center" wrapText="1"/>
      <protection locked="0"/>
    </xf>
    <xf numFmtId="0" fontId="68" fillId="19" borderId="76" xfId="0" applyFont="1" applyFill="1" applyBorder="1" applyAlignment="1" applyProtection="1">
      <alignment horizontal="left" vertical="center" wrapText="1"/>
      <protection locked="0"/>
    </xf>
    <xf numFmtId="0" fontId="68" fillId="19" borderId="77" xfId="0" applyFont="1" applyFill="1" applyBorder="1" applyAlignment="1" applyProtection="1">
      <alignment horizontal="left" vertical="center" wrapText="1"/>
      <protection locked="0"/>
    </xf>
    <xf numFmtId="0" fontId="68" fillId="19" borderId="78" xfId="0" applyFont="1" applyFill="1" applyBorder="1" applyAlignment="1" applyProtection="1">
      <alignment horizontal="left" vertical="center" wrapText="1"/>
      <protection locked="0"/>
    </xf>
    <xf numFmtId="0" fontId="68" fillId="21" borderId="33" xfId="0" applyFont="1" applyFill="1" applyBorder="1" applyAlignment="1">
      <alignment horizontal="left" vertical="center" wrapText="1"/>
    </xf>
    <xf numFmtId="0" fontId="1" fillId="0" borderId="8" xfId="0" applyFont="1" applyBorder="1" applyAlignment="1">
      <alignment horizontal="center" vertical="center"/>
    </xf>
    <xf numFmtId="0" fontId="1" fillId="0" borderId="8" xfId="0" applyFont="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79" fillId="23" borderId="87" xfId="0" applyFont="1" applyFill="1" applyBorder="1" applyAlignment="1">
      <alignment horizontal="center" vertical="center" wrapText="1"/>
    </xf>
    <xf numFmtId="0" fontId="79" fillId="23" borderId="82" xfId="0" applyFont="1" applyFill="1" applyBorder="1" applyAlignment="1">
      <alignment horizontal="center" vertical="center" wrapText="1"/>
    </xf>
    <xf numFmtId="0" fontId="78" fillId="0" borderId="87" xfId="0" applyFont="1" applyBorder="1" applyAlignment="1">
      <alignment horizontal="center" vertical="center" wrapText="1"/>
    </xf>
    <xf numFmtId="0" fontId="78" fillId="0" borderId="82" xfId="0" applyFont="1" applyBorder="1" applyAlignment="1">
      <alignment horizontal="center" vertical="center" wrapText="1"/>
    </xf>
    <xf numFmtId="0" fontId="79" fillId="22" borderId="86" xfId="0" applyFont="1" applyFill="1" applyBorder="1" applyAlignment="1">
      <alignment horizontal="center" vertical="center" wrapText="1"/>
    </xf>
    <xf numFmtId="0" fontId="79" fillId="22" borderId="81" xfId="0" applyFont="1" applyFill="1" applyBorder="1" applyAlignment="1">
      <alignment horizontal="center" vertical="center" wrapText="1"/>
    </xf>
    <xf numFmtId="0" fontId="79" fillId="22" borderId="80" xfId="0" applyFont="1" applyFill="1" applyBorder="1" applyAlignment="1">
      <alignment horizontal="center" vertical="center" wrapText="1"/>
    </xf>
    <xf numFmtId="0" fontId="79" fillId="23" borderId="83" xfId="0" applyFont="1" applyFill="1" applyBorder="1" applyAlignment="1">
      <alignment horizontal="center" vertical="center" wrapText="1"/>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68" fillId="0" borderId="69" xfId="0" applyNumberFormat="1" applyFont="1" applyBorder="1" applyAlignment="1" applyProtection="1">
      <alignment horizontal="right"/>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94">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99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115454</xdr:colOff>
      <xdr:row>11</xdr:row>
      <xdr:rowOff>242454</xdr:rowOff>
    </xdr:from>
    <xdr:to>
      <xdr:col>2</xdr:col>
      <xdr:colOff>735445</xdr:colOff>
      <xdr:row>11</xdr:row>
      <xdr:rowOff>1013978</xdr:rowOff>
    </xdr:to>
    <xdr:pic>
      <xdr:nvPicPr>
        <xdr:cNvPr id="2" name="Imagen 135">
          <a:extLst>
            <a:ext uri="{FF2B5EF4-FFF2-40B4-BE49-F238E27FC236}">
              <a16:creationId xmlns:a16="http://schemas.microsoft.com/office/drawing/2014/main" id="{8A041215-B7E0-234C-BC46-44CB965B0C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818" y="92363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495300</xdr:colOff>
      <xdr:row>2</xdr:row>
      <xdr:rowOff>9526</xdr:rowOff>
    </xdr:from>
    <xdr:to>
      <xdr:col>2</xdr:col>
      <xdr:colOff>2171700</xdr:colOff>
      <xdr:row>3</xdr:row>
      <xdr:rowOff>590550</xdr:rowOff>
    </xdr:to>
    <xdr:pic>
      <xdr:nvPicPr>
        <xdr:cNvPr id="2" name="Imagen 135">
          <a:extLst>
            <a:ext uri="{FF2B5EF4-FFF2-40B4-BE49-F238E27FC236}">
              <a16:creationId xmlns:a16="http://schemas.microsoft.com/office/drawing/2014/main" id="{0446CEC4-8D36-6247-8AE3-2F67F317BA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0800" y="39052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25400</xdr:colOff>
      <xdr:row>13</xdr:row>
      <xdr:rowOff>0</xdr:rowOff>
    </xdr:from>
    <xdr:to>
      <xdr:col>16</xdr:col>
      <xdr:colOff>320675</xdr:colOff>
      <xdr:row>14</xdr:row>
      <xdr:rowOff>63953</xdr:rowOff>
    </xdr:to>
    <xdr:sp macro="" textlink="">
      <xdr:nvSpPr>
        <xdr:cNvPr id="2" name="AutoShape 38" descr="Resultado de imagen para boton agregar icono">
          <a:extLst>
            <a:ext uri="{FF2B5EF4-FFF2-40B4-BE49-F238E27FC236}">
              <a16:creationId xmlns:a16="http://schemas.microsoft.com/office/drawing/2014/main" id="{5CCAC519-8FCC-4ECD-BBC1-191D238B5548}"/>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13</xdr:row>
      <xdr:rowOff>0</xdr:rowOff>
    </xdr:from>
    <xdr:to>
      <xdr:col>16</xdr:col>
      <xdr:colOff>320675</xdr:colOff>
      <xdr:row>14</xdr:row>
      <xdr:rowOff>63953</xdr:rowOff>
    </xdr:to>
    <xdr:sp macro="" textlink="">
      <xdr:nvSpPr>
        <xdr:cNvPr id="3" name="AutoShape 39" descr="Resultado de imagen para boton agregar icono">
          <a:extLst>
            <a:ext uri="{FF2B5EF4-FFF2-40B4-BE49-F238E27FC236}">
              <a16:creationId xmlns:a16="http://schemas.microsoft.com/office/drawing/2014/main" id="{212298C9-1C90-422A-B33A-5B9110C76EB4}"/>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13</xdr:row>
      <xdr:rowOff>0</xdr:rowOff>
    </xdr:from>
    <xdr:to>
      <xdr:col>16</xdr:col>
      <xdr:colOff>320675</xdr:colOff>
      <xdr:row>14</xdr:row>
      <xdr:rowOff>63953</xdr:rowOff>
    </xdr:to>
    <xdr:sp macro="" textlink="">
      <xdr:nvSpPr>
        <xdr:cNvPr id="4" name="AutoShape 40" descr="Resultado de imagen para boton agregar icono">
          <a:extLst>
            <a:ext uri="{FF2B5EF4-FFF2-40B4-BE49-F238E27FC236}">
              <a16:creationId xmlns:a16="http://schemas.microsoft.com/office/drawing/2014/main" id="{B5279E58-EA1A-4043-A3F3-3775086B4600}"/>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13</xdr:row>
      <xdr:rowOff>0</xdr:rowOff>
    </xdr:from>
    <xdr:to>
      <xdr:col>16</xdr:col>
      <xdr:colOff>320675</xdr:colOff>
      <xdr:row>14</xdr:row>
      <xdr:rowOff>63953</xdr:rowOff>
    </xdr:to>
    <xdr:sp macro="" textlink="">
      <xdr:nvSpPr>
        <xdr:cNvPr id="5" name="AutoShape 42" descr="Z">
          <a:extLst>
            <a:ext uri="{FF2B5EF4-FFF2-40B4-BE49-F238E27FC236}">
              <a16:creationId xmlns:a16="http://schemas.microsoft.com/office/drawing/2014/main" id="{72D5F597-052C-4F5A-9378-56A3A52B91F6}"/>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8</xdr:row>
      <xdr:rowOff>127000</xdr:rowOff>
    </xdr:from>
    <xdr:to>
      <xdr:col>16</xdr:col>
      <xdr:colOff>25400</xdr:colOff>
      <xdr:row>8</xdr:row>
      <xdr:rowOff>399515</xdr:rowOff>
    </xdr:to>
    <xdr:sp macro="" textlink="">
      <xdr:nvSpPr>
        <xdr:cNvPr id="6" name="Rectangle 53">
          <a:extLst>
            <a:ext uri="{FF2B5EF4-FFF2-40B4-BE49-F238E27FC236}">
              <a16:creationId xmlns:a16="http://schemas.microsoft.com/office/drawing/2014/main" id="{30F52F8A-3743-471F-A917-088E199F2384}"/>
            </a:ext>
          </a:extLst>
        </xdr:cNvPr>
        <xdr:cNvSpPr>
          <a:spLocks noChangeArrowheads="1"/>
        </xdr:cNvSpPr>
      </xdr:nvSpPr>
      <xdr:spPr bwMode="auto">
        <a:xfrm>
          <a:off x="16042105" y="5760843"/>
          <a:ext cx="0" cy="27622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0</xdr:col>
      <xdr:colOff>162791</xdr:colOff>
      <xdr:row>5</xdr:row>
      <xdr:rowOff>30018</xdr:rowOff>
    </xdr:from>
    <xdr:to>
      <xdr:col>31</xdr:col>
      <xdr:colOff>103125</xdr:colOff>
      <xdr:row>5</xdr:row>
      <xdr:rowOff>95373</xdr:rowOff>
    </xdr:to>
    <xdr:cxnSp macro="">
      <xdr:nvCxnSpPr>
        <xdr:cNvPr id="7" name="Conector recto 6">
          <a:extLst>
            <a:ext uri="{FF2B5EF4-FFF2-40B4-BE49-F238E27FC236}">
              <a16:creationId xmlns:a16="http://schemas.microsoft.com/office/drawing/2014/main" id="{FF79EB7A-1C4D-4552-9713-538E56CE04FB}"/>
            </a:ext>
          </a:extLst>
        </xdr:cNvPr>
        <xdr:cNvCxnSpPr/>
      </xdr:nvCxnSpPr>
      <xdr:spPr>
        <a:xfrm flipV="1">
          <a:off x="162791" y="2608118"/>
          <a:ext cx="35990645" cy="65355"/>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40409</xdr:colOff>
      <xdr:row>0</xdr:row>
      <xdr:rowOff>165101</xdr:rowOff>
    </xdr:from>
    <xdr:to>
      <xdr:col>4</xdr:col>
      <xdr:colOff>941614</xdr:colOff>
      <xdr:row>5</xdr:row>
      <xdr:rowOff>15261</xdr:rowOff>
    </xdr:to>
    <xdr:pic>
      <xdr:nvPicPr>
        <xdr:cNvPr id="8" name="Imagen 7">
          <a:extLst>
            <a:ext uri="{FF2B5EF4-FFF2-40B4-BE49-F238E27FC236}">
              <a16:creationId xmlns:a16="http://schemas.microsoft.com/office/drawing/2014/main" id="{4F137EE6-AF90-4845-9503-7974EF38A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8009" y="165101"/>
          <a:ext cx="3744191" cy="1259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25400</xdr:colOff>
      <xdr:row>12</xdr:row>
      <xdr:rowOff>0</xdr:rowOff>
    </xdr:from>
    <xdr:to>
      <xdr:col>16</xdr:col>
      <xdr:colOff>320675</xdr:colOff>
      <xdr:row>12</xdr:row>
      <xdr:rowOff>299357</xdr:rowOff>
    </xdr:to>
    <xdr:sp macro="" textlink="">
      <xdr:nvSpPr>
        <xdr:cNvPr id="9" name="AutoShape 38" descr="Resultado de imagen para boton agregar icono">
          <a:extLst>
            <a:ext uri="{FF2B5EF4-FFF2-40B4-BE49-F238E27FC236}">
              <a16:creationId xmlns:a16="http://schemas.microsoft.com/office/drawing/2014/main" id="{7FE35796-69C3-484C-B03B-CD4162A97137}"/>
            </a:ext>
          </a:extLst>
        </xdr:cNvPr>
        <xdr:cNvSpPr>
          <a:spLocks noChangeAspect="1" noChangeArrowheads="1"/>
        </xdr:cNvSpPr>
      </xdr:nvSpPr>
      <xdr:spPr bwMode="auto">
        <a:xfrm>
          <a:off x="23056850" y="789622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12</xdr:row>
      <xdr:rowOff>0</xdr:rowOff>
    </xdr:from>
    <xdr:to>
      <xdr:col>16</xdr:col>
      <xdr:colOff>320675</xdr:colOff>
      <xdr:row>12</xdr:row>
      <xdr:rowOff>299357</xdr:rowOff>
    </xdr:to>
    <xdr:sp macro="" textlink="">
      <xdr:nvSpPr>
        <xdr:cNvPr id="10" name="AutoShape 39" descr="Resultado de imagen para boton agregar icono">
          <a:extLst>
            <a:ext uri="{FF2B5EF4-FFF2-40B4-BE49-F238E27FC236}">
              <a16:creationId xmlns:a16="http://schemas.microsoft.com/office/drawing/2014/main" id="{2D622432-ED9C-4028-B576-052BBD4DE5D5}"/>
            </a:ext>
          </a:extLst>
        </xdr:cNvPr>
        <xdr:cNvSpPr>
          <a:spLocks noChangeAspect="1" noChangeArrowheads="1"/>
        </xdr:cNvSpPr>
      </xdr:nvSpPr>
      <xdr:spPr bwMode="auto">
        <a:xfrm>
          <a:off x="23056850" y="789622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12</xdr:row>
      <xdr:rowOff>0</xdr:rowOff>
    </xdr:from>
    <xdr:to>
      <xdr:col>16</xdr:col>
      <xdr:colOff>320675</xdr:colOff>
      <xdr:row>12</xdr:row>
      <xdr:rowOff>299357</xdr:rowOff>
    </xdr:to>
    <xdr:sp macro="" textlink="">
      <xdr:nvSpPr>
        <xdr:cNvPr id="11" name="AutoShape 40" descr="Resultado de imagen para boton agregar icono">
          <a:extLst>
            <a:ext uri="{FF2B5EF4-FFF2-40B4-BE49-F238E27FC236}">
              <a16:creationId xmlns:a16="http://schemas.microsoft.com/office/drawing/2014/main" id="{06D40209-F74A-4DBB-9744-47B0DFC68478}"/>
            </a:ext>
          </a:extLst>
        </xdr:cNvPr>
        <xdr:cNvSpPr>
          <a:spLocks noChangeAspect="1" noChangeArrowheads="1"/>
        </xdr:cNvSpPr>
      </xdr:nvSpPr>
      <xdr:spPr bwMode="auto">
        <a:xfrm>
          <a:off x="23056850" y="789622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12</xdr:row>
      <xdr:rowOff>0</xdr:rowOff>
    </xdr:from>
    <xdr:to>
      <xdr:col>16</xdr:col>
      <xdr:colOff>320675</xdr:colOff>
      <xdr:row>12</xdr:row>
      <xdr:rowOff>299357</xdr:rowOff>
    </xdr:to>
    <xdr:sp macro="" textlink="">
      <xdr:nvSpPr>
        <xdr:cNvPr id="12" name="AutoShape 42" descr="Z">
          <a:extLst>
            <a:ext uri="{FF2B5EF4-FFF2-40B4-BE49-F238E27FC236}">
              <a16:creationId xmlns:a16="http://schemas.microsoft.com/office/drawing/2014/main" id="{8CF9AFA1-FD79-4BEE-9767-56E9688977A2}"/>
            </a:ext>
          </a:extLst>
        </xdr:cNvPr>
        <xdr:cNvSpPr>
          <a:spLocks noChangeAspect="1" noChangeArrowheads="1"/>
        </xdr:cNvSpPr>
      </xdr:nvSpPr>
      <xdr:spPr bwMode="auto">
        <a:xfrm>
          <a:off x="23056850" y="789622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10</xdr:row>
      <xdr:rowOff>127000</xdr:rowOff>
    </xdr:from>
    <xdr:to>
      <xdr:col>16</xdr:col>
      <xdr:colOff>25400</xdr:colOff>
      <xdr:row>10</xdr:row>
      <xdr:rowOff>399514</xdr:rowOff>
    </xdr:to>
    <xdr:sp macro="" textlink="">
      <xdr:nvSpPr>
        <xdr:cNvPr id="13" name="Rectangle 53">
          <a:extLst>
            <a:ext uri="{FF2B5EF4-FFF2-40B4-BE49-F238E27FC236}">
              <a16:creationId xmlns:a16="http://schemas.microsoft.com/office/drawing/2014/main" id="{BCC48659-44AE-4CA1-BF73-1C2E4B65F3DF}"/>
            </a:ext>
          </a:extLst>
        </xdr:cNvPr>
        <xdr:cNvSpPr>
          <a:spLocks noChangeArrowheads="1"/>
        </xdr:cNvSpPr>
      </xdr:nvSpPr>
      <xdr:spPr bwMode="auto">
        <a:xfrm>
          <a:off x="23056850" y="5222875"/>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16</xdr:col>
      <xdr:colOff>25400</xdr:colOff>
      <xdr:row>11</xdr:row>
      <xdr:rowOff>0</xdr:rowOff>
    </xdr:from>
    <xdr:to>
      <xdr:col>16</xdr:col>
      <xdr:colOff>320675</xdr:colOff>
      <xdr:row>11</xdr:row>
      <xdr:rowOff>299357</xdr:rowOff>
    </xdr:to>
    <xdr:sp macro="" textlink="">
      <xdr:nvSpPr>
        <xdr:cNvPr id="14" name="AutoShape 38" descr="Resultado de imagen para boton agregar icono">
          <a:extLst>
            <a:ext uri="{FF2B5EF4-FFF2-40B4-BE49-F238E27FC236}">
              <a16:creationId xmlns:a16="http://schemas.microsoft.com/office/drawing/2014/main" id="{162D8599-B134-4C04-AC0E-31E49D192998}"/>
            </a:ext>
          </a:extLst>
        </xdr:cNvPr>
        <xdr:cNvSpPr>
          <a:spLocks noChangeAspect="1" noChangeArrowheads="1"/>
        </xdr:cNvSpPr>
      </xdr:nvSpPr>
      <xdr:spPr bwMode="auto">
        <a:xfrm>
          <a:off x="23056850" y="608647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11</xdr:row>
      <xdr:rowOff>0</xdr:rowOff>
    </xdr:from>
    <xdr:to>
      <xdr:col>16</xdr:col>
      <xdr:colOff>320675</xdr:colOff>
      <xdr:row>11</xdr:row>
      <xdr:rowOff>299357</xdr:rowOff>
    </xdr:to>
    <xdr:sp macro="" textlink="">
      <xdr:nvSpPr>
        <xdr:cNvPr id="15" name="AutoShape 39" descr="Resultado de imagen para boton agregar icono">
          <a:extLst>
            <a:ext uri="{FF2B5EF4-FFF2-40B4-BE49-F238E27FC236}">
              <a16:creationId xmlns:a16="http://schemas.microsoft.com/office/drawing/2014/main" id="{8D9556DD-B44B-4455-82C2-BB996A53E01E}"/>
            </a:ext>
          </a:extLst>
        </xdr:cNvPr>
        <xdr:cNvSpPr>
          <a:spLocks noChangeAspect="1" noChangeArrowheads="1"/>
        </xdr:cNvSpPr>
      </xdr:nvSpPr>
      <xdr:spPr bwMode="auto">
        <a:xfrm>
          <a:off x="23056850" y="608647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11</xdr:row>
      <xdr:rowOff>0</xdr:rowOff>
    </xdr:from>
    <xdr:to>
      <xdr:col>16</xdr:col>
      <xdr:colOff>320675</xdr:colOff>
      <xdr:row>11</xdr:row>
      <xdr:rowOff>299357</xdr:rowOff>
    </xdr:to>
    <xdr:sp macro="" textlink="">
      <xdr:nvSpPr>
        <xdr:cNvPr id="16" name="AutoShape 40" descr="Resultado de imagen para boton agregar icono">
          <a:extLst>
            <a:ext uri="{FF2B5EF4-FFF2-40B4-BE49-F238E27FC236}">
              <a16:creationId xmlns:a16="http://schemas.microsoft.com/office/drawing/2014/main" id="{F6589F44-ABBB-4F89-A946-34366298F03E}"/>
            </a:ext>
          </a:extLst>
        </xdr:cNvPr>
        <xdr:cNvSpPr>
          <a:spLocks noChangeAspect="1" noChangeArrowheads="1"/>
        </xdr:cNvSpPr>
      </xdr:nvSpPr>
      <xdr:spPr bwMode="auto">
        <a:xfrm>
          <a:off x="23056850" y="608647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11</xdr:row>
      <xdr:rowOff>0</xdr:rowOff>
    </xdr:from>
    <xdr:to>
      <xdr:col>16</xdr:col>
      <xdr:colOff>320675</xdr:colOff>
      <xdr:row>11</xdr:row>
      <xdr:rowOff>299357</xdr:rowOff>
    </xdr:to>
    <xdr:sp macro="" textlink="">
      <xdr:nvSpPr>
        <xdr:cNvPr id="17" name="AutoShape 42" descr="Z">
          <a:extLst>
            <a:ext uri="{FF2B5EF4-FFF2-40B4-BE49-F238E27FC236}">
              <a16:creationId xmlns:a16="http://schemas.microsoft.com/office/drawing/2014/main" id="{F5CA2CE5-7185-45C2-9A18-E6BE8678BCC6}"/>
            </a:ext>
          </a:extLst>
        </xdr:cNvPr>
        <xdr:cNvSpPr>
          <a:spLocks noChangeAspect="1" noChangeArrowheads="1"/>
        </xdr:cNvSpPr>
      </xdr:nvSpPr>
      <xdr:spPr bwMode="auto">
        <a:xfrm>
          <a:off x="23056850" y="608647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8</xdr:row>
      <xdr:rowOff>127000</xdr:rowOff>
    </xdr:from>
    <xdr:to>
      <xdr:col>16</xdr:col>
      <xdr:colOff>25400</xdr:colOff>
      <xdr:row>8</xdr:row>
      <xdr:rowOff>394073</xdr:rowOff>
    </xdr:to>
    <xdr:sp macro="" textlink="">
      <xdr:nvSpPr>
        <xdr:cNvPr id="18" name="Rectangle 53">
          <a:extLst>
            <a:ext uri="{FF2B5EF4-FFF2-40B4-BE49-F238E27FC236}">
              <a16:creationId xmlns:a16="http://schemas.microsoft.com/office/drawing/2014/main" id="{8A543567-6729-41F9-88FA-817899224D70}"/>
            </a:ext>
          </a:extLst>
        </xdr:cNvPr>
        <xdr:cNvSpPr>
          <a:spLocks noChangeArrowheads="1"/>
        </xdr:cNvSpPr>
      </xdr:nvSpPr>
      <xdr:spPr bwMode="auto">
        <a:xfrm>
          <a:off x="23056850" y="2289175"/>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oneCellAnchor>
    <xdr:from>
      <xdr:col>16</xdr:col>
      <xdr:colOff>25400</xdr:colOff>
      <xdr:row>12</xdr:row>
      <xdr:rowOff>0</xdr:rowOff>
    </xdr:from>
    <xdr:ext cx="295275" cy="304800"/>
    <xdr:sp macro="" textlink="">
      <xdr:nvSpPr>
        <xdr:cNvPr id="19" name="AutoShape 38" descr="Resultado de imagen para boton agregar icono">
          <a:extLst>
            <a:ext uri="{FF2B5EF4-FFF2-40B4-BE49-F238E27FC236}">
              <a16:creationId xmlns:a16="http://schemas.microsoft.com/office/drawing/2014/main" id="{7EE0761F-E478-4AAA-A11D-C4149789A34C}"/>
            </a:ext>
          </a:extLst>
        </xdr:cNvPr>
        <xdr:cNvSpPr>
          <a:spLocks noChangeAspect="1" noChangeArrowheads="1"/>
        </xdr:cNvSpPr>
      </xdr:nvSpPr>
      <xdr:spPr bwMode="auto">
        <a:xfrm>
          <a:off x="23056850" y="789622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12</xdr:row>
      <xdr:rowOff>0</xdr:rowOff>
    </xdr:from>
    <xdr:ext cx="295275" cy="304800"/>
    <xdr:sp macro="" textlink="">
      <xdr:nvSpPr>
        <xdr:cNvPr id="20" name="AutoShape 39" descr="Resultado de imagen para boton agregar icono">
          <a:extLst>
            <a:ext uri="{FF2B5EF4-FFF2-40B4-BE49-F238E27FC236}">
              <a16:creationId xmlns:a16="http://schemas.microsoft.com/office/drawing/2014/main" id="{B86E4C32-D6EF-4C70-9628-0724B0E0F3B3}"/>
            </a:ext>
          </a:extLst>
        </xdr:cNvPr>
        <xdr:cNvSpPr>
          <a:spLocks noChangeAspect="1" noChangeArrowheads="1"/>
        </xdr:cNvSpPr>
      </xdr:nvSpPr>
      <xdr:spPr bwMode="auto">
        <a:xfrm>
          <a:off x="23056850" y="789622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12</xdr:row>
      <xdr:rowOff>0</xdr:rowOff>
    </xdr:from>
    <xdr:ext cx="295275" cy="304800"/>
    <xdr:sp macro="" textlink="">
      <xdr:nvSpPr>
        <xdr:cNvPr id="21" name="AutoShape 40" descr="Resultado de imagen para boton agregar icono">
          <a:extLst>
            <a:ext uri="{FF2B5EF4-FFF2-40B4-BE49-F238E27FC236}">
              <a16:creationId xmlns:a16="http://schemas.microsoft.com/office/drawing/2014/main" id="{9E5EBBE5-47B2-4087-B36F-A86CE19E8CFD}"/>
            </a:ext>
          </a:extLst>
        </xdr:cNvPr>
        <xdr:cNvSpPr>
          <a:spLocks noChangeAspect="1" noChangeArrowheads="1"/>
        </xdr:cNvSpPr>
      </xdr:nvSpPr>
      <xdr:spPr bwMode="auto">
        <a:xfrm>
          <a:off x="23056850" y="789622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12</xdr:row>
      <xdr:rowOff>0</xdr:rowOff>
    </xdr:from>
    <xdr:ext cx="295275" cy="304800"/>
    <xdr:sp macro="" textlink="">
      <xdr:nvSpPr>
        <xdr:cNvPr id="22" name="AutoShape 42" descr="Z">
          <a:extLst>
            <a:ext uri="{FF2B5EF4-FFF2-40B4-BE49-F238E27FC236}">
              <a16:creationId xmlns:a16="http://schemas.microsoft.com/office/drawing/2014/main" id="{20343C2F-EE11-4402-BAB2-8345A48D65CC}"/>
            </a:ext>
          </a:extLst>
        </xdr:cNvPr>
        <xdr:cNvSpPr>
          <a:spLocks noChangeAspect="1" noChangeArrowheads="1"/>
        </xdr:cNvSpPr>
      </xdr:nvSpPr>
      <xdr:spPr bwMode="auto">
        <a:xfrm>
          <a:off x="23056850" y="789622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leonardol/Dropbox/SGR/Gesti&#243;n%20de%20riesgos/Herramientas%20gesti&#243;n%20de%20riesgos/Formatos%20Matriz%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nacional33/meci/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nacional33/meci/Documents%20and%20Settings/JENITH%20%20LINARES/Mis%20documentos/CONTROL%20INTERNO%20CGC/TALLER/GESTION%20DEL%20RIESGO%20Y%20CONTRO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OSECAR\Downloads\2.%20Mapa%20de%20riesgos%20DIRyPLA__%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s>
    <sheetDataSet>
      <sheetData sheetId="0" refreshError="1"/>
      <sheetData sheetId="1" refreshError="1"/>
      <sheetData sheetId="2" refreshError="1">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efreshError="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6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6"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H55"/>
  <sheetViews>
    <sheetView topLeftCell="A4" zoomScale="110" zoomScaleNormal="110" workbookViewId="0">
      <selection activeCell="B12" sqref="B12:H12"/>
    </sheetView>
  </sheetViews>
  <sheetFormatPr baseColWidth="10" defaultColWidth="11.42578125" defaultRowHeight="15" x14ac:dyDescent="0.25"/>
  <cols>
    <col min="1" max="1" width="2.85546875" style="83" customWidth="1"/>
    <col min="2" max="3" width="24.7109375" style="83" customWidth="1"/>
    <col min="4" max="4" width="16" style="83" customWidth="1"/>
    <col min="5" max="5" width="24.7109375" style="83" customWidth="1"/>
    <col min="6" max="6" width="27.7109375" style="83" customWidth="1"/>
    <col min="7" max="8" width="24.7109375" style="83" customWidth="1"/>
    <col min="9" max="16384" width="11.42578125" style="83"/>
  </cols>
  <sheetData>
    <row r="4" spans="2:8" ht="6.95" customHeight="1" thickBot="1" x14ac:dyDescent="0.3"/>
    <row r="5" spans="2:8" hidden="1" x14ac:dyDescent="0.25"/>
    <row r="6" spans="2:8" ht="15.75" hidden="1" thickBot="1" x14ac:dyDescent="0.3"/>
    <row r="7" spans="2:8" ht="15.75" hidden="1" thickBot="1" x14ac:dyDescent="0.3"/>
    <row r="8" spans="2:8" ht="0.95" hidden="1" customHeight="1" thickBot="1" x14ac:dyDescent="0.3"/>
    <row r="9" spans="2:8" ht="15.75" hidden="1" thickBot="1" x14ac:dyDescent="0.3"/>
    <row r="10" spans="2:8" ht="15.75" hidden="1" thickBot="1" x14ac:dyDescent="0.3"/>
    <row r="11" spans="2:8" ht="15.75" hidden="1" thickBot="1" x14ac:dyDescent="0.3"/>
    <row r="12" spans="2:8" ht="95.1" customHeight="1" x14ac:dyDescent="0.25">
      <c r="B12" s="217" t="s">
        <v>0</v>
      </c>
      <c r="C12" s="218"/>
      <c r="D12" s="218"/>
      <c r="E12" s="218"/>
      <c r="F12" s="218"/>
      <c r="G12" s="218"/>
      <c r="H12" s="219"/>
    </row>
    <row r="13" spans="2:8" ht="11.1" customHeight="1" x14ac:dyDescent="0.25">
      <c r="B13" s="84"/>
      <c r="C13" s="85"/>
      <c r="D13" s="85"/>
      <c r="E13" s="85"/>
      <c r="F13" s="85"/>
      <c r="G13" s="85"/>
      <c r="H13" s="86"/>
    </row>
    <row r="14" spans="2:8" ht="29.1" hidden="1" customHeight="1" x14ac:dyDescent="0.25">
      <c r="B14" s="220" t="s">
        <v>210</v>
      </c>
      <c r="C14" s="221"/>
      <c r="D14" s="221"/>
      <c r="E14" s="221"/>
      <c r="F14" s="221"/>
      <c r="G14" s="221"/>
      <c r="H14" s="222"/>
    </row>
    <row r="15" spans="2:8" ht="63" hidden="1" customHeight="1" x14ac:dyDescent="0.25">
      <c r="B15" s="223"/>
      <c r="C15" s="224"/>
      <c r="D15" s="224"/>
      <c r="E15" s="224"/>
      <c r="F15" s="224"/>
      <c r="G15" s="224"/>
      <c r="H15" s="225"/>
    </row>
    <row r="16" spans="2:8" ht="16.5" x14ac:dyDescent="0.25">
      <c r="B16" s="226" t="s">
        <v>1</v>
      </c>
      <c r="C16" s="227"/>
      <c r="D16" s="227"/>
      <c r="E16" s="227"/>
      <c r="F16" s="227"/>
      <c r="G16" s="227"/>
      <c r="H16" s="228"/>
    </row>
    <row r="17" spans="2:8" ht="95.25" customHeight="1" x14ac:dyDescent="0.25">
      <c r="B17" s="236" t="s">
        <v>2</v>
      </c>
      <c r="C17" s="237"/>
      <c r="D17" s="237"/>
      <c r="E17" s="237"/>
      <c r="F17" s="237"/>
      <c r="G17" s="237"/>
      <c r="H17" s="238"/>
    </row>
    <row r="18" spans="2:8" ht="16.5" x14ac:dyDescent="0.25">
      <c r="B18" s="120"/>
      <c r="C18" s="121"/>
      <c r="D18" s="121"/>
      <c r="E18" s="121"/>
      <c r="F18" s="121"/>
      <c r="G18" s="121"/>
      <c r="H18" s="122"/>
    </row>
    <row r="19" spans="2:8" ht="16.5" customHeight="1" x14ac:dyDescent="0.25">
      <c r="B19" s="229" t="s">
        <v>218</v>
      </c>
      <c r="C19" s="230"/>
      <c r="D19" s="230"/>
      <c r="E19" s="230"/>
      <c r="F19" s="230"/>
      <c r="G19" s="230"/>
      <c r="H19" s="231"/>
    </row>
    <row r="20" spans="2:8" ht="44.25" customHeight="1" x14ac:dyDescent="0.25">
      <c r="B20" s="229"/>
      <c r="C20" s="230"/>
      <c r="D20" s="230"/>
      <c r="E20" s="230"/>
      <c r="F20" s="230"/>
      <c r="G20" s="230"/>
      <c r="H20" s="231"/>
    </row>
    <row r="21" spans="2:8" ht="15.75" thickBot="1" x14ac:dyDescent="0.3">
      <c r="B21" s="109"/>
      <c r="C21" s="112"/>
      <c r="D21" s="117"/>
      <c r="E21" s="118"/>
      <c r="F21" s="118"/>
      <c r="G21" s="119"/>
      <c r="H21" s="113"/>
    </row>
    <row r="22" spans="2:8" ht="15.75" thickTop="1" x14ac:dyDescent="0.25">
      <c r="B22" s="109"/>
      <c r="C22" s="232" t="s">
        <v>3</v>
      </c>
      <c r="D22" s="233"/>
      <c r="E22" s="234" t="s">
        <v>4</v>
      </c>
      <c r="F22" s="235"/>
      <c r="G22" s="112"/>
      <c r="H22" s="113"/>
    </row>
    <row r="23" spans="2:8" ht="35.25" customHeight="1" x14ac:dyDescent="0.25">
      <c r="B23" s="109"/>
      <c r="C23" s="239" t="s">
        <v>5</v>
      </c>
      <c r="D23" s="240"/>
      <c r="E23" s="241" t="s">
        <v>6</v>
      </c>
      <c r="F23" s="242"/>
      <c r="G23" s="112"/>
      <c r="H23" s="113"/>
    </row>
    <row r="24" spans="2:8" ht="17.25" customHeight="1" x14ac:dyDescent="0.25">
      <c r="B24" s="109"/>
      <c r="C24" s="239" t="s">
        <v>7</v>
      </c>
      <c r="D24" s="240"/>
      <c r="E24" s="241" t="s">
        <v>8</v>
      </c>
      <c r="F24" s="242"/>
      <c r="G24" s="112"/>
      <c r="H24" s="113"/>
    </row>
    <row r="25" spans="2:8" ht="19.5" customHeight="1" x14ac:dyDescent="0.25">
      <c r="B25" s="109"/>
      <c r="C25" s="239" t="s">
        <v>9</v>
      </c>
      <c r="D25" s="240"/>
      <c r="E25" s="241" t="s">
        <v>10</v>
      </c>
      <c r="F25" s="242"/>
      <c r="G25" s="112"/>
      <c r="H25" s="113"/>
    </row>
    <row r="26" spans="2:8" ht="69.75" customHeight="1" x14ac:dyDescent="0.25">
      <c r="B26" s="109"/>
      <c r="C26" s="239" t="s">
        <v>11</v>
      </c>
      <c r="D26" s="240"/>
      <c r="E26" s="241" t="s">
        <v>12</v>
      </c>
      <c r="F26" s="242"/>
      <c r="G26" s="112"/>
      <c r="H26" s="113"/>
    </row>
    <row r="27" spans="2:8" ht="34.5" customHeight="1" x14ac:dyDescent="0.25">
      <c r="B27" s="109"/>
      <c r="C27" s="243" t="s">
        <v>13</v>
      </c>
      <c r="D27" s="244"/>
      <c r="E27" s="245" t="s">
        <v>14</v>
      </c>
      <c r="F27" s="246"/>
      <c r="G27" s="112"/>
      <c r="H27" s="113"/>
    </row>
    <row r="28" spans="2:8" ht="27.75" customHeight="1" x14ac:dyDescent="0.25">
      <c r="B28" s="109"/>
      <c r="C28" s="243" t="s">
        <v>15</v>
      </c>
      <c r="D28" s="244"/>
      <c r="E28" s="245" t="s">
        <v>16</v>
      </c>
      <c r="F28" s="246"/>
      <c r="G28" s="112"/>
      <c r="H28" s="113"/>
    </row>
    <row r="29" spans="2:8" ht="28.5" customHeight="1" x14ac:dyDescent="0.25">
      <c r="B29" s="109"/>
      <c r="C29" s="243" t="s">
        <v>17</v>
      </c>
      <c r="D29" s="244"/>
      <c r="E29" s="245" t="s">
        <v>18</v>
      </c>
      <c r="F29" s="246"/>
      <c r="G29" s="112"/>
      <c r="H29" s="113"/>
    </row>
    <row r="30" spans="2:8" ht="72.75" customHeight="1" x14ac:dyDescent="0.25">
      <c r="B30" s="109"/>
      <c r="C30" s="243" t="s">
        <v>19</v>
      </c>
      <c r="D30" s="244"/>
      <c r="E30" s="245" t="s">
        <v>20</v>
      </c>
      <c r="F30" s="246"/>
      <c r="G30" s="112"/>
      <c r="H30" s="113"/>
    </row>
    <row r="31" spans="2:8" ht="64.5" customHeight="1" x14ac:dyDescent="0.25">
      <c r="B31" s="109"/>
      <c r="C31" s="243" t="s">
        <v>21</v>
      </c>
      <c r="D31" s="244"/>
      <c r="E31" s="245" t="s">
        <v>22</v>
      </c>
      <c r="F31" s="246"/>
      <c r="G31" s="112"/>
      <c r="H31" s="113"/>
    </row>
    <row r="32" spans="2:8" ht="71.25" customHeight="1" x14ac:dyDescent="0.25">
      <c r="B32" s="109"/>
      <c r="C32" s="243" t="s">
        <v>23</v>
      </c>
      <c r="D32" s="244"/>
      <c r="E32" s="245" t="s">
        <v>24</v>
      </c>
      <c r="F32" s="246"/>
      <c r="G32" s="112"/>
      <c r="H32" s="113"/>
    </row>
    <row r="33" spans="2:8" ht="55.5" customHeight="1" x14ac:dyDescent="0.25">
      <c r="B33" s="109"/>
      <c r="C33" s="250" t="s">
        <v>25</v>
      </c>
      <c r="D33" s="251"/>
      <c r="E33" s="245" t="s">
        <v>26</v>
      </c>
      <c r="F33" s="246"/>
      <c r="G33" s="112"/>
      <c r="H33" s="113"/>
    </row>
    <row r="34" spans="2:8" ht="42" customHeight="1" x14ac:dyDescent="0.25">
      <c r="B34" s="109"/>
      <c r="C34" s="250" t="s">
        <v>27</v>
      </c>
      <c r="D34" s="251"/>
      <c r="E34" s="245" t="s">
        <v>28</v>
      </c>
      <c r="F34" s="246"/>
      <c r="G34" s="112"/>
      <c r="H34" s="113"/>
    </row>
    <row r="35" spans="2:8" ht="59.25" customHeight="1" x14ac:dyDescent="0.25">
      <c r="B35" s="109"/>
      <c r="C35" s="250" t="s">
        <v>29</v>
      </c>
      <c r="D35" s="251"/>
      <c r="E35" s="245" t="s">
        <v>30</v>
      </c>
      <c r="F35" s="246"/>
      <c r="G35" s="112"/>
      <c r="H35" s="113"/>
    </row>
    <row r="36" spans="2:8" ht="23.25" customHeight="1" x14ac:dyDescent="0.25">
      <c r="B36" s="109"/>
      <c r="C36" s="250" t="s">
        <v>31</v>
      </c>
      <c r="D36" s="251"/>
      <c r="E36" s="245" t="s">
        <v>32</v>
      </c>
      <c r="F36" s="246"/>
      <c r="G36" s="112"/>
      <c r="H36" s="113"/>
    </row>
    <row r="37" spans="2:8" ht="30.75" customHeight="1" x14ac:dyDescent="0.25">
      <c r="B37" s="109"/>
      <c r="C37" s="250" t="s">
        <v>33</v>
      </c>
      <c r="D37" s="251"/>
      <c r="E37" s="245" t="s">
        <v>34</v>
      </c>
      <c r="F37" s="246"/>
      <c r="G37" s="112"/>
      <c r="H37" s="113"/>
    </row>
    <row r="38" spans="2:8" ht="35.25" customHeight="1" x14ac:dyDescent="0.25">
      <c r="B38" s="109"/>
      <c r="C38" s="250" t="s">
        <v>35</v>
      </c>
      <c r="D38" s="251"/>
      <c r="E38" s="245" t="s">
        <v>36</v>
      </c>
      <c r="F38" s="246"/>
      <c r="G38" s="112"/>
      <c r="H38" s="113"/>
    </row>
    <row r="39" spans="2:8" ht="33" customHeight="1" x14ac:dyDescent="0.25">
      <c r="B39" s="109"/>
      <c r="C39" s="250" t="s">
        <v>35</v>
      </c>
      <c r="D39" s="251"/>
      <c r="E39" s="245" t="s">
        <v>36</v>
      </c>
      <c r="F39" s="246"/>
      <c r="G39" s="112"/>
      <c r="H39" s="113"/>
    </row>
    <row r="40" spans="2:8" ht="30" customHeight="1" x14ac:dyDescent="0.25">
      <c r="B40" s="109"/>
      <c r="C40" s="250" t="s">
        <v>37</v>
      </c>
      <c r="D40" s="251"/>
      <c r="E40" s="245" t="s">
        <v>38</v>
      </c>
      <c r="F40" s="246"/>
      <c r="G40" s="112"/>
      <c r="H40" s="113"/>
    </row>
    <row r="41" spans="2:8" ht="35.25" customHeight="1" x14ac:dyDescent="0.25">
      <c r="B41" s="109"/>
      <c r="C41" s="250" t="s">
        <v>39</v>
      </c>
      <c r="D41" s="251"/>
      <c r="E41" s="245" t="s">
        <v>40</v>
      </c>
      <c r="F41" s="246"/>
      <c r="G41" s="112"/>
      <c r="H41" s="113"/>
    </row>
    <row r="42" spans="2:8" ht="31.5" customHeight="1" x14ac:dyDescent="0.25">
      <c r="B42" s="109"/>
      <c r="C42" s="250" t="s">
        <v>41</v>
      </c>
      <c r="D42" s="251"/>
      <c r="E42" s="245" t="s">
        <v>42</v>
      </c>
      <c r="F42" s="246"/>
      <c r="G42" s="112"/>
      <c r="H42" s="113"/>
    </row>
    <row r="43" spans="2:8" ht="35.25" customHeight="1" x14ac:dyDescent="0.25">
      <c r="B43" s="109"/>
      <c r="C43" s="250" t="s">
        <v>43</v>
      </c>
      <c r="D43" s="251"/>
      <c r="E43" s="245" t="s">
        <v>44</v>
      </c>
      <c r="F43" s="246"/>
      <c r="G43" s="112"/>
      <c r="H43" s="113"/>
    </row>
    <row r="44" spans="2:8" ht="59.25" customHeight="1" x14ac:dyDescent="0.25">
      <c r="B44" s="109"/>
      <c r="C44" s="250" t="s">
        <v>45</v>
      </c>
      <c r="D44" s="251"/>
      <c r="E44" s="245" t="s">
        <v>46</v>
      </c>
      <c r="F44" s="246"/>
      <c r="G44" s="112"/>
      <c r="H44" s="113"/>
    </row>
    <row r="45" spans="2:8" ht="29.25" customHeight="1" x14ac:dyDescent="0.25">
      <c r="B45" s="109"/>
      <c r="C45" s="250" t="s">
        <v>47</v>
      </c>
      <c r="D45" s="251"/>
      <c r="E45" s="245" t="s">
        <v>48</v>
      </c>
      <c r="F45" s="246"/>
      <c r="G45" s="112"/>
      <c r="H45" s="113"/>
    </row>
    <row r="46" spans="2:8" ht="82.5" customHeight="1" x14ac:dyDescent="0.25">
      <c r="B46" s="109"/>
      <c r="C46" s="250" t="s">
        <v>49</v>
      </c>
      <c r="D46" s="251"/>
      <c r="E46" s="245" t="s">
        <v>50</v>
      </c>
      <c r="F46" s="246"/>
      <c r="G46" s="112"/>
      <c r="H46" s="113"/>
    </row>
    <row r="47" spans="2:8" ht="46.5" customHeight="1" x14ac:dyDescent="0.25">
      <c r="B47" s="109"/>
      <c r="C47" s="250" t="s">
        <v>51</v>
      </c>
      <c r="D47" s="251"/>
      <c r="E47" s="245" t="s">
        <v>52</v>
      </c>
      <c r="F47" s="246"/>
      <c r="G47" s="112"/>
      <c r="H47" s="113"/>
    </row>
    <row r="48" spans="2:8" ht="6.75" customHeight="1" thickBot="1" x14ac:dyDescent="0.3">
      <c r="B48" s="109"/>
      <c r="C48" s="252"/>
      <c r="D48" s="253"/>
      <c r="E48" s="254"/>
      <c r="F48" s="255"/>
      <c r="G48" s="112"/>
      <c r="H48" s="113"/>
    </row>
    <row r="49" spans="2:8" ht="15.75" thickTop="1" x14ac:dyDescent="0.25">
      <c r="B49" s="109"/>
      <c r="C49" s="110"/>
      <c r="D49" s="110"/>
      <c r="E49" s="111"/>
      <c r="F49" s="111"/>
      <c r="G49" s="112"/>
      <c r="H49" s="113"/>
    </row>
    <row r="50" spans="2:8" ht="21" customHeight="1" x14ac:dyDescent="0.25">
      <c r="B50" s="247" t="s">
        <v>53</v>
      </c>
      <c r="C50" s="248"/>
      <c r="D50" s="248"/>
      <c r="E50" s="248"/>
      <c r="F50" s="248"/>
      <c r="G50" s="248"/>
      <c r="H50" s="249"/>
    </row>
    <row r="51" spans="2:8" ht="20.25" customHeight="1" x14ac:dyDescent="0.25">
      <c r="B51" s="247" t="s">
        <v>54</v>
      </c>
      <c r="C51" s="248"/>
      <c r="D51" s="248"/>
      <c r="E51" s="248"/>
      <c r="F51" s="248"/>
      <c r="G51" s="248"/>
      <c r="H51" s="249"/>
    </row>
    <row r="52" spans="2:8" ht="20.25" customHeight="1" x14ac:dyDescent="0.25">
      <c r="B52" s="247" t="s">
        <v>55</v>
      </c>
      <c r="C52" s="248"/>
      <c r="D52" s="248"/>
      <c r="E52" s="248"/>
      <c r="F52" s="248"/>
      <c r="G52" s="248"/>
      <c r="H52" s="249"/>
    </row>
    <row r="53" spans="2:8" ht="20.25" customHeight="1" x14ac:dyDescent="0.25">
      <c r="B53" s="247" t="s">
        <v>56</v>
      </c>
      <c r="C53" s="248"/>
      <c r="D53" s="248"/>
      <c r="E53" s="248"/>
      <c r="F53" s="248"/>
      <c r="G53" s="248"/>
      <c r="H53" s="249"/>
    </row>
    <row r="54" spans="2:8" x14ac:dyDescent="0.25">
      <c r="B54" s="247" t="s">
        <v>57</v>
      </c>
      <c r="C54" s="248"/>
      <c r="D54" s="248"/>
      <c r="E54" s="248"/>
      <c r="F54" s="248"/>
      <c r="G54" s="248"/>
      <c r="H54" s="249"/>
    </row>
    <row r="55" spans="2:8" ht="15.75" thickBot="1" x14ac:dyDescent="0.3">
      <c r="B55" s="114"/>
      <c r="C55" s="115"/>
      <c r="D55" s="115"/>
      <c r="E55" s="115"/>
      <c r="F55" s="115"/>
      <c r="G55" s="115"/>
      <c r="H55" s="116"/>
    </row>
  </sheetData>
  <mergeCells count="64">
    <mergeCell ref="E38:F38"/>
    <mergeCell ref="C38:D38"/>
    <mergeCell ref="C26:D26"/>
    <mergeCell ref="E26:F26"/>
    <mergeCell ref="C24:D24"/>
    <mergeCell ref="E24:F24"/>
    <mergeCell ref="C25:D25"/>
    <mergeCell ref="E25:F25"/>
    <mergeCell ref="E32:F32"/>
    <mergeCell ref="C32:D32"/>
    <mergeCell ref="C35:D35"/>
    <mergeCell ref="E35:F35"/>
    <mergeCell ref="B51:H51"/>
    <mergeCell ref="C48:D48"/>
    <mergeCell ref="E48:F48"/>
    <mergeCell ref="C47:D47"/>
    <mergeCell ref="E47:F47"/>
    <mergeCell ref="C43:D43"/>
    <mergeCell ref="B50:H50"/>
    <mergeCell ref="C39:D39"/>
    <mergeCell ref="E39:F39"/>
    <mergeCell ref="C40:D40"/>
    <mergeCell ref="E40:F40"/>
    <mergeCell ref="E43:F43"/>
    <mergeCell ref="C44:D44"/>
    <mergeCell ref="C45:D45"/>
    <mergeCell ref="E45:F45"/>
    <mergeCell ref="C46:D46"/>
    <mergeCell ref="E46:F46"/>
    <mergeCell ref="B52:H52"/>
    <mergeCell ref="B53:H53"/>
    <mergeCell ref="B54:H54"/>
    <mergeCell ref="E33:F33"/>
    <mergeCell ref="C33:D33"/>
    <mergeCell ref="C34:D34"/>
    <mergeCell ref="E34:F34"/>
    <mergeCell ref="C36:D36"/>
    <mergeCell ref="E36:F36"/>
    <mergeCell ref="E44:F44"/>
    <mergeCell ref="C42:D42"/>
    <mergeCell ref="C41:D41"/>
    <mergeCell ref="E41:F41"/>
    <mergeCell ref="E42:F42"/>
    <mergeCell ref="C37:D37"/>
    <mergeCell ref="E37:F37"/>
    <mergeCell ref="C23:D23"/>
    <mergeCell ref="E23:F23"/>
    <mergeCell ref="C27:D27"/>
    <mergeCell ref="E27:F27"/>
    <mergeCell ref="C31:D31"/>
    <mergeCell ref="C28:D28"/>
    <mergeCell ref="C29:D29"/>
    <mergeCell ref="C30:D30"/>
    <mergeCell ref="E28:F28"/>
    <mergeCell ref="E29:F29"/>
    <mergeCell ref="E30:F30"/>
    <mergeCell ref="E31:F31"/>
    <mergeCell ref="B12:H12"/>
    <mergeCell ref="B14:H15"/>
    <mergeCell ref="B16:H16"/>
    <mergeCell ref="B19:H20"/>
    <mergeCell ref="C22:D22"/>
    <mergeCell ref="E22:F22"/>
    <mergeCell ref="B17:H1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249977111117893"/>
  </sheetPr>
  <dimension ref="B1:F16"/>
  <sheetViews>
    <sheetView workbookViewId="0">
      <selection activeCell="E22" sqref="E22"/>
    </sheetView>
  </sheetViews>
  <sheetFormatPr baseColWidth="10" defaultColWidth="14.28515625" defaultRowHeight="12.75" x14ac:dyDescent="0.2"/>
  <cols>
    <col min="1" max="2" width="14.28515625" style="88"/>
    <col min="3" max="3" width="17" style="88" customWidth="1"/>
    <col min="4" max="4" width="14.28515625" style="88"/>
    <col min="5" max="5" width="46" style="88" customWidth="1"/>
    <col min="6" max="16384" width="14.28515625" style="88"/>
  </cols>
  <sheetData>
    <row r="1" spans="2:6" ht="24" customHeight="1" thickBot="1" x14ac:dyDescent="0.25">
      <c r="B1" s="504" t="s">
        <v>159</v>
      </c>
      <c r="C1" s="505"/>
      <c r="D1" s="505"/>
      <c r="E1" s="505"/>
      <c r="F1" s="506"/>
    </row>
    <row r="2" spans="2:6" ht="16.5" thickBot="1" x14ac:dyDescent="0.3">
      <c r="B2" s="89"/>
      <c r="C2" s="89"/>
      <c r="D2" s="89"/>
      <c r="E2" s="89"/>
      <c r="F2" s="89"/>
    </row>
    <row r="3" spans="2:6" ht="16.5" thickBot="1" x14ac:dyDescent="0.25">
      <c r="B3" s="508" t="s">
        <v>160</v>
      </c>
      <c r="C3" s="509"/>
      <c r="D3" s="509"/>
      <c r="E3" s="101" t="s">
        <v>161</v>
      </c>
      <c r="F3" s="102" t="s">
        <v>162</v>
      </c>
    </row>
    <row r="4" spans="2:6" ht="31.5" x14ac:dyDescent="0.2">
      <c r="B4" s="510" t="s">
        <v>163</v>
      </c>
      <c r="C4" s="512" t="s">
        <v>83</v>
      </c>
      <c r="D4" s="90" t="s">
        <v>164</v>
      </c>
      <c r="E4" s="91" t="s">
        <v>165</v>
      </c>
      <c r="F4" s="92">
        <v>0.25</v>
      </c>
    </row>
    <row r="5" spans="2:6" ht="47.25" x14ac:dyDescent="0.2">
      <c r="B5" s="511"/>
      <c r="C5" s="513"/>
      <c r="D5" s="93" t="s">
        <v>166</v>
      </c>
      <c r="E5" s="94" t="s">
        <v>167</v>
      </c>
      <c r="F5" s="95">
        <v>0.15</v>
      </c>
    </row>
    <row r="6" spans="2:6" ht="47.25" x14ac:dyDescent="0.2">
      <c r="B6" s="511"/>
      <c r="C6" s="513"/>
      <c r="D6" s="93" t="s">
        <v>168</v>
      </c>
      <c r="E6" s="94" t="s">
        <v>169</v>
      </c>
      <c r="F6" s="95">
        <v>0.1</v>
      </c>
    </row>
    <row r="7" spans="2:6" ht="63" x14ac:dyDescent="0.2">
      <c r="B7" s="511"/>
      <c r="C7" s="513" t="s">
        <v>84</v>
      </c>
      <c r="D7" s="93" t="s">
        <v>170</v>
      </c>
      <c r="E7" s="94" t="s">
        <v>171</v>
      </c>
      <c r="F7" s="95">
        <v>0.25</v>
      </c>
    </row>
    <row r="8" spans="2:6" ht="31.5" x14ac:dyDescent="0.2">
      <c r="B8" s="511"/>
      <c r="C8" s="513"/>
      <c r="D8" s="93" t="s">
        <v>172</v>
      </c>
      <c r="E8" s="94" t="s">
        <v>173</v>
      </c>
      <c r="F8" s="95">
        <v>0.15</v>
      </c>
    </row>
    <row r="9" spans="2:6" ht="47.25" x14ac:dyDescent="0.2">
      <c r="B9" s="511" t="s">
        <v>174</v>
      </c>
      <c r="C9" s="513" t="s">
        <v>86</v>
      </c>
      <c r="D9" s="93" t="s">
        <v>175</v>
      </c>
      <c r="E9" s="94" t="s">
        <v>176</v>
      </c>
      <c r="F9" s="96" t="s">
        <v>177</v>
      </c>
    </row>
    <row r="10" spans="2:6" ht="63" x14ac:dyDescent="0.2">
      <c r="B10" s="511"/>
      <c r="C10" s="513"/>
      <c r="D10" s="93" t="s">
        <v>178</v>
      </c>
      <c r="E10" s="94" t="s">
        <v>179</v>
      </c>
      <c r="F10" s="96" t="s">
        <v>177</v>
      </c>
    </row>
    <row r="11" spans="2:6" ht="47.25" x14ac:dyDescent="0.2">
      <c r="B11" s="511"/>
      <c r="C11" s="513" t="s">
        <v>87</v>
      </c>
      <c r="D11" s="93" t="s">
        <v>180</v>
      </c>
      <c r="E11" s="94" t="s">
        <v>181</v>
      </c>
      <c r="F11" s="96" t="s">
        <v>177</v>
      </c>
    </row>
    <row r="12" spans="2:6" ht="47.25" x14ac:dyDescent="0.2">
      <c r="B12" s="511"/>
      <c r="C12" s="513"/>
      <c r="D12" s="93" t="s">
        <v>182</v>
      </c>
      <c r="E12" s="94" t="s">
        <v>183</v>
      </c>
      <c r="F12" s="96" t="s">
        <v>177</v>
      </c>
    </row>
    <row r="13" spans="2:6" ht="31.5" x14ac:dyDescent="0.2">
      <c r="B13" s="511"/>
      <c r="C13" s="513" t="s">
        <v>88</v>
      </c>
      <c r="D13" s="93" t="s">
        <v>184</v>
      </c>
      <c r="E13" s="94" t="s">
        <v>185</v>
      </c>
      <c r="F13" s="96" t="s">
        <v>177</v>
      </c>
    </row>
    <row r="14" spans="2:6" ht="32.25" thickBot="1" x14ac:dyDescent="0.25">
      <c r="B14" s="514"/>
      <c r="C14" s="515"/>
      <c r="D14" s="97" t="s">
        <v>186</v>
      </c>
      <c r="E14" s="98" t="s">
        <v>187</v>
      </c>
      <c r="F14" s="99" t="s">
        <v>177</v>
      </c>
    </row>
    <row r="15" spans="2:6" ht="49.5" customHeight="1" x14ac:dyDescent="0.2">
      <c r="B15" s="507" t="s">
        <v>188</v>
      </c>
      <c r="C15" s="507"/>
      <c r="D15" s="507"/>
      <c r="E15" s="507"/>
      <c r="F15" s="507"/>
    </row>
    <row r="16" spans="2:6" ht="27" customHeight="1" x14ac:dyDescent="0.25">
      <c r="B16" s="10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189</v>
      </c>
      <c r="E2" t="s">
        <v>190</v>
      </c>
    </row>
    <row r="3" spans="2:5" x14ac:dyDescent="0.25">
      <c r="B3" t="s">
        <v>191</v>
      </c>
      <c r="E3" t="s">
        <v>192</v>
      </c>
    </row>
    <row r="4" spans="2:5" x14ac:dyDescent="0.25">
      <c r="B4" t="s">
        <v>193</v>
      </c>
      <c r="E4" t="s">
        <v>194</v>
      </c>
    </row>
    <row r="5" spans="2:5" x14ac:dyDescent="0.25">
      <c r="B5" t="s">
        <v>195</v>
      </c>
    </row>
    <row r="8" spans="2:5" x14ac:dyDescent="0.25">
      <c r="B8" t="s">
        <v>196</v>
      </c>
    </row>
    <row r="9" spans="2:5" x14ac:dyDescent="0.25">
      <c r="B9" t="s">
        <v>197</v>
      </c>
    </row>
    <row r="10" spans="2:5" x14ac:dyDescent="0.25">
      <c r="B10" t="s">
        <v>198</v>
      </c>
    </row>
    <row r="13" spans="2:5" x14ac:dyDescent="0.25">
      <c r="B13" t="s">
        <v>199</v>
      </c>
    </row>
    <row r="14" spans="2:5" x14ac:dyDescent="0.25">
      <c r="B14" t="s">
        <v>200</v>
      </c>
    </row>
    <row r="15" spans="2:5" x14ac:dyDescent="0.25">
      <c r="B15" t="s">
        <v>201</v>
      </c>
    </row>
    <row r="16" spans="2:5" x14ac:dyDescent="0.25">
      <c r="B16" t="s">
        <v>202</v>
      </c>
    </row>
    <row r="17" spans="2:2" x14ac:dyDescent="0.25">
      <c r="B17" t="s">
        <v>203</v>
      </c>
    </row>
    <row r="18" spans="2:2" x14ac:dyDescent="0.25">
      <c r="B18" t="s">
        <v>204</v>
      </c>
    </row>
    <row r="19" spans="2:2" x14ac:dyDescent="0.25">
      <c r="B19" t="s">
        <v>205</v>
      </c>
    </row>
  </sheetData>
  <sortState xmlns:xlrd2="http://schemas.microsoft.com/office/spreadsheetml/2017/richdata2" ref="B2:B5">
    <sortCondition ref="B2:B5"/>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164</v>
      </c>
    </row>
    <row r="4" spans="1:1" x14ac:dyDescent="0.2">
      <c r="A4" s="10" t="s">
        <v>166</v>
      </c>
    </row>
    <row r="5" spans="1:1" x14ac:dyDescent="0.2">
      <c r="A5" s="10" t="s">
        <v>168</v>
      </c>
    </row>
    <row r="6" spans="1:1" x14ac:dyDescent="0.2">
      <c r="A6" s="10" t="s">
        <v>170</v>
      </c>
    </row>
    <row r="7" spans="1:1" x14ac:dyDescent="0.2">
      <c r="A7" s="10" t="s">
        <v>172</v>
      </c>
    </row>
    <row r="8" spans="1:1" x14ac:dyDescent="0.2">
      <c r="A8" s="10" t="s">
        <v>175</v>
      </c>
    </row>
    <row r="9" spans="1:1" x14ac:dyDescent="0.2">
      <c r="A9" s="10" t="s">
        <v>178</v>
      </c>
    </row>
    <row r="10" spans="1:1" x14ac:dyDescent="0.2">
      <c r="A10" s="10" t="s">
        <v>180</v>
      </c>
    </row>
    <row r="11" spans="1:1" x14ac:dyDescent="0.2">
      <c r="A11" s="10" t="s">
        <v>182</v>
      </c>
    </row>
    <row r="12" spans="1:1" x14ac:dyDescent="0.2">
      <c r="A12" s="10" t="s">
        <v>206</v>
      </c>
    </row>
    <row r="13" spans="1:1" x14ac:dyDescent="0.2">
      <c r="A13" s="10" t="s">
        <v>207</v>
      </c>
    </row>
    <row r="14" spans="1:1" x14ac:dyDescent="0.2">
      <c r="A14" s="10" t="s">
        <v>208</v>
      </c>
    </row>
    <row r="16" spans="1:1" x14ac:dyDescent="0.2">
      <c r="A16" s="10" t="s">
        <v>209</v>
      </c>
    </row>
    <row r="17" spans="1:1" x14ac:dyDescent="0.2">
      <c r="A17" s="10" t="s">
        <v>189</v>
      </c>
    </row>
    <row r="18" spans="1:1" x14ac:dyDescent="0.2">
      <c r="A18" s="10" t="s">
        <v>191</v>
      </c>
    </row>
    <row r="20" spans="1:1" x14ac:dyDescent="0.2">
      <c r="A20" s="10" t="s">
        <v>197</v>
      </c>
    </row>
    <row r="21" spans="1:1" x14ac:dyDescent="0.2">
      <c r="A21" s="10"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D15"/>
  <sheetViews>
    <sheetView showGridLines="0" topLeftCell="A12" workbookViewId="0">
      <selection activeCell="D15" sqref="D15"/>
    </sheetView>
  </sheetViews>
  <sheetFormatPr baseColWidth="10" defaultRowHeight="15" x14ac:dyDescent="0.25"/>
  <cols>
    <col min="3" max="3" width="46.42578125" customWidth="1"/>
    <col min="4" max="4" width="58" customWidth="1"/>
  </cols>
  <sheetData>
    <row r="4" spans="2:4" ht="52.5" customHeight="1" x14ac:dyDescent="0.25">
      <c r="B4" s="256" t="s">
        <v>211</v>
      </c>
      <c r="C4" s="256"/>
      <c r="D4" s="256"/>
    </row>
    <row r="5" spans="2:4" ht="6.75" customHeight="1" x14ac:dyDescent="0.25">
      <c r="D5" s="137"/>
    </row>
    <row r="6" spans="2:4" ht="15" customHeight="1" x14ac:dyDescent="0.25">
      <c r="B6" s="257" t="s">
        <v>212</v>
      </c>
      <c r="C6" s="138" t="s">
        <v>213</v>
      </c>
      <c r="D6" s="138" t="s">
        <v>214</v>
      </c>
    </row>
    <row r="7" spans="2:4" ht="81" x14ac:dyDescent="0.25">
      <c r="B7" s="257"/>
      <c r="C7" s="204" t="s">
        <v>293</v>
      </c>
      <c r="D7" s="204" t="s">
        <v>299</v>
      </c>
    </row>
    <row r="8" spans="2:4" ht="40.5" x14ac:dyDescent="0.25">
      <c r="B8" s="257"/>
      <c r="C8" s="204" t="s">
        <v>294</v>
      </c>
      <c r="D8" s="204" t="s">
        <v>300</v>
      </c>
    </row>
    <row r="9" spans="2:4" ht="60.75" x14ac:dyDescent="0.25">
      <c r="B9" s="257"/>
      <c r="C9" s="204" t="s">
        <v>295</v>
      </c>
      <c r="D9" s="204" t="s">
        <v>301</v>
      </c>
    </row>
    <row r="10" spans="2:4" ht="60.75" x14ac:dyDescent="0.25">
      <c r="B10" s="257"/>
      <c r="C10" s="204" t="s">
        <v>296</v>
      </c>
      <c r="D10" s="204" t="s">
        <v>302</v>
      </c>
    </row>
    <row r="11" spans="2:4" ht="81" x14ac:dyDescent="0.25">
      <c r="B11" s="257"/>
      <c r="C11" s="204" t="s">
        <v>297</v>
      </c>
      <c r="D11" s="204" t="s">
        <v>303</v>
      </c>
    </row>
    <row r="12" spans="2:4" ht="60.75" x14ac:dyDescent="0.25">
      <c r="B12" s="257"/>
      <c r="C12" s="258" t="s">
        <v>298</v>
      </c>
      <c r="D12" s="204" t="s">
        <v>304</v>
      </c>
    </row>
    <row r="13" spans="2:4" ht="40.5" x14ac:dyDescent="0.25">
      <c r="B13" s="257"/>
      <c r="C13" s="258"/>
      <c r="D13" s="204" t="s">
        <v>305</v>
      </c>
    </row>
    <row r="14" spans="2:4" ht="15.75" customHeight="1" x14ac:dyDescent="0.25">
      <c r="B14" s="257" t="s">
        <v>215</v>
      </c>
      <c r="C14" s="138" t="s">
        <v>216</v>
      </c>
      <c r="D14" s="138" t="s">
        <v>217</v>
      </c>
    </row>
    <row r="15" spans="2:4" ht="101.25" x14ac:dyDescent="0.25">
      <c r="B15" s="257"/>
      <c r="C15" s="204" t="s">
        <v>306</v>
      </c>
      <c r="D15" s="204" t="s">
        <v>307</v>
      </c>
    </row>
  </sheetData>
  <mergeCells count="4">
    <mergeCell ref="B4:D4"/>
    <mergeCell ref="B6:B13"/>
    <mergeCell ref="B14:B15"/>
    <mergeCell ref="C12:C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BP53"/>
  <sheetViews>
    <sheetView showGridLines="0" tabSelected="1" topLeftCell="A16" zoomScale="90" zoomScaleNormal="90" workbookViewId="0">
      <selection activeCell="C18" sqref="C18:N18"/>
    </sheetView>
  </sheetViews>
  <sheetFormatPr baseColWidth="10" defaultColWidth="11.42578125" defaultRowHeight="16.5" x14ac:dyDescent="0.3"/>
  <cols>
    <col min="1" max="1" width="4" style="2" bestFit="1" customWidth="1"/>
    <col min="2" max="2" width="14.140625" style="2" customWidth="1"/>
    <col min="3" max="3" width="27.85546875" style="2" customWidth="1"/>
    <col min="4" max="4" width="35.42578125" style="2" customWidth="1"/>
    <col min="5" max="5" width="42.7109375" style="1" customWidth="1"/>
    <col min="6" max="6" width="19" style="5" customWidth="1"/>
    <col min="7" max="7" width="17.85546875" style="1" customWidth="1"/>
    <col min="8" max="8" width="16.42578125" style="1" customWidth="1"/>
    <col min="9" max="9" width="6.28515625" style="1" bestFit="1" customWidth="1"/>
    <col min="10" max="10" width="27.28515625" style="1" bestFit="1" customWidth="1"/>
    <col min="11" max="11" width="30.42578125" style="1" hidden="1" customWidth="1"/>
    <col min="12" max="12" width="17.42578125" style="1" customWidth="1"/>
    <col min="13" max="13" width="6.28515625" style="1" bestFit="1" customWidth="1"/>
    <col min="14" max="14" width="12.7109375" style="1" customWidth="1"/>
    <col min="15" max="15" width="21.7109375" style="1" customWidth="1"/>
    <col min="16" max="16" width="66.140625" style="1" customWidth="1"/>
    <col min="17" max="17" width="15.140625" style="1" bestFit="1" customWidth="1"/>
    <col min="18" max="18" width="6.85546875" style="1" customWidth="1"/>
    <col min="19" max="19" width="12" style="1" customWidth="1"/>
    <col min="20" max="20" width="5.42578125" style="1" customWidth="1"/>
    <col min="21" max="21" width="7.140625" style="1" customWidth="1"/>
    <col min="22" max="22" width="6.7109375" style="1" customWidth="1"/>
    <col min="23" max="23" width="7.42578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27.7109375" style="1" customWidth="1"/>
    <col min="34" max="34" width="14.85546875" style="1" customWidth="1"/>
    <col min="35" max="35" width="18.42578125" style="1" customWidth="1"/>
    <col min="36" max="36" width="21" style="1" customWidth="1"/>
    <col min="37" max="16384" width="11.42578125" style="1"/>
  </cols>
  <sheetData>
    <row r="1" spans="1:68" ht="36.950000000000003" customHeight="1" x14ac:dyDescent="0.3">
      <c r="A1" s="275" t="s">
        <v>229</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141" t="s">
        <v>219</v>
      </c>
      <c r="AG1" s="146" t="s">
        <v>220</v>
      </c>
      <c r="AH1" s="170"/>
      <c r="AI1" s="170"/>
      <c r="AJ1" s="170"/>
      <c r="AK1" s="170"/>
      <c r="AL1" s="139"/>
      <c r="AM1" s="139"/>
      <c r="AN1" s="139"/>
      <c r="AO1" s="139"/>
      <c r="AP1" s="140"/>
      <c r="AQ1" s="140"/>
      <c r="AR1" s="140"/>
      <c r="AS1" s="140"/>
      <c r="AT1" s="140"/>
      <c r="AU1" s="140"/>
      <c r="AV1" s="140"/>
      <c r="AW1" s="140"/>
      <c r="AX1" s="140"/>
      <c r="AY1" s="140"/>
      <c r="AZ1" s="140"/>
    </row>
    <row r="2" spans="1:68" x14ac:dyDescent="0.3">
      <c r="A2" s="275"/>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141" t="s">
        <v>221</v>
      </c>
      <c r="AG2" s="146">
        <v>6</v>
      </c>
      <c r="AH2" s="142"/>
      <c r="AI2" s="143"/>
      <c r="AJ2" s="143"/>
      <c r="AK2" s="144"/>
      <c r="AL2" s="143"/>
      <c r="AM2" s="143"/>
      <c r="AN2" s="140"/>
      <c r="AO2" s="145"/>
      <c r="AP2" s="140"/>
      <c r="AQ2" s="140"/>
      <c r="AR2" s="140"/>
      <c r="AS2" s="140"/>
      <c r="AT2" s="140"/>
      <c r="AU2" s="140"/>
      <c r="AV2" s="140"/>
      <c r="AW2" s="140"/>
      <c r="AX2" s="140"/>
      <c r="AY2" s="140"/>
      <c r="AZ2" s="140"/>
    </row>
    <row r="3" spans="1:68" x14ac:dyDescent="0.3">
      <c r="A3" s="275"/>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141" t="s">
        <v>222</v>
      </c>
      <c r="AG3" s="148" t="s">
        <v>336</v>
      </c>
      <c r="AH3" s="142"/>
      <c r="AI3" s="143"/>
      <c r="AJ3" s="143"/>
      <c r="AK3" s="144"/>
      <c r="AL3" s="143"/>
      <c r="AM3" s="143"/>
      <c r="AN3" s="140"/>
      <c r="AO3" s="145"/>
      <c r="AP3" s="140"/>
      <c r="AQ3" s="140"/>
      <c r="AR3" s="140"/>
      <c r="AS3" s="140"/>
      <c r="AT3" s="140"/>
      <c r="AU3" s="140"/>
      <c r="AV3" s="140"/>
      <c r="AW3" s="140"/>
      <c r="AX3" s="140"/>
      <c r="AY3" s="140"/>
      <c r="AZ3" s="140"/>
    </row>
    <row r="4" spans="1:68" ht="15.95" customHeight="1" x14ac:dyDescent="0.3">
      <c r="A4" s="275"/>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150" t="s">
        <v>223</v>
      </c>
      <c r="AG4" s="516">
        <v>241903</v>
      </c>
      <c r="AH4" s="142"/>
      <c r="AI4" s="143"/>
      <c r="AJ4" s="143"/>
      <c r="AK4" s="144"/>
      <c r="AL4" s="143"/>
      <c r="AM4" s="143"/>
      <c r="AN4" s="140"/>
      <c r="AO4" s="145"/>
      <c r="AP4" s="140"/>
      <c r="AQ4" s="140"/>
      <c r="AR4" s="140"/>
      <c r="AS4" s="140"/>
      <c r="AT4" s="140"/>
      <c r="AU4" s="140"/>
      <c r="AV4" s="140"/>
      <c r="AW4" s="140"/>
      <c r="AX4" s="140"/>
      <c r="AY4" s="140"/>
      <c r="AZ4" s="140"/>
    </row>
    <row r="5" spans="1:68" ht="24" customHeight="1" x14ac:dyDescent="0.3">
      <c r="A5" s="275"/>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H5" s="142"/>
      <c r="AI5" s="143"/>
      <c r="AJ5" s="143"/>
      <c r="AK5" s="144"/>
      <c r="AL5" s="143"/>
      <c r="AM5" s="143"/>
      <c r="AN5" s="140"/>
      <c r="AO5" s="145"/>
      <c r="AP5" s="140"/>
      <c r="AQ5" s="140"/>
      <c r="AR5" s="140"/>
      <c r="AS5" s="140"/>
      <c r="AT5" s="140"/>
      <c r="AU5" s="140"/>
      <c r="AV5" s="140"/>
      <c r="AW5" s="140"/>
      <c r="AX5" s="140"/>
      <c r="AY5" s="140"/>
      <c r="AZ5" s="140"/>
    </row>
    <row r="6" spans="1:68" x14ac:dyDescent="0.3">
      <c r="A6" s="147"/>
      <c r="B6" s="147"/>
      <c r="C6" s="169"/>
      <c r="D6" s="167"/>
      <c r="E6" s="167"/>
      <c r="F6" s="167"/>
      <c r="G6" s="167"/>
      <c r="H6" s="167"/>
      <c r="I6" s="167"/>
      <c r="J6" s="167"/>
      <c r="K6" s="166"/>
      <c r="L6" s="149"/>
      <c r="M6" s="140"/>
      <c r="N6" s="140"/>
      <c r="O6" s="140"/>
      <c r="P6" s="149"/>
      <c r="Q6" s="147"/>
      <c r="R6" s="147"/>
      <c r="S6" s="147"/>
      <c r="T6" s="151"/>
      <c r="U6" s="151"/>
      <c r="V6" s="151"/>
      <c r="W6" s="151"/>
      <c r="X6" s="151"/>
      <c r="Y6" s="151"/>
      <c r="Z6" s="151"/>
      <c r="AA6" s="152"/>
      <c r="AB6" s="152"/>
      <c r="AC6" s="152"/>
      <c r="AD6" s="152"/>
      <c r="AE6" s="152"/>
      <c r="AH6" s="153"/>
      <c r="AI6" s="154"/>
      <c r="AJ6" s="154"/>
      <c r="AK6" s="154"/>
      <c r="AL6" s="154"/>
      <c r="AM6" s="154"/>
      <c r="AN6" s="155"/>
      <c r="AO6" s="155"/>
      <c r="AP6" s="155"/>
      <c r="AQ6" s="155"/>
      <c r="AR6" s="152"/>
      <c r="AS6" s="152"/>
      <c r="AT6" s="152"/>
      <c r="AU6" s="152"/>
      <c r="AV6" s="152"/>
      <c r="AW6" s="152"/>
      <c r="AX6" s="152"/>
      <c r="AY6" s="152"/>
      <c r="AZ6" s="152"/>
    </row>
    <row r="7" spans="1:68" ht="27.95" customHeight="1" x14ac:dyDescent="0.3">
      <c r="A7" s="159"/>
      <c r="B7" s="159"/>
      <c r="C7" s="140"/>
      <c r="D7" s="140"/>
      <c r="E7" s="140"/>
      <c r="F7" s="140"/>
      <c r="G7" s="140"/>
      <c r="H7" s="140"/>
      <c r="I7" s="140"/>
      <c r="J7" s="140"/>
      <c r="L7" s="140"/>
      <c r="M7" s="140"/>
      <c r="N7" s="278" t="s">
        <v>224</v>
      </c>
      <c r="O7" s="278"/>
      <c r="P7" s="278"/>
      <c r="Q7" s="278"/>
      <c r="R7" s="278"/>
      <c r="S7" s="278"/>
      <c r="T7" s="141"/>
      <c r="U7" s="141"/>
      <c r="V7" s="141"/>
      <c r="W7" s="141"/>
      <c r="X7" s="141"/>
      <c r="Y7" s="141"/>
      <c r="Z7" s="141"/>
      <c r="AA7" s="156"/>
      <c r="AB7" s="156"/>
      <c r="AC7" s="156"/>
      <c r="AD7" s="156"/>
      <c r="AE7" s="156"/>
      <c r="AF7" s="156"/>
      <c r="AG7" s="156"/>
      <c r="AH7" s="142"/>
      <c r="AI7" s="143"/>
      <c r="AJ7" s="143"/>
      <c r="AK7" s="143"/>
      <c r="AL7" s="143"/>
      <c r="AM7" s="143"/>
      <c r="AN7" s="157">
        <v>0</v>
      </c>
      <c r="AO7" s="158"/>
      <c r="AP7" s="157"/>
      <c r="AQ7" s="157"/>
      <c r="AR7" s="140"/>
      <c r="AS7" s="140"/>
      <c r="AT7" s="140"/>
      <c r="AU7" s="140"/>
      <c r="AV7" s="140"/>
      <c r="AW7" s="140"/>
      <c r="AX7" s="140"/>
      <c r="AY7" s="140"/>
      <c r="AZ7" s="140"/>
    </row>
    <row r="8" spans="1:68" ht="17.25" customHeight="1" x14ac:dyDescent="0.3">
      <c r="A8" s="159"/>
      <c r="B8" s="159"/>
      <c r="C8" s="140"/>
      <c r="D8" s="140"/>
      <c r="E8" s="140"/>
      <c r="F8" s="140"/>
      <c r="G8" s="140"/>
      <c r="H8" s="140"/>
      <c r="I8" s="140"/>
      <c r="J8" s="140"/>
      <c r="L8" s="140"/>
      <c r="M8" s="140"/>
      <c r="N8" s="168" t="s">
        <v>225</v>
      </c>
      <c r="O8" s="168" t="s">
        <v>226</v>
      </c>
      <c r="P8" s="280" t="s">
        <v>227</v>
      </c>
      <c r="Q8" s="281"/>
      <c r="R8" s="281"/>
      <c r="S8" s="282"/>
      <c r="T8" s="141"/>
      <c r="U8" s="141"/>
      <c r="V8" s="141"/>
      <c r="W8" s="141"/>
      <c r="X8" s="141"/>
      <c r="Y8" s="141"/>
      <c r="Z8" s="141"/>
      <c r="AA8" s="156"/>
      <c r="AB8" s="156"/>
      <c r="AC8" s="156"/>
      <c r="AD8" s="156"/>
      <c r="AE8" s="156"/>
      <c r="AF8" s="156"/>
      <c r="AG8" s="156"/>
      <c r="AH8" s="142"/>
      <c r="AI8" s="143"/>
      <c r="AJ8" s="143"/>
      <c r="AK8" s="143"/>
      <c r="AL8" s="143"/>
      <c r="AM8" s="143"/>
      <c r="AN8" s="157">
        <v>0</v>
      </c>
      <c r="AO8" s="158"/>
      <c r="AP8" s="157"/>
      <c r="AQ8" s="157"/>
      <c r="AR8" s="140"/>
      <c r="AS8" s="140"/>
      <c r="AT8" s="140"/>
      <c r="AU8" s="140"/>
      <c r="AV8" s="140"/>
      <c r="AW8" s="140"/>
      <c r="AX8" s="140"/>
      <c r="AY8" s="140"/>
      <c r="AZ8" s="140"/>
    </row>
    <row r="9" spans="1:68" ht="89.25" customHeight="1" x14ac:dyDescent="0.3">
      <c r="A9" s="159"/>
      <c r="B9" s="159"/>
      <c r="C9" s="140"/>
      <c r="D9" s="140"/>
      <c r="E9" s="140"/>
      <c r="F9" s="140"/>
      <c r="G9" s="140"/>
      <c r="H9" s="140"/>
      <c r="I9" s="140"/>
      <c r="J9" s="140"/>
      <c r="L9" s="140"/>
      <c r="M9" s="140"/>
      <c r="N9" s="202">
        <v>1</v>
      </c>
      <c r="O9" s="203">
        <v>43098</v>
      </c>
      <c r="P9" s="283" t="s">
        <v>288</v>
      </c>
      <c r="Q9" s="284"/>
      <c r="R9" s="284"/>
      <c r="S9" s="285"/>
      <c r="T9" s="141"/>
      <c r="U9" s="141"/>
      <c r="V9" s="141"/>
      <c r="W9" s="279"/>
      <c r="X9" s="279"/>
      <c r="Y9" s="279"/>
      <c r="Z9" s="279"/>
      <c r="AA9" s="279"/>
      <c r="AB9" s="279"/>
      <c r="AC9" s="163"/>
      <c r="AD9" s="163"/>
      <c r="AE9" s="163"/>
      <c r="AF9" s="140"/>
      <c r="AG9" s="140"/>
      <c r="AH9" s="142"/>
      <c r="AI9" s="143"/>
      <c r="AJ9" s="143"/>
      <c r="AK9" s="143"/>
      <c r="AL9" s="143"/>
      <c r="AM9" s="143"/>
      <c r="AN9" s="157">
        <v>0</v>
      </c>
      <c r="AO9" s="158"/>
      <c r="AP9" s="157"/>
      <c r="AQ9" s="157"/>
      <c r="AR9" s="140"/>
      <c r="AS9" s="140"/>
      <c r="AT9" s="140"/>
      <c r="AU9" s="140"/>
      <c r="AV9" s="140"/>
      <c r="AW9" s="140"/>
      <c r="AX9" s="140"/>
      <c r="AY9" s="140"/>
      <c r="AZ9" s="140"/>
    </row>
    <row r="10" spans="1:68" ht="74.25" customHeight="1" x14ac:dyDescent="0.3">
      <c r="A10" s="159"/>
      <c r="B10" s="159"/>
      <c r="C10" s="140"/>
      <c r="D10" s="140"/>
      <c r="E10" s="140"/>
      <c r="F10" s="140"/>
      <c r="G10" s="140"/>
      <c r="H10" s="140"/>
      <c r="I10" s="140"/>
      <c r="J10" s="140"/>
      <c r="L10" s="140"/>
      <c r="M10" s="140"/>
      <c r="N10" s="202">
        <v>2</v>
      </c>
      <c r="O10" s="203">
        <v>43759</v>
      </c>
      <c r="P10" s="283" t="s">
        <v>289</v>
      </c>
      <c r="Q10" s="284"/>
      <c r="R10" s="284"/>
      <c r="S10" s="285"/>
      <c r="T10" s="141"/>
      <c r="U10" s="141"/>
      <c r="V10" s="141"/>
      <c r="W10" s="184"/>
      <c r="X10" s="184"/>
      <c r="Y10" s="184"/>
      <c r="Z10" s="184"/>
      <c r="AA10" s="184"/>
      <c r="AB10" s="184"/>
      <c r="AC10" s="184"/>
      <c r="AD10" s="184"/>
      <c r="AE10" s="184"/>
      <c r="AF10" s="140"/>
      <c r="AG10" s="140"/>
      <c r="AH10" s="142"/>
      <c r="AI10" s="143"/>
      <c r="AJ10" s="143"/>
      <c r="AK10" s="143"/>
      <c r="AL10" s="143"/>
      <c r="AM10" s="143"/>
      <c r="AN10" s="157"/>
      <c r="AO10" s="158"/>
      <c r="AP10" s="157"/>
      <c r="AQ10" s="157"/>
      <c r="AR10" s="140"/>
      <c r="AS10" s="140"/>
      <c r="AT10" s="140"/>
      <c r="AU10" s="140"/>
      <c r="AV10" s="140"/>
      <c r="AW10" s="140"/>
      <c r="AX10" s="140"/>
      <c r="AY10" s="140"/>
      <c r="AZ10" s="140"/>
    </row>
    <row r="11" spans="1:68" ht="60" customHeight="1" x14ac:dyDescent="0.3">
      <c r="A11" s="159"/>
      <c r="B11" s="159"/>
      <c r="C11" s="140"/>
      <c r="D11" s="140"/>
      <c r="E11" s="140"/>
      <c r="F11" s="140"/>
      <c r="G11" s="140"/>
      <c r="H11" s="140"/>
      <c r="I11" s="140"/>
      <c r="J11" s="140"/>
      <c r="L11" s="140"/>
      <c r="M11" s="140"/>
      <c r="N11" s="202">
        <v>3</v>
      </c>
      <c r="O11" s="203">
        <v>43970</v>
      </c>
      <c r="P11" s="283" t="s">
        <v>290</v>
      </c>
      <c r="Q11" s="284"/>
      <c r="R11" s="284"/>
      <c r="S11" s="285"/>
      <c r="T11" s="141"/>
      <c r="U11" s="141"/>
      <c r="V11" s="141"/>
      <c r="W11" s="184"/>
      <c r="X11" s="184"/>
      <c r="Y11" s="184"/>
      <c r="Z11" s="184"/>
      <c r="AA11" s="184"/>
      <c r="AB11" s="184"/>
      <c r="AC11" s="184"/>
      <c r="AD11" s="184"/>
      <c r="AE11" s="184"/>
      <c r="AF11" s="140"/>
      <c r="AG11" s="140"/>
      <c r="AH11" s="142"/>
      <c r="AI11" s="143"/>
      <c r="AJ11" s="143"/>
      <c r="AK11" s="143"/>
      <c r="AL11" s="143"/>
      <c r="AM11" s="143"/>
      <c r="AN11" s="157"/>
      <c r="AO11" s="158"/>
      <c r="AP11" s="157"/>
      <c r="AQ11" s="157"/>
      <c r="AR11" s="140"/>
      <c r="AS11" s="140"/>
      <c r="AT11" s="140"/>
      <c r="AU11" s="140"/>
      <c r="AV11" s="140"/>
      <c r="AW11" s="140"/>
      <c r="AX11" s="140"/>
      <c r="AY11" s="140"/>
      <c r="AZ11" s="140"/>
    </row>
    <row r="12" spans="1:68" ht="107.25" customHeight="1" x14ac:dyDescent="0.3">
      <c r="A12" s="159"/>
      <c r="B12" s="159"/>
      <c r="C12" s="140"/>
      <c r="D12" s="140"/>
      <c r="E12" s="140"/>
      <c r="F12" s="140"/>
      <c r="G12" s="140"/>
      <c r="H12" s="140"/>
      <c r="I12" s="140"/>
      <c r="J12" s="140"/>
      <c r="L12" s="140"/>
      <c r="M12" s="140"/>
      <c r="N12" s="202">
        <v>4</v>
      </c>
      <c r="O12" s="203">
        <v>44204</v>
      </c>
      <c r="P12" s="283" t="s">
        <v>291</v>
      </c>
      <c r="Q12" s="284"/>
      <c r="R12" s="284"/>
      <c r="S12" s="285"/>
      <c r="T12" s="141"/>
      <c r="U12" s="141"/>
      <c r="V12" s="141"/>
      <c r="W12" s="184"/>
      <c r="X12" s="184"/>
      <c r="Y12" s="184"/>
      <c r="Z12" s="184"/>
      <c r="AA12" s="184"/>
      <c r="AB12" s="184"/>
      <c r="AC12" s="184"/>
      <c r="AD12" s="184"/>
      <c r="AE12" s="184"/>
      <c r="AF12" s="140"/>
      <c r="AG12" s="140"/>
      <c r="AH12" s="142"/>
      <c r="AI12" s="143"/>
      <c r="AJ12" s="143"/>
      <c r="AK12" s="143"/>
      <c r="AL12" s="143"/>
      <c r="AM12" s="143"/>
      <c r="AN12" s="157"/>
      <c r="AO12" s="158"/>
      <c r="AP12" s="157"/>
      <c r="AQ12" s="157"/>
      <c r="AR12" s="140"/>
      <c r="AS12" s="140"/>
      <c r="AT12" s="140"/>
      <c r="AU12" s="140"/>
      <c r="AV12" s="140"/>
      <c r="AW12" s="140"/>
      <c r="AX12" s="140"/>
      <c r="AY12" s="140"/>
      <c r="AZ12" s="140"/>
    </row>
    <row r="13" spans="1:68" ht="73.5" customHeight="1" x14ac:dyDescent="0.3">
      <c r="A13" s="159"/>
      <c r="B13" s="159"/>
      <c r="C13" s="140"/>
      <c r="D13" s="140"/>
      <c r="E13" s="140"/>
      <c r="F13" s="140"/>
      <c r="G13" s="140"/>
      <c r="H13" s="140"/>
      <c r="I13" s="140"/>
      <c r="J13" s="140"/>
      <c r="L13" s="141"/>
      <c r="M13" s="141"/>
      <c r="N13" s="202">
        <v>5</v>
      </c>
      <c r="O13" s="203"/>
      <c r="P13" s="286" t="s">
        <v>292</v>
      </c>
      <c r="Q13" s="286"/>
      <c r="R13" s="286"/>
      <c r="S13" s="286"/>
      <c r="T13" s="141"/>
      <c r="U13" s="141"/>
      <c r="V13" s="141"/>
      <c r="W13" s="276"/>
      <c r="X13" s="276"/>
      <c r="Y13" s="276"/>
      <c r="Z13" s="276"/>
      <c r="AA13" s="276"/>
      <c r="AB13" s="276"/>
      <c r="AC13" s="164"/>
      <c r="AD13" s="164"/>
      <c r="AE13" s="165"/>
      <c r="AF13" s="140"/>
      <c r="AG13" s="140"/>
      <c r="AH13" s="142"/>
      <c r="AI13" s="143"/>
      <c r="AJ13" s="143"/>
      <c r="AK13" s="143"/>
      <c r="AL13" s="143"/>
      <c r="AM13" s="143"/>
      <c r="AN13" s="157">
        <v>0</v>
      </c>
      <c r="AO13" s="158"/>
      <c r="AP13" s="157"/>
      <c r="AQ13" s="157"/>
      <c r="AR13" s="140"/>
      <c r="AS13" s="140"/>
      <c r="AT13" s="140"/>
      <c r="AU13" s="140"/>
      <c r="AV13" s="140"/>
      <c r="AW13" s="140"/>
      <c r="AX13" s="140"/>
      <c r="AY13" s="140"/>
      <c r="AZ13" s="140"/>
    </row>
    <row r="14" spans="1:68" ht="18.75" x14ac:dyDescent="0.3">
      <c r="A14" s="277" t="s">
        <v>228</v>
      </c>
      <c r="B14" s="277"/>
      <c r="C14" s="277"/>
      <c r="D14" s="277"/>
      <c r="E14" s="277"/>
      <c r="F14" s="277"/>
      <c r="G14" s="277"/>
      <c r="H14" s="277"/>
      <c r="I14" s="277"/>
      <c r="J14" s="277"/>
      <c r="K14" s="141"/>
      <c r="L14" s="141"/>
      <c r="M14" s="141"/>
      <c r="N14" s="141"/>
      <c r="O14" s="160"/>
      <c r="P14" s="141"/>
      <c r="Q14" s="141"/>
      <c r="R14" s="141"/>
      <c r="S14" s="141"/>
      <c r="T14" s="141"/>
      <c r="U14" s="141"/>
      <c r="V14" s="141"/>
      <c r="W14" s="156"/>
      <c r="X14" s="156"/>
      <c r="Y14" s="156"/>
      <c r="Z14" s="156"/>
      <c r="AA14" s="156"/>
      <c r="AB14" s="161"/>
      <c r="AC14" s="161"/>
      <c r="AD14" s="161"/>
      <c r="AE14" s="161"/>
      <c r="AF14" s="162"/>
      <c r="AG14" s="162"/>
      <c r="AH14" s="143"/>
      <c r="AI14" s="143"/>
      <c r="AJ14" s="143"/>
      <c r="AK14" s="143"/>
      <c r="AL14" s="143"/>
      <c r="AM14" s="144"/>
      <c r="AN14" s="157"/>
      <c r="AO14" s="157"/>
      <c r="AP14" s="140"/>
      <c r="AQ14" s="140"/>
      <c r="AR14" s="140"/>
      <c r="AS14" s="140"/>
      <c r="AT14" s="140"/>
      <c r="AU14" s="140"/>
      <c r="AV14" s="140"/>
      <c r="AW14" s="140"/>
      <c r="AX14" s="140"/>
      <c r="AY14" s="140"/>
      <c r="AZ14" s="140"/>
    </row>
    <row r="15" spans="1:68" ht="16.5" customHeight="1" x14ac:dyDescent="0.3">
      <c r="A15" s="347"/>
      <c r="B15" s="348"/>
      <c r="C15" s="348"/>
      <c r="D15" s="348"/>
      <c r="E15" s="348"/>
      <c r="F15" s="348"/>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9"/>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24" customHeight="1" x14ac:dyDescent="0.3">
      <c r="A16" s="350"/>
      <c r="B16" s="351"/>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2"/>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x14ac:dyDescent="0.3">
      <c r="A17" s="28"/>
      <c r="B17" s="29"/>
      <c r="C17" s="28"/>
      <c r="D17" s="28"/>
      <c r="E17" s="8"/>
      <c r="F17" s="27"/>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26.25" customHeight="1" x14ac:dyDescent="0.3">
      <c r="A18" s="307" t="s">
        <v>58</v>
      </c>
      <c r="B18" s="308"/>
      <c r="C18" s="318" t="s">
        <v>308</v>
      </c>
      <c r="D18" s="319"/>
      <c r="E18" s="319"/>
      <c r="F18" s="319"/>
      <c r="G18" s="319"/>
      <c r="H18" s="319"/>
      <c r="I18" s="319"/>
      <c r="J18" s="319"/>
      <c r="K18" s="319"/>
      <c r="L18" s="319"/>
      <c r="M18" s="319"/>
      <c r="N18" s="320"/>
      <c r="O18" s="321"/>
      <c r="P18" s="321"/>
      <c r="Q18" s="321"/>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49.5" customHeight="1" x14ac:dyDescent="0.3">
      <c r="A19" s="307" t="s">
        <v>59</v>
      </c>
      <c r="B19" s="308"/>
      <c r="C19" s="314" t="s">
        <v>309</v>
      </c>
      <c r="D19" s="315"/>
      <c r="E19" s="315"/>
      <c r="F19" s="315"/>
      <c r="G19" s="315"/>
      <c r="H19" s="315"/>
      <c r="I19" s="315"/>
      <c r="J19" s="315"/>
      <c r="K19" s="315"/>
      <c r="L19" s="315"/>
      <c r="M19" s="315"/>
      <c r="N19" s="316"/>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49.5" customHeight="1" x14ac:dyDescent="0.3">
      <c r="A20" s="307" t="s">
        <v>60</v>
      </c>
      <c r="B20" s="308"/>
      <c r="C20" s="314" t="s">
        <v>310</v>
      </c>
      <c r="D20" s="315"/>
      <c r="E20" s="315"/>
      <c r="F20" s="315"/>
      <c r="G20" s="315"/>
      <c r="H20" s="315"/>
      <c r="I20" s="315"/>
      <c r="J20" s="315"/>
      <c r="K20" s="315"/>
      <c r="L20" s="315"/>
      <c r="M20" s="315"/>
      <c r="N20" s="316"/>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x14ac:dyDescent="0.3">
      <c r="A21" s="353" t="s">
        <v>61</v>
      </c>
      <c r="B21" s="354"/>
      <c r="C21" s="354"/>
      <c r="D21" s="354"/>
      <c r="E21" s="354"/>
      <c r="F21" s="354"/>
      <c r="G21" s="355"/>
      <c r="H21" s="353" t="s">
        <v>62</v>
      </c>
      <c r="I21" s="354"/>
      <c r="J21" s="354"/>
      <c r="K21" s="354"/>
      <c r="L21" s="354"/>
      <c r="M21" s="354"/>
      <c r="N21" s="355"/>
      <c r="O21" s="353" t="s">
        <v>63</v>
      </c>
      <c r="P21" s="354"/>
      <c r="Q21" s="354"/>
      <c r="R21" s="354"/>
      <c r="S21" s="354"/>
      <c r="T21" s="354"/>
      <c r="U21" s="354"/>
      <c r="V21" s="354"/>
      <c r="W21" s="355"/>
      <c r="X21" s="353" t="s">
        <v>64</v>
      </c>
      <c r="Y21" s="354"/>
      <c r="Z21" s="354"/>
      <c r="AA21" s="354"/>
      <c r="AB21" s="354"/>
      <c r="AC21" s="354"/>
      <c r="AD21" s="355"/>
      <c r="AE21" s="353" t="s">
        <v>65</v>
      </c>
      <c r="AF21" s="354"/>
      <c r="AG21" s="354"/>
      <c r="AH21" s="354"/>
      <c r="AI21" s="354"/>
      <c r="AJ21" s="355"/>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6.5" customHeight="1" x14ac:dyDescent="0.3">
      <c r="A22" s="309" t="s">
        <v>66</v>
      </c>
      <c r="B22" s="301" t="s">
        <v>13</v>
      </c>
      <c r="C22" s="302" t="s">
        <v>15</v>
      </c>
      <c r="D22" s="302" t="s">
        <v>17</v>
      </c>
      <c r="E22" s="311" t="s">
        <v>19</v>
      </c>
      <c r="F22" s="304" t="s">
        <v>21</v>
      </c>
      <c r="G22" s="302" t="s">
        <v>67</v>
      </c>
      <c r="H22" s="322" t="s">
        <v>68</v>
      </c>
      <c r="I22" s="323" t="s">
        <v>69</v>
      </c>
      <c r="J22" s="304" t="s">
        <v>70</v>
      </c>
      <c r="K22" s="304" t="s">
        <v>71</v>
      </c>
      <c r="L22" s="325" t="s">
        <v>72</v>
      </c>
      <c r="M22" s="323" t="s">
        <v>69</v>
      </c>
      <c r="N22" s="302" t="s">
        <v>27</v>
      </c>
      <c r="O22" s="312" t="s">
        <v>73</v>
      </c>
      <c r="P22" s="303" t="s">
        <v>29</v>
      </c>
      <c r="Q22" s="304" t="s">
        <v>31</v>
      </c>
      <c r="R22" s="303" t="s">
        <v>74</v>
      </c>
      <c r="S22" s="303"/>
      <c r="T22" s="303"/>
      <c r="U22" s="303"/>
      <c r="V22" s="303"/>
      <c r="W22" s="303"/>
      <c r="X22" s="317" t="s">
        <v>75</v>
      </c>
      <c r="Y22" s="317" t="s">
        <v>76</v>
      </c>
      <c r="Z22" s="317" t="s">
        <v>69</v>
      </c>
      <c r="AA22" s="317" t="s">
        <v>77</v>
      </c>
      <c r="AB22" s="317" t="s">
        <v>69</v>
      </c>
      <c r="AC22" s="317" t="s">
        <v>78</v>
      </c>
      <c r="AD22" s="312" t="s">
        <v>47</v>
      </c>
      <c r="AE22" s="303" t="s">
        <v>65</v>
      </c>
      <c r="AF22" s="303" t="s">
        <v>79</v>
      </c>
      <c r="AG22" s="303" t="s">
        <v>80</v>
      </c>
      <c r="AH22" s="303" t="s">
        <v>81</v>
      </c>
      <c r="AI22" s="303" t="s">
        <v>82</v>
      </c>
      <c r="AJ22" s="303" t="s">
        <v>51</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s="4" customFormat="1" ht="94.5" customHeight="1" x14ac:dyDescent="0.25">
      <c r="A23" s="310"/>
      <c r="B23" s="301"/>
      <c r="C23" s="303"/>
      <c r="D23" s="303"/>
      <c r="E23" s="301"/>
      <c r="F23" s="302"/>
      <c r="G23" s="303"/>
      <c r="H23" s="302"/>
      <c r="I23" s="324"/>
      <c r="J23" s="302"/>
      <c r="K23" s="302"/>
      <c r="L23" s="324"/>
      <c r="M23" s="324"/>
      <c r="N23" s="303"/>
      <c r="O23" s="313"/>
      <c r="P23" s="303"/>
      <c r="Q23" s="302"/>
      <c r="R23" s="7" t="s">
        <v>83</v>
      </c>
      <c r="S23" s="7" t="s">
        <v>84</v>
      </c>
      <c r="T23" s="7" t="s">
        <v>85</v>
      </c>
      <c r="U23" s="7" t="s">
        <v>86</v>
      </c>
      <c r="V23" s="7" t="s">
        <v>87</v>
      </c>
      <c r="W23" s="7" t="s">
        <v>88</v>
      </c>
      <c r="X23" s="317"/>
      <c r="Y23" s="317"/>
      <c r="Z23" s="317"/>
      <c r="AA23" s="317"/>
      <c r="AB23" s="317"/>
      <c r="AC23" s="317"/>
      <c r="AD23" s="313"/>
      <c r="AE23" s="303"/>
      <c r="AF23" s="303"/>
      <c r="AG23" s="303"/>
      <c r="AH23" s="303"/>
      <c r="AI23" s="303"/>
      <c r="AJ23" s="303"/>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row>
    <row r="24" spans="1:68" s="3" customFormat="1" ht="156.75" customHeight="1" x14ac:dyDescent="0.25">
      <c r="A24" s="263">
        <v>1</v>
      </c>
      <c r="B24" s="259" t="s">
        <v>192</v>
      </c>
      <c r="C24" s="205" t="s">
        <v>311</v>
      </c>
      <c r="D24" s="289" t="s">
        <v>313</v>
      </c>
      <c r="E24" s="291" t="s">
        <v>314</v>
      </c>
      <c r="F24" s="259" t="s">
        <v>232</v>
      </c>
      <c r="G24" s="305">
        <v>2</v>
      </c>
      <c r="H24" s="299" t="str">
        <f>IF(G24&lt;=0,"",IF(G24&lt;=2,"Muy Baja",IF(G24&lt;=24,"Baja",IF(G24&lt;=500,"Media",IF(G24&lt;=5000,"Alta","Muy Alta")))))</f>
        <v>Muy Baja</v>
      </c>
      <c r="I24" s="295">
        <f>IF(H24="","",IF(H24="Muy Baja",0.2,IF(H24="Baja",0.4,IF(H24="Media",0.6,IF(H24="Alta",0.8,IF(H24="Muy Alta",1,))))))</f>
        <v>0.2</v>
      </c>
      <c r="J24" s="297" t="s">
        <v>146</v>
      </c>
      <c r="K24" s="295" t="str">
        <f>IF(NOT(ISERROR(MATCH(J24,'Tabla Impacto'!$B$221:$B$223,0))),'Tabla Impacto'!$F$228&amp;"Por favor no seleccionar los criterios de impacto(Afectación Económica o presupuestal y Pérdida Reputacional)",J24)</f>
        <v xml:space="preserve">     El riesgo afecta la imagen de la entidad internamente, de conocimiento general, nivel interno, de junta dircetiva y accionistas y/o de provedores</v>
      </c>
      <c r="L24" s="299" t="str">
        <f>IF(OR(K24='Tabla Impacto'!$C$11,K24='Tabla Impacto'!$D$11),"Leve",IF(OR(K24='Tabla Impacto'!$C$12,K24='Tabla Impacto'!$D$12),"Menor",IF(OR(K24='Tabla Impacto'!$C$13,K24='Tabla Impacto'!$D$13),"Moderado",IF(OR(K24='Tabla Impacto'!$C$14,K24='Tabla Impacto'!$D$14),"Mayor",IF(OR(K24='Tabla Impacto'!$C$15,K24='Tabla Impacto'!$D$15),"Catastrófico","")))))</f>
        <v>Menor</v>
      </c>
      <c r="M24" s="295">
        <f>IF(L24="","",IF(L24="Leve",0.2,IF(L24="Menor",0.4,IF(L24="Moderado",0.6,IF(L24="Mayor",0.8,IF(L24="Catastrófico",1,))))))</f>
        <v>0.4</v>
      </c>
      <c r="N24" s="293"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Bajo</v>
      </c>
      <c r="O24" s="263">
        <v>1</v>
      </c>
      <c r="P24" s="261" t="s">
        <v>315</v>
      </c>
      <c r="Q24" s="265" t="str">
        <f>IF(OR(R24="Preventivo",R24="Detectivo"),"Probabilidad",IF(R24="Correctivo","Impacto",""))</f>
        <v>Probabilidad</v>
      </c>
      <c r="R24" s="267" t="s">
        <v>166</v>
      </c>
      <c r="S24" s="267" t="s">
        <v>172</v>
      </c>
      <c r="T24" s="269" t="str">
        <f>IF(AND(R24="Preventivo",S24="Automático"),"50%",IF(AND(R24="Preventivo",S24="Manual"),"40%",IF(AND(R24="Detectivo",S24="Automático"),"40%",IF(AND(R24="Detectivo",S24="Manual"),"30%",IF(AND(R24="Correctivo",S24="Automático"),"35%",IF(AND(R24="Correctivo",S24="Manual"),"25%",""))))))</f>
        <v>30%</v>
      </c>
      <c r="U24" s="267" t="s">
        <v>175</v>
      </c>
      <c r="V24" s="267" t="s">
        <v>180</v>
      </c>
      <c r="W24" s="267" t="s">
        <v>184</v>
      </c>
      <c r="X24" s="183">
        <f>IFERROR(IF(Q24="Probabilidad",(I24-(+I24*T24)),IF(Q24="Impacto",I24,"")),"")</f>
        <v>0.14000000000000001</v>
      </c>
      <c r="Y24" s="271" t="str">
        <f>IFERROR(IF(X24="","",IF(X24&lt;=0.2,"Muy Baja",IF(X24&lt;=0.4,"Baja",IF(X24&lt;=0.6,"Media",IF(X24&lt;=0.8,"Alta","Muy Alta"))))),"")</f>
        <v>Muy Baja</v>
      </c>
      <c r="Z24" s="269">
        <f>+X24</f>
        <v>0.14000000000000001</v>
      </c>
      <c r="AA24" s="271" t="str">
        <f>IFERROR(IF(AB24="","",IF(AB24&lt;=0.2,"Leve",IF(AB24&lt;=0.4,"Menor",IF(AB24&lt;=0.6,"Moderado",IF(AB24&lt;=0.8,"Mayor","Catastrófico"))))),"")</f>
        <v>Menor</v>
      </c>
      <c r="AB24" s="269">
        <f>IFERROR(IF(Q24="Impacto",(M24-(+M24*T24)),IF(Q24="Probabilidad",M24,"")),"")</f>
        <v>0.4</v>
      </c>
      <c r="AC24" s="273"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Bajo</v>
      </c>
      <c r="AD24" s="267" t="s">
        <v>189</v>
      </c>
      <c r="AE24" s="259"/>
      <c r="AF24" s="259"/>
      <c r="AG24" s="259"/>
      <c r="AH24" s="259"/>
      <c r="AI24" s="259"/>
      <c r="AJ24" s="259"/>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row>
    <row r="25" spans="1:68" ht="91.5" customHeight="1" x14ac:dyDescent="0.3">
      <c r="A25" s="287"/>
      <c r="B25" s="288"/>
      <c r="C25" s="205" t="s">
        <v>312</v>
      </c>
      <c r="D25" s="290"/>
      <c r="E25" s="292"/>
      <c r="F25" s="288"/>
      <c r="G25" s="306"/>
      <c r="H25" s="300"/>
      <c r="I25" s="296"/>
      <c r="J25" s="298"/>
      <c r="K25" s="296">
        <f>IF(NOT(ISERROR(MATCH(J25,_xlfn.ANCHORARRAY(E27),0))),#REF!&amp;"Por favor no seleccionar los criterios de impacto",J25)</f>
        <v>0</v>
      </c>
      <c r="L25" s="300"/>
      <c r="M25" s="296"/>
      <c r="N25" s="294"/>
      <c r="O25" s="264"/>
      <c r="P25" s="262"/>
      <c r="Q25" s="266"/>
      <c r="R25" s="268"/>
      <c r="S25" s="268"/>
      <c r="T25" s="270"/>
      <c r="U25" s="268"/>
      <c r="V25" s="268"/>
      <c r="W25" s="268"/>
      <c r="X25" s="183" t="str">
        <f>IFERROR(IF(AND(Q24="Probabilidad",Q25="Probabilidad"),(Z24-(+Z24*T25)),IF(Q25="Probabilidad",(I24-(+I24*T25)),IF(Q25="Impacto",Z24,""))),"")</f>
        <v/>
      </c>
      <c r="Y25" s="272"/>
      <c r="Z25" s="270"/>
      <c r="AA25" s="272"/>
      <c r="AB25" s="270"/>
      <c r="AC25" s="274"/>
      <c r="AD25" s="268"/>
      <c r="AE25" s="260"/>
      <c r="AF25" s="260"/>
      <c r="AG25" s="260"/>
      <c r="AH25" s="260"/>
      <c r="AI25" s="260"/>
      <c r="AJ25" s="260"/>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38" customHeight="1" x14ac:dyDescent="0.3">
      <c r="A26" s="185">
        <v>2</v>
      </c>
      <c r="B26" s="189" t="s">
        <v>192</v>
      </c>
      <c r="C26" s="190" t="s">
        <v>316</v>
      </c>
      <c r="D26" s="190" t="s">
        <v>317</v>
      </c>
      <c r="E26" s="191" t="s">
        <v>318</v>
      </c>
      <c r="F26" s="189" t="s">
        <v>232</v>
      </c>
      <c r="G26" s="193">
        <v>490</v>
      </c>
      <c r="H26" s="188" t="str">
        <f>IF(G26&lt;=0,"",IF(G26&lt;=2,"Muy Baja",IF(G26&lt;=24,"Baja",IF(G26&lt;=500,"Media",IF(G26&lt;=5000,"Alta","Muy Alta")))))</f>
        <v>Media</v>
      </c>
      <c r="I26" s="187">
        <f>IF(H26="","",IF(H26="Muy Baja",0.2,IF(H26="Baja",0.4,IF(H26="Media",0.6,IF(H26="Alta",0.8,IF(H26="Muy Alta",1,))))))</f>
        <v>0.6</v>
      </c>
      <c r="J26" s="186" t="s">
        <v>150</v>
      </c>
      <c r="K26" s="187" t="str">
        <f>IF(NOT(ISERROR(MATCH(J26,'Tabla Impacto'!$B$221:$B$223,0))),'Tabla Impacto'!$F$228&amp;"Por favor no seleccionar los criterios de impacto(Afectación Económica o presupuestal y Pérdida Reputacional)",J26)</f>
        <v xml:space="preserve">     El riesgo afecta la imagen de de la entidad con efecto publicitario sostenido a nivel de sector administrativo, nivel departamental o municipal</v>
      </c>
      <c r="L26" s="188" t="str">
        <f>IF(OR(K26='Tabla Impacto'!$C$11,K26='Tabla Impacto'!$D$11),"Leve",IF(OR(K26='Tabla Impacto'!$C$12,K26='Tabla Impacto'!$D$12),"Menor",IF(OR(K26='Tabla Impacto'!$C$13,K26='Tabla Impacto'!$D$13),"Moderado",IF(OR(K26='Tabla Impacto'!$C$14,K26='Tabla Impacto'!$D$14),"Mayor",IF(OR(K26='Tabla Impacto'!$C$15,K26='Tabla Impacto'!$D$15),"Catastrófico","")))))</f>
        <v>Mayor</v>
      </c>
      <c r="M26" s="187">
        <f>IF(L26="","",IF(L26="Leve",0.2,IF(L26="Menor",0.4,IF(L26="Moderado",0.6,IF(L26="Mayor",0.8,IF(L26="Catastrófico",1,))))))</f>
        <v>0.8</v>
      </c>
      <c r="N26" s="192" t="str">
        <f>IF(OR(AND(H26="Muy Baja",L26="Leve"),AND(H26="Muy Baja",L26="Menor"),AND(H26="Baja",L26="Leve")),"Bajo",IF(OR(AND(H26="Muy baja",L26="Moderado"),AND(H26="Baja",L26="Menor"),AND(H26="Baja",L26="Moderado"),AND(H26="Media",L26="Leve"),AND(H26="Media",L26="Menor"),AND(H26="Media",L26="Moderado"),AND(H26="Alta",L26="Leve"),AND(H26="Alta",L26="Menor")),"Moderado",IF(OR(AND(H26="Muy Baja",L26="Mayor"),AND(H26="Baja",L26="Mayor"),AND(H26="Media",L26="Mayor"),AND(H26="Alta",L26="Moderado"),AND(H26="Alta",L26="Mayor"),AND(H26="Muy Alta",L26="Leve"),AND(H26="Muy Alta",L26="Menor"),AND(H26="Muy Alta",L26="Moderado"),AND(H26="Muy Alta",L26="Mayor")),"Alto",IF(OR(AND(H26="Muy Baja",L26="Catastrófico"),AND(H26="Baja",L26="Catastrófico"),AND(H26="Media",L26="Catastrófico"),AND(H26="Alta",L26="Catastrófico"),AND(H26="Muy Alta",L26="Catastrófico")),"Extremo",""))))</f>
        <v>Alto</v>
      </c>
      <c r="O26" s="6">
        <v>1</v>
      </c>
      <c r="P26" s="205" t="s">
        <v>319</v>
      </c>
      <c r="Q26" s="206" t="str">
        <f>IF(OR(R26="Preventivo",R26="Detectivo"),"Probabilidad",IF(R26="Correctivo","Impacto",""))</f>
        <v>Probabilidad</v>
      </c>
      <c r="R26" s="207" t="s">
        <v>166</v>
      </c>
      <c r="S26" s="207" t="s">
        <v>172</v>
      </c>
      <c r="T26" s="208" t="str">
        <f>IF(AND(R26="Preventivo",S26="Automático"),"50%",IF(AND(R26="Preventivo",S26="Manual"),"40%",IF(AND(R26="Detectivo",S26="Automático"),"40%",IF(AND(R26="Detectivo",S26="Manual"),"30%",IF(AND(R26="Correctivo",S26="Automático"),"35%",IF(AND(R26="Correctivo",S26="Manual"),"25%",""))))))</f>
        <v>30%</v>
      </c>
      <c r="U26" s="207" t="s">
        <v>175</v>
      </c>
      <c r="V26" s="207" t="s">
        <v>180</v>
      </c>
      <c r="W26" s="207" t="s">
        <v>184</v>
      </c>
      <c r="X26" s="183">
        <f>IFERROR(IF(Q26="Probabilidad",(I26-(+I26*T26)),IF(Q26="Impacto",I26,"")),"")</f>
        <v>0.42</v>
      </c>
      <c r="Y26" s="209" t="str">
        <f>IFERROR(IF(X26="","",IF(X26&lt;=0.2,"Muy Baja",IF(X26&lt;=0.4,"Baja",IF(X26&lt;=0.6,"Media",IF(X26&lt;=0.8,"Alta","Muy Alta"))))),"")</f>
        <v>Media</v>
      </c>
      <c r="Z26" s="195">
        <f>+X26</f>
        <v>0.42</v>
      </c>
      <c r="AA26" s="209" t="str">
        <f>IFERROR(IF(AB26="","",IF(AB26&lt;=0.2,"Leve",IF(AB26&lt;=0.4,"Menor",IF(AB26&lt;=0.6,"Moderado",IF(AB26&lt;=0.8,"Mayor","Catastrófico"))))),"")</f>
        <v>Mayor</v>
      </c>
      <c r="AB26" s="195">
        <f>IFERROR(IF(Q26="Impacto",(M26-(+M26*T26)),IF(Q26="Probabilidad",M26,"")),"")</f>
        <v>0.8</v>
      </c>
      <c r="AC26" s="210" t="str">
        <f>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Alto</v>
      </c>
      <c r="AD26" s="194" t="s">
        <v>189</v>
      </c>
      <c r="AE26" s="211"/>
      <c r="AF26" s="212"/>
      <c r="AG26" s="213"/>
      <c r="AH26" s="213"/>
      <c r="AI26" s="211"/>
      <c r="AJ26" s="212"/>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26.75" customHeight="1" x14ac:dyDescent="0.3">
      <c r="A27" s="263">
        <v>3</v>
      </c>
      <c r="B27" s="259" t="s">
        <v>192</v>
      </c>
      <c r="C27" s="215" t="s">
        <v>320</v>
      </c>
      <c r="D27" s="289" t="s">
        <v>322</v>
      </c>
      <c r="E27" s="291" t="s">
        <v>323</v>
      </c>
      <c r="F27" s="259" t="s">
        <v>232</v>
      </c>
      <c r="G27" s="305">
        <v>0.5</v>
      </c>
      <c r="H27" s="299" t="str">
        <f>IF(G27&lt;=0,"",IF(G27&lt;=2,"Muy Baja",IF(G27&lt;=24,"Baja",IF(G27&lt;=500,"Media",IF(G27&lt;=5000,"Alta","Muy Alta")))))</f>
        <v>Muy Baja</v>
      </c>
      <c r="I27" s="295">
        <f>IF(H27="","",IF(H27="Muy Baja",0.2,IF(H27="Baja",0.4,IF(H27="Media",0.6,IF(H27="Alta",0.8,IF(H27="Muy Alta",1,))))))</f>
        <v>0.2</v>
      </c>
      <c r="J27" s="297" t="s">
        <v>148</v>
      </c>
      <c r="K27" s="295" t="str">
        <f>IF(NOT(ISERROR(MATCH(J27,'Tabla Impacto'!$B$221:$B$223,0))),'Tabla Impacto'!$F$228&amp;"Por favor no seleccionar los criterios de impacto(Afectación Económica o presupuestal y Pérdida Reputacional)",J27)</f>
        <v xml:space="preserve">     El riesgo afecta la imagen de la entidad con algunos usuarios de relevancia frente al logro de los objetivos</v>
      </c>
      <c r="L27" s="299" t="str">
        <f>IF(OR(K27='Tabla Impacto'!$C$11,K27='Tabla Impacto'!$D$11),"Leve",IF(OR(K27='Tabla Impacto'!$C$12,K27='Tabla Impacto'!$D$12),"Menor",IF(OR(K27='Tabla Impacto'!$C$13,K27='Tabla Impacto'!$D$13),"Moderado",IF(OR(K27='Tabla Impacto'!$C$14,K27='Tabla Impacto'!$D$14),"Mayor",IF(OR(K27='Tabla Impacto'!$C$15,K27='Tabla Impacto'!$D$15),"Catastrófico","")))))</f>
        <v>Moderado</v>
      </c>
      <c r="M27" s="295">
        <f>IF(L27="","",IF(L27="Leve",0.2,IF(L27="Menor",0.4,IF(L27="Moderado",0.6,IF(L27="Mayor",0.8,IF(L27="Catastrófico",1,))))))</f>
        <v>0.6</v>
      </c>
      <c r="N27" s="293" t="str">
        <f>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Moderado</v>
      </c>
      <c r="O27" s="263">
        <v>1</v>
      </c>
      <c r="P27" s="261" t="s">
        <v>324</v>
      </c>
      <c r="Q27" s="265" t="str">
        <f>IF(OR(R27="Preventivo",R27="Detectivo"),"Probabilidad",IF(R27="Correctivo","Impacto",""))</f>
        <v>Probabilidad</v>
      </c>
      <c r="R27" s="267" t="s">
        <v>166</v>
      </c>
      <c r="S27" s="267" t="s">
        <v>172</v>
      </c>
      <c r="T27" s="269" t="str">
        <f>IF(AND(R27="Preventivo",S27="Automático"),"50%",IF(AND(R27="Preventivo",S27="Manual"),"40%",IF(AND(R27="Detectivo",S27="Automático"),"40%",IF(AND(R27="Detectivo",S27="Manual"),"30%",IF(AND(R27="Correctivo",S27="Automático"),"35%",IF(AND(R27="Correctivo",S27="Manual"),"25%",""))))))</f>
        <v>30%</v>
      </c>
      <c r="U27" s="267" t="s">
        <v>175</v>
      </c>
      <c r="V27" s="267" t="s">
        <v>180</v>
      </c>
      <c r="W27" s="267" t="s">
        <v>184</v>
      </c>
      <c r="X27" s="183">
        <f>IFERROR(IF(Q27="Probabilidad",(I27-(+I27*T27)),IF(Q27="Impacto",I27,"")),"")</f>
        <v>0.14000000000000001</v>
      </c>
      <c r="Y27" s="271" t="str">
        <f>IFERROR(IF(X27="","",IF(X27&lt;=0.2,"Muy Baja",IF(X27&lt;=0.4,"Baja",IF(X27&lt;=0.6,"Media",IF(X27&lt;=0.8,"Alta","Muy Alta"))))),"")</f>
        <v>Muy Baja</v>
      </c>
      <c r="Z27" s="269">
        <f>+X27</f>
        <v>0.14000000000000001</v>
      </c>
      <c r="AA27" s="271" t="str">
        <f>IFERROR(IF(AB27="","",IF(AB27&lt;=0.2,"Leve",IF(AB27&lt;=0.4,"Menor",IF(AB27&lt;=0.6,"Moderado",IF(AB27&lt;=0.8,"Mayor","Catastrófico"))))),"")</f>
        <v>Moderado</v>
      </c>
      <c r="AB27" s="269">
        <f>IFERROR(IF(Q27="Impacto",(M27-(+M27*T27)),IF(Q27="Probabilidad",M27,"")),"")</f>
        <v>0.6</v>
      </c>
      <c r="AC27" s="273"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Moderado</v>
      </c>
      <c r="AD27" s="267" t="s">
        <v>189</v>
      </c>
      <c r="AE27" s="259"/>
      <c r="AF27" s="259"/>
      <c r="AG27" s="259"/>
      <c r="AH27" s="259"/>
      <c r="AI27" s="259"/>
      <c r="AJ27" s="259"/>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63" customHeight="1" x14ac:dyDescent="0.3">
      <c r="A28" s="287"/>
      <c r="B28" s="288"/>
      <c r="C28" s="215" t="s">
        <v>321</v>
      </c>
      <c r="D28" s="290"/>
      <c r="E28" s="292"/>
      <c r="F28" s="288"/>
      <c r="G28" s="306"/>
      <c r="H28" s="300"/>
      <c r="I28" s="296"/>
      <c r="J28" s="298"/>
      <c r="K28" s="296">
        <f>IF(NOT(ISERROR(MATCH(J28,_xlfn.ANCHORARRAY(E31),0))),#REF!&amp;"Por favor no seleccionar los criterios de impacto",J28)</f>
        <v>0</v>
      </c>
      <c r="L28" s="300"/>
      <c r="M28" s="296"/>
      <c r="N28" s="294"/>
      <c r="O28" s="264"/>
      <c r="P28" s="262"/>
      <c r="Q28" s="266"/>
      <c r="R28" s="268"/>
      <c r="S28" s="268"/>
      <c r="T28" s="270"/>
      <c r="U28" s="268"/>
      <c r="V28" s="268"/>
      <c r="W28" s="268"/>
      <c r="X28" s="214" t="str">
        <f>IFERROR(IF(AND(Q27="Probabilidad",Q28="Probabilidad"),(Z27-(+Z27*T28)),IF(Q28="Probabilidad",(I27-(+I27*T28)),IF(Q28="Impacto",Z27,""))),"")</f>
        <v/>
      </c>
      <c r="Y28" s="272"/>
      <c r="Z28" s="270"/>
      <c r="AA28" s="272"/>
      <c r="AB28" s="270"/>
      <c r="AC28" s="274"/>
      <c r="AD28" s="268"/>
      <c r="AE28" s="260"/>
      <c r="AF28" s="260"/>
      <c r="AG28" s="260"/>
      <c r="AH28" s="260"/>
      <c r="AI28" s="260"/>
      <c r="AJ28" s="260"/>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14.75" customHeight="1" x14ac:dyDescent="0.3">
      <c r="A29" s="263">
        <v>4</v>
      </c>
      <c r="B29" s="259" t="s">
        <v>230</v>
      </c>
      <c r="C29" s="291" t="s">
        <v>335</v>
      </c>
      <c r="D29" s="289" t="s">
        <v>325</v>
      </c>
      <c r="E29" s="291" t="s">
        <v>326</v>
      </c>
      <c r="F29" s="259" t="s">
        <v>235</v>
      </c>
      <c r="G29" s="305">
        <v>1</v>
      </c>
      <c r="H29" s="299" t="str">
        <f>IF(G29&lt;=0,"",IF(G29&lt;=2,"Muy Baja",IF(G29&lt;=24,"Baja",IF(G29&lt;=500,"Media",IF(G29&lt;=5000,"Alta","Muy Alta")))))</f>
        <v>Muy Baja</v>
      </c>
      <c r="I29" s="295">
        <f>IF(H29="","",IF(H29="Muy Baja",0.2,IF(H29="Baja",0.4,IF(H29="Media",0.6,IF(H29="Alta",0.8,IF(H29="Muy Alta",1,))))))</f>
        <v>0.2</v>
      </c>
      <c r="J29" s="297" t="s">
        <v>237</v>
      </c>
      <c r="K29" s="295" t="str">
        <f>IF(NOT(ISERROR(MATCH(J29,'Tabla Impacto'!$B$221:$B$223,0))),'Tabla Impacto'!$F$228&amp;"Por favor no seleccionar los criterios de impacto(Afectación Económica o presupuestal y Pérdida Reputacional)",J29)</f>
        <v>Entre 1-12.500</v>
      </c>
      <c r="L29" s="299" t="s">
        <v>327</v>
      </c>
      <c r="M29" s="295">
        <f>IF(L29="","",IF(L29="Leve",0.2,IF(L29="Menor",0.4,IF(L29="Moderado",0.6,IF(L29="Mayor",0.8,IF(L29="Catastrófico",1,))))))</f>
        <v>0.2</v>
      </c>
      <c r="N29" s="293" t="str">
        <f>IF(OR(AND(H29="Muy Baja",L29="Leve"),AND(H29="Muy Baja",L29="Menor"),AND(H29="Baja",L29="Leve")),"Bajo",IF(OR(AND(H29="Muy baja",L29="Moderado"),AND(H29="Baja",L29="Menor"),AND(H29="Baja",L29="Moderado"),AND(H29="Media",L29="Leve"),AND(H29="Media",L29="Menor"),AND(H29="Media",L29="Moderado"),AND(H29="Alta",L29="Leve"),AND(H29="Alta",L29="Menor")),"Moderado",IF(OR(AND(H29="Muy Baja",L29="Mayor"),AND(H29="Baja",L29="Mayor"),AND(H29="Media",L29="Mayor"),AND(H29="Alta",L29="Moderado"),AND(H29="Alta",L29="Mayor"),AND(H29="Muy Alta",L29="Leve"),AND(H29="Muy Alta",L29="Menor"),AND(H29="Muy Alta",L29="Moderado"),AND(H29="Muy Alta",L29="Mayor")),"Alto",IF(OR(AND(H29="Muy Baja",L29="Catastrófico"),AND(H29="Baja",L29="Catastrófico"),AND(H29="Media",L29="Catastrófico"),AND(H29="Alta",L29="Catastrófico"),AND(H29="Muy Alta",L29="Catastrófico")),"Extremo",""))))</f>
        <v>Bajo</v>
      </c>
      <c r="O29" s="6">
        <v>1</v>
      </c>
      <c r="P29" s="205" t="s">
        <v>328</v>
      </c>
      <c r="Q29" s="206" t="str">
        <f>IF(OR(R29="Preventivo",R29="Detectivo"),"Probabilidad",IF(R29="Correctivo","Impacto",""))</f>
        <v>Probabilidad</v>
      </c>
      <c r="R29" s="207" t="s">
        <v>164</v>
      </c>
      <c r="S29" s="207" t="s">
        <v>172</v>
      </c>
      <c r="T29" s="208" t="str">
        <f>IF(AND(R29="Preventivo",S29="Automático"),"50%",IF(AND(R29="Preventivo",S29="Manual"),"40%",IF(AND(R29="Detectivo",S29="Automático"),"40%",IF(AND(R29="Detectivo",S29="Manual"),"30%",IF(AND(R29="Correctivo",S29="Automático"),"35%",IF(AND(R29="Correctivo",S29="Manual"),"25%",""))))))</f>
        <v>40%</v>
      </c>
      <c r="U29" s="207" t="s">
        <v>175</v>
      </c>
      <c r="V29" s="207" t="s">
        <v>180</v>
      </c>
      <c r="W29" s="207" t="s">
        <v>184</v>
      </c>
      <c r="X29" s="183">
        <f>IFERROR(IF(Q29="Probabilidad",(I29-(+I29*T29)),IF(Q29="Impacto",I29,"")),"")</f>
        <v>0.12</v>
      </c>
      <c r="Y29" s="209" t="str">
        <f>IFERROR(IF(X29="","",IF(X29&lt;=0.2,"Muy Baja",IF(X29&lt;=0.4,"Baja",IF(X29&lt;=0.6,"Media",IF(X29&lt;=0.8,"Alta","Muy Alta"))))),"")</f>
        <v>Muy Baja</v>
      </c>
      <c r="Z29" s="195">
        <f>+X29</f>
        <v>0.12</v>
      </c>
      <c r="AA29" s="209" t="str">
        <f>IFERROR(IF(AB29="","",IF(AB29&lt;=0.2,"Leve",IF(AB29&lt;=0.4,"Menor",IF(AB29&lt;=0.6,"Moderado",IF(AB29&lt;=0.8,"Mayor","Catastrófico"))))),"")</f>
        <v>Leve</v>
      </c>
      <c r="AB29" s="195">
        <f>IFERROR(IF(Q29="Impacto",(M29-(+M29*T29)),IF(Q29="Probabilidad",M29,"")),"")</f>
        <v>0.2</v>
      </c>
      <c r="AC29" s="210" t="str">
        <f>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Bajo</v>
      </c>
      <c r="AD29" s="267" t="s">
        <v>189</v>
      </c>
      <c r="AE29" s="259"/>
      <c r="AF29" s="259"/>
      <c r="AG29" s="259"/>
      <c r="AH29" s="259"/>
      <c r="AI29" s="259"/>
      <c r="AJ29" s="259"/>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33.5" customHeight="1" x14ac:dyDescent="0.3">
      <c r="A30" s="287"/>
      <c r="B30" s="288"/>
      <c r="C30" s="292"/>
      <c r="D30" s="290"/>
      <c r="E30" s="292"/>
      <c r="F30" s="288"/>
      <c r="G30" s="306"/>
      <c r="H30" s="300"/>
      <c r="I30" s="296"/>
      <c r="J30" s="298"/>
      <c r="K30" s="296">
        <f>IF(NOT(ISERROR(MATCH(J30,_xlfn.ANCHORARRAY(#REF!),0))),#REF!&amp;"Por favor no seleccionar los criterios de impacto",J30)</f>
        <v>0</v>
      </c>
      <c r="L30" s="300"/>
      <c r="M30" s="296"/>
      <c r="N30" s="294"/>
      <c r="O30" s="6">
        <v>2</v>
      </c>
      <c r="P30" s="205" t="s">
        <v>329</v>
      </c>
      <c r="Q30" s="206" t="str">
        <f>IF(OR(R30="Preventivo",R30="Detectivo"),"Probabilidad",IF(R30="Correctivo","Impacto",""))</f>
        <v>Probabilidad</v>
      </c>
      <c r="R30" s="207" t="s">
        <v>166</v>
      </c>
      <c r="S30" s="207" t="s">
        <v>172</v>
      </c>
      <c r="T30" s="208" t="str">
        <f t="shared" ref="T30" si="0">IF(AND(R30="Preventivo",S30="Automático"),"50%",IF(AND(R30="Preventivo",S30="Manual"),"40%",IF(AND(R30="Detectivo",S30="Automático"),"40%",IF(AND(R30="Detectivo",S30="Manual"),"30%",IF(AND(R30="Correctivo",S30="Automático"),"35%",IF(AND(R30="Correctivo",S30="Manual"),"25%",""))))))</f>
        <v>30%</v>
      </c>
      <c r="U30" s="207" t="s">
        <v>175</v>
      </c>
      <c r="V30" s="207" t="s">
        <v>180</v>
      </c>
      <c r="W30" s="207" t="s">
        <v>184</v>
      </c>
      <c r="X30" s="183">
        <f>IFERROR(IF(AND(Q29="Probabilidad",Q30="Probabilidad"),(Z29-(+Z29*T30)),IF(Q30="Probabilidad",(I29-(+I29*T30)),IF(Q30="Impacto",Z29,""))),"")</f>
        <v>8.3999999999999991E-2</v>
      </c>
      <c r="Y30" s="209" t="str">
        <f t="shared" ref="Y30:Y50" si="1">IFERROR(IF(X30="","",IF(X30&lt;=0.2,"Muy Baja",IF(X30&lt;=0.4,"Baja",IF(X30&lt;=0.6,"Media",IF(X30&lt;=0.8,"Alta","Muy Alta"))))),"")</f>
        <v>Muy Baja</v>
      </c>
      <c r="Z30" s="195">
        <f t="shared" ref="Z30" si="2">+X30</f>
        <v>8.3999999999999991E-2</v>
      </c>
      <c r="AA30" s="209" t="str">
        <f t="shared" ref="AA30:AA50" si="3">IFERROR(IF(AB30="","",IF(AB30&lt;=0.2,"Leve",IF(AB30&lt;=0.4,"Menor",IF(AB30&lt;=0.6,"Moderado",IF(AB30&lt;=0.8,"Mayor","Catastrófico"))))),"")</f>
        <v>Leve</v>
      </c>
      <c r="AB30" s="195">
        <f>IFERROR(IF(AND(Q29="Impacto",Q30="Impacto"),(AB29-(+AB29*T30)),IF(Q30="Impacto",(M29-(+M29*T30)),IF(Q30="Probabilidad",AB29,""))),"")</f>
        <v>0.2</v>
      </c>
      <c r="AC30" s="210" t="str">
        <f t="shared" ref="AC30" si="4">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Bajo</v>
      </c>
      <c r="AD30" s="268"/>
      <c r="AE30" s="260"/>
      <c r="AF30" s="260"/>
      <c r="AG30" s="260"/>
      <c r="AH30" s="260"/>
      <c r="AI30" s="260"/>
      <c r="AJ30" s="260"/>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32" customHeight="1" x14ac:dyDescent="0.3">
      <c r="A31" s="263">
        <v>5</v>
      </c>
      <c r="B31" s="259" t="s">
        <v>192</v>
      </c>
      <c r="C31" s="216" t="s">
        <v>331</v>
      </c>
      <c r="D31" s="289" t="s">
        <v>332</v>
      </c>
      <c r="E31" s="291" t="s">
        <v>333</v>
      </c>
      <c r="F31" s="259" t="s">
        <v>232</v>
      </c>
      <c r="G31" s="305">
        <v>250</v>
      </c>
      <c r="H31" s="299" t="str">
        <f>IF(G31&lt;=0,"",IF(G31&lt;=2,"Muy Baja",IF(G31&lt;=24,"Baja",IF(G31&lt;=500,"Media",IF(G31&lt;=5000,"Alta","Muy Alta")))))</f>
        <v>Media</v>
      </c>
      <c r="I31" s="295">
        <f>IF(H31="","",IF(H31="Muy Baja",0.2,IF(H31="Baja",0.4,IF(H31="Media",0.6,IF(H31="Alta",0.8,IF(H31="Muy Alta",1,))))))</f>
        <v>0.6</v>
      </c>
      <c r="J31" s="297" t="s">
        <v>150</v>
      </c>
      <c r="K31" s="295" t="str">
        <f>IF(NOT(ISERROR(MATCH(J31,'Tabla Impacto'!$B$221:$B$223,0))),'Tabla Impacto'!$F$228&amp;"Por favor no seleccionar los criterios de impacto(Afectación Económica o presupuestal y Pérdida Reputacional)",J31)</f>
        <v xml:space="preserve">     El riesgo afecta la imagen de de la entidad con efecto publicitario sostenido a nivel de sector administrativo, nivel departamental o municipal</v>
      </c>
      <c r="L31" s="299" t="str">
        <f>IF(OR(K31='Tabla Impacto'!$C$11,K31='Tabla Impacto'!$D$11),"Leve",IF(OR(K31='Tabla Impacto'!$C$12,K31='Tabla Impacto'!$D$12),"Menor",IF(OR(K31='Tabla Impacto'!$C$13,K31='Tabla Impacto'!$D$13),"Moderado",IF(OR(K31='Tabla Impacto'!$C$14,K31='Tabla Impacto'!$D$14),"Mayor",IF(OR(K31='Tabla Impacto'!$C$15,K31='Tabla Impacto'!$D$15),"Catastrófico","")))))</f>
        <v>Mayor</v>
      </c>
      <c r="M31" s="295">
        <f>IF(L31="","",IF(L31="Leve",0.2,IF(L31="Menor",0.4,IF(L31="Moderado",0.6,IF(L31="Mayor",0.8,IF(L31="Catastrófico",1,))))))</f>
        <v>0.8</v>
      </c>
      <c r="N31" s="293" t="str">
        <f>IF(OR(AND(H31="Muy Baja",L31="Leve"),AND(H31="Muy Baja",L31="Menor"),AND(H31="Baja",L31="Leve")),"Bajo",IF(OR(AND(H31="Muy baja",L31="Moderado"),AND(H31="Baja",L31="Menor"),AND(H31="Baja",L31="Moderado"),AND(H31="Media",L31="Leve"),AND(H31="Media",L31="Menor"),AND(H31="Media",L31="Moderado"),AND(H31="Alta",L31="Leve"),AND(H31="Alta",L31="Menor")),"Moderado",IF(OR(AND(H31="Muy Baja",L31="Mayor"),AND(H31="Baja",L31="Mayor"),AND(H31="Media",L31="Mayor"),AND(H31="Alta",L31="Moderado"),AND(H31="Alta",L31="Mayor"),AND(H31="Muy Alta",L31="Leve"),AND(H31="Muy Alta",L31="Menor"),AND(H31="Muy Alta",L31="Moderado"),AND(H31="Muy Alta",L31="Mayor")),"Alto",IF(OR(AND(H31="Muy Baja",L31="Catastrófico"),AND(H31="Baja",L31="Catastrófico"),AND(H31="Media",L31="Catastrófico"),AND(H31="Alta",L31="Catastrófico"),AND(H31="Muy Alta",L31="Catastrófico")),"Extremo",""))))</f>
        <v>Alto</v>
      </c>
      <c r="O31" s="263">
        <v>1</v>
      </c>
      <c r="P31" s="261" t="s">
        <v>334</v>
      </c>
      <c r="Q31" s="265" t="str">
        <f>IF(OR(R31="Preventivo",R31="Detectivo"),"Probabilidad",IF(R31="Correctivo","Impacto",""))</f>
        <v>Probabilidad</v>
      </c>
      <c r="R31" s="267" t="s">
        <v>164</v>
      </c>
      <c r="S31" s="267" t="s">
        <v>172</v>
      </c>
      <c r="T31" s="269" t="str">
        <f>IF(AND(R31="Preventivo",S31="Automático"),"50%",IF(AND(R31="Preventivo",S31="Manual"),"40%",IF(AND(R31="Detectivo",S31="Automático"),"40%",IF(AND(R31="Detectivo",S31="Manual"),"30%",IF(AND(R31="Correctivo",S31="Automático"),"35%",IF(AND(R31="Correctivo",S31="Manual"),"25%",""))))))</f>
        <v>40%</v>
      </c>
      <c r="U31" s="267" t="s">
        <v>175</v>
      </c>
      <c r="V31" s="267" t="s">
        <v>180</v>
      </c>
      <c r="W31" s="267" t="s">
        <v>184</v>
      </c>
      <c r="X31" s="183">
        <f>IFERROR(IF(Q31="Probabilidad",(I31-(+I31*T31)),IF(Q31="Impacto",I31,"")),"")</f>
        <v>0.36</v>
      </c>
      <c r="Y31" s="271" t="str">
        <f>IFERROR(IF(X31="","",IF(X31&lt;=0.2,"Muy Baja",IF(X31&lt;=0.4,"Baja",IF(X31&lt;=0.6,"Media",IF(X31&lt;=0.8,"Alta","Muy Alta"))))),"")</f>
        <v>Baja</v>
      </c>
      <c r="Z31" s="269">
        <f>+X31</f>
        <v>0.36</v>
      </c>
      <c r="AA31" s="271" t="str">
        <f>IFERROR(IF(AB31="","",IF(AB31&lt;=0.2,"Leve",IF(AB31&lt;=0.4,"Menor",IF(AB31&lt;=0.6,"Moderado",IF(AB31&lt;=0.8,"Mayor","Catastrófico"))))),"")</f>
        <v>Mayor</v>
      </c>
      <c r="AB31" s="269">
        <f>IFERROR(IF(Q31="Impacto",(M31-(+M31*T31)),IF(Q31="Probabilidad",M31,"")),"")</f>
        <v>0.8</v>
      </c>
      <c r="AC31" s="273"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Alto</v>
      </c>
      <c r="AD31" s="267" t="s">
        <v>189</v>
      </c>
      <c r="AE31" s="259"/>
      <c r="AF31" s="259"/>
      <c r="AG31" s="259"/>
      <c r="AH31" s="259"/>
      <c r="AI31" s="259"/>
      <c r="AJ31" s="259"/>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44" customHeight="1" x14ac:dyDescent="0.3">
      <c r="A32" s="287"/>
      <c r="B32" s="288"/>
      <c r="C32" s="216" t="s">
        <v>330</v>
      </c>
      <c r="D32" s="290"/>
      <c r="E32" s="292"/>
      <c r="F32" s="288"/>
      <c r="G32" s="306"/>
      <c r="H32" s="300"/>
      <c r="I32" s="296"/>
      <c r="J32" s="298"/>
      <c r="K32" s="296">
        <f>IF(NOT(ISERROR(MATCH(J32,_xlfn.ANCHORARRAY(#REF!),0))),#REF!&amp;"Por favor no seleccionar los criterios de impacto",J32)</f>
        <v>0</v>
      </c>
      <c r="L32" s="300"/>
      <c r="M32" s="296"/>
      <c r="N32" s="294"/>
      <c r="O32" s="264"/>
      <c r="P32" s="262"/>
      <c r="Q32" s="266"/>
      <c r="R32" s="268"/>
      <c r="S32" s="268"/>
      <c r="T32" s="270"/>
      <c r="U32" s="268"/>
      <c r="V32" s="268"/>
      <c r="W32" s="268"/>
      <c r="X32" s="183" t="str">
        <f>IFERROR(IF(AND(Q31="Probabilidad",Q32="Probabilidad"),(Z31-(+Z31*T32)),IF(Q32="Probabilidad",(I31-(+I31*T32)),IF(Q32="Impacto",Z31,""))),"")</f>
        <v/>
      </c>
      <c r="Y32" s="272"/>
      <c r="Z32" s="270"/>
      <c r="AA32" s="272"/>
      <c r="AB32" s="270"/>
      <c r="AC32" s="274"/>
      <c r="AD32" s="268"/>
      <c r="AE32" s="260"/>
      <c r="AF32" s="260"/>
      <c r="AG32" s="260"/>
      <c r="AH32" s="260"/>
      <c r="AI32" s="260"/>
      <c r="AJ32" s="260"/>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8" hidden="1" customHeight="1" x14ac:dyDescent="0.3">
      <c r="A33" s="263">
        <v>8</v>
      </c>
      <c r="B33" s="338"/>
      <c r="C33" s="338"/>
      <c r="D33" s="338"/>
      <c r="E33" s="341"/>
      <c r="F33" s="338"/>
      <c r="G33" s="344"/>
      <c r="H33" s="326" t="str">
        <f>IF(G33&lt;=0,"",IF(G33&lt;=2,"Muy Baja",IF(G33&lt;=24,"Baja",IF(G33&lt;=500,"Media",IF(G33&lt;=5000,"Alta","Muy Alta")))))</f>
        <v/>
      </c>
      <c r="I33" s="329" t="str">
        <f>IF(H33="","",IF(H33="Muy Baja",0.2,IF(H33="Baja",0.4,IF(H33="Media",0.6,IF(H33="Alta",0.8,IF(H33="Muy Alta",1,))))))</f>
        <v/>
      </c>
      <c r="J33" s="335"/>
      <c r="K33" s="329">
        <f>IF(NOT(ISERROR(MATCH(J33,'Tabla Impacto'!$B$221:$B$223,0))),'Tabla Impacto'!$F$228&amp;"Por favor no seleccionar los criterios de impacto(Afectación Económica o presupuestal y Pérdida Reputacional)",J33)</f>
        <v>0</v>
      </c>
      <c r="L33" s="326" t="str">
        <f>IF(OR(K33='Tabla Impacto'!$C$11,K33='Tabla Impacto'!$D$11),"Leve",IF(OR(K33='Tabla Impacto'!$C$12,K33='Tabla Impacto'!$D$12),"Menor",IF(OR(K33='Tabla Impacto'!$C$13,K33='Tabla Impacto'!$D$13),"Moderado",IF(OR(K33='Tabla Impacto'!$C$14,K33='Tabla Impacto'!$D$14),"Mayor",IF(OR(K33='Tabla Impacto'!$C$15,K33='Tabla Impacto'!$D$15),"Catastrófico","")))))</f>
        <v/>
      </c>
      <c r="M33" s="329" t="str">
        <f>IF(L33="","",IF(L33="Leve",0.2,IF(L33="Menor",0.4,IF(L33="Moderado",0.6,IF(L33="Mayor",0.8,IF(L33="Catastrófico",1,))))))</f>
        <v/>
      </c>
      <c r="N33" s="332" t="str">
        <f>IF(OR(AND(H33="Muy Baja",L33="Leve"),AND(H33="Muy Baja",L33="Menor"),AND(H33="Baja",L33="Leve")),"Bajo",IF(OR(AND(H33="Muy baja",L33="Moderado"),AND(H33="Baja",L33="Menor"),AND(H33="Baja",L33="Moderado"),AND(H33="Media",L33="Leve"),AND(H33="Media",L33="Menor"),AND(H33="Media",L33="Moderado"),AND(H33="Alta",L33="Leve"),AND(H33="Alta",L33="Menor")),"Moderado",IF(OR(AND(H33="Muy Baja",L33="Mayor"),AND(H33="Baja",L33="Mayor"),AND(H33="Media",L33="Mayor"),AND(H33="Alta",L33="Moderado"),AND(H33="Alta",L33="Mayor"),AND(H33="Muy Alta",L33="Leve"),AND(H33="Muy Alta",L33="Menor"),AND(H33="Muy Alta",L33="Moderado"),AND(H33="Muy Alta",L33="Mayor")),"Alto",IF(OR(AND(H33="Muy Baja",L33="Catastrófico"),AND(H33="Baja",L33="Catastrófico"),AND(H33="Media",L33="Catastrófico"),AND(H33="Alta",L33="Catastrófico"),AND(H33="Muy Alta",L33="Catastrófico")),"Extremo",""))))</f>
        <v/>
      </c>
      <c r="O33" s="123">
        <v>1</v>
      </c>
      <c r="P33" s="124"/>
      <c r="Q33" s="125" t="str">
        <f>IF(OR(R33="Preventivo",R33="Detectivo"),"Probabilidad",IF(R33="Correctivo","Impacto",""))</f>
        <v/>
      </c>
      <c r="R33" s="126"/>
      <c r="S33" s="126"/>
      <c r="T33" s="127" t="str">
        <f>IF(AND(R33="Preventivo",S33="Automático"),"50%",IF(AND(R33="Preventivo",S33="Manual"),"40%",IF(AND(R33="Detectivo",S33="Automático"),"40%",IF(AND(R33="Detectivo",S33="Manual"),"30%",IF(AND(R33="Correctivo",S33="Automático"),"35%",IF(AND(R33="Correctivo",S33="Manual"),"25%",""))))))</f>
        <v/>
      </c>
      <c r="U33" s="126"/>
      <c r="V33" s="126"/>
      <c r="W33" s="126"/>
      <c r="X33" s="128" t="str">
        <f>IFERROR(IF(Q33="Probabilidad",(I33-(+I33*T33)),IF(Q33="Impacto",I33,"")),"")</f>
        <v/>
      </c>
      <c r="Y33" s="129" t="str">
        <f>IFERROR(IF(X33="","",IF(X33&lt;=0.2,"Muy Baja",IF(X33&lt;=0.4,"Baja",IF(X33&lt;=0.6,"Media",IF(X33&lt;=0.8,"Alta","Muy Alta"))))),"")</f>
        <v/>
      </c>
      <c r="Z33" s="130" t="str">
        <f>+X33</f>
        <v/>
      </c>
      <c r="AA33" s="129" t="str">
        <f>IFERROR(IF(AB33="","",IF(AB33&lt;=0.2,"Leve",IF(AB33&lt;=0.4,"Menor",IF(AB33&lt;=0.6,"Moderado",IF(AB33&lt;=0.8,"Mayor","Catastrófico"))))),"")</f>
        <v/>
      </c>
      <c r="AB33" s="130" t="str">
        <f>IFERROR(IF(Q33="Impacto",(M33-(+M33*T33)),IF(Q33="Probabilidad",M33,"")),"")</f>
        <v/>
      </c>
      <c r="AC33" s="131"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32"/>
      <c r="AE33" s="133"/>
      <c r="AF33" s="134"/>
      <c r="AG33" s="135"/>
      <c r="AH33" s="135"/>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8" hidden="1" customHeight="1" x14ac:dyDescent="0.3">
      <c r="A34" s="287"/>
      <c r="B34" s="339"/>
      <c r="C34" s="339"/>
      <c r="D34" s="339"/>
      <c r="E34" s="342"/>
      <c r="F34" s="339"/>
      <c r="G34" s="345"/>
      <c r="H34" s="327"/>
      <c r="I34" s="330"/>
      <c r="J34" s="336"/>
      <c r="K34" s="330">
        <f>IF(NOT(ISERROR(MATCH(J34,_xlfn.ANCHORARRAY(E45),0))),I47&amp;"Por favor no seleccionar los criterios de impacto",J34)</f>
        <v>0</v>
      </c>
      <c r="L34" s="327"/>
      <c r="M34" s="330"/>
      <c r="N34" s="333"/>
      <c r="O34" s="123">
        <v>2</v>
      </c>
      <c r="P34" s="124"/>
      <c r="Q34" s="125" t="str">
        <f>IF(OR(R34="Preventivo",R34="Detectivo"),"Probabilidad",IF(R34="Correctivo","Impacto",""))</f>
        <v/>
      </c>
      <c r="R34" s="126"/>
      <c r="S34" s="126"/>
      <c r="T34" s="127" t="str">
        <f t="shared" ref="T34:T38" si="5">IF(AND(R34="Preventivo",S34="Automático"),"50%",IF(AND(R34="Preventivo",S34="Manual"),"40%",IF(AND(R34="Detectivo",S34="Automático"),"40%",IF(AND(R34="Detectivo",S34="Manual"),"30%",IF(AND(R34="Correctivo",S34="Automático"),"35%",IF(AND(R34="Correctivo",S34="Manual"),"25%",""))))))</f>
        <v/>
      </c>
      <c r="U34" s="126"/>
      <c r="V34" s="126"/>
      <c r="W34" s="126"/>
      <c r="X34" s="128" t="str">
        <f>IFERROR(IF(AND(Q33="Probabilidad",Q34="Probabilidad"),(Z33-(+Z33*T34)),IF(Q34="Probabilidad",(I33-(+I33*T34)),IF(Q34="Impacto",Z33,""))),"")</f>
        <v/>
      </c>
      <c r="Y34" s="129" t="str">
        <f t="shared" si="1"/>
        <v/>
      </c>
      <c r="Z34" s="130" t="str">
        <f t="shared" ref="Z34:Z38" si="6">+X34</f>
        <v/>
      </c>
      <c r="AA34" s="129" t="str">
        <f t="shared" si="3"/>
        <v/>
      </c>
      <c r="AB34" s="130" t="str">
        <f>IFERROR(IF(AND(Q33="Impacto",Q34="Impacto"),(AB33-(+AB33*T34)),IF(Q34="Impacto",(M33-(+M33*T34)),IF(Q34="Probabilidad",AB33,""))),"")</f>
        <v/>
      </c>
      <c r="AC34" s="131" t="str">
        <f t="shared" ref="AC34:AC35" si="7">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2"/>
      <c r="AE34" s="133"/>
      <c r="AF34" s="134"/>
      <c r="AG34" s="135"/>
      <c r="AH34" s="135"/>
      <c r="AI34" s="133"/>
      <c r="AJ34" s="134"/>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8" hidden="1" customHeight="1" x14ac:dyDescent="0.3">
      <c r="A35" s="287"/>
      <c r="B35" s="339"/>
      <c r="C35" s="339"/>
      <c r="D35" s="339"/>
      <c r="E35" s="342"/>
      <c r="F35" s="339"/>
      <c r="G35" s="345"/>
      <c r="H35" s="327"/>
      <c r="I35" s="330"/>
      <c r="J35" s="336"/>
      <c r="K35" s="330">
        <f>IF(NOT(ISERROR(MATCH(J35,_xlfn.ANCHORARRAY(E46),0))),I48&amp;"Por favor no seleccionar los criterios de impacto",J35)</f>
        <v>0</v>
      </c>
      <c r="L35" s="327"/>
      <c r="M35" s="330"/>
      <c r="N35" s="333"/>
      <c r="O35" s="123">
        <v>3</v>
      </c>
      <c r="P35" s="136"/>
      <c r="Q35" s="125" t="str">
        <f>IF(OR(R35="Preventivo",R35="Detectivo"),"Probabilidad",IF(R35="Correctivo","Impacto",""))</f>
        <v/>
      </c>
      <c r="R35" s="126"/>
      <c r="S35" s="126"/>
      <c r="T35" s="127" t="str">
        <f t="shared" si="5"/>
        <v/>
      </c>
      <c r="U35" s="126"/>
      <c r="V35" s="126"/>
      <c r="W35" s="126"/>
      <c r="X35" s="128" t="str">
        <f>IFERROR(IF(AND(Q34="Probabilidad",Q35="Probabilidad"),(Z34-(+Z34*T35)),IF(AND(Q34="Impacto",Q35="Probabilidad"),(Z33-(+Z33*T35)),IF(Q35="Impacto",Z34,""))),"")</f>
        <v/>
      </c>
      <c r="Y35" s="129" t="str">
        <f t="shared" si="1"/>
        <v/>
      </c>
      <c r="Z35" s="130" t="str">
        <f t="shared" si="6"/>
        <v/>
      </c>
      <c r="AA35" s="129" t="str">
        <f t="shared" si="3"/>
        <v/>
      </c>
      <c r="AB35" s="130" t="str">
        <f>IFERROR(IF(AND(Q34="Impacto",Q35="Impacto"),(AB34-(+AB34*T35)),IF(AND(Q34="Probabilidad",Q35="Impacto"),(AB33-(+AB33*T35)),IF(Q35="Probabilidad",AB34,""))),"")</f>
        <v/>
      </c>
      <c r="AC35" s="131" t="str">
        <f t="shared" si="7"/>
        <v/>
      </c>
      <c r="AD35" s="132"/>
      <c r="AE35" s="133"/>
      <c r="AF35" s="134"/>
      <c r="AG35" s="135"/>
      <c r="AH35" s="135"/>
      <c r="AI35" s="133"/>
      <c r="AJ35" s="134"/>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8" hidden="1" customHeight="1" x14ac:dyDescent="0.3">
      <c r="A36" s="287"/>
      <c r="B36" s="339"/>
      <c r="C36" s="339"/>
      <c r="D36" s="339"/>
      <c r="E36" s="342"/>
      <c r="F36" s="339"/>
      <c r="G36" s="345"/>
      <c r="H36" s="327"/>
      <c r="I36" s="330"/>
      <c r="J36" s="336"/>
      <c r="K36" s="330">
        <f>IF(NOT(ISERROR(MATCH(J36,_xlfn.ANCHORARRAY(E47),0))),I49&amp;"Por favor no seleccionar los criterios de impacto",J36)</f>
        <v>0</v>
      </c>
      <c r="L36" s="327"/>
      <c r="M36" s="330"/>
      <c r="N36" s="333"/>
      <c r="O36" s="123">
        <v>4</v>
      </c>
      <c r="P36" s="124"/>
      <c r="Q36" s="125" t="str">
        <f t="shared" ref="Q36:Q38" si="8">IF(OR(R36="Preventivo",R36="Detectivo"),"Probabilidad",IF(R36="Correctivo","Impacto",""))</f>
        <v/>
      </c>
      <c r="R36" s="126"/>
      <c r="S36" s="126"/>
      <c r="T36" s="127" t="str">
        <f t="shared" si="5"/>
        <v/>
      </c>
      <c r="U36" s="126"/>
      <c r="V36" s="126"/>
      <c r="W36" s="126"/>
      <c r="X36" s="128" t="str">
        <f t="shared" ref="X36:X38" si="9">IFERROR(IF(AND(Q35="Probabilidad",Q36="Probabilidad"),(Z35-(+Z35*T36)),IF(AND(Q35="Impacto",Q36="Probabilidad"),(Z34-(+Z34*T36)),IF(Q36="Impacto",Z35,""))),"")</f>
        <v/>
      </c>
      <c r="Y36" s="129" t="str">
        <f t="shared" si="1"/>
        <v/>
      </c>
      <c r="Z36" s="130" t="str">
        <f t="shared" si="6"/>
        <v/>
      </c>
      <c r="AA36" s="129" t="str">
        <f t="shared" si="3"/>
        <v/>
      </c>
      <c r="AB36" s="130" t="str">
        <f t="shared" ref="AB36:AB38" si="10">IFERROR(IF(AND(Q35="Impacto",Q36="Impacto"),(AB35-(+AB35*T36)),IF(AND(Q35="Probabilidad",Q36="Impacto"),(AB34-(+AB34*T36)),IF(Q36="Probabilidad",AB35,""))),"")</f>
        <v/>
      </c>
      <c r="AC36" s="131"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32"/>
      <c r="AE36" s="133"/>
      <c r="AF36" s="134"/>
      <c r="AG36" s="135"/>
      <c r="AH36" s="135"/>
      <c r="AI36" s="133"/>
      <c r="AJ36" s="13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8" hidden="1" customHeight="1" x14ac:dyDescent="0.3">
      <c r="A37" s="287"/>
      <c r="B37" s="339"/>
      <c r="C37" s="339"/>
      <c r="D37" s="339"/>
      <c r="E37" s="342"/>
      <c r="F37" s="339"/>
      <c r="G37" s="345"/>
      <c r="H37" s="327"/>
      <c r="I37" s="330"/>
      <c r="J37" s="336"/>
      <c r="K37" s="330">
        <f>IF(NOT(ISERROR(MATCH(J37,_xlfn.ANCHORARRAY(E48),0))),I50&amp;"Por favor no seleccionar los criterios de impacto",J37)</f>
        <v>0</v>
      </c>
      <c r="L37" s="327"/>
      <c r="M37" s="330"/>
      <c r="N37" s="333"/>
      <c r="O37" s="123">
        <v>5</v>
      </c>
      <c r="P37" s="124"/>
      <c r="Q37" s="125" t="str">
        <f t="shared" si="8"/>
        <v/>
      </c>
      <c r="R37" s="126"/>
      <c r="S37" s="126"/>
      <c r="T37" s="127" t="str">
        <f t="shared" si="5"/>
        <v/>
      </c>
      <c r="U37" s="126"/>
      <c r="V37" s="126"/>
      <c r="W37" s="126"/>
      <c r="X37" s="128" t="str">
        <f t="shared" si="9"/>
        <v/>
      </c>
      <c r="Y37" s="129" t="str">
        <f t="shared" si="1"/>
        <v/>
      </c>
      <c r="Z37" s="130" t="str">
        <f t="shared" si="6"/>
        <v/>
      </c>
      <c r="AA37" s="129" t="str">
        <f t="shared" si="3"/>
        <v/>
      </c>
      <c r="AB37" s="130" t="str">
        <f t="shared" si="10"/>
        <v/>
      </c>
      <c r="AC37" s="131" t="str">
        <f t="shared" ref="AC37:AC38" si="1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2"/>
      <c r="AE37" s="133"/>
      <c r="AF37" s="134"/>
      <c r="AG37" s="135"/>
      <c r="AH37" s="135"/>
      <c r="AI37" s="133"/>
      <c r="AJ37" s="13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8" hidden="1" customHeight="1" x14ac:dyDescent="0.3">
      <c r="A38" s="264"/>
      <c r="B38" s="340"/>
      <c r="C38" s="340"/>
      <c r="D38" s="340"/>
      <c r="E38" s="343"/>
      <c r="F38" s="340"/>
      <c r="G38" s="346"/>
      <c r="H38" s="328"/>
      <c r="I38" s="331"/>
      <c r="J38" s="337"/>
      <c r="K38" s="331">
        <f>IF(NOT(ISERROR(MATCH(J38,_xlfn.ANCHORARRAY(E49),0))),I51&amp;"Por favor no seleccionar los criterios de impacto",J38)</f>
        <v>0</v>
      </c>
      <c r="L38" s="328"/>
      <c r="M38" s="331"/>
      <c r="N38" s="334"/>
      <c r="O38" s="123">
        <v>6</v>
      </c>
      <c r="P38" s="124"/>
      <c r="Q38" s="125" t="str">
        <f t="shared" si="8"/>
        <v/>
      </c>
      <c r="R38" s="126"/>
      <c r="S38" s="126"/>
      <c r="T38" s="127" t="str">
        <f t="shared" si="5"/>
        <v/>
      </c>
      <c r="U38" s="126"/>
      <c r="V38" s="126"/>
      <c r="W38" s="126"/>
      <c r="X38" s="128" t="str">
        <f t="shared" si="9"/>
        <v/>
      </c>
      <c r="Y38" s="129" t="str">
        <f t="shared" si="1"/>
        <v/>
      </c>
      <c r="Z38" s="130" t="str">
        <f t="shared" si="6"/>
        <v/>
      </c>
      <c r="AA38" s="129" t="str">
        <f t="shared" si="3"/>
        <v/>
      </c>
      <c r="AB38" s="130" t="str">
        <f t="shared" si="10"/>
        <v/>
      </c>
      <c r="AC38" s="131" t="str">
        <f t="shared" si="11"/>
        <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8" hidden="1" customHeight="1" x14ac:dyDescent="0.3">
      <c r="A39" s="263">
        <v>9</v>
      </c>
      <c r="B39" s="338"/>
      <c r="C39" s="338"/>
      <c r="D39" s="338"/>
      <c r="E39" s="341"/>
      <c r="F39" s="338"/>
      <c r="G39" s="344"/>
      <c r="H39" s="326" t="str">
        <f>IF(G39&lt;=0,"",IF(G39&lt;=2,"Muy Baja",IF(G39&lt;=24,"Baja",IF(G39&lt;=500,"Media",IF(G39&lt;=5000,"Alta","Muy Alta")))))</f>
        <v/>
      </c>
      <c r="I39" s="329" t="str">
        <f>IF(H39="","",IF(H39="Muy Baja",0.2,IF(H39="Baja",0.4,IF(H39="Media",0.6,IF(H39="Alta",0.8,IF(H39="Muy Alta",1,))))))</f>
        <v/>
      </c>
      <c r="J39" s="335"/>
      <c r="K39" s="329">
        <f>IF(NOT(ISERROR(MATCH(J39,'Tabla Impacto'!$B$221:$B$223,0))),'Tabla Impacto'!$F$228&amp;"Por favor no seleccionar los criterios de impacto(Afectación Económica o presupuestal y Pérdida Reputacional)",J39)</f>
        <v>0</v>
      </c>
      <c r="L39" s="326" t="str">
        <f>IF(OR(K39='Tabla Impacto'!$C$11,K39='Tabla Impacto'!$D$11),"Leve",IF(OR(K39='Tabla Impacto'!$C$12,K39='Tabla Impacto'!$D$12),"Menor",IF(OR(K39='Tabla Impacto'!$C$13,K39='Tabla Impacto'!$D$13),"Moderado",IF(OR(K39='Tabla Impacto'!$C$14,K39='Tabla Impacto'!$D$14),"Mayor",IF(OR(K39='Tabla Impacto'!$C$15,K39='Tabla Impacto'!$D$15),"Catastrófico","")))))</f>
        <v/>
      </c>
      <c r="M39" s="329" t="str">
        <f>IF(L39="","",IF(L39="Leve",0.2,IF(L39="Menor",0.4,IF(L39="Moderado",0.6,IF(L39="Mayor",0.8,IF(L39="Catastrófico",1,))))))</f>
        <v/>
      </c>
      <c r="N39" s="332" t="str">
        <f>IF(OR(AND(H39="Muy Baja",L39="Leve"),AND(H39="Muy Baja",L39="Menor"),AND(H39="Baja",L39="Leve")),"Bajo",IF(OR(AND(H39="Muy baja",L39="Moderado"),AND(H39="Baja",L39="Menor"),AND(H39="Baja",L39="Moderado"),AND(H39="Media",L39="Leve"),AND(H39="Media",L39="Menor"),AND(H39="Media",L39="Moderado"),AND(H39="Alta",L39="Leve"),AND(H39="Alta",L39="Menor")),"Moderado",IF(OR(AND(H39="Muy Baja",L39="Mayor"),AND(H39="Baja",L39="Mayor"),AND(H39="Media",L39="Mayor"),AND(H39="Alta",L39="Moderado"),AND(H39="Alta",L39="Mayor"),AND(H39="Muy Alta",L39="Leve"),AND(H39="Muy Alta",L39="Menor"),AND(H39="Muy Alta",L39="Moderado"),AND(H39="Muy Alta",L39="Mayor")),"Alto",IF(OR(AND(H39="Muy Baja",L39="Catastrófico"),AND(H39="Baja",L39="Catastrófico"),AND(H39="Media",L39="Catastrófico"),AND(H39="Alta",L39="Catastrófico"),AND(H39="Muy Alta",L39="Catastrófico")),"Extremo",""))))</f>
        <v/>
      </c>
      <c r="O39" s="123">
        <v>1</v>
      </c>
      <c r="P39" s="124"/>
      <c r="Q39" s="125" t="str">
        <f>IF(OR(R39="Preventivo",R39="Detectivo"),"Probabilidad",IF(R39="Correctivo","Impacto",""))</f>
        <v/>
      </c>
      <c r="R39" s="126"/>
      <c r="S39" s="126"/>
      <c r="T39" s="127" t="str">
        <f>IF(AND(R39="Preventivo",S39="Automático"),"50%",IF(AND(R39="Preventivo",S39="Manual"),"40%",IF(AND(R39="Detectivo",S39="Automático"),"40%",IF(AND(R39="Detectivo",S39="Manual"),"30%",IF(AND(R39="Correctivo",S39="Automático"),"35%",IF(AND(R39="Correctivo",S39="Manual"),"25%",""))))))</f>
        <v/>
      </c>
      <c r="U39" s="126"/>
      <c r="V39" s="126"/>
      <c r="W39" s="126"/>
      <c r="X39" s="128" t="str">
        <f>IFERROR(IF(Q39="Probabilidad",(I39-(+I39*T39)),IF(Q39="Impacto",I39,"")),"")</f>
        <v/>
      </c>
      <c r="Y39" s="129" t="str">
        <f>IFERROR(IF(X39="","",IF(X39&lt;=0.2,"Muy Baja",IF(X39&lt;=0.4,"Baja",IF(X39&lt;=0.6,"Media",IF(X39&lt;=0.8,"Alta","Muy Alta"))))),"")</f>
        <v/>
      </c>
      <c r="Z39" s="130" t="str">
        <f>+X39</f>
        <v/>
      </c>
      <c r="AA39" s="129" t="str">
        <f>IFERROR(IF(AB39="","",IF(AB39&lt;=0.2,"Leve",IF(AB39&lt;=0.4,"Menor",IF(AB39&lt;=0.6,"Moderado",IF(AB39&lt;=0.8,"Mayor","Catastrófico"))))),"")</f>
        <v/>
      </c>
      <c r="AB39" s="130" t="str">
        <f>IFERROR(IF(Q39="Impacto",(M39-(+M39*T39)),IF(Q39="Probabilidad",M39,"")),"")</f>
        <v/>
      </c>
      <c r="AC39" s="131"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8" hidden="1" customHeight="1" x14ac:dyDescent="0.3">
      <c r="A40" s="287"/>
      <c r="B40" s="339"/>
      <c r="C40" s="339"/>
      <c r="D40" s="339"/>
      <c r="E40" s="342"/>
      <c r="F40" s="339"/>
      <c r="G40" s="345"/>
      <c r="H40" s="327"/>
      <c r="I40" s="330"/>
      <c r="J40" s="336"/>
      <c r="K40" s="330">
        <f>IF(NOT(ISERROR(MATCH(J40,_xlfn.ANCHORARRAY(E51),0))),I53&amp;"Por favor no seleccionar los criterios de impacto",J40)</f>
        <v>0</v>
      </c>
      <c r="L40" s="327"/>
      <c r="M40" s="330"/>
      <c r="N40" s="333"/>
      <c r="O40" s="123">
        <v>2</v>
      </c>
      <c r="P40" s="124"/>
      <c r="Q40" s="125" t="str">
        <f>IF(OR(R40="Preventivo",R40="Detectivo"),"Probabilidad",IF(R40="Correctivo","Impacto",""))</f>
        <v/>
      </c>
      <c r="R40" s="126"/>
      <c r="S40" s="126"/>
      <c r="T40" s="127" t="str">
        <f t="shared" ref="T40:T44" si="12">IF(AND(R40="Preventivo",S40="Automático"),"50%",IF(AND(R40="Preventivo",S40="Manual"),"40%",IF(AND(R40="Detectivo",S40="Automático"),"40%",IF(AND(R40="Detectivo",S40="Manual"),"30%",IF(AND(R40="Correctivo",S40="Automático"),"35%",IF(AND(R40="Correctivo",S40="Manual"),"25%",""))))))</f>
        <v/>
      </c>
      <c r="U40" s="126"/>
      <c r="V40" s="126"/>
      <c r="W40" s="126"/>
      <c r="X40" s="128" t="str">
        <f>IFERROR(IF(AND(Q39="Probabilidad",Q40="Probabilidad"),(Z39-(+Z39*T40)),IF(Q40="Probabilidad",(I39-(+I39*T40)),IF(Q40="Impacto",Z39,""))),"")</f>
        <v/>
      </c>
      <c r="Y40" s="129" t="str">
        <f t="shared" si="1"/>
        <v/>
      </c>
      <c r="Z40" s="130" t="str">
        <f t="shared" ref="Z40:Z44" si="13">+X40</f>
        <v/>
      </c>
      <c r="AA40" s="129" t="str">
        <f t="shared" si="3"/>
        <v/>
      </c>
      <c r="AB40" s="130" t="str">
        <f>IFERROR(IF(AND(Q39="Impacto",Q40="Impacto"),(AB39-(+AB39*T40)),IF(Q40="Impacto",(M39-(+M39*T40)),IF(Q40="Probabilidad",AB39,""))),"")</f>
        <v/>
      </c>
      <c r="AC40" s="131" t="str">
        <f t="shared" ref="AC40:AC41" si="14">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2"/>
      <c r="AE40" s="133"/>
      <c r="AF40" s="134"/>
      <c r="AG40" s="135"/>
      <c r="AH40" s="135"/>
      <c r="AI40" s="133"/>
      <c r="AJ40" s="134"/>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8" hidden="1" customHeight="1" x14ac:dyDescent="0.3">
      <c r="A41" s="287"/>
      <c r="B41" s="339"/>
      <c r="C41" s="339"/>
      <c r="D41" s="339"/>
      <c r="E41" s="342"/>
      <c r="F41" s="339"/>
      <c r="G41" s="345"/>
      <c r="H41" s="327"/>
      <c r="I41" s="330"/>
      <c r="J41" s="336"/>
      <c r="K41" s="330">
        <f>IF(NOT(ISERROR(MATCH(J41,_xlfn.ANCHORARRAY(E52),0))),I54&amp;"Por favor no seleccionar los criterios de impacto",J41)</f>
        <v>0</v>
      </c>
      <c r="L41" s="327"/>
      <c r="M41" s="330"/>
      <c r="N41" s="333"/>
      <c r="O41" s="123">
        <v>3</v>
      </c>
      <c r="P41" s="136"/>
      <c r="Q41" s="125" t="str">
        <f>IF(OR(R41="Preventivo",R41="Detectivo"),"Probabilidad",IF(R41="Correctivo","Impacto",""))</f>
        <v/>
      </c>
      <c r="R41" s="126"/>
      <c r="S41" s="126"/>
      <c r="T41" s="127" t="str">
        <f t="shared" si="12"/>
        <v/>
      </c>
      <c r="U41" s="126"/>
      <c r="V41" s="126"/>
      <c r="W41" s="126"/>
      <c r="X41" s="128" t="str">
        <f>IFERROR(IF(AND(Q40="Probabilidad",Q41="Probabilidad"),(Z40-(+Z40*T41)),IF(AND(Q40="Impacto",Q41="Probabilidad"),(Z39-(+Z39*T41)),IF(Q41="Impacto",Z40,""))),"")</f>
        <v/>
      </c>
      <c r="Y41" s="129" t="str">
        <f t="shared" si="1"/>
        <v/>
      </c>
      <c r="Z41" s="130" t="str">
        <f t="shared" si="13"/>
        <v/>
      </c>
      <c r="AA41" s="129" t="str">
        <f t="shared" si="3"/>
        <v/>
      </c>
      <c r="AB41" s="130" t="str">
        <f>IFERROR(IF(AND(Q40="Impacto",Q41="Impacto"),(AB40-(+AB40*T41)),IF(AND(Q40="Probabilidad",Q41="Impacto"),(AB39-(+AB39*T41)),IF(Q41="Probabilidad",AB40,""))),"")</f>
        <v/>
      </c>
      <c r="AC41" s="131" t="str">
        <f t="shared" si="14"/>
        <v/>
      </c>
      <c r="AD41" s="132"/>
      <c r="AE41" s="133"/>
      <c r="AF41" s="134"/>
      <c r="AG41" s="135"/>
      <c r="AH41" s="135"/>
      <c r="AI41" s="133"/>
      <c r="AJ41" s="13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8" hidden="1" customHeight="1" x14ac:dyDescent="0.3">
      <c r="A42" s="287"/>
      <c r="B42" s="339"/>
      <c r="C42" s="339"/>
      <c r="D42" s="339"/>
      <c r="E42" s="342"/>
      <c r="F42" s="339"/>
      <c r="G42" s="345"/>
      <c r="H42" s="327"/>
      <c r="I42" s="330"/>
      <c r="J42" s="336"/>
      <c r="K42" s="330">
        <f>IF(NOT(ISERROR(MATCH(J42,_xlfn.ANCHORARRAY(E53),0))),I55&amp;"Por favor no seleccionar los criterios de impacto",J42)</f>
        <v>0</v>
      </c>
      <c r="L42" s="327"/>
      <c r="M42" s="330"/>
      <c r="N42" s="333"/>
      <c r="O42" s="123">
        <v>4</v>
      </c>
      <c r="P42" s="124"/>
      <c r="Q42" s="125" t="str">
        <f t="shared" ref="Q42:Q44" si="15">IF(OR(R42="Preventivo",R42="Detectivo"),"Probabilidad",IF(R42="Correctivo","Impacto",""))</f>
        <v/>
      </c>
      <c r="R42" s="126"/>
      <c r="S42" s="126"/>
      <c r="T42" s="127" t="str">
        <f t="shared" si="12"/>
        <v/>
      </c>
      <c r="U42" s="126"/>
      <c r="V42" s="126"/>
      <c r="W42" s="126"/>
      <c r="X42" s="128" t="str">
        <f t="shared" ref="X42:X44" si="16">IFERROR(IF(AND(Q41="Probabilidad",Q42="Probabilidad"),(Z41-(+Z41*T42)),IF(AND(Q41="Impacto",Q42="Probabilidad"),(Z40-(+Z40*T42)),IF(Q42="Impacto",Z41,""))),"")</f>
        <v/>
      </c>
      <c r="Y42" s="129" t="str">
        <f t="shared" si="1"/>
        <v/>
      </c>
      <c r="Z42" s="130" t="str">
        <f t="shared" si="13"/>
        <v/>
      </c>
      <c r="AA42" s="129" t="str">
        <f t="shared" si="3"/>
        <v/>
      </c>
      <c r="AB42" s="130" t="str">
        <f t="shared" ref="AB42:AB44" si="17">IFERROR(IF(AND(Q41="Impacto",Q42="Impacto"),(AB41-(+AB41*T42)),IF(AND(Q41="Probabilidad",Q42="Impacto"),(AB40-(+AB40*T42)),IF(Q42="Probabilidad",AB41,""))),"")</f>
        <v/>
      </c>
      <c r="AC42" s="131"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8" hidden="1" customHeight="1" x14ac:dyDescent="0.3">
      <c r="A43" s="287"/>
      <c r="B43" s="339"/>
      <c r="C43" s="339"/>
      <c r="D43" s="339"/>
      <c r="E43" s="342"/>
      <c r="F43" s="339"/>
      <c r="G43" s="345"/>
      <c r="H43" s="327"/>
      <c r="I43" s="330"/>
      <c r="J43" s="336"/>
      <c r="K43" s="330">
        <f>IF(NOT(ISERROR(MATCH(J43,_xlfn.ANCHORARRAY(E54),0))),I56&amp;"Por favor no seleccionar los criterios de impacto",J43)</f>
        <v>0</v>
      </c>
      <c r="L43" s="327"/>
      <c r="M43" s="330"/>
      <c r="N43" s="333"/>
      <c r="O43" s="123">
        <v>5</v>
      </c>
      <c r="P43" s="124"/>
      <c r="Q43" s="125" t="str">
        <f t="shared" si="15"/>
        <v/>
      </c>
      <c r="R43" s="126"/>
      <c r="S43" s="126"/>
      <c r="T43" s="127" t="str">
        <f t="shared" si="12"/>
        <v/>
      </c>
      <c r="U43" s="126"/>
      <c r="V43" s="126"/>
      <c r="W43" s="126"/>
      <c r="X43" s="128" t="str">
        <f t="shared" si="16"/>
        <v/>
      </c>
      <c r="Y43" s="129" t="str">
        <f t="shared" si="1"/>
        <v/>
      </c>
      <c r="Z43" s="130" t="str">
        <f t="shared" si="13"/>
        <v/>
      </c>
      <c r="AA43" s="129" t="str">
        <f t="shared" si="3"/>
        <v/>
      </c>
      <c r="AB43" s="130" t="str">
        <f t="shared" si="17"/>
        <v/>
      </c>
      <c r="AC43" s="131" t="str">
        <f t="shared" ref="AC43:AC44" si="1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8" hidden="1" customHeight="1" x14ac:dyDescent="0.3">
      <c r="A44" s="264"/>
      <c r="B44" s="340"/>
      <c r="C44" s="340"/>
      <c r="D44" s="340"/>
      <c r="E44" s="343"/>
      <c r="F44" s="340"/>
      <c r="G44" s="346"/>
      <c r="H44" s="328"/>
      <c r="I44" s="331"/>
      <c r="J44" s="337"/>
      <c r="K44" s="331">
        <f>IF(NOT(ISERROR(MATCH(J44,_xlfn.ANCHORARRAY(E55),0))),I57&amp;"Por favor no seleccionar los criterios de impacto",J44)</f>
        <v>0</v>
      </c>
      <c r="L44" s="328"/>
      <c r="M44" s="331"/>
      <c r="N44" s="334"/>
      <c r="O44" s="123">
        <v>6</v>
      </c>
      <c r="P44" s="124"/>
      <c r="Q44" s="125" t="str">
        <f t="shared" si="15"/>
        <v/>
      </c>
      <c r="R44" s="126"/>
      <c r="S44" s="126"/>
      <c r="T44" s="127" t="str">
        <f t="shared" si="12"/>
        <v/>
      </c>
      <c r="U44" s="126"/>
      <c r="V44" s="126"/>
      <c r="W44" s="126"/>
      <c r="X44" s="128" t="str">
        <f t="shared" si="16"/>
        <v/>
      </c>
      <c r="Y44" s="129" t="str">
        <f t="shared" si="1"/>
        <v/>
      </c>
      <c r="Z44" s="130" t="str">
        <f t="shared" si="13"/>
        <v/>
      </c>
      <c r="AA44" s="129" t="str">
        <f t="shared" si="3"/>
        <v/>
      </c>
      <c r="AB44" s="130" t="str">
        <f t="shared" si="17"/>
        <v/>
      </c>
      <c r="AC44" s="131" t="str">
        <f t="shared" si="18"/>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8" hidden="1" customHeight="1" x14ac:dyDescent="0.3">
      <c r="A45" s="263">
        <v>10</v>
      </c>
      <c r="B45" s="338"/>
      <c r="C45" s="338"/>
      <c r="D45" s="338"/>
      <c r="E45" s="341"/>
      <c r="F45" s="338"/>
      <c r="G45" s="344"/>
      <c r="H45" s="326" t="str">
        <f>IF(G45&lt;=0,"",IF(G45&lt;=2,"Muy Baja",IF(G45&lt;=24,"Baja",IF(G45&lt;=500,"Media",IF(G45&lt;=5000,"Alta","Muy Alta")))))</f>
        <v/>
      </c>
      <c r="I45" s="329" t="str">
        <f>IF(H45="","",IF(H45="Muy Baja",0.2,IF(H45="Baja",0.4,IF(H45="Media",0.6,IF(H45="Alta",0.8,IF(H45="Muy Alta",1,))))))</f>
        <v/>
      </c>
      <c r="J45" s="335"/>
      <c r="K45" s="329">
        <f>IF(NOT(ISERROR(MATCH(J45,'Tabla Impacto'!$B$221:$B$223,0))),'Tabla Impacto'!$F$228&amp;"Por favor no seleccionar los criterios de impacto(Afectación Económica o presupuestal y Pérdida Reputacional)",J45)</f>
        <v>0</v>
      </c>
      <c r="L45" s="326" t="str">
        <f>IF(OR(K45='Tabla Impacto'!$C$11,K45='Tabla Impacto'!$D$11),"Leve",IF(OR(K45='Tabla Impacto'!$C$12,K45='Tabla Impacto'!$D$12),"Menor",IF(OR(K45='Tabla Impacto'!$C$13,K45='Tabla Impacto'!$D$13),"Moderado",IF(OR(K45='Tabla Impacto'!$C$14,K45='Tabla Impacto'!$D$14),"Mayor",IF(OR(K45='Tabla Impacto'!$C$15,K45='Tabla Impacto'!$D$15),"Catastrófico","")))))</f>
        <v/>
      </c>
      <c r="M45" s="329" t="str">
        <f>IF(L45="","",IF(L45="Leve",0.2,IF(L45="Menor",0.4,IF(L45="Moderado",0.6,IF(L45="Mayor",0.8,IF(L45="Catastrófico",1,))))))</f>
        <v/>
      </c>
      <c r="N45" s="332" t="str">
        <f>IF(OR(AND(H45="Muy Baja",L45="Leve"),AND(H45="Muy Baja",L45="Menor"),AND(H45="Baja",L45="Leve")),"Bajo",IF(OR(AND(H45="Muy baja",L45="Moderado"),AND(H45="Baja",L45="Menor"),AND(H45="Baja",L45="Moderado"),AND(H45="Media",L45="Leve"),AND(H45="Media",L45="Menor"),AND(H45="Media",L45="Moderado"),AND(H45="Alta",L45="Leve"),AND(H45="Alta",L45="Menor")),"Moderado",IF(OR(AND(H45="Muy Baja",L45="Mayor"),AND(H45="Baja",L45="Mayor"),AND(H45="Media",L45="Mayor"),AND(H45="Alta",L45="Moderado"),AND(H45="Alta",L45="Mayor"),AND(H45="Muy Alta",L45="Leve"),AND(H45="Muy Alta",L45="Menor"),AND(H45="Muy Alta",L45="Moderado"),AND(H45="Muy Alta",L45="Mayor")),"Alto",IF(OR(AND(H45="Muy Baja",L45="Catastrófico"),AND(H45="Baja",L45="Catastrófico"),AND(H45="Media",L45="Catastrófico"),AND(H45="Alta",L45="Catastrófico"),AND(H45="Muy Alta",L45="Catastrófico")),"Extremo",""))))</f>
        <v/>
      </c>
      <c r="O45" s="123">
        <v>1</v>
      </c>
      <c r="P45" s="124"/>
      <c r="Q45" s="125" t="str">
        <f>IF(OR(R45="Preventivo",R45="Detectivo"),"Probabilidad",IF(R45="Correctivo","Impacto",""))</f>
        <v/>
      </c>
      <c r="R45" s="126"/>
      <c r="S45" s="126"/>
      <c r="T45" s="127" t="str">
        <f>IF(AND(R45="Preventivo",S45="Automático"),"50%",IF(AND(R45="Preventivo",S45="Manual"),"40%",IF(AND(R45="Detectivo",S45="Automático"),"40%",IF(AND(R45="Detectivo",S45="Manual"),"30%",IF(AND(R45="Correctivo",S45="Automático"),"35%",IF(AND(R45="Correctivo",S45="Manual"),"25%",""))))))</f>
        <v/>
      </c>
      <c r="U45" s="126"/>
      <c r="V45" s="126"/>
      <c r="W45" s="126"/>
      <c r="X45" s="128" t="str">
        <f>IFERROR(IF(Q45="Probabilidad",(I45-(+I45*T45)),IF(Q45="Impacto",I45,"")),"")</f>
        <v/>
      </c>
      <c r="Y45" s="129" t="str">
        <f>IFERROR(IF(X45="","",IF(X45&lt;=0.2,"Muy Baja",IF(X45&lt;=0.4,"Baja",IF(X45&lt;=0.6,"Media",IF(X45&lt;=0.8,"Alta","Muy Alta"))))),"")</f>
        <v/>
      </c>
      <c r="Z45" s="130" t="str">
        <f>+X45</f>
        <v/>
      </c>
      <c r="AA45" s="129" t="str">
        <f>IFERROR(IF(AB45="","",IF(AB45&lt;=0.2,"Leve",IF(AB45&lt;=0.4,"Menor",IF(AB45&lt;=0.6,"Moderado",IF(AB45&lt;=0.8,"Mayor","Catastrófico"))))),"")</f>
        <v/>
      </c>
      <c r="AB45" s="130" t="str">
        <f>IFERROR(IF(Q45="Impacto",(M45-(+M45*T45)),IF(Q45="Probabilidad",M45,"")),"")</f>
        <v/>
      </c>
      <c r="AC45" s="13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8" hidden="1" customHeight="1" x14ac:dyDescent="0.3">
      <c r="A46" s="287"/>
      <c r="B46" s="339"/>
      <c r="C46" s="339"/>
      <c r="D46" s="339"/>
      <c r="E46" s="342"/>
      <c r="F46" s="339"/>
      <c r="G46" s="345"/>
      <c r="H46" s="327"/>
      <c r="I46" s="330"/>
      <c r="J46" s="336"/>
      <c r="K46" s="330">
        <f>IF(NOT(ISERROR(MATCH(J46,_xlfn.ANCHORARRAY(E57),0))),I59&amp;"Por favor no seleccionar los criterios de impacto",J46)</f>
        <v>0</v>
      </c>
      <c r="L46" s="327"/>
      <c r="M46" s="330"/>
      <c r="N46" s="333"/>
      <c r="O46" s="123">
        <v>2</v>
      </c>
      <c r="P46" s="124"/>
      <c r="Q46" s="125" t="str">
        <f>IF(OR(R46="Preventivo",R46="Detectivo"),"Probabilidad",IF(R46="Correctivo","Impacto",""))</f>
        <v/>
      </c>
      <c r="R46" s="126"/>
      <c r="S46" s="126"/>
      <c r="T46" s="127" t="str">
        <f t="shared" ref="T46:T50" si="19">IF(AND(R46="Preventivo",S46="Automático"),"50%",IF(AND(R46="Preventivo",S46="Manual"),"40%",IF(AND(R46="Detectivo",S46="Automático"),"40%",IF(AND(R46="Detectivo",S46="Manual"),"30%",IF(AND(R46="Correctivo",S46="Automático"),"35%",IF(AND(R46="Correctivo",S46="Manual"),"25%",""))))))</f>
        <v/>
      </c>
      <c r="U46" s="126"/>
      <c r="V46" s="126"/>
      <c r="W46" s="126"/>
      <c r="X46" s="128" t="str">
        <f>IFERROR(IF(AND(Q45="Probabilidad",Q46="Probabilidad"),(Z45-(+Z45*T46)),IF(Q46="Probabilidad",(I45-(+I45*T46)),IF(Q46="Impacto",Z45,""))),"")</f>
        <v/>
      </c>
      <c r="Y46" s="129" t="str">
        <f t="shared" si="1"/>
        <v/>
      </c>
      <c r="Z46" s="130" t="str">
        <f t="shared" ref="Z46:Z50" si="20">+X46</f>
        <v/>
      </c>
      <c r="AA46" s="129" t="str">
        <f t="shared" si="3"/>
        <v/>
      </c>
      <c r="AB46" s="130" t="str">
        <f>IFERROR(IF(AND(Q45="Impacto",Q46="Impacto"),(AB45-(+AB45*T46)),IF(Q46="Impacto",(M45-(+M45*T46)),IF(Q46="Probabilidad",AB45,""))),"")</f>
        <v/>
      </c>
      <c r="AC46" s="131" t="str">
        <f t="shared" ref="AC46:AC47" si="21">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2"/>
      <c r="AE46" s="133"/>
      <c r="AF46" s="134"/>
      <c r="AG46" s="135"/>
      <c r="AH46" s="135"/>
      <c r="AI46" s="133"/>
      <c r="AJ46" s="134"/>
    </row>
    <row r="47" spans="1:68" ht="18" hidden="1" customHeight="1" x14ac:dyDescent="0.3">
      <c r="A47" s="287"/>
      <c r="B47" s="339"/>
      <c r="C47" s="339"/>
      <c r="D47" s="339"/>
      <c r="E47" s="342"/>
      <c r="F47" s="339"/>
      <c r="G47" s="345"/>
      <c r="H47" s="327"/>
      <c r="I47" s="330"/>
      <c r="J47" s="336"/>
      <c r="K47" s="330">
        <f>IF(NOT(ISERROR(MATCH(J47,_xlfn.ANCHORARRAY(E58),0))),I60&amp;"Por favor no seleccionar los criterios de impacto",J47)</f>
        <v>0</v>
      </c>
      <c r="L47" s="327"/>
      <c r="M47" s="330"/>
      <c r="N47" s="333"/>
      <c r="O47" s="123">
        <v>3</v>
      </c>
      <c r="P47" s="136"/>
      <c r="Q47" s="125" t="str">
        <f>IF(OR(R47="Preventivo",R47="Detectivo"),"Probabilidad",IF(R47="Correctivo","Impacto",""))</f>
        <v/>
      </c>
      <c r="R47" s="126"/>
      <c r="S47" s="126"/>
      <c r="T47" s="127" t="str">
        <f t="shared" si="19"/>
        <v/>
      </c>
      <c r="U47" s="126"/>
      <c r="V47" s="126"/>
      <c r="W47" s="126"/>
      <c r="X47" s="128" t="str">
        <f>IFERROR(IF(AND(Q46="Probabilidad",Q47="Probabilidad"),(Z46-(+Z46*T47)),IF(AND(Q46="Impacto",Q47="Probabilidad"),(Z45-(+Z45*T47)),IF(Q47="Impacto",Z46,""))),"")</f>
        <v/>
      </c>
      <c r="Y47" s="129" t="str">
        <f t="shared" si="1"/>
        <v/>
      </c>
      <c r="Z47" s="130" t="str">
        <f t="shared" si="20"/>
        <v/>
      </c>
      <c r="AA47" s="129" t="str">
        <f t="shared" si="3"/>
        <v/>
      </c>
      <c r="AB47" s="130" t="str">
        <f>IFERROR(IF(AND(Q46="Impacto",Q47="Impacto"),(AB46-(+AB46*T47)),IF(AND(Q46="Probabilidad",Q47="Impacto"),(AB45-(+AB45*T47)),IF(Q47="Probabilidad",AB46,""))),"")</f>
        <v/>
      </c>
      <c r="AC47" s="131" t="str">
        <f t="shared" si="21"/>
        <v/>
      </c>
      <c r="AD47" s="132"/>
      <c r="AE47" s="133"/>
      <c r="AF47" s="134"/>
      <c r="AG47" s="135"/>
      <c r="AH47" s="135"/>
      <c r="AI47" s="133"/>
      <c r="AJ47" s="134"/>
    </row>
    <row r="48" spans="1:68" ht="18" hidden="1" customHeight="1" x14ac:dyDescent="0.3">
      <c r="A48" s="287"/>
      <c r="B48" s="339"/>
      <c r="C48" s="339"/>
      <c r="D48" s="339"/>
      <c r="E48" s="342"/>
      <c r="F48" s="339"/>
      <c r="G48" s="345"/>
      <c r="H48" s="327"/>
      <c r="I48" s="330"/>
      <c r="J48" s="336"/>
      <c r="K48" s="330">
        <f>IF(NOT(ISERROR(MATCH(J48,_xlfn.ANCHORARRAY(E59),0))),I61&amp;"Por favor no seleccionar los criterios de impacto",J48)</f>
        <v>0</v>
      </c>
      <c r="L48" s="327"/>
      <c r="M48" s="330"/>
      <c r="N48" s="333"/>
      <c r="O48" s="123">
        <v>4</v>
      </c>
      <c r="P48" s="124"/>
      <c r="Q48" s="125" t="str">
        <f t="shared" ref="Q48:Q50" si="22">IF(OR(R48="Preventivo",R48="Detectivo"),"Probabilidad",IF(R48="Correctivo","Impacto",""))</f>
        <v/>
      </c>
      <c r="R48" s="126"/>
      <c r="S48" s="126"/>
      <c r="T48" s="127" t="str">
        <f t="shared" si="19"/>
        <v/>
      </c>
      <c r="U48" s="126"/>
      <c r="V48" s="126"/>
      <c r="W48" s="126"/>
      <c r="X48" s="128" t="str">
        <f t="shared" ref="X48:X50" si="23">IFERROR(IF(AND(Q47="Probabilidad",Q48="Probabilidad"),(Z47-(+Z47*T48)),IF(AND(Q47="Impacto",Q48="Probabilidad"),(Z46-(+Z46*T48)),IF(Q48="Impacto",Z47,""))),"")</f>
        <v/>
      </c>
      <c r="Y48" s="129" t="str">
        <f t="shared" si="1"/>
        <v/>
      </c>
      <c r="Z48" s="130" t="str">
        <f t="shared" si="20"/>
        <v/>
      </c>
      <c r="AA48" s="129" t="str">
        <f t="shared" si="3"/>
        <v/>
      </c>
      <c r="AB48" s="130" t="str">
        <f t="shared" ref="AB48:AB50" si="24">IFERROR(IF(AND(Q47="Impacto",Q48="Impacto"),(AB47-(+AB47*T48)),IF(AND(Q47="Probabilidad",Q48="Impacto"),(AB46-(+AB46*T48)),IF(Q48="Probabilidad",AB47,""))),"")</f>
        <v/>
      </c>
      <c r="AC48" s="131"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32"/>
      <c r="AE48" s="133"/>
      <c r="AF48" s="134"/>
      <c r="AG48" s="135"/>
      <c r="AH48" s="135"/>
      <c r="AI48" s="133"/>
      <c r="AJ48" s="134"/>
    </row>
    <row r="49" spans="1:36" ht="18" hidden="1" customHeight="1" x14ac:dyDescent="0.3">
      <c r="A49" s="287"/>
      <c r="B49" s="339"/>
      <c r="C49" s="339"/>
      <c r="D49" s="339"/>
      <c r="E49" s="342"/>
      <c r="F49" s="339"/>
      <c r="G49" s="345"/>
      <c r="H49" s="327"/>
      <c r="I49" s="330"/>
      <c r="J49" s="336"/>
      <c r="K49" s="330">
        <f>IF(NOT(ISERROR(MATCH(J49,_xlfn.ANCHORARRAY(E60),0))),I62&amp;"Por favor no seleccionar los criterios de impacto",J49)</f>
        <v>0</v>
      </c>
      <c r="L49" s="327"/>
      <c r="M49" s="330"/>
      <c r="N49" s="333"/>
      <c r="O49" s="123">
        <v>5</v>
      </c>
      <c r="P49" s="124"/>
      <c r="Q49" s="125" t="str">
        <f t="shared" si="22"/>
        <v/>
      </c>
      <c r="R49" s="126"/>
      <c r="S49" s="126"/>
      <c r="T49" s="127" t="str">
        <f t="shared" si="19"/>
        <v/>
      </c>
      <c r="U49" s="126"/>
      <c r="V49" s="126"/>
      <c r="W49" s="126"/>
      <c r="X49" s="128" t="str">
        <f t="shared" si="23"/>
        <v/>
      </c>
      <c r="Y49" s="129" t="str">
        <f t="shared" si="1"/>
        <v/>
      </c>
      <c r="Z49" s="130" t="str">
        <f t="shared" si="20"/>
        <v/>
      </c>
      <c r="AA49" s="129" t="str">
        <f t="shared" si="3"/>
        <v/>
      </c>
      <c r="AB49" s="130" t="str">
        <f t="shared" si="24"/>
        <v/>
      </c>
      <c r="AC49" s="131" t="str">
        <f t="shared" ref="AC49:AC50" si="2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2"/>
      <c r="AE49" s="133"/>
      <c r="AF49" s="134"/>
      <c r="AG49" s="135"/>
      <c r="AH49" s="135"/>
      <c r="AI49" s="133"/>
      <c r="AJ49" s="134"/>
    </row>
    <row r="50" spans="1:36" ht="18" hidden="1" customHeight="1" x14ac:dyDescent="0.3">
      <c r="A50" s="264"/>
      <c r="B50" s="340"/>
      <c r="C50" s="340"/>
      <c r="D50" s="340"/>
      <c r="E50" s="343"/>
      <c r="F50" s="340"/>
      <c r="G50" s="346"/>
      <c r="H50" s="328"/>
      <c r="I50" s="331"/>
      <c r="J50" s="337"/>
      <c r="K50" s="331">
        <f>IF(NOT(ISERROR(MATCH(J50,_xlfn.ANCHORARRAY(E61),0))),I63&amp;"Por favor no seleccionar los criterios de impacto",J50)</f>
        <v>0</v>
      </c>
      <c r="L50" s="328"/>
      <c r="M50" s="331"/>
      <c r="N50" s="334"/>
      <c r="O50" s="123">
        <v>6</v>
      </c>
      <c r="P50" s="124"/>
      <c r="Q50" s="125" t="str">
        <f t="shared" si="22"/>
        <v/>
      </c>
      <c r="R50" s="126"/>
      <c r="S50" s="126"/>
      <c r="T50" s="127" t="str">
        <f t="shared" si="19"/>
        <v/>
      </c>
      <c r="U50" s="126"/>
      <c r="V50" s="126"/>
      <c r="W50" s="126"/>
      <c r="X50" s="128" t="str">
        <f t="shared" si="23"/>
        <v/>
      </c>
      <c r="Y50" s="129" t="str">
        <f t="shared" si="1"/>
        <v/>
      </c>
      <c r="Z50" s="130" t="str">
        <f t="shared" si="20"/>
        <v/>
      </c>
      <c r="AA50" s="129" t="str">
        <f t="shared" si="3"/>
        <v/>
      </c>
      <c r="AB50" s="130" t="str">
        <f t="shared" si="24"/>
        <v/>
      </c>
      <c r="AC50" s="131" t="str">
        <f t="shared" si="25"/>
        <v/>
      </c>
      <c r="AD50" s="132"/>
      <c r="AE50" s="133"/>
      <c r="AF50" s="134"/>
      <c r="AG50" s="135"/>
      <c r="AH50" s="135"/>
      <c r="AI50" s="133"/>
      <c r="AJ50" s="134"/>
    </row>
    <row r="51" spans="1:36" ht="49.5" customHeight="1" x14ac:dyDescent="0.3">
      <c r="A51" s="6"/>
      <c r="B51" s="356" t="s">
        <v>89</v>
      </c>
      <c r="C51" s="357"/>
      <c r="D51" s="357"/>
      <c r="E51" s="357"/>
      <c r="F51" s="357"/>
      <c r="G51" s="357"/>
      <c r="H51" s="357"/>
      <c r="I51" s="357"/>
      <c r="J51" s="357"/>
      <c r="K51" s="357"/>
      <c r="L51" s="357"/>
      <c r="M51" s="357"/>
      <c r="N51" s="357"/>
      <c r="O51" s="357"/>
      <c r="P51" s="357"/>
      <c r="Q51" s="357"/>
      <c r="R51" s="357"/>
      <c r="S51" s="357"/>
      <c r="T51" s="357"/>
      <c r="U51" s="357"/>
      <c r="V51" s="357"/>
      <c r="W51" s="357"/>
      <c r="X51" s="357"/>
      <c r="Y51" s="357"/>
      <c r="Z51" s="357"/>
      <c r="AA51" s="357"/>
      <c r="AB51" s="357"/>
      <c r="AC51" s="357"/>
      <c r="AD51" s="357"/>
      <c r="AE51" s="357"/>
      <c r="AF51" s="357"/>
      <c r="AG51" s="357"/>
      <c r="AH51" s="357"/>
      <c r="AI51" s="357"/>
      <c r="AJ51" s="358"/>
    </row>
    <row r="53" spans="1:36" x14ac:dyDescent="0.3">
      <c r="A53" s="1"/>
      <c r="B53" s="24"/>
      <c r="C53" s="1"/>
      <c r="D53" s="1"/>
      <c r="F53" s="1"/>
    </row>
  </sheetData>
  <dataConsolidate/>
  <mergeCells count="221">
    <mergeCell ref="B39:B44"/>
    <mergeCell ref="K33:K38"/>
    <mergeCell ref="A15:AJ16"/>
    <mergeCell ref="A21:G21"/>
    <mergeCell ref="H21:N21"/>
    <mergeCell ref="O21:W21"/>
    <mergeCell ref="X21:AD21"/>
    <mergeCell ref="AE21:AJ21"/>
    <mergeCell ref="B51:AJ51"/>
    <mergeCell ref="M39:M44"/>
    <mergeCell ref="N39:N44"/>
    <mergeCell ref="A45:A50"/>
    <mergeCell ref="B45:B50"/>
    <mergeCell ref="C45:C50"/>
    <mergeCell ref="D45:D50"/>
    <mergeCell ref="E45:E50"/>
    <mergeCell ref="F45:F50"/>
    <mergeCell ref="G45:G50"/>
    <mergeCell ref="H45:H50"/>
    <mergeCell ref="I45:I50"/>
    <mergeCell ref="J45:J50"/>
    <mergeCell ref="K45:K50"/>
    <mergeCell ref="L45:L50"/>
    <mergeCell ref="M45:M50"/>
    <mergeCell ref="A39:A44"/>
    <mergeCell ref="L33:L38"/>
    <mergeCell ref="M33:M38"/>
    <mergeCell ref="N33:N38"/>
    <mergeCell ref="N45:N50"/>
    <mergeCell ref="J39:J44"/>
    <mergeCell ref="K39:K44"/>
    <mergeCell ref="L39:L44"/>
    <mergeCell ref="A33:A38"/>
    <mergeCell ref="B33:B38"/>
    <mergeCell ref="C33:C38"/>
    <mergeCell ref="D33:D38"/>
    <mergeCell ref="E33:E38"/>
    <mergeCell ref="F33:F38"/>
    <mergeCell ref="G33:G38"/>
    <mergeCell ref="H33:H38"/>
    <mergeCell ref="I33:I38"/>
    <mergeCell ref="C39:C44"/>
    <mergeCell ref="D39:D44"/>
    <mergeCell ref="E39:E44"/>
    <mergeCell ref="F39:F44"/>
    <mergeCell ref="G39:G44"/>
    <mergeCell ref="H39:H44"/>
    <mergeCell ref="I39:I44"/>
    <mergeCell ref="J33:J38"/>
    <mergeCell ref="M31:M32"/>
    <mergeCell ref="N31:N32"/>
    <mergeCell ref="A31:A32"/>
    <mergeCell ref="B31:B32"/>
    <mergeCell ref="D31:D32"/>
    <mergeCell ref="E31:E32"/>
    <mergeCell ref="F31:F32"/>
    <mergeCell ref="G31:G32"/>
    <mergeCell ref="H31:H32"/>
    <mergeCell ref="I31:I32"/>
    <mergeCell ref="J31:J32"/>
    <mergeCell ref="K31:K32"/>
    <mergeCell ref="L31:L32"/>
    <mergeCell ref="K27:K28"/>
    <mergeCell ref="L27:L28"/>
    <mergeCell ref="M27:M28"/>
    <mergeCell ref="N27:N28"/>
    <mergeCell ref="A29:A30"/>
    <mergeCell ref="B29:B30"/>
    <mergeCell ref="C29:C30"/>
    <mergeCell ref="D29:D30"/>
    <mergeCell ref="E29:E30"/>
    <mergeCell ref="F29:F30"/>
    <mergeCell ref="G29:G30"/>
    <mergeCell ref="H29:H30"/>
    <mergeCell ref="I29:I30"/>
    <mergeCell ref="J29:J30"/>
    <mergeCell ref="K29:K30"/>
    <mergeCell ref="L29:L30"/>
    <mergeCell ref="M29:M30"/>
    <mergeCell ref="N29:N30"/>
    <mergeCell ref="A27:A28"/>
    <mergeCell ref="B27:B28"/>
    <mergeCell ref="D27:D28"/>
    <mergeCell ref="E27:E28"/>
    <mergeCell ref="F27:F28"/>
    <mergeCell ref="G27:G28"/>
    <mergeCell ref="H27:H28"/>
    <mergeCell ref="I27:I28"/>
    <mergeCell ref="J27:J28"/>
    <mergeCell ref="AE22:AE23"/>
    <mergeCell ref="AJ22:AJ23"/>
    <mergeCell ref="AI22:AI23"/>
    <mergeCell ref="AH22:AH23"/>
    <mergeCell ref="AG22:AG23"/>
    <mergeCell ref="AF22:AF23"/>
    <mergeCell ref="L22:L23"/>
    <mergeCell ref="M22:M23"/>
    <mergeCell ref="AI24:AI25"/>
    <mergeCell ref="AJ24:AJ25"/>
    <mergeCell ref="P27:P28"/>
    <mergeCell ref="O27:O28"/>
    <mergeCell ref="Q27:Q28"/>
    <mergeCell ref="R27:R28"/>
    <mergeCell ref="S27:S28"/>
    <mergeCell ref="T27:T28"/>
    <mergeCell ref="U27:U28"/>
    <mergeCell ref="V27:V28"/>
    <mergeCell ref="W27:W28"/>
    <mergeCell ref="Y27:Y28"/>
    <mergeCell ref="Z27:Z28"/>
    <mergeCell ref="A18:B18"/>
    <mergeCell ref="A19:B19"/>
    <mergeCell ref="A20:B20"/>
    <mergeCell ref="A22:A23"/>
    <mergeCell ref="F22:F23"/>
    <mergeCell ref="E22:E23"/>
    <mergeCell ref="D22:D23"/>
    <mergeCell ref="C22:C23"/>
    <mergeCell ref="AD22:AD23"/>
    <mergeCell ref="C19:N19"/>
    <mergeCell ref="C20:N20"/>
    <mergeCell ref="O22:O23"/>
    <mergeCell ref="AC22:AC23"/>
    <mergeCell ref="AB22:AB23"/>
    <mergeCell ref="X22:X23"/>
    <mergeCell ref="P22:P23"/>
    <mergeCell ref="C18:N18"/>
    <mergeCell ref="O18:Q18"/>
    <mergeCell ref="AA22:AA23"/>
    <mergeCell ref="Y22:Y23"/>
    <mergeCell ref="Z22:Z23"/>
    <mergeCell ref="G22:G23"/>
    <mergeCell ref="H22:H23"/>
    <mergeCell ref="I22:I23"/>
    <mergeCell ref="B22:B23"/>
    <mergeCell ref="N22:N23"/>
    <mergeCell ref="J22:J23"/>
    <mergeCell ref="K22:K23"/>
    <mergeCell ref="Q22:Q23"/>
    <mergeCell ref="R22:W22"/>
    <mergeCell ref="F24:F25"/>
    <mergeCell ref="G24:G25"/>
    <mergeCell ref="H24:H25"/>
    <mergeCell ref="P24:P25"/>
    <mergeCell ref="O24:O25"/>
    <mergeCell ref="Q24:Q25"/>
    <mergeCell ref="R24:R25"/>
    <mergeCell ref="S24:S25"/>
    <mergeCell ref="T24:T25"/>
    <mergeCell ref="U24:U25"/>
    <mergeCell ref="V24:V25"/>
    <mergeCell ref="W24:W25"/>
    <mergeCell ref="A24:A25"/>
    <mergeCell ref="B24:B25"/>
    <mergeCell ref="D24:D25"/>
    <mergeCell ref="E24:E25"/>
    <mergeCell ref="N24:N25"/>
    <mergeCell ref="I24:I25"/>
    <mergeCell ref="J24:J25"/>
    <mergeCell ref="K24:K25"/>
    <mergeCell ref="L24:L25"/>
    <mergeCell ref="M24:M25"/>
    <mergeCell ref="A1:AE5"/>
    <mergeCell ref="W13:AB13"/>
    <mergeCell ref="A14:J14"/>
    <mergeCell ref="N7:S7"/>
    <mergeCell ref="W9:AB9"/>
    <mergeCell ref="P8:S8"/>
    <mergeCell ref="P9:S9"/>
    <mergeCell ref="P13:S13"/>
    <mergeCell ref="P10:S10"/>
    <mergeCell ref="P11:S11"/>
    <mergeCell ref="P12:S12"/>
    <mergeCell ref="AA27:AA28"/>
    <mergeCell ref="AB27:AB28"/>
    <mergeCell ref="AC27:AC28"/>
    <mergeCell ref="AD27:AD28"/>
    <mergeCell ref="AE27:AE28"/>
    <mergeCell ref="AF27:AF28"/>
    <mergeCell ref="AG27:AG28"/>
    <mergeCell ref="AH27:AH28"/>
    <mergeCell ref="AI27:AI28"/>
    <mergeCell ref="AJ27:AJ28"/>
    <mergeCell ref="Y24:Y25"/>
    <mergeCell ref="Y31:Y32"/>
    <mergeCell ref="Z31:Z32"/>
    <mergeCell ref="AA31:AA32"/>
    <mergeCell ref="AB31:AB32"/>
    <mergeCell ref="AC31:AC32"/>
    <mergeCell ref="AD31:AD32"/>
    <mergeCell ref="AE31:AE32"/>
    <mergeCell ref="AF31:AF32"/>
    <mergeCell ref="AH24:AH25"/>
    <mergeCell ref="Z24:Z25"/>
    <mergeCell ref="AA24:AA25"/>
    <mergeCell ref="AB24:AB25"/>
    <mergeCell ref="AC24:AC25"/>
    <mergeCell ref="AD24:AD25"/>
    <mergeCell ref="AE24:AE25"/>
    <mergeCell ref="AF24:AF25"/>
    <mergeCell ref="AG24:AG25"/>
    <mergeCell ref="AG31:AG32"/>
    <mergeCell ref="AH31:AH32"/>
    <mergeCell ref="AI31:AI32"/>
    <mergeCell ref="AJ31:AJ32"/>
    <mergeCell ref="AD29:AD30"/>
    <mergeCell ref="AE29:AE30"/>
    <mergeCell ref="AF29:AF30"/>
    <mergeCell ref="AG29:AG30"/>
    <mergeCell ref="AH29:AH30"/>
    <mergeCell ref="AI29:AI30"/>
    <mergeCell ref="AJ29:AJ30"/>
    <mergeCell ref="P31:P32"/>
    <mergeCell ref="O31:O32"/>
    <mergeCell ref="Q31:Q32"/>
    <mergeCell ref="R31:R32"/>
    <mergeCell ref="S31:S32"/>
    <mergeCell ref="T31:T32"/>
    <mergeCell ref="U31:U32"/>
    <mergeCell ref="V31:V32"/>
    <mergeCell ref="W31:W32"/>
  </mergeCells>
  <conditionalFormatting sqref="H24 H26">
    <cfRule type="cellIs" dxfId="193" priority="333" operator="equal">
      <formula>"Muy Alta"</formula>
    </cfRule>
    <cfRule type="cellIs" dxfId="192" priority="334" operator="equal">
      <formula>"Alta"</formula>
    </cfRule>
    <cfRule type="cellIs" dxfId="191" priority="335" operator="equal">
      <formula>"Media"</formula>
    </cfRule>
    <cfRule type="cellIs" dxfId="190" priority="336" operator="equal">
      <formula>"Baja"</formula>
    </cfRule>
    <cfRule type="cellIs" dxfId="189" priority="337" operator="equal">
      <formula>"Muy Baja"</formula>
    </cfRule>
  </conditionalFormatting>
  <conditionalFormatting sqref="L26:L27 L29 L31 L33 L39 L45">
    <cfRule type="cellIs" dxfId="188" priority="328" operator="equal">
      <formula>"Catastrófico"</formula>
    </cfRule>
    <cfRule type="cellIs" dxfId="187" priority="329" operator="equal">
      <formula>"Mayor"</formula>
    </cfRule>
    <cfRule type="cellIs" dxfId="186" priority="330" operator="equal">
      <formula>"Moderado"</formula>
    </cfRule>
    <cfRule type="cellIs" dxfId="185" priority="331" operator="equal">
      <formula>"Menor"</formula>
    </cfRule>
    <cfRule type="cellIs" dxfId="184" priority="332" operator="equal">
      <formula>"Leve"</formula>
    </cfRule>
  </conditionalFormatting>
  <conditionalFormatting sqref="Y24">
    <cfRule type="cellIs" dxfId="183" priority="319" operator="equal">
      <formula>"Muy Alta"</formula>
    </cfRule>
    <cfRule type="cellIs" dxfId="182" priority="320" operator="equal">
      <formula>"Alta"</formula>
    </cfRule>
    <cfRule type="cellIs" dxfId="181" priority="321" operator="equal">
      <formula>"Media"</formula>
    </cfRule>
    <cfRule type="cellIs" dxfId="180" priority="322" operator="equal">
      <formula>"Baja"</formula>
    </cfRule>
    <cfRule type="cellIs" dxfId="179" priority="323" operator="equal">
      <formula>"Muy Baja"</formula>
    </cfRule>
  </conditionalFormatting>
  <conditionalFormatting sqref="AA24">
    <cfRule type="cellIs" dxfId="178" priority="314" operator="equal">
      <formula>"Catastrófico"</formula>
    </cfRule>
    <cfRule type="cellIs" dxfId="177" priority="315" operator="equal">
      <formula>"Mayor"</formula>
    </cfRule>
    <cfRule type="cellIs" dxfId="176" priority="316" operator="equal">
      <formula>"Moderado"</formula>
    </cfRule>
    <cfRule type="cellIs" dxfId="175" priority="317" operator="equal">
      <formula>"Menor"</formula>
    </cfRule>
    <cfRule type="cellIs" dxfId="174" priority="318" operator="equal">
      <formula>"Leve"</formula>
    </cfRule>
  </conditionalFormatting>
  <conditionalFormatting sqref="AC24">
    <cfRule type="cellIs" dxfId="173" priority="310" operator="equal">
      <formula>"Extremo"</formula>
    </cfRule>
    <cfRule type="cellIs" dxfId="172" priority="311" operator="equal">
      <formula>"Alto"</formula>
    </cfRule>
    <cfRule type="cellIs" dxfId="171" priority="312" operator="equal">
      <formula>"Moderado"</formula>
    </cfRule>
    <cfRule type="cellIs" dxfId="170" priority="313" operator="equal">
      <formula>"Bajo"</formula>
    </cfRule>
  </conditionalFormatting>
  <conditionalFormatting sqref="H39">
    <cfRule type="cellIs" dxfId="169" priority="67" operator="equal">
      <formula>"Muy Alta"</formula>
    </cfRule>
    <cfRule type="cellIs" dxfId="168" priority="68" operator="equal">
      <formula>"Alta"</formula>
    </cfRule>
    <cfRule type="cellIs" dxfId="167" priority="69" operator="equal">
      <formula>"Media"</formula>
    </cfRule>
    <cfRule type="cellIs" dxfId="166" priority="70" operator="equal">
      <formula>"Baja"</formula>
    </cfRule>
    <cfRule type="cellIs" dxfId="165" priority="71" operator="equal">
      <formula>"Muy Baja"</formula>
    </cfRule>
  </conditionalFormatting>
  <conditionalFormatting sqref="N26">
    <cfRule type="cellIs" dxfId="164" priority="254" operator="equal">
      <formula>"Extremo"</formula>
    </cfRule>
    <cfRule type="cellIs" dxfId="163" priority="255" operator="equal">
      <formula>"Alto"</formula>
    </cfRule>
    <cfRule type="cellIs" dxfId="162" priority="256" operator="equal">
      <formula>"Moderado"</formula>
    </cfRule>
    <cfRule type="cellIs" dxfId="161" priority="257" operator="equal">
      <formula>"Bajo"</formula>
    </cfRule>
  </conditionalFormatting>
  <conditionalFormatting sqref="Y26">
    <cfRule type="cellIs" dxfId="160" priority="249" operator="equal">
      <formula>"Muy Alta"</formula>
    </cfRule>
    <cfRule type="cellIs" dxfId="159" priority="250" operator="equal">
      <formula>"Alta"</formula>
    </cfRule>
    <cfRule type="cellIs" dxfId="158" priority="251" operator="equal">
      <formula>"Media"</formula>
    </cfRule>
    <cfRule type="cellIs" dxfId="157" priority="252" operator="equal">
      <formula>"Baja"</formula>
    </cfRule>
    <cfRule type="cellIs" dxfId="156" priority="253" operator="equal">
      <formula>"Muy Baja"</formula>
    </cfRule>
  </conditionalFormatting>
  <conditionalFormatting sqref="AA26">
    <cfRule type="cellIs" dxfId="155" priority="244" operator="equal">
      <formula>"Catastrófico"</formula>
    </cfRule>
    <cfRule type="cellIs" dxfId="154" priority="245" operator="equal">
      <formula>"Mayor"</formula>
    </cfRule>
    <cfRule type="cellIs" dxfId="153" priority="246" operator="equal">
      <formula>"Moderado"</formula>
    </cfRule>
    <cfRule type="cellIs" dxfId="152" priority="247" operator="equal">
      <formula>"Menor"</formula>
    </cfRule>
    <cfRule type="cellIs" dxfId="151" priority="248" operator="equal">
      <formula>"Leve"</formula>
    </cfRule>
  </conditionalFormatting>
  <conditionalFormatting sqref="AC26">
    <cfRule type="cellIs" dxfId="150" priority="240" operator="equal">
      <formula>"Extremo"</formula>
    </cfRule>
    <cfRule type="cellIs" dxfId="149" priority="241" operator="equal">
      <formula>"Alto"</formula>
    </cfRule>
    <cfRule type="cellIs" dxfId="148" priority="242" operator="equal">
      <formula>"Moderado"</formula>
    </cfRule>
    <cfRule type="cellIs" dxfId="147" priority="243" operator="equal">
      <formula>"Bajo"</formula>
    </cfRule>
  </conditionalFormatting>
  <conditionalFormatting sqref="H27">
    <cfRule type="cellIs" dxfId="146" priority="235" operator="equal">
      <formula>"Muy Alta"</formula>
    </cfRule>
    <cfRule type="cellIs" dxfId="145" priority="236" operator="equal">
      <formula>"Alta"</formula>
    </cfRule>
    <cfRule type="cellIs" dxfId="144" priority="237" operator="equal">
      <formula>"Media"</formula>
    </cfRule>
    <cfRule type="cellIs" dxfId="143" priority="238" operator="equal">
      <formula>"Baja"</formula>
    </cfRule>
    <cfRule type="cellIs" dxfId="142" priority="239" operator="equal">
      <formula>"Muy Baja"</formula>
    </cfRule>
  </conditionalFormatting>
  <conditionalFormatting sqref="N27">
    <cfRule type="cellIs" dxfId="141" priority="226" operator="equal">
      <formula>"Extremo"</formula>
    </cfRule>
    <cfRule type="cellIs" dxfId="140" priority="227" operator="equal">
      <formula>"Alto"</formula>
    </cfRule>
    <cfRule type="cellIs" dxfId="139" priority="228" operator="equal">
      <formula>"Moderado"</formula>
    </cfRule>
    <cfRule type="cellIs" dxfId="138" priority="229" operator="equal">
      <formula>"Bajo"</formula>
    </cfRule>
  </conditionalFormatting>
  <conditionalFormatting sqref="Y27">
    <cfRule type="cellIs" dxfId="137" priority="221" operator="equal">
      <formula>"Muy Alta"</formula>
    </cfRule>
    <cfRule type="cellIs" dxfId="136" priority="222" operator="equal">
      <formula>"Alta"</formula>
    </cfRule>
    <cfRule type="cellIs" dxfId="135" priority="223" operator="equal">
      <formula>"Media"</formula>
    </cfRule>
    <cfRule type="cellIs" dxfId="134" priority="224" operator="equal">
      <formula>"Baja"</formula>
    </cfRule>
    <cfRule type="cellIs" dxfId="133" priority="225" operator="equal">
      <formula>"Muy Baja"</formula>
    </cfRule>
  </conditionalFormatting>
  <conditionalFormatting sqref="AA27">
    <cfRule type="cellIs" dxfId="132" priority="216" operator="equal">
      <formula>"Catastrófico"</formula>
    </cfRule>
    <cfRule type="cellIs" dxfId="131" priority="217" operator="equal">
      <formula>"Mayor"</formula>
    </cfRule>
    <cfRule type="cellIs" dxfId="130" priority="218" operator="equal">
      <formula>"Moderado"</formula>
    </cfRule>
    <cfRule type="cellIs" dxfId="129" priority="219" operator="equal">
      <formula>"Menor"</formula>
    </cfRule>
    <cfRule type="cellIs" dxfId="128" priority="220" operator="equal">
      <formula>"Leve"</formula>
    </cfRule>
  </conditionalFormatting>
  <conditionalFormatting sqref="AC27">
    <cfRule type="cellIs" dxfId="127" priority="212" operator="equal">
      <formula>"Extremo"</formula>
    </cfRule>
    <cfRule type="cellIs" dxfId="126" priority="213" operator="equal">
      <formula>"Alto"</formula>
    </cfRule>
    <cfRule type="cellIs" dxfId="125" priority="214" operator="equal">
      <formula>"Moderado"</formula>
    </cfRule>
    <cfRule type="cellIs" dxfId="124" priority="215" operator="equal">
      <formula>"Bajo"</formula>
    </cfRule>
  </conditionalFormatting>
  <conditionalFormatting sqref="H29">
    <cfRule type="cellIs" dxfId="123" priority="207" operator="equal">
      <formula>"Muy Alta"</formula>
    </cfRule>
    <cfRule type="cellIs" dxfId="122" priority="208" operator="equal">
      <formula>"Alta"</formula>
    </cfRule>
    <cfRule type="cellIs" dxfId="121" priority="209" operator="equal">
      <formula>"Media"</formula>
    </cfRule>
    <cfRule type="cellIs" dxfId="120" priority="210" operator="equal">
      <formula>"Baja"</formula>
    </cfRule>
    <cfRule type="cellIs" dxfId="119" priority="211" operator="equal">
      <formula>"Muy Baja"</formula>
    </cfRule>
  </conditionalFormatting>
  <conditionalFormatting sqref="N29">
    <cfRule type="cellIs" dxfId="118" priority="198" operator="equal">
      <formula>"Extremo"</formula>
    </cfRule>
    <cfRule type="cellIs" dxfId="117" priority="199" operator="equal">
      <formula>"Alto"</formula>
    </cfRule>
    <cfRule type="cellIs" dxfId="116" priority="200" operator="equal">
      <formula>"Moderado"</formula>
    </cfRule>
    <cfRule type="cellIs" dxfId="115" priority="201" operator="equal">
      <formula>"Bajo"</formula>
    </cfRule>
  </conditionalFormatting>
  <conditionalFormatting sqref="Y29:Y30">
    <cfRule type="cellIs" dxfId="114" priority="193" operator="equal">
      <formula>"Muy Alta"</formula>
    </cfRule>
    <cfRule type="cellIs" dxfId="113" priority="194" operator="equal">
      <formula>"Alta"</formula>
    </cfRule>
    <cfRule type="cellIs" dxfId="112" priority="195" operator="equal">
      <formula>"Media"</formula>
    </cfRule>
    <cfRule type="cellIs" dxfId="111" priority="196" operator="equal">
      <formula>"Baja"</formula>
    </cfRule>
    <cfRule type="cellIs" dxfId="110" priority="197" operator="equal">
      <formula>"Muy Baja"</formula>
    </cfRule>
  </conditionalFormatting>
  <conditionalFormatting sqref="AA29:AA30">
    <cfRule type="cellIs" dxfId="109" priority="188" operator="equal">
      <formula>"Catastrófico"</formula>
    </cfRule>
    <cfRule type="cellIs" dxfId="108" priority="189" operator="equal">
      <formula>"Mayor"</formula>
    </cfRule>
    <cfRule type="cellIs" dxfId="107" priority="190" operator="equal">
      <formula>"Moderado"</formula>
    </cfRule>
    <cfRule type="cellIs" dxfId="106" priority="191" operator="equal">
      <formula>"Menor"</formula>
    </cfRule>
    <cfRule type="cellIs" dxfId="105" priority="192" operator="equal">
      <formula>"Leve"</formula>
    </cfRule>
  </conditionalFormatting>
  <conditionalFormatting sqref="AC29:AC30">
    <cfRule type="cellIs" dxfId="104" priority="184" operator="equal">
      <formula>"Extremo"</formula>
    </cfRule>
    <cfRule type="cellIs" dxfId="103" priority="185" operator="equal">
      <formula>"Alto"</formula>
    </cfRule>
    <cfRule type="cellIs" dxfId="102" priority="186" operator="equal">
      <formula>"Moderado"</formula>
    </cfRule>
    <cfRule type="cellIs" dxfId="101" priority="187" operator="equal">
      <formula>"Bajo"</formula>
    </cfRule>
  </conditionalFormatting>
  <conditionalFormatting sqref="H31">
    <cfRule type="cellIs" dxfId="100" priority="179" operator="equal">
      <formula>"Muy Alta"</formula>
    </cfRule>
    <cfRule type="cellIs" dxfId="99" priority="180" operator="equal">
      <formula>"Alta"</formula>
    </cfRule>
    <cfRule type="cellIs" dxfId="98" priority="181" operator="equal">
      <formula>"Media"</formula>
    </cfRule>
    <cfRule type="cellIs" dxfId="97" priority="182" operator="equal">
      <formula>"Baja"</formula>
    </cfRule>
    <cfRule type="cellIs" dxfId="96" priority="183" operator="equal">
      <formula>"Muy Baja"</formula>
    </cfRule>
  </conditionalFormatting>
  <conditionalFormatting sqref="N31">
    <cfRule type="cellIs" dxfId="95" priority="170" operator="equal">
      <formula>"Extremo"</formula>
    </cfRule>
    <cfRule type="cellIs" dxfId="94" priority="171" operator="equal">
      <formula>"Alto"</formula>
    </cfRule>
    <cfRule type="cellIs" dxfId="93" priority="172" operator="equal">
      <formula>"Moderado"</formula>
    </cfRule>
    <cfRule type="cellIs" dxfId="92" priority="173" operator="equal">
      <formula>"Bajo"</formula>
    </cfRule>
  </conditionalFormatting>
  <conditionalFormatting sqref="Y31">
    <cfRule type="cellIs" dxfId="91" priority="165" operator="equal">
      <formula>"Muy Alta"</formula>
    </cfRule>
    <cfRule type="cellIs" dxfId="90" priority="166" operator="equal">
      <formula>"Alta"</formula>
    </cfRule>
    <cfRule type="cellIs" dxfId="89" priority="167" operator="equal">
      <formula>"Media"</formula>
    </cfRule>
    <cfRule type="cellIs" dxfId="88" priority="168" operator="equal">
      <formula>"Baja"</formula>
    </cfRule>
    <cfRule type="cellIs" dxfId="87" priority="169" operator="equal">
      <formula>"Muy Baja"</formula>
    </cfRule>
  </conditionalFormatting>
  <conditionalFormatting sqref="AA31">
    <cfRule type="cellIs" dxfId="86" priority="160" operator="equal">
      <formula>"Catastrófico"</formula>
    </cfRule>
    <cfRule type="cellIs" dxfId="85" priority="161" operator="equal">
      <formula>"Mayor"</formula>
    </cfRule>
    <cfRule type="cellIs" dxfId="84" priority="162" operator="equal">
      <formula>"Moderado"</formula>
    </cfRule>
    <cfRule type="cellIs" dxfId="83" priority="163" operator="equal">
      <formula>"Menor"</formula>
    </cfRule>
    <cfRule type="cellIs" dxfId="82" priority="164" operator="equal">
      <formula>"Leve"</formula>
    </cfRule>
  </conditionalFormatting>
  <conditionalFormatting sqref="AC31">
    <cfRule type="cellIs" dxfId="81" priority="156" operator="equal">
      <formula>"Extremo"</formula>
    </cfRule>
    <cfRule type="cellIs" dxfId="80" priority="157" operator="equal">
      <formula>"Alto"</formula>
    </cfRule>
    <cfRule type="cellIs" dxfId="79" priority="158" operator="equal">
      <formula>"Moderado"</formula>
    </cfRule>
    <cfRule type="cellIs" dxfId="78" priority="159" operator="equal">
      <formula>"Bajo"</formula>
    </cfRule>
  </conditionalFormatting>
  <conditionalFormatting sqref="H33">
    <cfRule type="cellIs" dxfId="77" priority="95" operator="equal">
      <formula>"Muy Alta"</formula>
    </cfRule>
    <cfRule type="cellIs" dxfId="76" priority="96" operator="equal">
      <formula>"Alta"</formula>
    </cfRule>
    <cfRule type="cellIs" dxfId="75" priority="97" operator="equal">
      <formula>"Media"</formula>
    </cfRule>
    <cfRule type="cellIs" dxfId="74" priority="98" operator="equal">
      <formula>"Baja"</formula>
    </cfRule>
    <cfRule type="cellIs" dxfId="73" priority="99" operator="equal">
      <formula>"Muy Baja"</formula>
    </cfRule>
  </conditionalFormatting>
  <conditionalFormatting sqref="N33">
    <cfRule type="cellIs" dxfId="72" priority="86" operator="equal">
      <formula>"Extremo"</formula>
    </cfRule>
    <cfRule type="cellIs" dxfId="71" priority="87" operator="equal">
      <formula>"Alto"</formula>
    </cfRule>
    <cfRule type="cellIs" dxfId="70" priority="88" operator="equal">
      <formula>"Moderado"</formula>
    </cfRule>
    <cfRule type="cellIs" dxfId="69" priority="89" operator="equal">
      <formula>"Bajo"</formula>
    </cfRule>
  </conditionalFormatting>
  <conditionalFormatting sqref="Y33:Y38">
    <cfRule type="cellIs" dxfId="68" priority="81" operator="equal">
      <formula>"Muy Alta"</formula>
    </cfRule>
    <cfRule type="cellIs" dxfId="67" priority="82" operator="equal">
      <formula>"Alta"</formula>
    </cfRule>
    <cfRule type="cellIs" dxfId="66" priority="83" operator="equal">
      <formula>"Media"</formula>
    </cfRule>
    <cfRule type="cellIs" dxfId="65" priority="84" operator="equal">
      <formula>"Baja"</formula>
    </cfRule>
    <cfRule type="cellIs" dxfId="64" priority="85" operator="equal">
      <formula>"Muy Baja"</formula>
    </cfRule>
  </conditionalFormatting>
  <conditionalFormatting sqref="AA33:AA38">
    <cfRule type="cellIs" dxfId="63" priority="76" operator="equal">
      <formula>"Catastrófico"</formula>
    </cfRule>
    <cfRule type="cellIs" dxfId="62" priority="77" operator="equal">
      <formula>"Mayor"</formula>
    </cfRule>
    <cfRule type="cellIs" dxfId="61" priority="78" operator="equal">
      <formula>"Moderado"</formula>
    </cfRule>
    <cfRule type="cellIs" dxfId="60" priority="79" operator="equal">
      <formula>"Menor"</formula>
    </cfRule>
    <cfRule type="cellIs" dxfId="59" priority="80" operator="equal">
      <formula>"Leve"</formula>
    </cfRule>
  </conditionalFormatting>
  <conditionalFormatting sqref="AC33:AC38">
    <cfRule type="cellIs" dxfId="58" priority="72" operator="equal">
      <formula>"Extremo"</formula>
    </cfRule>
    <cfRule type="cellIs" dxfId="57" priority="73" operator="equal">
      <formula>"Alto"</formula>
    </cfRule>
    <cfRule type="cellIs" dxfId="56" priority="74" operator="equal">
      <formula>"Moderado"</formula>
    </cfRule>
    <cfRule type="cellIs" dxfId="55" priority="75" operator="equal">
      <formula>"Bajo"</formula>
    </cfRule>
  </conditionalFormatting>
  <conditionalFormatting sqref="N39">
    <cfRule type="cellIs" dxfId="54" priority="58" operator="equal">
      <formula>"Extremo"</formula>
    </cfRule>
    <cfRule type="cellIs" dxfId="53" priority="59" operator="equal">
      <formula>"Alto"</formula>
    </cfRule>
    <cfRule type="cellIs" dxfId="52" priority="60" operator="equal">
      <formula>"Moderado"</formula>
    </cfRule>
    <cfRule type="cellIs" dxfId="51" priority="61" operator="equal">
      <formula>"Bajo"</formula>
    </cfRule>
  </conditionalFormatting>
  <conditionalFormatting sqref="Y39:Y44">
    <cfRule type="cellIs" dxfId="50" priority="53" operator="equal">
      <formula>"Muy Alta"</formula>
    </cfRule>
    <cfRule type="cellIs" dxfId="49" priority="54" operator="equal">
      <formula>"Alta"</formula>
    </cfRule>
    <cfRule type="cellIs" dxfId="48" priority="55" operator="equal">
      <formula>"Media"</formula>
    </cfRule>
    <cfRule type="cellIs" dxfId="47" priority="56" operator="equal">
      <formula>"Baja"</formula>
    </cfRule>
    <cfRule type="cellIs" dxfId="46" priority="57" operator="equal">
      <formula>"Muy Baja"</formula>
    </cfRule>
  </conditionalFormatting>
  <conditionalFormatting sqref="AA39:AA44">
    <cfRule type="cellIs" dxfId="45" priority="48" operator="equal">
      <formula>"Catastrófico"</formula>
    </cfRule>
    <cfRule type="cellIs" dxfId="44" priority="49" operator="equal">
      <formula>"Mayor"</formula>
    </cfRule>
    <cfRule type="cellIs" dxfId="43" priority="50" operator="equal">
      <formula>"Moderado"</formula>
    </cfRule>
    <cfRule type="cellIs" dxfId="42" priority="51" operator="equal">
      <formula>"Menor"</formula>
    </cfRule>
    <cfRule type="cellIs" dxfId="41" priority="52" operator="equal">
      <formula>"Leve"</formula>
    </cfRule>
  </conditionalFormatting>
  <conditionalFormatting sqref="AC39:AC44">
    <cfRule type="cellIs" dxfId="40" priority="44" operator="equal">
      <formula>"Extremo"</formula>
    </cfRule>
    <cfRule type="cellIs" dxfId="39" priority="45" operator="equal">
      <formula>"Alto"</formula>
    </cfRule>
    <cfRule type="cellIs" dxfId="38" priority="46" operator="equal">
      <formula>"Moderado"</formula>
    </cfRule>
    <cfRule type="cellIs" dxfId="37" priority="47" operator="equal">
      <formula>"Bajo"</formula>
    </cfRule>
  </conditionalFormatting>
  <conditionalFormatting sqref="H45">
    <cfRule type="cellIs" dxfId="36" priority="39" operator="equal">
      <formula>"Muy Alta"</formula>
    </cfRule>
    <cfRule type="cellIs" dxfId="35" priority="40" operator="equal">
      <formula>"Alta"</formula>
    </cfRule>
    <cfRule type="cellIs" dxfId="34" priority="41" operator="equal">
      <formula>"Media"</formula>
    </cfRule>
    <cfRule type="cellIs" dxfId="33" priority="42" operator="equal">
      <formula>"Baja"</formula>
    </cfRule>
    <cfRule type="cellIs" dxfId="32" priority="43" operator="equal">
      <formula>"Muy Baja"</formula>
    </cfRule>
  </conditionalFormatting>
  <conditionalFormatting sqref="N45">
    <cfRule type="cellIs" dxfId="31" priority="30" operator="equal">
      <formula>"Extremo"</formula>
    </cfRule>
    <cfRule type="cellIs" dxfId="30" priority="31" operator="equal">
      <formula>"Alto"</formula>
    </cfRule>
    <cfRule type="cellIs" dxfId="29" priority="32" operator="equal">
      <formula>"Moderado"</formula>
    </cfRule>
    <cfRule type="cellIs" dxfId="28" priority="33" operator="equal">
      <formula>"Bajo"</formula>
    </cfRule>
  </conditionalFormatting>
  <conditionalFormatting sqref="Y45:Y50">
    <cfRule type="cellIs" dxfId="27" priority="25" operator="equal">
      <formula>"Muy Alta"</formula>
    </cfRule>
    <cfRule type="cellIs" dxfId="26" priority="26" operator="equal">
      <formula>"Alta"</formula>
    </cfRule>
    <cfRule type="cellIs" dxfId="25" priority="27" operator="equal">
      <formula>"Media"</formula>
    </cfRule>
    <cfRule type="cellIs" dxfId="24" priority="28" operator="equal">
      <formula>"Baja"</formula>
    </cfRule>
    <cfRule type="cellIs" dxfId="23" priority="29" operator="equal">
      <formula>"Muy Baja"</formula>
    </cfRule>
  </conditionalFormatting>
  <conditionalFormatting sqref="AA45:AA50">
    <cfRule type="cellIs" dxfId="22" priority="20" operator="equal">
      <formula>"Catastrófico"</formula>
    </cfRule>
    <cfRule type="cellIs" dxfId="21" priority="21" operator="equal">
      <formula>"Mayor"</formula>
    </cfRule>
    <cfRule type="cellIs" dxfId="20" priority="22" operator="equal">
      <formula>"Moderado"</formula>
    </cfRule>
    <cfRule type="cellIs" dxfId="19" priority="23" operator="equal">
      <formula>"Menor"</formula>
    </cfRule>
    <cfRule type="cellIs" dxfId="18" priority="24" operator="equal">
      <formula>"Leve"</formula>
    </cfRule>
  </conditionalFormatting>
  <conditionalFormatting sqref="AC45:AC50">
    <cfRule type="cellIs" dxfId="17" priority="16" operator="equal">
      <formula>"Extremo"</formula>
    </cfRule>
    <cfRule type="cellIs" dxfId="16" priority="17" operator="equal">
      <formula>"Alto"</formula>
    </cfRule>
    <cfRule type="cellIs" dxfId="15" priority="18" operator="equal">
      <formula>"Moderado"</formula>
    </cfRule>
    <cfRule type="cellIs" dxfId="14" priority="19" operator="equal">
      <formula>"Bajo"</formula>
    </cfRule>
  </conditionalFormatting>
  <conditionalFormatting sqref="K24:K50">
    <cfRule type="containsText" dxfId="13" priority="15" operator="containsText" text="❌">
      <formula>NOT(ISERROR(SEARCH("❌",K24)))</formula>
    </cfRule>
  </conditionalFormatting>
  <conditionalFormatting sqref="L24">
    <cfRule type="cellIs" dxfId="12" priority="5" operator="equal">
      <formula>"Catastrófico"</formula>
    </cfRule>
    <cfRule type="cellIs" dxfId="11" priority="6" operator="equal">
      <formula>"Mayor"</formula>
    </cfRule>
    <cfRule type="cellIs" dxfId="10" priority="7" operator="equal">
      <formula>"Moderado"</formula>
    </cfRule>
    <cfRule type="cellIs" dxfId="9" priority="8" operator="equal">
      <formula>"Menor"</formula>
    </cfRule>
    <cfRule type="cellIs" dxfId="8" priority="9" operator="equal">
      <formula>"Leve"</formula>
    </cfRule>
  </conditionalFormatting>
  <conditionalFormatting sqref="N24">
    <cfRule type="cellIs" dxfId="7" priority="1" operator="equal">
      <formula>"Extremo"</formula>
    </cfRule>
    <cfRule type="cellIs" dxfId="6" priority="2" operator="equal">
      <formula>"Alto"</formula>
    </cfRule>
    <cfRule type="cellIs" dxfId="5" priority="3" operator="equal">
      <formula>"Moderado"</formula>
    </cfRule>
    <cfRule type="cellIs" dxfId="4" priority="4" operator="equal">
      <formula>"Bajo"</formula>
    </cfRule>
  </conditionalFormatting>
  <pageMargins left="0.7" right="0.7" top="0.75" bottom="0.75" header="0.3" footer="0.3"/>
  <pageSetup orientation="portrait" r:id="rId1"/>
  <ignoredErrors>
    <ignoredError sqref="AB30" formula="1"/>
  </ignoredErrors>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200-000000000000}">
          <x14:formula1>
            <xm:f>'Opciones Tratamiento'!$B$9:$B$10</xm:f>
          </x14:formula1>
          <xm:sqref>AJ36:AJ37 AJ39:AJ40 AJ42:AJ43 AJ45:AJ46 AJ48:AJ49 AJ24:AJ34</xm:sqref>
        </x14:dataValidation>
        <x14:dataValidation type="list" allowBlank="1" showInputMessage="1" showErrorMessage="1" xr:uid="{00000000-0002-0000-0200-000001000000}">
          <x14:formula1>
            <xm:f>'Opciones Tratamiento'!$B$13:$B$19</xm:f>
          </x14:formula1>
          <xm:sqref>F39:F50</xm:sqref>
        </x14:dataValidation>
        <x14:dataValidation type="list" allowBlank="1" showInputMessage="1" showErrorMessage="1" xr:uid="{00000000-0002-0000-0200-000002000000}">
          <x14:formula1>
            <xm:f>'Tabla Valoración controles'!$D$4:$D$6</xm:f>
          </x14:formula1>
          <xm:sqref>R33:R50 R24 R26:R27 R29:R31</xm:sqref>
        </x14:dataValidation>
        <x14:dataValidation type="list" allowBlank="1" showInputMessage="1" showErrorMessage="1" xr:uid="{00000000-0002-0000-0200-000003000000}">
          <x14:formula1>
            <xm:f>'Tabla Valoración controles'!$D$7:$D$8</xm:f>
          </x14:formula1>
          <xm:sqref>S33:S50 S24 S26:S27 S29:S31</xm:sqref>
        </x14:dataValidation>
        <x14:dataValidation type="list" allowBlank="1" showInputMessage="1" showErrorMessage="1" xr:uid="{00000000-0002-0000-0200-000004000000}">
          <x14:formula1>
            <xm:f>'Tabla Valoración controles'!$D$9:$D$10</xm:f>
          </x14:formula1>
          <xm:sqref>U33:U50 U24 U26:U27 U29:U31</xm:sqref>
        </x14:dataValidation>
        <x14:dataValidation type="list" allowBlank="1" showInputMessage="1" showErrorMessage="1" xr:uid="{00000000-0002-0000-0200-000005000000}">
          <x14:formula1>
            <xm:f>'Tabla Valoración controles'!$D$11:$D$12</xm:f>
          </x14:formula1>
          <xm:sqref>V33:V50 V24 V26:V27 V29:V31</xm:sqref>
        </x14:dataValidation>
        <x14:dataValidation type="list" allowBlank="1" showInputMessage="1" showErrorMessage="1" xr:uid="{00000000-0002-0000-0200-000006000000}">
          <x14:formula1>
            <xm:f>'Tabla Valoración controles'!$D$13:$D$14</xm:f>
          </x14:formula1>
          <xm:sqref>W33:W50 W24 W26:W27 W29:W31</xm:sqref>
        </x14:dataValidation>
        <x14:dataValidation type="list" allowBlank="1" showInputMessage="1" showErrorMessage="1" xr:uid="{00000000-0002-0000-0200-000007000000}">
          <x14:formula1>
            <xm:f>'Opciones Tratamiento'!$B$2:$B$5</xm:f>
          </x14:formula1>
          <xm:sqref>AD33:AD50 AD24 AD26:AD27 AD29 AD31</xm:sqref>
        </x14:dataValidation>
        <x14:dataValidation type="custom" allowBlank="1" showInputMessage="1" showErrorMessage="1" error="Recuerde que las acciones se generan bajo la medida de mitigar el riesgo" xr:uid="{00000000-0002-0000-0200-000008000000}">
          <x14:formula1>
            <xm:f>IF(OR(AD24='Opciones Tratamiento'!$B$2,AD24='Opciones Tratamiento'!$B$3,AD24='Opciones Tratamiento'!$B$4),ISBLANK(AD24),ISTEXT(AD24))</xm:f>
          </x14:formula1>
          <xm:sqref>AE33:AE50 AE24 AE26:AE27 AE29 AE31</xm:sqref>
        </x14:dataValidation>
        <x14:dataValidation type="custom" allowBlank="1" showInputMessage="1" showErrorMessage="1" error="Recuerde que las acciones se generan bajo la medida de mitigar el riesgo" xr:uid="{00000000-0002-0000-0200-000009000000}">
          <x14:formula1>
            <xm:f>IF(OR(AD24='Opciones Tratamiento'!$B$2,AD24='Opciones Tratamiento'!$B$3,AD24='Opciones Tratamiento'!$B$4),ISBLANK(AD24),ISTEXT(AD24))</xm:f>
          </x14:formula1>
          <xm:sqref>AF24:AF50</xm:sqref>
        </x14:dataValidation>
        <x14:dataValidation type="custom" allowBlank="1" showInputMessage="1" showErrorMessage="1" error="Recuerde que las acciones se generan bajo la medida de mitigar el riesgo" xr:uid="{00000000-0002-0000-0200-00000A000000}">
          <x14:formula1>
            <xm:f>IF(OR(AD24='Opciones Tratamiento'!$B$2,AD24='Opciones Tratamiento'!$B$3,AD24='Opciones Tratamiento'!$B$4),ISBLANK(AD24),ISTEXT(AD24))</xm:f>
          </x14:formula1>
          <xm:sqref>AG24:AG50</xm:sqref>
        </x14:dataValidation>
        <x14:dataValidation type="custom" allowBlank="1" showInputMessage="1" showErrorMessage="1" error="Recuerde que las acciones se generan bajo la medida de mitigar el riesgo" xr:uid="{00000000-0002-0000-0200-00000B000000}">
          <x14:formula1>
            <xm:f>IF(OR(AD24='Opciones Tratamiento'!$B$2,AD24='Opciones Tratamiento'!$B$3,AD24='Opciones Tratamiento'!$B$4),ISBLANK(AD24),ISTEXT(AD24))</xm:f>
          </x14:formula1>
          <xm:sqref>AH24:AH50</xm:sqref>
        </x14:dataValidation>
        <x14:dataValidation type="custom" allowBlank="1" showInputMessage="1" showErrorMessage="1" error="Recuerde que las acciones se generan bajo la medida de mitigar el riesgo" xr:uid="{00000000-0002-0000-0200-00000C000000}">
          <x14:formula1>
            <xm:f>IF(OR(AD24='Opciones Tratamiento'!$B$2,AD24='Opciones Tratamiento'!$B$3,AD24='Opciones Tratamiento'!$B$4),ISBLANK(AD24),ISTEXT(AD24))</xm:f>
          </x14:formula1>
          <xm:sqref>AI24:AI50</xm:sqref>
        </x14:dataValidation>
        <x14:dataValidation type="list" allowBlank="1" showInputMessage="1" showErrorMessage="1" xr:uid="{00000000-0002-0000-0200-00000D000000}">
          <x14:formula1>
            <xm:f>'Impacto-clasificacion'!$A$3:$A$6</xm:f>
          </x14:formula1>
          <xm:sqref>B24:B50</xm:sqref>
        </x14:dataValidation>
        <x14:dataValidation type="list" allowBlank="1" showInputMessage="1" showErrorMessage="1" xr:uid="{00000000-0002-0000-0200-00000E000000}">
          <x14:formula1>
            <xm:f>'Impacto-clasificacion'!$D$3:$D$10</xm:f>
          </x14:formula1>
          <xm:sqref>F24:F38</xm:sqref>
        </x14:dataValidation>
        <x14:dataValidation type="list" allowBlank="1" showInputMessage="1" showErrorMessage="1" xr:uid="{00000000-0002-0000-0200-00000F000000}">
          <x14:formula1>
            <xm:f>'Tabla Impacto'!$F$210:$F$227</xm:f>
          </x14:formula1>
          <xm:sqref>J24:J50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10"/>
  <sheetViews>
    <sheetView workbookViewId="0">
      <selection activeCell="E12" sqref="E12"/>
    </sheetView>
  </sheetViews>
  <sheetFormatPr baseColWidth="10" defaultRowHeight="15" x14ac:dyDescent="0.25"/>
  <sheetData>
    <row r="2" spans="1:4" x14ac:dyDescent="0.25">
      <c r="A2" t="s">
        <v>13</v>
      </c>
    </row>
    <row r="3" spans="1:4" x14ac:dyDescent="0.25">
      <c r="A3" t="s">
        <v>190</v>
      </c>
      <c r="D3" t="s">
        <v>231</v>
      </c>
    </row>
    <row r="4" spans="1:4" x14ac:dyDescent="0.25">
      <c r="A4" t="s">
        <v>192</v>
      </c>
      <c r="D4" t="s">
        <v>232</v>
      </c>
    </row>
    <row r="5" spans="1:4" x14ac:dyDescent="0.25">
      <c r="A5" t="s">
        <v>194</v>
      </c>
      <c r="D5" t="s">
        <v>233</v>
      </c>
    </row>
    <row r="6" spans="1:4" x14ac:dyDescent="0.25">
      <c r="A6" t="s">
        <v>230</v>
      </c>
      <c r="D6" t="s">
        <v>202</v>
      </c>
    </row>
    <row r="7" spans="1:4" x14ac:dyDescent="0.25">
      <c r="D7" t="s">
        <v>203</v>
      </c>
    </row>
    <row r="8" spans="1:4" x14ac:dyDescent="0.25">
      <c r="D8" t="s">
        <v>204</v>
      </c>
    </row>
    <row r="9" spans="1:4" x14ac:dyDescent="0.25">
      <c r="D9" t="s">
        <v>234</v>
      </c>
    </row>
    <row r="10" spans="1:4" x14ac:dyDescent="0.25">
      <c r="D10" t="s">
        <v>235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140"/>
  <sheetViews>
    <sheetView zoomScale="50" zoomScaleNormal="50" workbookViewId="0">
      <selection activeCell="L12" sqref="L12:M13"/>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359" t="s">
        <v>90</v>
      </c>
      <c r="C2" s="359"/>
      <c r="D2" s="359"/>
      <c r="E2" s="359"/>
      <c r="F2" s="359"/>
      <c r="G2" s="359"/>
      <c r="H2" s="359"/>
      <c r="I2" s="359"/>
      <c r="J2" s="396" t="s">
        <v>13</v>
      </c>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359"/>
      <c r="C3" s="359"/>
      <c r="D3" s="359"/>
      <c r="E3" s="359"/>
      <c r="F3" s="359"/>
      <c r="G3" s="359"/>
      <c r="H3" s="359"/>
      <c r="I3" s="359"/>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359"/>
      <c r="C4" s="359"/>
      <c r="D4" s="359"/>
      <c r="E4" s="359"/>
      <c r="F4" s="359"/>
      <c r="G4" s="359"/>
      <c r="H4" s="359"/>
      <c r="I4" s="359"/>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407" t="s">
        <v>91</v>
      </c>
      <c r="C6" s="407"/>
      <c r="D6" s="408"/>
      <c r="E6" s="397" t="s">
        <v>92</v>
      </c>
      <c r="F6" s="398"/>
      <c r="G6" s="398"/>
      <c r="H6" s="398"/>
      <c r="I6" s="399"/>
      <c r="J6" s="393" t="str">
        <f>IF(AND('Mapa final'!$H$24="Muy Alta",'Mapa final'!$L$24="Leve"),CONCATENATE("R",'Mapa final'!$A$24),"")</f>
        <v/>
      </c>
      <c r="K6" s="394"/>
      <c r="L6" s="394" t="str">
        <f>IF(AND('Mapa final'!$H$26="Muy Alta",'Mapa final'!$L$26="Leve"),CONCATENATE("R",'Mapa final'!$A$26),"")</f>
        <v/>
      </c>
      <c r="M6" s="394"/>
      <c r="N6" s="394" t="str">
        <f>IF(AND('Mapa final'!$H$27="Muy Alta",'Mapa final'!$L$27="Leve"),CONCATENATE("R",'Mapa final'!$A$27),"")</f>
        <v/>
      </c>
      <c r="O6" s="395"/>
      <c r="P6" s="393" t="str">
        <f>IF(AND('Mapa final'!$H$24="Muy Alta",'Mapa final'!$L$24="Menor"),CONCATENATE("R",'Mapa final'!$A$24),"")</f>
        <v/>
      </c>
      <c r="Q6" s="394"/>
      <c r="R6" s="394" t="str">
        <f>IF(AND('Mapa final'!$H$26="Muy Alta",'Mapa final'!$L$26="Menor"),CONCATENATE("R",'Mapa final'!$A$26),"")</f>
        <v/>
      </c>
      <c r="S6" s="394"/>
      <c r="T6" s="394" t="str">
        <f>IF(AND('Mapa final'!$H$27="Muy Alta",'Mapa final'!$L$27="Menor"),CONCATENATE("R",'Mapa final'!$A$27),"")</f>
        <v/>
      </c>
      <c r="U6" s="395"/>
      <c r="V6" s="393" t="str">
        <f>IF(AND('Mapa final'!$H$24="Muy Alta",'Mapa final'!$L$24="Moderado"),CONCATENATE("R",'Mapa final'!$A$24),"")</f>
        <v/>
      </c>
      <c r="W6" s="394"/>
      <c r="X6" s="394" t="str">
        <f>IF(AND('Mapa final'!$H$26="Muy Alta",'Mapa final'!$L$26="Moderado"),CONCATENATE("R",'Mapa final'!$A$26),"")</f>
        <v/>
      </c>
      <c r="Y6" s="394"/>
      <c r="Z6" s="394" t="str">
        <f>IF(AND('Mapa final'!$H$27="Muy Alta",'Mapa final'!$L$27="Moderado"),CONCATENATE("R",'Mapa final'!$A$27),"")</f>
        <v/>
      </c>
      <c r="AA6" s="395"/>
      <c r="AB6" s="393" t="str">
        <f>IF(AND('Mapa final'!$H$24="Muy Alta",'Mapa final'!$L$24="Mayor"),CONCATENATE("R",'Mapa final'!$A$24),"")</f>
        <v/>
      </c>
      <c r="AC6" s="394"/>
      <c r="AD6" s="394" t="str">
        <f>IF(AND('Mapa final'!$H$26="Muy Alta",'Mapa final'!$L$26="Mayor"),CONCATENATE("R",'Mapa final'!$A$26),"")</f>
        <v/>
      </c>
      <c r="AE6" s="394"/>
      <c r="AF6" s="394" t="str">
        <f>IF(AND('Mapa final'!$H$27="Muy Alta",'Mapa final'!$L$27="Mayor"),CONCATENATE("R",'Mapa final'!$A$27),"")</f>
        <v/>
      </c>
      <c r="AG6" s="395"/>
      <c r="AH6" s="384" t="str">
        <f>IF(AND('Mapa final'!$H$24="Muy Alta",'Mapa final'!$L$24="Catastrófico"),CONCATENATE("R",'Mapa final'!$A$24),"")</f>
        <v/>
      </c>
      <c r="AI6" s="385"/>
      <c r="AJ6" s="385" t="str">
        <f>IF(AND('Mapa final'!$H$26="Muy Alta",'Mapa final'!$L$26="Catastrófico"),CONCATENATE("R",'Mapa final'!$A$26),"")</f>
        <v/>
      </c>
      <c r="AK6" s="385"/>
      <c r="AL6" s="385" t="str">
        <f>IF(AND('Mapa final'!$H$27="Muy Alta",'Mapa final'!$L$27="Catastrófico"),CONCATENATE("R",'Mapa final'!$A$27),"")</f>
        <v/>
      </c>
      <c r="AM6" s="386"/>
      <c r="AO6" s="409" t="s">
        <v>93</v>
      </c>
      <c r="AP6" s="410"/>
      <c r="AQ6" s="410"/>
      <c r="AR6" s="410"/>
      <c r="AS6" s="410"/>
      <c r="AT6" s="411"/>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407"/>
      <c r="C7" s="407"/>
      <c r="D7" s="408"/>
      <c r="E7" s="400"/>
      <c r="F7" s="401"/>
      <c r="G7" s="401"/>
      <c r="H7" s="401"/>
      <c r="I7" s="402"/>
      <c r="J7" s="387"/>
      <c r="K7" s="388"/>
      <c r="L7" s="388"/>
      <c r="M7" s="388"/>
      <c r="N7" s="388"/>
      <c r="O7" s="389"/>
      <c r="P7" s="387"/>
      <c r="Q7" s="388"/>
      <c r="R7" s="388"/>
      <c r="S7" s="388"/>
      <c r="T7" s="388"/>
      <c r="U7" s="389"/>
      <c r="V7" s="387"/>
      <c r="W7" s="388"/>
      <c r="X7" s="388"/>
      <c r="Y7" s="388"/>
      <c r="Z7" s="388"/>
      <c r="AA7" s="389"/>
      <c r="AB7" s="387"/>
      <c r="AC7" s="388"/>
      <c r="AD7" s="388"/>
      <c r="AE7" s="388"/>
      <c r="AF7" s="388"/>
      <c r="AG7" s="389"/>
      <c r="AH7" s="378"/>
      <c r="AI7" s="379"/>
      <c r="AJ7" s="379"/>
      <c r="AK7" s="379"/>
      <c r="AL7" s="379"/>
      <c r="AM7" s="380"/>
      <c r="AN7" s="83"/>
      <c r="AO7" s="412"/>
      <c r="AP7" s="413"/>
      <c r="AQ7" s="413"/>
      <c r="AR7" s="413"/>
      <c r="AS7" s="413"/>
      <c r="AT7" s="414"/>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407"/>
      <c r="C8" s="407"/>
      <c r="D8" s="408"/>
      <c r="E8" s="400"/>
      <c r="F8" s="401"/>
      <c r="G8" s="401"/>
      <c r="H8" s="401"/>
      <c r="I8" s="402"/>
      <c r="J8" s="387" t="str">
        <f>IF(AND('Mapa final'!$H$29="Muy Alta",'Mapa final'!$L$29="Leve"),CONCATENATE("R",'Mapa final'!$A$29),"")</f>
        <v/>
      </c>
      <c r="K8" s="388"/>
      <c r="L8" s="388" t="str">
        <f>IF(AND('Mapa final'!$H$31="Muy Alta",'Mapa final'!$L$31="Leve"),CONCATENATE("R",'Mapa final'!$A$31),"")</f>
        <v/>
      </c>
      <c r="M8" s="388"/>
      <c r="N8" s="388" t="e">
        <f>IF(AND('Mapa final'!#REF!="Muy Alta",'Mapa final'!#REF!="Leve"),CONCATENATE("R",'Mapa final'!#REF!),"")</f>
        <v>#REF!</v>
      </c>
      <c r="O8" s="389"/>
      <c r="P8" s="387" t="str">
        <f>IF(AND('Mapa final'!$H$29="Muy Alta",'Mapa final'!$L$29="Menor"),CONCATENATE("R",'Mapa final'!$A$29),"")</f>
        <v/>
      </c>
      <c r="Q8" s="388"/>
      <c r="R8" s="388" t="str">
        <f>IF(AND('Mapa final'!$H$31="Muy Alta",'Mapa final'!$L$31="Menor"),CONCATENATE("R",'Mapa final'!$A$31),"")</f>
        <v/>
      </c>
      <c r="S8" s="388"/>
      <c r="T8" s="388" t="e">
        <f>IF(AND('Mapa final'!#REF!="Muy Alta",'Mapa final'!#REF!="Menor"),CONCATENATE("R",'Mapa final'!#REF!),"")</f>
        <v>#REF!</v>
      </c>
      <c r="U8" s="389"/>
      <c r="V8" s="387" t="str">
        <f>IF(AND('Mapa final'!$H$29="Muy Alta",'Mapa final'!$L$29="Moderado"),CONCATENATE("R",'Mapa final'!$A$29),"")</f>
        <v/>
      </c>
      <c r="W8" s="388"/>
      <c r="X8" s="388" t="str">
        <f>IF(AND('Mapa final'!$H$31="Muy Alta",'Mapa final'!$L$31="Moderado"),CONCATENATE("R",'Mapa final'!$A$31),"")</f>
        <v/>
      </c>
      <c r="Y8" s="388"/>
      <c r="Z8" s="388" t="e">
        <f>IF(AND('Mapa final'!#REF!="Muy Alta",'Mapa final'!#REF!="Moderado"),CONCATENATE("R",'Mapa final'!#REF!),"")</f>
        <v>#REF!</v>
      </c>
      <c r="AA8" s="389"/>
      <c r="AB8" s="387" t="str">
        <f>IF(AND('Mapa final'!$H$29="Muy Alta",'Mapa final'!$L$29="Mayor"),CONCATENATE("R",'Mapa final'!$A$29),"")</f>
        <v/>
      </c>
      <c r="AC8" s="388"/>
      <c r="AD8" s="388" t="str">
        <f>IF(AND('Mapa final'!$H$31="Muy Alta",'Mapa final'!$L$31="Mayor"),CONCATENATE("R",'Mapa final'!$A$31),"")</f>
        <v/>
      </c>
      <c r="AE8" s="388"/>
      <c r="AF8" s="388" t="e">
        <f>IF(AND('Mapa final'!#REF!="Muy Alta",'Mapa final'!#REF!="Mayor"),CONCATENATE("R",'Mapa final'!#REF!),"")</f>
        <v>#REF!</v>
      </c>
      <c r="AG8" s="389"/>
      <c r="AH8" s="378" t="str">
        <f>IF(AND('Mapa final'!$H$29="Muy Alta",'Mapa final'!$L$29="Catastrófico"),CONCATENATE("R",'Mapa final'!$A$29),"")</f>
        <v/>
      </c>
      <c r="AI8" s="379"/>
      <c r="AJ8" s="379" t="str">
        <f>IF(AND('Mapa final'!$H$31="Muy Alta",'Mapa final'!$L$31="Catastrófico"),CONCATENATE("R",'Mapa final'!$A$31),"")</f>
        <v/>
      </c>
      <c r="AK8" s="379"/>
      <c r="AL8" s="379" t="e">
        <f>IF(AND('Mapa final'!#REF!="Muy Alta",'Mapa final'!#REF!="Catastrófico"),CONCATENATE("R",'Mapa final'!#REF!),"")</f>
        <v>#REF!</v>
      </c>
      <c r="AM8" s="380"/>
      <c r="AN8" s="83"/>
      <c r="AO8" s="412"/>
      <c r="AP8" s="413"/>
      <c r="AQ8" s="413"/>
      <c r="AR8" s="413"/>
      <c r="AS8" s="413"/>
      <c r="AT8" s="414"/>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407"/>
      <c r="C9" s="407"/>
      <c r="D9" s="408"/>
      <c r="E9" s="400"/>
      <c r="F9" s="401"/>
      <c r="G9" s="401"/>
      <c r="H9" s="401"/>
      <c r="I9" s="402"/>
      <c r="J9" s="387"/>
      <c r="K9" s="388"/>
      <c r="L9" s="388"/>
      <c r="M9" s="388"/>
      <c r="N9" s="388"/>
      <c r="O9" s="389"/>
      <c r="P9" s="387"/>
      <c r="Q9" s="388"/>
      <c r="R9" s="388"/>
      <c r="S9" s="388"/>
      <c r="T9" s="388"/>
      <c r="U9" s="389"/>
      <c r="V9" s="387"/>
      <c r="W9" s="388"/>
      <c r="X9" s="388"/>
      <c r="Y9" s="388"/>
      <c r="Z9" s="388"/>
      <c r="AA9" s="389"/>
      <c r="AB9" s="387"/>
      <c r="AC9" s="388"/>
      <c r="AD9" s="388"/>
      <c r="AE9" s="388"/>
      <c r="AF9" s="388"/>
      <c r="AG9" s="389"/>
      <c r="AH9" s="378"/>
      <c r="AI9" s="379"/>
      <c r="AJ9" s="379"/>
      <c r="AK9" s="379"/>
      <c r="AL9" s="379"/>
      <c r="AM9" s="380"/>
      <c r="AN9" s="83"/>
      <c r="AO9" s="412"/>
      <c r="AP9" s="413"/>
      <c r="AQ9" s="413"/>
      <c r="AR9" s="413"/>
      <c r="AS9" s="413"/>
      <c r="AT9" s="414"/>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407"/>
      <c r="C10" s="407"/>
      <c r="D10" s="408"/>
      <c r="E10" s="400"/>
      <c r="F10" s="401"/>
      <c r="G10" s="401"/>
      <c r="H10" s="401"/>
      <c r="I10" s="402"/>
      <c r="J10" s="387" t="e">
        <f>IF(AND('Mapa final'!#REF!="Muy Alta",'Mapa final'!#REF!="Leve"),CONCATENATE("R",'Mapa final'!#REF!),"")</f>
        <v>#REF!</v>
      </c>
      <c r="K10" s="388"/>
      <c r="L10" s="388" t="str">
        <f>IF(AND('Mapa final'!$H$33="Muy Alta",'Mapa final'!$L$33="Leve"),CONCATENATE("R",'Mapa final'!$A$33),"")</f>
        <v/>
      </c>
      <c r="M10" s="388"/>
      <c r="N10" s="388" t="str">
        <f>IF(AND('Mapa final'!$H$39="Muy Alta",'Mapa final'!$L$39="Leve"),CONCATENATE("R",'Mapa final'!$A$39),"")</f>
        <v/>
      </c>
      <c r="O10" s="389"/>
      <c r="P10" s="387" t="e">
        <f>IF(AND('Mapa final'!#REF!="Muy Alta",'Mapa final'!#REF!="Menor"),CONCATENATE("R",'Mapa final'!#REF!),"")</f>
        <v>#REF!</v>
      </c>
      <c r="Q10" s="388"/>
      <c r="R10" s="388" t="str">
        <f>IF(AND('Mapa final'!$H$33="Muy Alta",'Mapa final'!$L$33="Menor"),CONCATENATE("R",'Mapa final'!$A$33),"")</f>
        <v/>
      </c>
      <c r="S10" s="388"/>
      <c r="T10" s="388" t="str">
        <f>IF(AND('Mapa final'!$H$39="Muy Alta",'Mapa final'!$L$39="Menor"),CONCATENATE("R",'Mapa final'!$A$39),"")</f>
        <v/>
      </c>
      <c r="U10" s="389"/>
      <c r="V10" s="387" t="e">
        <f>IF(AND('Mapa final'!#REF!="Muy Alta",'Mapa final'!#REF!="Moderado"),CONCATENATE("R",'Mapa final'!#REF!),"")</f>
        <v>#REF!</v>
      </c>
      <c r="W10" s="388"/>
      <c r="X10" s="388" t="str">
        <f>IF(AND('Mapa final'!$H$33="Muy Alta",'Mapa final'!$L$33="Moderado"),CONCATENATE("R",'Mapa final'!$A$33),"")</f>
        <v/>
      </c>
      <c r="Y10" s="388"/>
      <c r="Z10" s="388" t="str">
        <f>IF(AND('Mapa final'!$H$39="Muy Alta",'Mapa final'!$L$39="Moderado"),CONCATENATE("R",'Mapa final'!$A$39),"")</f>
        <v/>
      </c>
      <c r="AA10" s="389"/>
      <c r="AB10" s="387" t="e">
        <f>IF(AND('Mapa final'!#REF!="Muy Alta",'Mapa final'!#REF!="Mayor"),CONCATENATE("R",'Mapa final'!#REF!),"")</f>
        <v>#REF!</v>
      </c>
      <c r="AC10" s="388"/>
      <c r="AD10" s="388" t="str">
        <f>IF(AND('Mapa final'!$H$33="Muy Alta",'Mapa final'!$L$33="Mayor"),CONCATENATE("R",'Mapa final'!$A$33),"")</f>
        <v/>
      </c>
      <c r="AE10" s="388"/>
      <c r="AF10" s="388" t="str">
        <f>IF(AND('Mapa final'!$H$39="Muy Alta",'Mapa final'!$L$39="Mayor"),CONCATENATE("R",'Mapa final'!$A$39),"")</f>
        <v/>
      </c>
      <c r="AG10" s="389"/>
      <c r="AH10" s="378" t="e">
        <f>IF(AND('Mapa final'!#REF!="Muy Alta",'Mapa final'!#REF!="Catastrófico"),CONCATENATE("R",'Mapa final'!#REF!),"")</f>
        <v>#REF!</v>
      </c>
      <c r="AI10" s="379"/>
      <c r="AJ10" s="379" t="str">
        <f>IF(AND('Mapa final'!$H$33="Muy Alta",'Mapa final'!$L$33="Catastrófico"),CONCATENATE("R",'Mapa final'!$A$33),"")</f>
        <v/>
      </c>
      <c r="AK10" s="379"/>
      <c r="AL10" s="379" t="str">
        <f>IF(AND('Mapa final'!$H$39="Muy Alta",'Mapa final'!$L$39="Catastrófico"),CONCATENATE("R",'Mapa final'!$A$39),"")</f>
        <v/>
      </c>
      <c r="AM10" s="380"/>
      <c r="AN10" s="83"/>
      <c r="AO10" s="412"/>
      <c r="AP10" s="413"/>
      <c r="AQ10" s="413"/>
      <c r="AR10" s="413"/>
      <c r="AS10" s="413"/>
      <c r="AT10" s="414"/>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407"/>
      <c r="C11" s="407"/>
      <c r="D11" s="408"/>
      <c r="E11" s="400"/>
      <c r="F11" s="401"/>
      <c r="G11" s="401"/>
      <c r="H11" s="401"/>
      <c r="I11" s="402"/>
      <c r="J11" s="387"/>
      <c r="K11" s="388"/>
      <c r="L11" s="388"/>
      <c r="M11" s="388"/>
      <c r="N11" s="388"/>
      <c r="O11" s="389"/>
      <c r="P11" s="387"/>
      <c r="Q11" s="388"/>
      <c r="R11" s="388"/>
      <c r="S11" s="388"/>
      <c r="T11" s="388"/>
      <c r="U11" s="389"/>
      <c r="V11" s="387"/>
      <c r="W11" s="388"/>
      <c r="X11" s="388"/>
      <c r="Y11" s="388"/>
      <c r="Z11" s="388"/>
      <c r="AA11" s="389"/>
      <c r="AB11" s="387"/>
      <c r="AC11" s="388"/>
      <c r="AD11" s="388"/>
      <c r="AE11" s="388"/>
      <c r="AF11" s="388"/>
      <c r="AG11" s="389"/>
      <c r="AH11" s="378"/>
      <c r="AI11" s="379"/>
      <c r="AJ11" s="379"/>
      <c r="AK11" s="379"/>
      <c r="AL11" s="379"/>
      <c r="AM11" s="380"/>
      <c r="AN11" s="83"/>
      <c r="AO11" s="412"/>
      <c r="AP11" s="413"/>
      <c r="AQ11" s="413"/>
      <c r="AR11" s="413"/>
      <c r="AS11" s="413"/>
      <c r="AT11" s="414"/>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407"/>
      <c r="C12" s="407"/>
      <c r="D12" s="408"/>
      <c r="E12" s="400"/>
      <c r="F12" s="401"/>
      <c r="G12" s="401"/>
      <c r="H12" s="401"/>
      <c r="I12" s="402"/>
      <c r="J12" s="387" t="str">
        <f>IF(AND('Mapa final'!$H$45="Muy Alta",'Mapa final'!$L$45="Leve"),CONCATENATE("R",'Mapa final'!$A$45),"")</f>
        <v/>
      </c>
      <c r="K12" s="388"/>
      <c r="L12" s="388" t="str">
        <f>IF(AND('Mapa final'!$H$51="Muy Alta",'Mapa final'!$L$51="Leve"),CONCATENATE("R",'Mapa final'!$A$51),"")</f>
        <v/>
      </c>
      <c r="M12" s="388"/>
      <c r="N12" s="388" t="str">
        <f>IF(AND('Mapa final'!$H$57="Muy Alta",'Mapa final'!$L$57="Leve"),CONCATENATE("R",'Mapa final'!$A$57),"")</f>
        <v/>
      </c>
      <c r="O12" s="389"/>
      <c r="P12" s="387" t="str">
        <f>IF(AND('Mapa final'!$H$45="Muy Alta",'Mapa final'!$L$45="Menor"),CONCATENATE("R",'Mapa final'!$A$45),"")</f>
        <v/>
      </c>
      <c r="Q12" s="388"/>
      <c r="R12" s="388" t="str">
        <f>IF(AND('Mapa final'!$H$51="Muy Alta",'Mapa final'!$L$51="Menor"),CONCATENATE("R",'Mapa final'!$A$51),"")</f>
        <v/>
      </c>
      <c r="S12" s="388"/>
      <c r="T12" s="388" t="str">
        <f>IF(AND('Mapa final'!$H$57="Muy Alta",'Mapa final'!$L$57="Menor"),CONCATENATE("R",'Mapa final'!$A$57),"")</f>
        <v/>
      </c>
      <c r="U12" s="389"/>
      <c r="V12" s="387" t="str">
        <f>IF(AND('Mapa final'!$H$45="Muy Alta",'Mapa final'!$L$45="Moderado"),CONCATENATE("R",'Mapa final'!$A$45),"")</f>
        <v/>
      </c>
      <c r="W12" s="388"/>
      <c r="X12" s="388" t="str">
        <f>IF(AND('Mapa final'!$H$51="Muy Alta",'Mapa final'!$L$51="Moderado"),CONCATENATE("R",'Mapa final'!$A$51),"")</f>
        <v/>
      </c>
      <c r="Y12" s="388"/>
      <c r="Z12" s="388" t="str">
        <f>IF(AND('Mapa final'!$H$57="Muy Alta",'Mapa final'!$L$57="Moderado"),CONCATENATE("R",'Mapa final'!$A$57),"")</f>
        <v/>
      </c>
      <c r="AA12" s="389"/>
      <c r="AB12" s="387" t="str">
        <f>IF(AND('Mapa final'!$H$45="Muy Alta",'Mapa final'!$L$45="Mayor"),CONCATENATE("R",'Mapa final'!$A$45),"")</f>
        <v/>
      </c>
      <c r="AC12" s="388"/>
      <c r="AD12" s="388" t="str">
        <f>IF(AND('Mapa final'!$H$51="Muy Alta",'Mapa final'!$L$51="Mayor"),CONCATENATE("R",'Mapa final'!$A$51),"")</f>
        <v/>
      </c>
      <c r="AE12" s="388"/>
      <c r="AF12" s="388" t="str">
        <f>IF(AND('Mapa final'!$H$57="Muy Alta",'Mapa final'!$L$57="Mayor"),CONCATENATE("R",'Mapa final'!$A$57),"")</f>
        <v/>
      </c>
      <c r="AG12" s="389"/>
      <c r="AH12" s="378" t="str">
        <f>IF(AND('Mapa final'!$H$45="Muy Alta",'Mapa final'!$L$45="Catastrófico"),CONCATENATE("R",'Mapa final'!$A$45),"")</f>
        <v/>
      </c>
      <c r="AI12" s="379"/>
      <c r="AJ12" s="379" t="str">
        <f>IF(AND('Mapa final'!$H$51="Muy Alta",'Mapa final'!$L$51="Catastrófico"),CONCATENATE("R",'Mapa final'!$A$51),"")</f>
        <v/>
      </c>
      <c r="AK12" s="379"/>
      <c r="AL12" s="379" t="str">
        <f>IF(AND('Mapa final'!$H$57="Muy Alta",'Mapa final'!$L$57="Catastrófico"),CONCATENATE("R",'Mapa final'!$A$57),"")</f>
        <v/>
      </c>
      <c r="AM12" s="380"/>
      <c r="AN12" s="83"/>
      <c r="AO12" s="412"/>
      <c r="AP12" s="413"/>
      <c r="AQ12" s="413"/>
      <c r="AR12" s="413"/>
      <c r="AS12" s="413"/>
      <c r="AT12" s="414"/>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407"/>
      <c r="C13" s="407"/>
      <c r="D13" s="408"/>
      <c r="E13" s="403"/>
      <c r="F13" s="404"/>
      <c r="G13" s="404"/>
      <c r="H13" s="404"/>
      <c r="I13" s="405"/>
      <c r="J13" s="387"/>
      <c r="K13" s="388"/>
      <c r="L13" s="388"/>
      <c r="M13" s="388"/>
      <c r="N13" s="388"/>
      <c r="O13" s="389"/>
      <c r="P13" s="387"/>
      <c r="Q13" s="388"/>
      <c r="R13" s="388"/>
      <c r="S13" s="388"/>
      <c r="T13" s="388"/>
      <c r="U13" s="389"/>
      <c r="V13" s="387"/>
      <c r="W13" s="388"/>
      <c r="X13" s="388"/>
      <c r="Y13" s="388"/>
      <c r="Z13" s="388"/>
      <c r="AA13" s="389"/>
      <c r="AB13" s="387"/>
      <c r="AC13" s="388"/>
      <c r="AD13" s="388"/>
      <c r="AE13" s="388"/>
      <c r="AF13" s="388"/>
      <c r="AG13" s="389"/>
      <c r="AH13" s="381"/>
      <c r="AI13" s="382"/>
      <c r="AJ13" s="382"/>
      <c r="AK13" s="382"/>
      <c r="AL13" s="382"/>
      <c r="AM13" s="383"/>
      <c r="AN13" s="83"/>
      <c r="AO13" s="415"/>
      <c r="AP13" s="416"/>
      <c r="AQ13" s="416"/>
      <c r="AR13" s="416"/>
      <c r="AS13" s="416"/>
      <c r="AT13" s="417"/>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407"/>
      <c r="C14" s="407"/>
      <c r="D14" s="408"/>
      <c r="E14" s="397" t="s">
        <v>94</v>
      </c>
      <c r="F14" s="398"/>
      <c r="G14" s="398"/>
      <c r="H14" s="398"/>
      <c r="I14" s="398"/>
      <c r="J14" s="375" t="str">
        <f>IF(AND('Mapa final'!$H$24="Alta",'Mapa final'!$L$24="Leve"),CONCATENATE("R",'Mapa final'!$A$24),"")</f>
        <v/>
      </c>
      <c r="K14" s="376"/>
      <c r="L14" s="376" t="str">
        <f>IF(AND('Mapa final'!$H$26="Alta",'Mapa final'!$L$26="Leve"),CONCATENATE("R",'Mapa final'!$A$26),"")</f>
        <v/>
      </c>
      <c r="M14" s="376"/>
      <c r="N14" s="376" t="str">
        <f>IF(AND('Mapa final'!$H$27="Alta",'Mapa final'!$L$27="Leve"),CONCATENATE("R",'Mapa final'!$A$27),"")</f>
        <v/>
      </c>
      <c r="O14" s="377"/>
      <c r="P14" s="375" t="str">
        <f>IF(AND('Mapa final'!$H$24="Alta",'Mapa final'!$L$24="Menor"),CONCATENATE("R",'Mapa final'!$A$24),"")</f>
        <v/>
      </c>
      <c r="Q14" s="376"/>
      <c r="R14" s="376" t="str">
        <f>IF(AND('Mapa final'!$H$26="Alta",'Mapa final'!$L$26="Menor"),CONCATENATE("R",'Mapa final'!$A$26),"")</f>
        <v/>
      </c>
      <c r="S14" s="376"/>
      <c r="T14" s="376" t="str">
        <f>IF(AND('Mapa final'!$H$27="Alta",'Mapa final'!$L$27="Menor"),CONCATENATE("R",'Mapa final'!$A$27),"")</f>
        <v/>
      </c>
      <c r="U14" s="377"/>
      <c r="V14" s="393" t="str">
        <f>IF(AND('Mapa final'!$H$24="Alta",'Mapa final'!$L$24="Moderado"),CONCATENATE("R",'Mapa final'!$A$24),"")</f>
        <v/>
      </c>
      <c r="W14" s="394"/>
      <c r="X14" s="394" t="str">
        <f>IF(AND('Mapa final'!$H$26="Alta",'Mapa final'!$L$26="Moderado"),CONCATENATE("R",'Mapa final'!$A$26),"")</f>
        <v/>
      </c>
      <c r="Y14" s="394"/>
      <c r="Z14" s="394" t="str">
        <f>IF(AND('Mapa final'!$H$27="Alta",'Mapa final'!$L$27="Moderado"),CONCATENATE("R",'Mapa final'!$A$27),"")</f>
        <v/>
      </c>
      <c r="AA14" s="395"/>
      <c r="AB14" s="393" t="str">
        <f>IF(AND('Mapa final'!$H$24="Alta",'Mapa final'!$L$24="Mayor"),CONCATENATE("R",'Mapa final'!$A$24),"")</f>
        <v/>
      </c>
      <c r="AC14" s="394"/>
      <c r="AD14" s="394" t="str">
        <f>IF(AND('Mapa final'!$H$26="Alta",'Mapa final'!$L$26="Mayor"),CONCATENATE("R",'Mapa final'!$A$26),"")</f>
        <v/>
      </c>
      <c r="AE14" s="394"/>
      <c r="AF14" s="394" t="str">
        <f>IF(AND('Mapa final'!$H$27="Alta",'Mapa final'!$L$27="Mayor"),CONCATENATE("R",'Mapa final'!$A$27),"")</f>
        <v/>
      </c>
      <c r="AG14" s="395"/>
      <c r="AH14" s="384" t="str">
        <f>IF(AND('Mapa final'!$H$24="Alta",'Mapa final'!$L$24="Catastrófico"),CONCATENATE("R",'Mapa final'!$A$24),"")</f>
        <v/>
      </c>
      <c r="AI14" s="385"/>
      <c r="AJ14" s="385" t="str">
        <f>IF(AND('Mapa final'!$H$26="Alta",'Mapa final'!$L$26="Catastrófico"),CONCATENATE("R",'Mapa final'!$A$26),"")</f>
        <v/>
      </c>
      <c r="AK14" s="385"/>
      <c r="AL14" s="385" t="str">
        <f>IF(AND('Mapa final'!$H$27="Alta",'Mapa final'!$L$27="Catastrófico"),CONCATENATE("R",'Mapa final'!$A$27),"")</f>
        <v/>
      </c>
      <c r="AM14" s="386"/>
      <c r="AN14" s="83"/>
      <c r="AO14" s="418" t="s">
        <v>95</v>
      </c>
      <c r="AP14" s="419"/>
      <c r="AQ14" s="419"/>
      <c r="AR14" s="419"/>
      <c r="AS14" s="419"/>
      <c r="AT14" s="420"/>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407"/>
      <c r="C15" s="407"/>
      <c r="D15" s="408"/>
      <c r="E15" s="400"/>
      <c r="F15" s="401"/>
      <c r="G15" s="401"/>
      <c r="H15" s="401"/>
      <c r="I15" s="401"/>
      <c r="J15" s="369"/>
      <c r="K15" s="370"/>
      <c r="L15" s="370"/>
      <c r="M15" s="370"/>
      <c r="N15" s="370"/>
      <c r="O15" s="371"/>
      <c r="P15" s="369"/>
      <c r="Q15" s="370"/>
      <c r="R15" s="370"/>
      <c r="S15" s="370"/>
      <c r="T15" s="370"/>
      <c r="U15" s="371"/>
      <c r="V15" s="387"/>
      <c r="W15" s="388"/>
      <c r="X15" s="388"/>
      <c r="Y15" s="388"/>
      <c r="Z15" s="388"/>
      <c r="AA15" s="389"/>
      <c r="AB15" s="387"/>
      <c r="AC15" s="388"/>
      <c r="AD15" s="388"/>
      <c r="AE15" s="388"/>
      <c r="AF15" s="388"/>
      <c r="AG15" s="389"/>
      <c r="AH15" s="378"/>
      <c r="AI15" s="379"/>
      <c r="AJ15" s="379"/>
      <c r="AK15" s="379"/>
      <c r="AL15" s="379"/>
      <c r="AM15" s="380"/>
      <c r="AN15" s="83"/>
      <c r="AO15" s="421"/>
      <c r="AP15" s="422"/>
      <c r="AQ15" s="422"/>
      <c r="AR15" s="422"/>
      <c r="AS15" s="422"/>
      <c r="AT15" s="42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407"/>
      <c r="C16" s="407"/>
      <c r="D16" s="408"/>
      <c r="E16" s="400"/>
      <c r="F16" s="401"/>
      <c r="G16" s="401"/>
      <c r="H16" s="401"/>
      <c r="I16" s="401"/>
      <c r="J16" s="369" t="str">
        <f>IF(AND('Mapa final'!$H$29="Alta",'Mapa final'!$L$29="Leve"),CONCATENATE("R",'Mapa final'!$A$29),"")</f>
        <v/>
      </c>
      <c r="K16" s="370"/>
      <c r="L16" s="370" t="str">
        <f>IF(AND('Mapa final'!$H$31="Alta",'Mapa final'!$L$31="Leve"),CONCATENATE("R",'Mapa final'!$A$31),"")</f>
        <v/>
      </c>
      <c r="M16" s="370"/>
      <c r="N16" s="370" t="e">
        <f>IF(AND('Mapa final'!#REF!="Alta",'Mapa final'!#REF!="Leve"),CONCATENATE("R",'Mapa final'!#REF!),"")</f>
        <v>#REF!</v>
      </c>
      <c r="O16" s="371"/>
      <c r="P16" s="369" t="str">
        <f>IF(AND('Mapa final'!$H$29="Alta",'Mapa final'!$L$29="Menor"),CONCATENATE("R",'Mapa final'!$A$29),"")</f>
        <v/>
      </c>
      <c r="Q16" s="370"/>
      <c r="R16" s="370" t="str">
        <f>IF(AND('Mapa final'!$H$31="Alta",'Mapa final'!$L$31="Menor"),CONCATENATE("R",'Mapa final'!$A$31),"")</f>
        <v/>
      </c>
      <c r="S16" s="370"/>
      <c r="T16" s="370" t="e">
        <f>IF(AND('Mapa final'!#REF!="Alta",'Mapa final'!#REF!="Menor"),CONCATENATE("R",'Mapa final'!#REF!),"")</f>
        <v>#REF!</v>
      </c>
      <c r="U16" s="371"/>
      <c r="V16" s="387" t="str">
        <f>IF(AND('Mapa final'!$H$29="Alta",'Mapa final'!$L$29="Moderado"),CONCATENATE("R",'Mapa final'!$A$29),"")</f>
        <v/>
      </c>
      <c r="W16" s="388"/>
      <c r="X16" s="388" t="str">
        <f>IF(AND('Mapa final'!$H$31="Alta",'Mapa final'!$L$31="Moderado"),CONCATENATE("R",'Mapa final'!$A$31),"")</f>
        <v/>
      </c>
      <c r="Y16" s="388"/>
      <c r="Z16" s="388" t="e">
        <f>IF(AND('Mapa final'!#REF!="Alta",'Mapa final'!#REF!="Moderado"),CONCATENATE("R",'Mapa final'!#REF!),"")</f>
        <v>#REF!</v>
      </c>
      <c r="AA16" s="389"/>
      <c r="AB16" s="387" t="str">
        <f>IF(AND('Mapa final'!$H$29="Alta",'Mapa final'!$L$29="Mayor"),CONCATENATE("R",'Mapa final'!$A$29),"")</f>
        <v/>
      </c>
      <c r="AC16" s="388"/>
      <c r="AD16" s="388" t="str">
        <f>IF(AND('Mapa final'!$H$31="Alta",'Mapa final'!$L$31="Mayor"),CONCATENATE("R",'Mapa final'!$A$31),"")</f>
        <v/>
      </c>
      <c r="AE16" s="388"/>
      <c r="AF16" s="388" t="e">
        <f>IF(AND('Mapa final'!#REF!="Alta",'Mapa final'!#REF!="Mayor"),CONCATENATE("R",'Mapa final'!#REF!),"")</f>
        <v>#REF!</v>
      </c>
      <c r="AG16" s="389"/>
      <c r="AH16" s="378" t="str">
        <f>IF(AND('Mapa final'!$H$29="Alta",'Mapa final'!$L$29="Catastrófico"),CONCATENATE("R",'Mapa final'!$A$29),"")</f>
        <v/>
      </c>
      <c r="AI16" s="379"/>
      <c r="AJ16" s="379" t="str">
        <f>IF(AND('Mapa final'!$H$31="Alta",'Mapa final'!$L$31="Catastrófico"),CONCATENATE("R",'Mapa final'!$A$31),"")</f>
        <v/>
      </c>
      <c r="AK16" s="379"/>
      <c r="AL16" s="379" t="e">
        <f>IF(AND('Mapa final'!#REF!="Alta",'Mapa final'!#REF!="Catastrófico"),CONCATENATE("R",'Mapa final'!#REF!),"")</f>
        <v>#REF!</v>
      </c>
      <c r="AM16" s="380"/>
      <c r="AN16" s="83"/>
      <c r="AO16" s="421"/>
      <c r="AP16" s="422"/>
      <c r="AQ16" s="422"/>
      <c r="AR16" s="422"/>
      <c r="AS16" s="422"/>
      <c r="AT16" s="42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407"/>
      <c r="C17" s="407"/>
      <c r="D17" s="408"/>
      <c r="E17" s="400"/>
      <c r="F17" s="401"/>
      <c r="G17" s="401"/>
      <c r="H17" s="401"/>
      <c r="I17" s="401"/>
      <c r="J17" s="369"/>
      <c r="K17" s="370"/>
      <c r="L17" s="370"/>
      <c r="M17" s="370"/>
      <c r="N17" s="370"/>
      <c r="O17" s="371"/>
      <c r="P17" s="369"/>
      <c r="Q17" s="370"/>
      <c r="R17" s="370"/>
      <c r="S17" s="370"/>
      <c r="T17" s="370"/>
      <c r="U17" s="371"/>
      <c r="V17" s="387"/>
      <c r="W17" s="388"/>
      <c r="X17" s="388"/>
      <c r="Y17" s="388"/>
      <c r="Z17" s="388"/>
      <c r="AA17" s="389"/>
      <c r="AB17" s="387"/>
      <c r="AC17" s="388"/>
      <c r="AD17" s="388"/>
      <c r="AE17" s="388"/>
      <c r="AF17" s="388"/>
      <c r="AG17" s="389"/>
      <c r="AH17" s="378"/>
      <c r="AI17" s="379"/>
      <c r="AJ17" s="379"/>
      <c r="AK17" s="379"/>
      <c r="AL17" s="379"/>
      <c r="AM17" s="380"/>
      <c r="AN17" s="83"/>
      <c r="AO17" s="421"/>
      <c r="AP17" s="422"/>
      <c r="AQ17" s="422"/>
      <c r="AR17" s="422"/>
      <c r="AS17" s="422"/>
      <c r="AT17" s="42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407"/>
      <c r="C18" s="407"/>
      <c r="D18" s="408"/>
      <c r="E18" s="400"/>
      <c r="F18" s="401"/>
      <c r="G18" s="401"/>
      <c r="H18" s="401"/>
      <c r="I18" s="401"/>
      <c r="J18" s="369" t="e">
        <f>IF(AND('Mapa final'!#REF!="Alta",'Mapa final'!#REF!="Leve"),CONCATENATE("R",'Mapa final'!#REF!),"")</f>
        <v>#REF!</v>
      </c>
      <c r="K18" s="370"/>
      <c r="L18" s="370" t="str">
        <f>IF(AND('Mapa final'!$H$33="Alta",'Mapa final'!$L$33="Leve"),CONCATENATE("R",'Mapa final'!$A$33),"")</f>
        <v/>
      </c>
      <c r="M18" s="370"/>
      <c r="N18" s="370" t="str">
        <f>IF(AND('Mapa final'!$H$39="Alta",'Mapa final'!$L$39="Leve"),CONCATENATE("R",'Mapa final'!$A$39),"")</f>
        <v/>
      </c>
      <c r="O18" s="371"/>
      <c r="P18" s="369" t="e">
        <f>IF(AND('Mapa final'!#REF!="Alta",'Mapa final'!#REF!="Menor"),CONCATENATE("R",'Mapa final'!#REF!),"")</f>
        <v>#REF!</v>
      </c>
      <c r="Q18" s="370"/>
      <c r="R18" s="370" t="str">
        <f>IF(AND('Mapa final'!$H$33="Alta",'Mapa final'!$L$33="Menor"),CONCATENATE("R",'Mapa final'!$A$33),"")</f>
        <v/>
      </c>
      <c r="S18" s="370"/>
      <c r="T18" s="370" t="str">
        <f>IF(AND('Mapa final'!$H$39="Alta",'Mapa final'!$L$39="Menor"),CONCATENATE("R",'Mapa final'!$A$39),"")</f>
        <v/>
      </c>
      <c r="U18" s="371"/>
      <c r="V18" s="387" t="e">
        <f>IF(AND('Mapa final'!#REF!="Alta",'Mapa final'!#REF!="Moderado"),CONCATENATE("R",'Mapa final'!#REF!),"")</f>
        <v>#REF!</v>
      </c>
      <c r="W18" s="388"/>
      <c r="X18" s="388" t="str">
        <f>IF(AND('Mapa final'!$H$33="Alta",'Mapa final'!$L$33="Moderado"),CONCATENATE("R",'Mapa final'!$A$33),"")</f>
        <v/>
      </c>
      <c r="Y18" s="388"/>
      <c r="Z18" s="388" t="str">
        <f>IF(AND('Mapa final'!$H$39="Alta",'Mapa final'!$L$39="Moderado"),CONCATENATE("R",'Mapa final'!$A$39),"")</f>
        <v/>
      </c>
      <c r="AA18" s="389"/>
      <c r="AB18" s="387" t="e">
        <f>IF(AND('Mapa final'!#REF!="Alta",'Mapa final'!#REF!="Mayor"),CONCATENATE("R",'Mapa final'!#REF!),"")</f>
        <v>#REF!</v>
      </c>
      <c r="AC18" s="388"/>
      <c r="AD18" s="388" t="str">
        <f>IF(AND('Mapa final'!$H$33="Alta",'Mapa final'!$L$33="Mayor"),CONCATENATE("R",'Mapa final'!$A$33),"")</f>
        <v/>
      </c>
      <c r="AE18" s="388"/>
      <c r="AF18" s="388" t="str">
        <f>IF(AND('Mapa final'!$H$39="Alta",'Mapa final'!$L$39="Mayor"),CONCATENATE("R",'Mapa final'!$A$39),"")</f>
        <v/>
      </c>
      <c r="AG18" s="389"/>
      <c r="AH18" s="378" t="e">
        <f>IF(AND('Mapa final'!#REF!="Alta",'Mapa final'!#REF!="Catastrófico"),CONCATENATE("R",'Mapa final'!#REF!),"")</f>
        <v>#REF!</v>
      </c>
      <c r="AI18" s="379"/>
      <c r="AJ18" s="379" t="str">
        <f>IF(AND('Mapa final'!$H$33="Alta",'Mapa final'!$L$33="Catastrófico"),CONCATENATE("R",'Mapa final'!$A$33),"")</f>
        <v/>
      </c>
      <c r="AK18" s="379"/>
      <c r="AL18" s="379" t="str">
        <f>IF(AND('Mapa final'!$H$39="Alta",'Mapa final'!$L$39="Catastrófico"),CONCATENATE("R",'Mapa final'!$A$39),"")</f>
        <v/>
      </c>
      <c r="AM18" s="380"/>
      <c r="AN18" s="83"/>
      <c r="AO18" s="421"/>
      <c r="AP18" s="422"/>
      <c r="AQ18" s="422"/>
      <c r="AR18" s="422"/>
      <c r="AS18" s="422"/>
      <c r="AT18" s="42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407"/>
      <c r="C19" s="407"/>
      <c r="D19" s="408"/>
      <c r="E19" s="400"/>
      <c r="F19" s="401"/>
      <c r="G19" s="401"/>
      <c r="H19" s="401"/>
      <c r="I19" s="401"/>
      <c r="J19" s="369"/>
      <c r="K19" s="370"/>
      <c r="L19" s="370"/>
      <c r="M19" s="370"/>
      <c r="N19" s="370"/>
      <c r="O19" s="371"/>
      <c r="P19" s="369"/>
      <c r="Q19" s="370"/>
      <c r="R19" s="370"/>
      <c r="S19" s="370"/>
      <c r="T19" s="370"/>
      <c r="U19" s="371"/>
      <c r="V19" s="387"/>
      <c r="W19" s="388"/>
      <c r="X19" s="388"/>
      <c r="Y19" s="388"/>
      <c r="Z19" s="388"/>
      <c r="AA19" s="389"/>
      <c r="AB19" s="387"/>
      <c r="AC19" s="388"/>
      <c r="AD19" s="388"/>
      <c r="AE19" s="388"/>
      <c r="AF19" s="388"/>
      <c r="AG19" s="389"/>
      <c r="AH19" s="378"/>
      <c r="AI19" s="379"/>
      <c r="AJ19" s="379"/>
      <c r="AK19" s="379"/>
      <c r="AL19" s="379"/>
      <c r="AM19" s="380"/>
      <c r="AN19" s="83"/>
      <c r="AO19" s="421"/>
      <c r="AP19" s="422"/>
      <c r="AQ19" s="422"/>
      <c r="AR19" s="422"/>
      <c r="AS19" s="422"/>
      <c r="AT19" s="42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407"/>
      <c r="C20" s="407"/>
      <c r="D20" s="408"/>
      <c r="E20" s="400"/>
      <c r="F20" s="401"/>
      <c r="G20" s="401"/>
      <c r="H20" s="401"/>
      <c r="I20" s="401"/>
      <c r="J20" s="369" t="str">
        <f>IF(AND('Mapa final'!$H$45="Alta",'Mapa final'!$L$45="Leve"),CONCATENATE("R",'Mapa final'!$A$45),"")</f>
        <v/>
      </c>
      <c r="K20" s="370"/>
      <c r="L20" s="370" t="str">
        <f>IF(AND('Mapa final'!$H$51="Alta",'Mapa final'!$L$51="Leve"),CONCATENATE("R",'Mapa final'!$A$51),"")</f>
        <v/>
      </c>
      <c r="M20" s="370"/>
      <c r="N20" s="370" t="str">
        <f>IF(AND('Mapa final'!$H$57="Alta",'Mapa final'!$L$57="Leve"),CONCATENATE("R",'Mapa final'!$A$57),"")</f>
        <v/>
      </c>
      <c r="O20" s="371"/>
      <c r="P20" s="369" t="str">
        <f>IF(AND('Mapa final'!$H$45="Alta",'Mapa final'!$L$45="Menor"),CONCATENATE("R",'Mapa final'!$A$45),"")</f>
        <v/>
      </c>
      <c r="Q20" s="370"/>
      <c r="R20" s="370" t="str">
        <f>IF(AND('Mapa final'!$H$51="Alta",'Mapa final'!$L$51="Menor"),CONCATENATE("R",'Mapa final'!$A$51),"")</f>
        <v/>
      </c>
      <c r="S20" s="370"/>
      <c r="T20" s="370" t="str">
        <f>IF(AND('Mapa final'!$H$57="Alta",'Mapa final'!$L$57="Menor"),CONCATENATE("R",'Mapa final'!$A$57),"")</f>
        <v/>
      </c>
      <c r="U20" s="371"/>
      <c r="V20" s="387" t="str">
        <f>IF(AND('Mapa final'!$H$45="Alta",'Mapa final'!$L$45="Moderado"),CONCATENATE("R",'Mapa final'!$A$45),"")</f>
        <v/>
      </c>
      <c r="W20" s="388"/>
      <c r="X20" s="388" t="str">
        <f>IF(AND('Mapa final'!$H$51="Alta",'Mapa final'!$L$51="Moderado"),CONCATENATE("R",'Mapa final'!$A$51),"")</f>
        <v/>
      </c>
      <c r="Y20" s="388"/>
      <c r="Z20" s="388" t="str">
        <f>IF(AND('Mapa final'!$H$57="Alta",'Mapa final'!$L$57="Moderado"),CONCATENATE("R",'Mapa final'!$A$57),"")</f>
        <v/>
      </c>
      <c r="AA20" s="389"/>
      <c r="AB20" s="387" t="str">
        <f>IF(AND('Mapa final'!$H$45="Alta",'Mapa final'!$L$45="Mayor"),CONCATENATE("R",'Mapa final'!$A$45),"")</f>
        <v/>
      </c>
      <c r="AC20" s="388"/>
      <c r="AD20" s="388" t="str">
        <f>IF(AND('Mapa final'!$H$51="Alta",'Mapa final'!$L$51="Mayor"),CONCATENATE("R",'Mapa final'!$A$51),"")</f>
        <v/>
      </c>
      <c r="AE20" s="388"/>
      <c r="AF20" s="388" t="str">
        <f>IF(AND('Mapa final'!$H$57="Alta",'Mapa final'!$L$57="Mayor"),CONCATENATE("R",'Mapa final'!$A$57),"")</f>
        <v/>
      </c>
      <c r="AG20" s="389"/>
      <c r="AH20" s="378" t="str">
        <f>IF(AND('Mapa final'!$H$45="Alta",'Mapa final'!$L$45="Catastrófico"),CONCATENATE("R",'Mapa final'!$A$45),"")</f>
        <v/>
      </c>
      <c r="AI20" s="379"/>
      <c r="AJ20" s="379" t="str">
        <f>IF(AND('Mapa final'!$H$51="Alta",'Mapa final'!$L$51="Catastrófico"),CONCATENATE("R",'Mapa final'!$A$51),"")</f>
        <v/>
      </c>
      <c r="AK20" s="379"/>
      <c r="AL20" s="379" t="str">
        <f>IF(AND('Mapa final'!$H$57="Alta",'Mapa final'!$L$57="Catastrófico"),CONCATENATE("R",'Mapa final'!$A$57),"")</f>
        <v/>
      </c>
      <c r="AM20" s="380"/>
      <c r="AN20" s="83"/>
      <c r="AO20" s="421"/>
      <c r="AP20" s="422"/>
      <c r="AQ20" s="422"/>
      <c r="AR20" s="422"/>
      <c r="AS20" s="422"/>
      <c r="AT20" s="42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407"/>
      <c r="C21" s="407"/>
      <c r="D21" s="408"/>
      <c r="E21" s="403"/>
      <c r="F21" s="404"/>
      <c r="G21" s="404"/>
      <c r="H21" s="404"/>
      <c r="I21" s="404"/>
      <c r="J21" s="372"/>
      <c r="K21" s="373"/>
      <c r="L21" s="373"/>
      <c r="M21" s="373"/>
      <c r="N21" s="373"/>
      <c r="O21" s="374"/>
      <c r="P21" s="372"/>
      <c r="Q21" s="373"/>
      <c r="R21" s="373"/>
      <c r="S21" s="373"/>
      <c r="T21" s="373"/>
      <c r="U21" s="374"/>
      <c r="V21" s="390"/>
      <c r="W21" s="391"/>
      <c r="X21" s="391"/>
      <c r="Y21" s="391"/>
      <c r="Z21" s="391"/>
      <c r="AA21" s="392"/>
      <c r="AB21" s="390"/>
      <c r="AC21" s="391"/>
      <c r="AD21" s="391"/>
      <c r="AE21" s="391"/>
      <c r="AF21" s="391"/>
      <c r="AG21" s="392"/>
      <c r="AH21" s="381"/>
      <c r="AI21" s="382"/>
      <c r="AJ21" s="382"/>
      <c r="AK21" s="382"/>
      <c r="AL21" s="382"/>
      <c r="AM21" s="383"/>
      <c r="AN21" s="83"/>
      <c r="AO21" s="424"/>
      <c r="AP21" s="425"/>
      <c r="AQ21" s="425"/>
      <c r="AR21" s="425"/>
      <c r="AS21" s="425"/>
      <c r="AT21" s="426"/>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407"/>
      <c r="C22" s="407"/>
      <c r="D22" s="408"/>
      <c r="E22" s="397" t="s">
        <v>96</v>
      </c>
      <c r="F22" s="398"/>
      <c r="G22" s="398"/>
      <c r="H22" s="398"/>
      <c r="I22" s="399"/>
      <c r="J22" s="375" t="str">
        <f>IF(AND('Mapa final'!$H$24="Media",'Mapa final'!$L$24="Leve"),CONCATENATE("R",'Mapa final'!$A$24),"")</f>
        <v/>
      </c>
      <c r="K22" s="376"/>
      <c r="L22" s="376" t="str">
        <f>IF(AND('Mapa final'!$H$26="Media",'Mapa final'!$L$26="Leve"),CONCATENATE("R",'Mapa final'!$A$26),"")</f>
        <v/>
      </c>
      <c r="M22" s="376"/>
      <c r="N22" s="376" t="str">
        <f>IF(AND('Mapa final'!$H$27="Media",'Mapa final'!$L$27="Leve"),CONCATENATE("R",'Mapa final'!$A$27),"")</f>
        <v/>
      </c>
      <c r="O22" s="377"/>
      <c r="P22" s="375" t="str">
        <f>IF(AND('Mapa final'!$H$24="Media",'Mapa final'!$L$24="Menor"),CONCATENATE("R",'Mapa final'!$A$24),"")</f>
        <v/>
      </c>
      <c r="Q22" s="376"/>
      <c r="R22" s="376" t="str">
        <f>IF(AND('Mapa final'!$H$26="Media",'Mapa final'!$L$26="Menor"),CONCATENATE("R",'Mapa final'!$A$26),"")</f>
        <v/>
      </c>
      <c r="S22" s="376"/>
      <c r="T22" s="376" t="str">
        <f>IF(AND('Mapa final'!$H$27="Media",'Mapa final'!$L$27="Menor"),CONCATENATE("R",'Mapa final'!$A$27),"")</f>
        <v/>
      </c>
      <c r="U22" s="377"/>
      <c r="V22" s="375" t="str">
        <f>IF(AND('Mapa final'!$H$24="Media",'Mapa final'!$L$24="Moderado"),CONCATENATE("R",'Mapa final'!$A$24),"")</f>
        <v/>
      </c>
      <c r="W22" s="376"/>
      <c r="X22" s="376" t="str">
        <f>IF(AND('Mapa final'!$H$26="Media",'Mapa final'!$L$26="Moderado"),CONCATENATE("R",'Mapa final'!$A$26),"")</f>
        <v/>
      </c>
      <c r="Y22" s="376"/>
      <c r="Z22" s="376" t="str">
        <f>IF(AND('Mapa final'!$H$27="Media",'Mapa final'!$L$27="Moderado"),CONCATENATE("R",'Mapa final'!$A$27),"")</f>
        <v/>
      </c>
      <c r="AA22" s="377"/>
      <c r="AB22" s="393" t="str">
        <f>IF(AND('Mapa final'!$H$24="Media",'Mapa final'!$L$24="Mayor"),CONCATENATE("R",'Mapa final'!$A$24),"")</f>
        <v/>
      </c>
      <c r="AC22" s="394"/>
      <c r="AD22" s="394" t="str">
        <f>IF(AND('Mapa final'!$H$26="Media",'Mapa final'!$L$26="Mayor"),CONCATENATE("R",'Mapa final'!$A$26),"")</f>
        <v>R2</v>
      </c>
      <c r="AE22" s="394"/>
      <c r="AF22" s="394" t="str">
        <f>IF(AND('Mapa final'!$H$27="Media",'Mapa final'!$L$27="Mayor"),CONCATENATE("R",'Mapa final'!$A$27),"")</f>
        <v/>
      </c>
      <c r="AG22" s="395"/>
      <c r="AH22" s="384" t="str">
        <f>IF(AND('Mapa final'!$H$24="Media",'Mapa final'!$L$24="Catastrófico"),CONCATENATE("R",'Mapa final'!$A$24),"")</f>
        <v/>
      </c>
      <c r="AI22" s="385"/>
      <c r="AJ22" s="385" t="str">
        <f>IF(AND('Mapa final'!$H$26="Media",'Mapa final'!$L$26="Catastrófico"),CONCATENATE("R",'Mapa final'!$A$26),"")</f>
        <v/>
      </c>
      <c r="AK22" s="385"/>
      <c r="AL22" s="385" t="str">
        <f>IF(AND('Mapa final'!$H$27="Media",'Mapa final'!$L$27="Catastrófico"),CONCATENATE("R",'Mapa final'!$A$27),"")</f>
        <v/>
      </c>
      <c r="AM22" s="386"/>
      <c r="AN22" s="83"/>
      <c r="AO22" s="427" t="s">
        <v>97</v>
      </c>
      <c r="AP22" s="428"/>
      <c r="AQ22" s="428"/>
      <c r="AR22" s="428"/>
      <c r="AS22" s="428"/>
      <c r="AT22" s="429"/>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407"/>
      <c r="C23" s="407"/>
      <c r="D23" s="408"/>
      <c r="E23" s="400"/>
      <c r="F23" s="401"/>
      <c r="G23" s="401"/>
      <c r="H23" s="401"/>
      <c r="I23" s="402"/>
      <c r="J23" s="369"/>
      <c r="K23" s="370"/>
      <c r="L23" s="370"/>
      <c r="M23" s="370"/>
      <c r="N23" s="370"/>
      <c r="O23" s="371"/>
      <c r="P23" s="369"/>
      <c r="Q23" s="370"/>
      <c r="R23" s="370"/>
      <c r="S23" s="370"/>
      <c r="T23" s="370"/>
      <c r="U23" s="371"/>
      <c r="V23" s="369"/>
      <c r="W23" s="370"/>
      <c r="X23" s="370"/>
      <c r="Y23" s="370"/>
      <c r="Z23" s="370"/>
      <c r="AA23" s="371"/>
      <c r="AB23" s="387"/>
      <c r="AC23" s="388"/>
      <c r="AD23" s="388"/>
      <c r="AE23" s="388"/>
      <c r="AF23" s="388"/>
      <c r="AG23" s="389"/>
      <c r="AH23" s="378"/>
      <c r="AI23" s="379"/>
      <c r="AJ23" s="379"/>
      <c r="AK23" s="379"/>
      <c r="AL23" s="379"/>
      <c r="AM23" s="380"/>
      <c r="AN23" s="83"/>
      <c r="AO23" s="430"/>
      <c r="AP23" s="431"/>
      <c r="AQ23" s="431"/>
      <c r="AR23" s="431"/>
      <c r="AS23" s="431"/>
      <c r="AT23" s="432"/>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407"/>
      <c r="C24" s="407"/>
      <c r="D24" s="408"/>
      <c r="E24" s="400"/>
      <c r="F24" s="401"/>
      <c r="G24" s="401"/>
      <c r="H24" s="401"/>
      <c r="I24" s="402"/>
      <c r="J24" s="369" t="str">
        <f>IF(AND('Mapa final'!$H$29="Media",'Mapa final'!$L$29="Leve"),CONCATENATE("R",'Mapa final'!$A$29),"")</f>
        <v/>
      </c>
      <c r="K24" s="370"/>
      <c r="L24" s="370" t="str">
        <f>IF(AND('Mapa final'!$H$31="Media",'Mapa final'!$L$31="Leve"),CONCATENATE("R",'Mapa final'!$A$31),"")</f>
        <v/>
      </c>
      <c r="M24" s="370"/>
      <c r="N24" s="370" t="e">
        <f>IF(AND('Mapa final'!#REF!="Media",'Mapa final'!#REF!="Leve"),CONCATENATE("R",'Mapa final'!#REF!),"")</f>
        <v>#REF!</v>
      </c>
      <c r="O24" s="371"/>
      <c r="P24" s="369" t="str">
        <f>IF(AND('Mapa final'!$H$29="Media",'Mapa final'!$L$29="Menor"),CONCATENATE("R",'Mapa final'!$A$29),"")</f>
        <v/>
      </c>
      <c r="Q24" s="370"/>
      <c r="R24" s="370" t="str">
        <f>IF(AND('Mapa final'!$H$31="Media",'Mapa final'!$L$31="Menor"),CONCATENATE("R",'Mapa final'!$A$31),"")</f>
        <v/>
      </c>
      <c r="S24" s="370"/>
      <c r="T24" s="370" t="e">
        <f>IF(AND('Mapa final'!#REF!="Media",'Mapa final'!#REF!="Menor"),CONCATENATE("R",'Mapa final'!#REF!),"")</f>
        <v>#REF!</v>
      </c>
      <c r="U24" s="371"/>
      <c r="V24" s="369" t="str">
        <f>IF(AND('Mapa final'!$H$29="Media",'Mapa final'!$L$29="Moderado"),CONCATENATE("R",'Mapa final'!$A$29),"")</f>
        <v/>
      </c>
      <c r="W24" s="370"/>
      <c r="X24" s="370" t="str">
        <f>IF(AND('Mapa final'!$H$31="Media",'Mapa final'!$L$31="Moderado"),CONCATENATE("R",'Mapa final'!$A$31),"")</f>
        <v/>
      </c>
      <c r="Y24" s="370"/>
      <c r="Z24" s="370" t="e">
        <f>IF(AND('Mapa final'!#REF!="Media",'Mapa final'!#REF!="Moderado"),CONCATENATE("R",'Mapa final'!#REF!),"")</f>
        <v>#REF!</v>
      </c>
      <c r="AA24" s="371"/>
      <c r="AB24" s="387" t="str">
        <f>IF(AND('Mapa final'!$H$29="Media",'Mapa final'!$L$29="Mayor"),CONCATENATE("R",'Mapa final'!$A$29),"")</f>
        <v/>
      </c>
      <c r="AC24" s="388"/>
      <c r="AD24" s="388" t="str">
        <f>IF(AND('Mapa final'!$H$31="Media",'Mapa final'!$L$31="Mayor"),CONCATENATE("R",'Mapa final'!$A$31),"")</f>
        <v>R5</v>
      </c>
      <c r="AE24" s="388"/>
      <c r="AF24" s="388" t="e">
        <f>IF(AND('Mapa final'!#REF!="Media",'Mapa final'!#REF!="Mayor"),CONCATENATE("R",'Mapa final'!#REF!),"")</f>
        <v>#REF!</v>
      </c>
      <c r="AG24" s="389"/>
      <c r="AH24" s="378" t="str">
        <f>IF(AND('Mapa final'!$H$29="Media",'Mapa final'!$L$29="Catastrófico"),CONCATENATE("R",'Mapa final'!$A$29),"")</f>
        <v/>
      </c>
      <c r="AI24" s="379"/>
      <c r="AJ24" s="379" t="str">
        <f>IF(AND('Mapa final'!$H$31="Media",'Mapa final'!$L$31="Catastrófico"),CONCATENATE("R",'Mapa final'!$A$31),"")</f>
        <v/>
      </c>
      <c r="AK24" s="379"/>
      <c r="AL24" s="379" t="e">
        <f>IF(AND('Mapa final'!#REF!="Media",'Mapa final'!#REF!="Catastrófico"),CONCATENATE("R",'Mapa final'!#REF!),"")</f>
        <v>#REF!</v>
      </c>
      <c r="AM24" s="380"/>
      <c r="AN24" s="83"/>
      <c r="AO24" s="430"/>
      <c r="AP24" s="431"/>
      <c r="AQ24" s="431"/>
      <c r="AR24" s="431"/>
      <c r="AS24" s="431"/>
      <c r="AT24" s="432"/>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407"/>
      <c r="C25" s="407"/>
      <c r="D25" s="408"/>
      <c r="E25" s="400"/>
      <c r="F25" s="401"/>
      <c r="G25" s="401"/>
      <c r="H25" s="401"/>
      <c r="I25" s="402"/>
      <c r="J25" s="369"/>
      <c r="K25" s="370"/>
      <c r="L25" s="370"/>
      <c r="M25" s="370"/>
      <c r="N25" s="370"/>
      <c r="O25" s="371"/>
      <c r="P25" s="369"/>
      <c r="Q25" s="370"/>
      <c r="R25" s="370"/>
      <c r="S25" s="370"/>
      <c r="T25" s="370"/>
      <c r="U25" s="371"/>
      <c r="V25" s="369"/>
      <c r="W25" s="370"/>
      <c r="X25" s="370"/>
      <c r="Y25" s="370"/>
      <c r="Z25" s="370"/>
      <c r="AA25" s="371"/>
      <c r="AB25" s="387"/>
      <c r="AC25" s="388"/>
      <c r="AD25" s="388"/>
      <c r="AE25" s="388"/>
      <c r="AF25" s="388"/>
      <c r="AG25" s="389"/>
      <c r="AH25" s="378"/>
      <c r="AI25" s="379"/>
      <c r="AJ25" s="379"/>
      <c r="AK25" s="379"/>
      <c r="AL25" s="379"/>
      <c r="AM25" s="380"/>
      <c r="AN25" s="83"/>
      <c r="AO25" s="430"/>
      <c r="AP25" s="431"/>
      <c r="AQ25" s="431"/>
      <c r="AR25" s="431"/>
      <c r="AS25" s="431"/>
      <c r="AT25" s="432"/>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407"/>
      <c r="C26" s="407"/>
      <c r="D26" s="408"/>
      <c r="E26" s="400"/>
      <c r="F26" s="401"/>
      <c r="G26" s="401"/>
      <c r="H26" s="401"/>
      <c r="I26" s="402"/>
      <c r="J26" s="369" t="e">
        <f>IF(AND('Mapa final'!#REF!="Media",'Mapa final'!#REF!="Leve"),CONCATENATE("R",'Mapa final'!#REF!),"")</f>
        <v>#REF!</v>
      </c>
      <c r="K26" s="370"/>
      <c r="L26" s="370" t="str">
        <f>IF(AND('Mapa final'!$H$33="Media",'Mapa final'!$L$33="Leve"),CONCATENATE("R",'Mapa final'!$A$33),"")</f>
        <v/>
      </c>
      <c r="M26" s="370"/>
      <c r="N26" s="370" t="str">
        <f>IF(AND('Mapa final'!$H$39="Media",'Mapa final'!$L$39="Leve"),CONCATENATE("R",'Mapa final'!$A$39),"")</f>
        <v/>
      </c>
      <c r="O26" s="371"/>
      <c r="P26" s="369" t="e">
        <f>IF(AND('Mapa final'!#REF!="Media",'Mapa final'!#REF!="Menor"),CONCATENATE("R",'Mapa final'!#REF!),"")</f>
        <v>#REF!</v>
      </c>
      <c r="Q26" s="370"/>
      <c r="R26" s="370" t="str">
        <f>IF(AND('Mapa final'!$H$33="Media",'Mapa final'!$L$33="Menor"),CONCATENATE("R",'Mapa final'!$A$33),"")</f>
        <v/>
      </c>
      <c r="S26" s="370"/>
      <c r="T26" s="370" t="str">
        <f>IF(AND('Mapa final'!$H$39="Media",'Mapa final'!$L$39="Menor"),CONCATENATE("R",'Mapa final'!$A$39),"")</f>
        <v/>
      </c>
      <c r="U26" s="371"/>
      <c r="V26" s="369" t="e">
        <f>IF(AND('Mapa final'!#REF!="Media",'Mapa final'!#REF!="Moderado"),CONCATENATE("R",'Mapa final'!#REF!),"")</f>
        <v>#REF!</v>
      </c>
      <c r="W26" s="370"/>
      <c r="X26" s="370" t="str">
        <f>IF(AND('Mapa final'!$H$33="Media",'Mapa final'!$L$33="Moderado"),CONCATENATE("R",'Mapa final'!$A$33),"")</f>
        <v/>
      </c>
      <c r="Y26" s="370"/>
      <c r="Z26" s="370" t="str">
        <f>IF(AND('Mapa final'!$H$39="Media",'Mapa final'!$L$39="Moderado"),CONCATENATE("R",'Mapa final'!$A$39),"")</f>
        <v/>
      </c>
      <c r="AA26" s="371"/>
      <c r="AB26" s="387" t="e">
        <f>IF(AND('Mapa final'!#REF!="Media",'Mapa final'!#REF!="Mayor"),CONCATENATE("R",'Mapa final'!#REF!),"")</f>
        <v>#REF!</v>
      </c>
      <c r="AC26" s="388"/>
      <c r="AD26" s="388" t="str">
        <f>IF(AND('Mapa final'!$H$33="Media",'Mapa final'!$L$33="Mayor"),CONCATENATE("R",'Mapa final'!$A$33),"")</f>
        <v/>
      </c>
      <c r="AE26" s="388"/>
      <c r="AF26" s="388" t="str">
        <f>IF(AND('Mapa final'!$H$39="Media",'Mapa final'!$L$39="Mayor"),CONCATENATE("R",'Mapa final'!$A$39),"")</f>
        <v/>
      </c>
      <c r="AG26" s="389"/>
      <c r="AH26" s="378" t="e">
        <f>IF(AND('Mapa final'!#REF!="Media",'Mapa final'!#REF!="Catastrófico"),CONCATENATE("R",'Mapa final'!#REF!),"")</f>
        <v>#REF!</v>
      </c>
      <c r="AI26" s="379"/>
      <c r="AJ26" s="379" t="str">
        <f>IF(AND('Mapa final'!$H$33="Media",'Mapa final'!$L$33="Catastrófico"),CONCATENATE("R",'Mapa final'!$A$33),"")</f>
        <v/>
      </c>
      <c r="AK26" s="379"/>
      <c r="AL26" s="379" t="str">
        <f>IF(AND('Mapa final'!$H$39="Media",'Mapa final'!$L$39="Catastrófico"),CONCATENATE("R",'Mapa final'!$A$39),"")</f>
        <v/>
      </c>
      <c r="AM26" s="380"/>
      <c r="AN26" s="83"/>
      <c r="AO26" s="430"/>
      <c r="AP26" s="431"/>
      <c r="AQ26" s="431"/>
      <c r="AR26" s="431"/>
      <c r="AS26" s="431"/>
      <c r="AT26" s="432"/>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407"/>
      <c r="C27" s="407"/>
      <c r="D27" s="408"/>
      <c r="E27" s="400"/>
      <c r="F27" s="401"/>
      <c r="G27" s="401"/>
      <c r="H27" s="401"/>
      <c r="I27" s="402"/>
      <c r="J27" s="369"/>
      <c r="K27" s="370"/>
      <c r="L27" s="370"/>
      <c r="M27" s="370"/>
      <c r="N27" s="370"/>
      <c r="O27" s="371"/>
      <c r="P27" s="369"/>
      <c r="Q27" s="370"/>
      <c r="R27" s="370"/>
      <c r="S27" s="370"/>
      <c r="T27" s="370"/>
      <c r="U27" s="371"/>
      <c r="V27" s="369"/>
      <c r="W27" s="370"/>
      <c r="X27" s="370"/>
      <c r="Y27" s="370"/>
      <c r="Z27" s="370"/>
      <c r="AA27" s="371"/>
      <c r="AB27" s="387"/>
      <c r="AC27" s="388"/>
      <c r="AD27" s="388"/>
      <c r="AE27" s="388"/>
      <c r="AF27" s="388"/>
      <c r="AG27" s="389"/>
      <c r="AH27" s="378"/>
      <c r="AI27" s="379"/>
      <c r="AJ27" s="379"/>
      <c r="AK27" s="379"/>
      <c r="AL27" s="379"/>
      <c r="AM27" s="380"/>
      <c r="AN27" s="83"/>
      <c r="AO27" s="430"/>
      <c r="AP27" s="431"/>
      <c r="AQ27" s="431"/>
      <c r="AR27" s="431"/>
      <c r="AS27" s="431"/>
      <c r="AT27" s="432"/>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407"/>
      <c r="C28" s="407"/>
      <c r="D28" s="408"/>
      <c r="E28" s="400"/>
      <c r="F28" s="401"/>
      <c r="G28" s="401"/>
      <c r="H28" s="401"/>
      <c r="I28" s="402"/>
      <c r="J28" s="369" t="str">
        <f>IF(AND('Mapa final'!$H$45="Media",'Mapa final'!$L$45="Leve"),CONCATENATE("R",'Mapa final'!$A$45),"")</f>
        <v/>
      </c>
      <c r="K28" s="370"/>
      <c r="L28" s="370" t="str">
        <f>IF(AND('Mapa final'!$H$51="Media",'Mapa final'!$L$51="Leve"),CONCATENATE("R",'Mapa final'!$A$51),"")</f>
        <v/>
      </c>
      <c r="M28" s="370"/>
      <c r="N28" s="370" t="str">
        <f>IF(AND('Mapa final'!$H$57="Media",'Mapa final'!$L$57="Leve"),CONCATENATE("R",'Mapa final'!$A$57),"")</f>
        <v/>
      </c>
      <c r="O28" s="371"/>
      <c r="P28" s="369" t="str">
        <f>IF(AND('Mapa final'!$H$45="Media",'Mapa final'!$L$45="Menor"),CONCATENATE("R",'Mapa final'!$A$45),"")</f>
        <v/>
      </c>
      <c r="Q28" s="370"/>
      <c r="R28" s="370" t="str">
        <f>IF(AND('Mapa final'!$H$51="Media",'Mapa final'!$L$51="Menor"),CONCATENATE("R",'Mapa final'!$A$51),"")</f>
        <v/>
      </c>
      <c r="S28" s="370"/>
      <c r="T28" s="370" t="str">
        <f>IF(AND('Mapa final'!$H$57="Media",'Mapa final'!$L$57="Menor"),CONCATENATE("R",'Mapa final'!$A$57),"")</f>
        <v/>
      </c>
      <c r="U28" s="371"/>
      <c r="V28" s="369" t="str">
        <f>IF(AND('Mapa final'!$H$45="Media",'Mapa final'!$L$45="Moderado"),CONCATENATE("R",'Mapa final'!$A$45),"")</f>
        <v/>
      </c>
      <c r="W28" s="370"/>
      <c r="X28" s="370" t="str">
        <f>IF(AND('Mapa final'!$H$51="Media",'Mapa final'!$L$51="Moderado"),CONCATENATE("R",'Mapa final'!$A$51),"")</f>
        <v/>
      </c>
      <c r="Y28" s="370"/>
      <c r="Z28" s="370" t="str">
        <f>IF(AND('Mapa final'!$H$57="Media",'Mapa final'!$L$57="Moderado"),CONCATENATE("R",'Mapa final'!$A$57),"")</f>
        <v/>
      </c>
      <c r="AA28" s="371"/>
      <c r="AB28" s="387" t="str">
        <f>IF(AND('Mapa final'!$H$45="Media",'Mapa final'!$L$45="Mayor"),CONCATENATE("R",'Mapa final'!$A$45),"")</f>
        <v/>
      </c>
      <c r="AC28" s="388"/>
      <c r="AD28" s="388" t="str">
        <f>IF(AND('Mapa final'!$H$51="Media",'Mapa final'!$L$51="Mayor"),CONCATENATE("R",'Mapa final'!$A$51),"")</f>
        <v/>
      </c>
      <c r="AE28" s="388"/>
      <c r="AF28" s="388" t="str">
        <f>IF(AND('Mapa final'!$H$57="Media",'Mapa final'!$L$57="Mayor"),CONCATENATE("R",'Mapa final'!$A$57),"")</f>
        <v/>
      </c>
      <c r="AG28" s="389"/>
      <c r="AH28" s="378" t="str">
        <f>IF(AND('Mapa final'!$H$45="Media",'Mapa final'!$L$45="Catastrófico"),CONCATENATE("R",'Mapa final'!$A$45),"")</f>
        <v/>
      </c>
      <c r="AI28" s="379"/>
      <c r="AJ28" s="379" t="str">
        <f>IF(AND('Mapa final'!$H$51="Media",'Mapa final'!$L$51="Catastrófico"),CONCATENATE("R",'Mapa final'!$A$51),"")</f>
        <v/>
      </c>
      <c r="AK28" s="379"/>
      <c r="AL28" s="379" t="str">
        <f>IF(AND('Mapa final'!$H$57="Media",'Mapa final'!$L$57="Catastrófico"),CONCATENATE("R",'Mapa final'!$A$57),"")</f>
        <v/>
      </c>
      <c r="AM28" s="380"/>
      <c r="AN28" s="83"/>
      <c r="AO28" s="430"/>
      <c r="AP28" s="431"/>
      <c r="AQ28" s="431"/>
      <c r="AR28" s="431"/>
      <c r="AS28" s="431"/>
      <c r="AT28" s="432"/>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407"/>
      <c r="C29" s="407"/>
      <c r="D29" s="408"/>
      <c r="E29" s="403"/>
      <c r="F29" s="404"/>
      <c r="G29" s="404"/>
      <c r="H29" s="404"/>
      <c r="I29" s="405"/>
      <c r="J29" s="369"/>
      <c r="K29" s="370"/>
      <c r="L29" s="370"/>
      <c r="M29" s="370"/>
      <c r="N29" s="370"/>
      <c r="O29" s="371"/>
      <c r="P29" s="372"/>
      <c r="Q29" s="373"/>
      <c r="R29" s="373"/>
      <c r="S29" s="373"/>
      <c r="T29" s="373"/>
      <c r="U29" s="374"/>
      <c r="V29" s="372"/>
      <c r="W29" s="373"/>
      <c r="X29" s="373"/>
      <c r="Y29" s="373"/>
      <c r="Z29" s="373"/>
      <c r="AA29" s="374"/>
      <c r="AB29" s="390"/>
      <c r="AC29" s="391"/>
      <c r="AD29" s="391"/>
      <c r="AE29" s="391"/>
      <c r="AF29" s="391"/>
      <c r="AG29" s="392"/>
      <c r="AH29" s="381"/>
      <c r="AI29" s="382"/>
      <c r="AJ29" s="382"/>
      <c r="AK29" s="382"/>
      <c r="AL29" s="382"/>
      <c r="AM29" s="383"/>
      <c r="AN29" s="83"/>
      <c r="AO29" s="433"/>
      <c r="AP29" s="434"/>
      <c r="AQ29" s="434"/>
      <c r="AR29" s="434"/>
      <c r="AS29" s="434"/>
      <c r="AT29" s="435"/>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407"/>
      <c r="C30" s="407"/>
      <c r="D30" s="408"/>
      <c r="E30" s="397" t="s">
        <v>98</v>
      </c>
      <c r="F30" s="398"/>
      <c r="G30" s="398"/>
      <c r="H30" s="398"/>
      <c r="I30" s="398"/>
      <c r="J30" s="366" t="str">
        <f>IF(AND('Mapa final'!$H$24="Baja",'Mapa final'!$L$24="Leve"),CONCATENATE("R",'Mapa final'!$A$24),"")</f>
        <v/>
      </c>
      <c r="K30" s="367"/>
      <c r="L30" s="367" t="str">
        <f>IF(AND('Mapa final'!$H$26="Baja",'Mapa final'!$L$26="Leve"),CONCATENATE("R",'Mapa final'!$A$26),"")</f>
        <v/>
      </c>
      <c r="M30" s="367"/>
      <c r="N30" s="367" t="str">
        <f>IF(AND('Mapa final'!$H$27="Baja",'Mapa final'!$L$27="Leve"),CONCATENATE("R",'Mapa final'!$A$27),"")</f>
        <v/>
      </c>
      <c r="O30" s="368"/>
      <c r="P30" s="376" t="str">
        <f>IF(AND('Mapa final'!$H$24="Baja",'Mapa final'!$L$24="Menor"),CONCATENATE("R",'Mapa final'!$A$24),"")</f>
        <v/>
      </c>
      <c r="Q30" s="376"/>
      <c r="R30" s="376" t="str">
        <f>IF(AND('Mapa final'!$H$26="Baja",'Mapa final'!$L$26="Menor"),CONCATENATE("R",'Mapa final'!$A$26),"")</f>
        <v/>
      </c>
      <c r="S30" s="376"/>
      <c r="T30" s="376" t="str">
        <f>IF(AND('Mapa final'!$H$27="Baja",'Mapa final'!$L$27="Menor"),CONCATENATE("R",'Mapa final'!$A$27),"")</f>
        <v/>
      </c>
      <c r="U30" s="377"/>
      <c r="V30" s="375" t="str">
        <f>IF(AND('Mapa final'!$H$24="Baja",'Mapa final'!$L$24="Moderado"),CONCATENATE("R",'Mapa final'!$A$24),"")</f>
        <v/>
      </c>
      <c r="W30" s="376"/>
      <c r="X30" s="376" t="str">
        <f>IF(AND('Mapa final'!$H$26="Baja",'Mapa final'!$L$26="Moderado"),CONCATENATE("R",'Mapa final'!$A$26),"")</f>
        <v/>
      </c>
      <c r="Y30" s="376"/>
      <c r="Z30" s="376" t="str">
        <f>IF(AND('Mapa final'!$H$27="Baja",'Mapa final'!$L$27="Moderado"),CONCATENATE("R",'Mapa final'!$A$27),"")</f>
        <v/>
      </c>
      <c r="AA30" s="377"/>
      <c r="AB30" s="393" t="str">
        <f>IF(AND('Mapa final'!$H$24="Baja",'Mapa final'!$L$24="Mayor"),CONCATENATE("R",'Mapa final'!$A$24),"")</f>
        <v/>
      </c>
      <c r="AC30" s="394"/>
      <c r="AD30" s="394" t="str">
        <f>IF(AND('Mapa final'!$H$26="Baja",'Mapa final'!$L$26="Mayor"),CONCATENATE("R",'Mapa final'!$A$26),"")</f>
        <v/>
      </c>
      <c r="AE30" s="394"/>
      <c r="AF30" s="394" t="str">
        <f>IF(AND('Mapa final'!$H$27="Baja",'Mapa final'!$L$27="Mayor"),CONCATENATE("R",'Mapa final'!$A$27),"")</f>
        <v/>
      </c>
      <c r="AG30" s="395"/>
      <c r="AH30" s="384" t="str">
        <f>IF(AND('Mapa final'!$H$24="Baja",'Mapa final'!$L$24="Catastrófico"),CONCATENATE("R",'Mapa final'!$A$24),"")</f>
        <v/>
      </c>
      <c r="AI30" s="385"/>
      <c r="AJ30" s="385" t="str">
        <f>IF(AND('Mapa final'!$H$26="Baja",'Mapa final'!$L$26="Catastrófico"),CONCATENATE("R",'Mapa final'!$A$26),"")</f>
        <v/>
      </c>
      <c r="AK30" s="385"/>
      <c r="AL30" s="385" t="str">
        <f>IF(AND('Mapa final'!$H$27="Baja",'Mapa final'!$L$27="Catastrófico"),CONCATENATE("R",'Mapa final'!$A$27),"")</f>
        <v/>
      </c>
      <c r="AM30" s="386"/>
      <c r="AN30" s="83"/>
      <c r="AO30" s="436" t="s">
        <v>99</v>
      </c>
      <c r="AP30" s="437"/>
      <c r="AQ30" s="437"/>
      <c r="AR30" s="437"/>
      <c r="AS30" s="437"/>
      <c r="AT30" s="438"/>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407"/>
      <c r="C31" s="407"/>
      <c r="D31" s="408"/>
      <c r="E31" s="400"/>
      <c r="F31" s="401"/>
      <c r="G31" s="401"/>
      <c r="H31" s="401"/>
      <c r="I31" s="401"/>
      <c r="J31" s="360"/>
      <c r="K31" s="361"/>
      <c r="L31" s="361"/>
      <c r="M31" s="361"/>
      <c r="N31" s="361"/>
      <c r="O31" s="362"/>
      <c r="P31" s="370"/>
      <c r="Q31" s="370"/>
      <c r="R31" s="370"/>
      <c r="S31" s="370"/>
      <c r="T31" s="370"/>
      <c r="U31" s="371"/>
      <c r="V31" s="369"/>
      <c r="W31" s="370"/>
      <c r="X31" s="370"/>
      <c r="Y31" s="370"/>
      <c r="Z31" s="370"/>
      <c r="AA31" s="371"/>
      <c r="AB31" s="387"/>
      <c r="AC31" s="388"/>
      <c r="AD31" s="388"/>
      <c r="AE31" s="388"/>
      <c r="AF31" s="388"/>
      <c r="AG31" s="389"/>
      <c r="AH31" s="378"/>
      <c r="AI31" s="379"/>
      <c r="AJ31" s="379"/>
      <c r="AK31" s="379"/>
      <c r="AL31" s="379"/>
      <c r="AM31" s="380"/>
      <c r="AN31" s="83"/>
      <c r="AO31" s="439"/>
      <c r="AP31" s="440"/>
      <c r="AQ31" s="440"/>
      <c r="AR31" s="440"/>
      <c r="AS31" s="440"/>
      <c r="AT31" s="441"/>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407"/>
      <c r="C32" s="407"/>
      <c r="D32" s="408"/>
      <c r="E32" s="400"/>
      <c r="F32" s="401"/>
      <c r="G32" s="401"/>
      <c r="H32" s="401"/>
      <c r="I32" s="401"/>
      <c r="J32" s="360" t="str">
        <f>IF(AND('Mapa final'!$H$29="Baja",'Mapa final'!$L$29="Leve"),CONCATENATE("R",'Mapa final'!$A$29),"")</f>
        <v/>
      </c>
      <c r="K32" s="361"/>
      <c r="L32" s="361" t="str">
        <f>IF(AND('Mapa final'!$H$31="Baja",'Mapa final'!$L$31="Leve"),CONCATENATE("R",'Mapa final'!$A$31),"")</f>
        <v/>
      </c>
      <c r="M32" s="361"/>
      <c r="N32" s="361" t="e">
        <f>IF(AND('Mapa final'!#REF!="Baja",'Mapa final'!#REF!="Leve"),CONCATENATE("R",'Mapa final'!#REF!),"")</f>
        <v>#REF!</v>
      </c>
      <c r="O32" s="362"/>
      <c r="P32" s="370" t="str">
        <f>IF(AND('Mapa final'!$H$29="Baja",'Mapa final'!$L$29="Menor"),CONCATENATE("R",'Mapa final'!$A$29),"")</f>
        <v/>
      </c>
      <c r="Q32" s="370"/>
      <c r="R32" s="370" t="str">
        <f>IF(AND('Mapa final'!$H$31="Baja",'Mapa final'!$L$31="Menor"),CONCATENATE("R",'Mapa final'!$A$31),"")</f>
        <v/>
      </c>
      <c r="S32" s="370"/>
      <c r="T32" s="370" t="e">
        <f>IF(AND('Mapa final'!#REF!="Baja",'Mapa final'!#REF!="Menor"),CONCATENATE("R",'Mapa final'!#REF!),"")</f>
        <v>#REF!</v>
      </c>
      <c r="U32" s="371"/>
      <c r="V32" s="369" t="str">
        <f>IF(AND('Mapa final'!$H$29="Baja",'Mapa final'!$L$29="Moderado"),CONCATENATE("R",'Mapa final'!$A$29),"")</f>
        <v/>
      </c>
      <c r="W32" s="370"/>
      <c r="X32" s="370" t="str">
        <f>IF(AND('Mapa final'!$H$31="Baja",'Mapa final'!$L$31="Moderado"),CONCATENATE("R",'Mapa final'!$A$31),"")</f>
        <v/>
      </c>
      <c r="Y32" s="370"/>
      <c r="Z32" s="370" t="e">
        <f>IF(AND('Mapa final'!#REF!="Baja",'Mapa final'!#REF!="Moderado"),CONCATENATE("R",'Mapa final'!#REF!),"")</f>
        <v>#REF!</v>
      </c>
      <c r="AA32" s="371"/>
      <c r="AB32" s="387" t="str">
        <f>IF(AND('Mapa final'!$H$29="Baja",'Mapa final'!$L$29="Mayor"),CONCATENATE("R",'Mapa final'!$A$29),"")</f>
        <v/>
      </c>
      <c r="AC32" s="388"/>
      <c r="AD32" s="388" t="str">
        <f>IF(AND('Mapa final'!$H$31="Baja",'Mapa final'!$L$31="Mayor"),CONCATENATE("R",'Mapa final'!$A$31),"")</f>
        <v/>
      </c>
      <c r="AE32" s="388"/>
      <c r="AF32" s="388" t="e">
        <f>IF(AND('Mapa final'!#REF!="Baja",'Mapa final'!#REF!="Mayor"),CONCATENATE("R",'Mapa final'!#REF!),"")</f>
        <v>#REF!</v>
      </c>
      <c r="AG32" s="389"/>
      <c r="AH32" s="378" t="str">
        <f>IF(AND('Mapa final'!$H$29="Baja",'Mapa final'!$L$29="Catastrófico"),CONCATENATE("R",'Mapa final'!$A$29),"")</f>
        <v/>
      </c>
      <c r="AI32" s="379"/>
      <c r="AJ32" s="379" t="str">
        <f>IF(AND('Mapa final'!$H$31="Baja",'Mapa final'!$L$31="Catastrófico"),CONCATENATE("R",'Mapa final'!$A$31),"")</f>
        <v/>
      </c>
      <c r="AK32" s="379"/>
      <c r="AL32" s="379" t="e">
        <f>IF(AND('Mapa final'!#REF!="Baja",'Mapa final'!#REF!="Catastrófico"),CONCATENATE("R",'Mapa final'!#REF!),"")</f>
        <v>#REF!</v>
      </c>
      <c r="AM32" s="380"/>
      <c r="AN32" s="83"/>
      <c r="AO32" s="439"/>
      <c r="AP32" s="440"/>
      <c r="AQ32" s="440"/>
      <c r="AR32" s="440"/>
      <c r="AS32" s="440"/>
      <c r="AT32" s="441"/>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407"/>
      <c r="C33" s="407"/>
      <c r="D33" s="408"/>
      <c r="E33" s="400"/>
      <c r="F33" s="401"/>
      <c r="G33" s="401"/>
      <c r="H33" s="401"/>
      <c r="I33" s="401"/>
      <c r="J33" s="360"/>
      <c r="K33" s="361"/>
      <c r="L33" s="361"/>
      <c r="M33" s="361"/>
      <c r="N33" s="361"/>
      <c r="O33" s="362"/>
      <c r="P33" s="370"/>
      <c r="Q33" s="370"/>
      <c r="R33" s="370"/>
      <c r="S33" s="370"/>
      <c r="T33" s="370"/>
      <c r="U33" s="371"/>
      <c r="V33" s="369"/>
      <c r="W33" s="370"/>
      <c r="X33" s="370"/>
      <c r="Y33" s="370"/>
      <c r="Z33" s="370"/>
      <c r="AA33" s="371"/>
      <c r="AB33" s="387"/>
      <c r="AC33" s="388"/>
      <c r="AD33" s="388"/>
      <c r="AE33" s="388"/>
      <c r="AF33" s="388"/>
      <c r="AG33" s="389"/>
      <c r="AH33" s="378"/>
      <c r="AI33" s="379"/>
      <c r="AJ33" s="379"/>
      <c r="AK33" s="379"/>
      <c r="AL33" s="379"/>
      <c r="AM33" s="380"/>
      <c r="AN33" s="83"/>
      <c r="AO33" s="439"/>
      <c r="AP33" s="440"/>
      <c r="AQ33" s="440"/>
      <c r="AR33" s="440"/>
      <c r="AS33" s="440"/>
      <c r="AT33" s="441"/>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407"/>
      <c r="C34" s="407"/>
      <c r="D34" s="408"/>
      <c r="E34" s="400"/>
      <c r="F34" s="401"/>
      <c r="G34" s="401"/>
      <c r="H34" s="401"/>
      <c r="I34" s="401"/>
      <c r="J34" s="360" t="e">
        <f>IF(AND('Mapa final'!#REF!="Baja",'Mapa final'!#REF!="Leve"),CONCATENATE("R",'Mapa final'!#REF!),"")</f>
        <v>#REF!</v>
      </c>
      <c r="K34" s="361"/>
      <c r="L34" s="361" t="str">
        <f>IF(AND('Mapa final'!$H$33="Baja",'Mapa final'!$L$33="Leve"),CONCATENATE("R",'Mapa final'!$A$33),"")</f>
        <v/>
      </c>
      <c r="M34" s="361"/>
      <c r="N34" s="361" t="str">
        <f>IF(AND('Mapa final'!$H$39="Baja",'Mapa final'!$L$39="Leve"),CONCATENATE("R",'Mapa final'!$A$39),"")</f>
        <v/>
      </c>
      <c r="O34" s="362"/>
      <c r="P34" s="370" t="e">
        <f>IF(AND('Mapa final'!#REF!="Baja",'Mapa final'!#REF!="Menor"),CONCATENATE("R",'Mapa final'!#REF!),"")</f>
        <v>#REF!</v>
      </c>
      <c r="Q34" s="370"/>
      <c r="R34" s="370" t="str">
        <f>IF(AND('Mapa final'!$H$33="Baja",'Mapa final'!$L$33="Menor"),CONCATENATE("R",'Mapa final'!$A$33),"")</f>
        <v/>
      </c>
      <c r="S34" s="370"/>
      <c r="T34" s="370" t="str">
        <f>IF(AND('Mapa final'!$H$39="Baja",'Mapa final'!$L$39="Menor"),CONCATENATE("R",'Mapa final'!$A$39),"")</f>
        <v/>
      </c>
      <c r="U34" s="371"/>
      <c r="V34" s="369" t="e">
        <f>IF(AND('Mapa final'!#REF!="Baja",'Mapa final'!#REF!="Moderado"),CONCATENATE("R",'Mapa final'!#REF!),"")</f>
        <v>#REF!</v>
      </c>
      <c r="W34" s="370"/>
      <c r="X34" s="370" t="str">
        <f>IF(AND('Mapa final'!$H$33="Baja",'Mapa final'!$L$33="Moderado"),CONCATENATE("R",'Mapa final'!$A$33),"")</f>
        <v/>
      </c>
      <c r="Y34" s="370"/>
      <c r="Z34" s="370" t="str">
        <f>IF(AND('Mapa final'!$H$39="Baja",'Mapa final'!$L$39="Moderado"),CONCATENATE("R",'Mapa final'!$A$39),"")</f>
        <v/>
      </c>
      <c r="AA34" s="371"/>
      <c r="AB34" s="387" t="e">
        <f>IF(AND('Mapa final'!#REF!="Baja",'Mapa final'!#REF!="Mayor"),CONCATENATE("R",'Mapa final'!#REF!),"")</f>
        <v>#REF!</v>
      </c>
      <c r="AC34" s="388"/>
      <c r="AD34" s="388" t="str">
        <f>IF(AND('Mapa final'!$H$33="Baja",'Mapa final'!$L$33="Mayor"),CONCATENATE("R",'Mapa final'!$A$33),"")</f>
        <v/>
      </c>
      <c r="AE34" s="388"/>
      <c r="AF34" s="388" t="str">
        <f>IF(AND('Mapa final'!$H$39="Baja",'Mapa final'!$L$39="Mayor"),CONCATENATE("R",'Mapa final'!$A$39),"")</f>
        <v/>
      </c>
      <c r="AG34" s="389"/>
      <c r="AH34" s="378" t="e">
        <f>IF(AND('Mapa final'!#REF!="Baja",'Mapa final'!#REF!="Catastrófico"),CONCATENATE("R",'Mapa final'!#REF!),"")</f>
        <v>#REF!</v>
      </c>
      <c r="AI34" s="379"/>
      <c r="AJ34" s="379" t="str">
        <f>IF(AND('Mapa final'!$H$33="Baja",'Mapa final'!$L$33="Catastrófico"),CONCATENATE("R",'Mapa final'!$A$33),"")</f>
        <v/>
      </c>
      <c r="AK34" s="379"/>
      <c r="AL34" s="379" t="str">
        <f>IF(AND('Mapa final'!$H$39="Baja",'Mapa final'!$L$39="Catastrófico"),CONCATENATE("R",'Mapa final'!$A$39),"")</f>
        <v/>
      </c>
      <c r="AM34" s="380"/>
      <c r="AN34" s="83"/>
      <c r="AO34" s="439"/>
      <c r="AP34" s="440"/>
      <c r="AQ34" s="440"/>
      <c r="AR34" s="440"/>
      <c r="AS34" s="440"/>
      <c r="AT34" s="441"/>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407"/>
      <c r="C35" s="407"/>
      <c r="D35" s="408"/>
      <c r="E35" s="400"/>
      <c r="F35" s="401"/>
      <c r="G35" s="401"/>
      <c r="H35" s="401"/>
      <c r="I35" s="401"/>
      <c r="J35" s="360"/>
      <c r="K35" s="361"/>
      <c r="L35" s="361"/>
      <c r="M35" s="361"/>
      <c r="N35" s="361"/>
      <c r="O35" s="362"/>
      <c r="P35" s="370"/>
      <c r="Q35" s="370"/>
      <c r="R35" s="370"/>
      <c r="S35" s="370"/>
      <c r="T35" s="370"/>
      <c r="U35" s="371"/>
      <c r="V35" s="369"/>
      <c r="W35" s="370"/>
      <c r="X35" s="370"/>
      <c r="Y35" s="370"/>
      <c r="Z35" s="370"/>
      <c r="AA35" s="371"/>
      <c r="AB35" s="387"/>
      <c r="AC35" s="388"/>
      <c r="AD35" s="388"/>
      <c r="AE35" s="388"/>
      <c r="AF35" s="388"/>
      <c r="AG35" s="389"/>
      <c r="AH35" s="378"/>
      <c r="AI35" s="379"/>
      <c r="AJ35" s="379"/>
      <c r="AK35" s="379"/>
      <c r="AL35" s="379"/>
      <c r="AM35" s="380"/>
      <c r="AN35" s="83"/>
      <c r="AO35" s="439"/>
      <c r="AP35" s="440"/>
      <c r="AQ35" s="440"/>
      <c r="AR35" s="440"/>
      <c r="AS35" s="440"/>
      <c r="AT35" s="441"/>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407"/>
      <c r="C36" s="407"/>
      <c r="D36" s="408"/>
      <c r="E36" s="400"/>
      <c r="F36" s="401"/>
      <c r="G36" s="401"/>
      <c r="H36" s="401"/>
      <c r="I36" s="401"/>
      <c r="J36" s="360" t="str">
        <f>IF(AND('Mapa final'!$H$45="Baja",'Mapa final'!$L$45="Leve"),CONCATENATE("R",'Mapa final'!$A$45),"")</f>
        <v/>
      </c>
      <c r="K36" s="361"/>
      <c r="L36" s="361" t="str">
        <f>IF(AND('Mapa final'!$H$51="Baja",'Mapa final'!$L$51="Leve"),CONCATENATE("R",'Mapa final'!$A$51),"")</f>
        <v/>
      </c>
      <c r="M36" s="361"/>
      <c r="N36" s="361" t="str">
        <f>IF(AND('Mapa final'!$H$57="Baja",'Mapa final'!$L$57="Leve"),CONCATENATE("R",'Mapa final'!$A$57),"")</f>
        <v/>
      </c>
      <c r="O36" s="362"/>
      <c r="P36" s="370" t="str">
        <f>IF(AND('Mapa final'!$H$45="Baja",'Mapa final'!$L$45="Menor"),CONCATENATE("R",'Mapa final'!$A$45),"")</f>
        <v/>
      </c>
      <c r="Q36" s="370"/>
      <c r="R36" s="370" t="str">
        <f>IF(AND('Mapa final'!$H$51="Baja",'Mapa final'!$L$51="Menor"),CONCATENATE("R",'Mapa final'!$A$51),"")</f>
        <v/>
      </c>
      <c r="S36" s="370"/>
      <c r="T36" s="370" t="str">
        <f>IF(AND('Mapa final'!$H$57="Baja",'Mapa final'!$L$57="Menor"),CONCATENATE("R",'Mapa final'!$A$57),"")</f>
        <v/>
      </c>
      <c r="U36" s="371"/>
      <c r="V36" s="369" t="str">
        <f>IF(AND('Mapa final'!$H$45="Baja",'Mapa final'!$L$45="Moderado"),CONCATENATE("R",'Mapa final'!$A$45),"")</f>
        <v/>
      </c>
      <c r="W36" s="370"/>
      <c r="X36" s="370" t="str">
        <f>IF(AND('Mapa final'!$H$51="Baja",'Mapa final'!$L$51="Moderado"),CONCATENATE("R",'Mapa final'!$A$51),"")</f>
        <v/>
      </c>
      <c r="Y36" s="370"/>
      <c r="Z36" s="370" t="str">
        <f>IF(AND('Mapa final'!$H$57="Baja",'Mapa final'!$L$57="Moderado"),CONCATENATE("R",'Mapa final'!$A$57),"")</f>
        <v/>
      </c>
      <c r="AA36" s="371"/>
      <c r="AB36" s="387" t="str">
        <f>IF(AND('Mapa final'!$H$45="Baja",'Mapa final'!$L$45="Mayor"),CONCATENATE("R",'Mapa final'!$A$45),"")</f>
        <v/>
      </c>
      <c r="AC36" s="388"/>
      <c r="AD36" s="388" t="str">
        <f>IF(AND('Mapa final'!$H$51="Baja",'Mapa final'!$L$51="Mayor"),CONCATENATE("R",'Mapa final'!$A$51),"")</f>
        <v/>
      </c>
      <c r="AE36" s="388"/>
      <c r="AF36" s="388" t="str">
        <f>IF(AND('Mapa final'!$H$57="Baja",'Mapa final'!$L$57="Mayor"),CONCATENATE("R",'Mapa final'!$A$57),"")</f>
        <v/>
      </c>
      <c r="AG36" s="389"/>
      <c r="AH36" s="378" t="str">
        <f>IF(AND('Mapa final'!$H$45="Baja",'Mapa final'!$L$45="Catastrófico"),CONCATENATE("R",'Mapa final'!$A$45),"")</f>
        <v/>
      </c>
      <c r="AI36" s="379"/>
      <c r="AJ36" s="379" t="str">
        <f>IF(AND('Mapa final'!$H$51="Baja",'Mapa final'!$L$51="Catastrófico"),CONCATENATE("R",'Mapa final'!$A$51),"")</f>
        <v/>
      </c>
      <c r="AK36" s="379"/>
      <c r="AL36" s="379" t="str">
        <f>IF(AND('Mapa final'!$H$57="Baja",'Mapa final'!$L$57="Catastrófico"),CONCATENATE("R",'Mapa final'!$A$57),"")</f>
        <v/>
      </c>
      <c r="AM36" s="380"/>
      <c r="AN36" s="83"/>
      <c r="AO36" s="439"/>
      <c r="AP36" s="440"/>
      <c r="AQ36" s="440"/>
      <c r="AR36" s="440"/>
      <c r="AS36" s="440"/>
      <c r="AT36" s="441"/>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407"/>
      <c r="C37" s="407"/>
      <c r="D37" s="408"/>
      <c r="E37" s="403"/>
      <c r="F37" s="404"/>
      <c r="G37" s="404"/>
      <c r="H37" s="404"/>
      <c r="I37" s="404"/>
      <c r="J37" s="363"/>
      <c r="K37" s="364"/>
      <c r="L37" s="364"/>
      <c r="M37" s="364"/>
      <c r="N37" s="364"/>
      <c r="O37" s="365"/>
      <c r="P37" s="373"/>
      <c r="Q37" s="373"/>
      <c r="R37" s="373"/>
      <c r="S37" s="373"/>
      <c r="T37" s="373"/>
      <c r="U37" s="374"/>
      <c r="V37" s="372"/>
      <c r="W37" s="373"/>
      <c r="X37" s="373"/>
      <c r="Y37" s="373"/>
      <c r="Z37" s="373"/>
      <c r="AA37" s="374"/>
      <c r="AB37" s="390"/>
      <c r="AC37" s="391"/>
      <c r="AD37" s="391"/>
      <c r="AE37" s="391"/>
      <c r="AF37" s="391"/>
      <c r="AG37" s="392"/>
      <c r="AH37" s="381"/>
      <c r="AI37" s="382"/>
      <c r="AJ37" s="382"/>
      <c r="AK37" s="382"/>
      <c r="AL37" s="382"/>
      <c r="AM37" s="383"/>
      <c r="AN37" s="83"/>
      <c r="AO37" s="442"/>
      <c r="AP37" s="443"/>
      <c r="AQ37" s="443"/>
      <c r="AR37" s="443"/>
      <c r="AS37" s="443"/>
      <c r="AT37" s="444"/>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407"/>
      <c r="C38" s="407"/>
      <c r="D38" s="408"/>
      <c r="E38" s="397" t="s">
        <v>100</v>
      </c>
      <c r="F38" s="398"/>
      <c r="G38" s="398"/>
      <c r="H38" s="398"/>
      <c r="I38" s="399"/>
      <c r="J38" s="366" t="str">
        <f>IF(AND('Mapa final'!$H$24="Muy Baja",'Mapa final'!$L$24="Leve"),CONCATENATE("R",'Mapa final'!$A$24),"")</f>
        <v/>
      </c>
      <c r="K38" s="367"/>
      <c r="L38" s="367" t="str">
        <f>IF(AND('Mapa final'!$H$26="Muy Baja",'Mapa final'!$L$26="Leve"),CONCATENATE("R",'Mapa final'!$A$26),"")</f>
        <v/>
      </c>
      <c r="M38" s="367"/>
      <c r="N38" s="367" t="str">
        <f>IF(AND('Mapa final'!$H$27="Muy Baja",'Mapa final'!$L$27="Leve"),CONCATENATE("R",'Mapa final'!$A$27),"")</f>
        <v/>
      </c>
      <c r="O38" s="368"/>
      <c r="P38" s="366" t="str">
        <f>IF(AND('Mapa final'!$H$24="Muy Baja",'Mapa final'!$L$24="Menor"),CONCATENATE("R",'Mapa final'!$A$24),"")</f>
        <v>R1</v>
      </c>
      <c r="Q38" s="367"/>
      <c r="R38" s="367" t="str">
        <f>IF(AND('Mapa final'!$H$26="Muy Baja",'Mapa final'!$L$26="Menor"),CONCATENATE("R",'Mapa final'!$A$26),"")</f>
        <v/>
      </c>
      <c r="S38" s="367"/>
      <c r="T38" s="367" t="str">
        <f>IF(AND('Mapa final'!$H$27="Muy Baja",'Mapa final'!$L$27="Menor"),CONCATENATE("R",'Mapa final'!$A$27),"")</f>
        <v/>
      </c>
      <c r="U38" s="368"/>
      <c r="V38" s="375" t="str">
        <f>IF(AND('Mapa final'!$H$24="Muy Baja",'Mapa final'!$L$24="Moderado"),CONCATENATE("R",'Mapa final'!$A$24),"")</f>
        <v/>
      </c>
      <c r="W38" s="376"/>
      <c r="X38" s="376" t="str">
        <f>IF(AND('Mapa final'!$H$26="Muy Baja",'Mapa final'!$L$26="Moderado"),CONCATENATE("R",'Mapa final'!$A$26),"")</f>
        <v/>
      </c>
      <c r="Y38" s="376"/>
      <c r="Z38" s="376" t="str">
        <f>IF(AND('Mapa final'!$H$27="Muy Baja",'Mapa final'!$L$27="Moderado"),CONCATENATE("R",'Mapa final'!$A$27),"")</f>
        <v>R3</v>
      </c>
      <c r="AA38" s="377"/>
      <c r="AB38" s="393" t="str">
        <f>IF(AND('Mapa final'!$H$24="Muy Baja",'Mapa final'!$L$24="Mayor"),CONCATENATE("R",'Mapa final'!$A$24),"")</f>
        <v/>
      </c>
      <c r="AC38" s="394"/>
      <c r="AD38" s="394" t="str">
        <f>IF(AND('Mapa final'!$H$26="Muy Baja",'Mapa final'!$L$26="Mayor"),CONCATENATE("R",'Mapa final'!$A$26),"")</f>
        <v/>
      </c>
      <c r="AE38" s="394"/>
      <c r="AF38" s="394" t="str">
        <f>IF(AND('Mapa final'!$H$27="Muy Baja",'Mapa final'!$L$27="Mayor"),CONCATENATE("R",'Mapa final'!$A$27),"")</f>
        <v/>
      </c>
      <c r="AG38" s="395"/>
      <c r="AH38" s="384" t="str">
        <f>IF(AND('Mapa final'!$H$24="Muy Baja",'Mapa final'!$L$24="Catastrófico"),CONCATENATE("R",'Mapa final'!$A$24),"")</f>
        <v/>
      </c>
      <c r="AI38" s="385"/>
      <c r="AJ38" s="385" t="str">
        <f>IF(AND('Mapa final'!$H$26="Muy Baja",'Mapa final'!$L$26="Catastrófico"),CONCATENATE("R",'Mapa final'!$A$26),"")</f>
        <v/>
      </c>
      <c r="AK38" s="385"/>
      <c r="AL38" s="385" t="str">
        <f>IF(AND('Mapa final'!$H$27="Muy Baja",'Mapa final'!$L$27="Catastrófico"),CONCATENATE("R",'Mapa final'!$A$27),"")</f>
        <v/>
      </c>
      <c r="AM38" s="386"/>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407"/>
      <c r="C39" s="407"/>
      <c r="D39" s="408"/>
      <c r="E39" s="400"/>
      <c r="F39" s="401"/>
      <c r="G39" s="401"/>
      <c r="H39" s="401"/>
      <c r="I39" s="402"/>
      <c r="J39" s="360"/>
      <c r="K39" s="361"/>
      <c r="L39" s="361"/>
      <c r="M39" s="361"/>
      <c r="N39" s="361"/>
      <c r="O39" s="362"/>
      <c r="P39" s="360"/>
      <c r="Q39" s="361"/>
      <c r="R39" s="361"/>
      <c r="S39" s="361"/>
      <c r="T39" s="361"/>
      <c r="U39" s="362"/>
      <c r="V39" s="369"/>
      <c r="W39" s="370"/>
      <c r="X39" s="370"/>
      <c r="Y39" s="370"/>
      <c r="Z39" s="370"/>
      <c r="AA39" s="371"/>
      <c r="AB39" s="387"/>
      <c r="AC39" s="388"/>
      <c r="AD39" s="388"/>
      <c r="AE39" s="388"/>
      <c r="AF39" s="388"/>
      <c r="AG39" s="389"/>
      <c r="AH39" s="378"/>
      <c r="AI39" s="379"/>
      <c r="AJ39" s="379"/>
      <c r="AK39" s="379"/>
      <c r="AL39" s="379"/>
      <c r="AM39" s="380"/>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407"/>
      <c r="C40" s="407"/>
      <c r="D40" s="408"/>
      <c r="E40" s="400"/>
      <c r="F40" s="401"/>
      <c r="G40" s="401"/>
      <c r="H40" s="401"/>
      <c r="I40" s="402"/>
      <c r="J40" s="360" t="str">
        <f>IF(AND('Mapa final'!$H$29="Muy Baja",'Mapa final'!$L$29="Leve"),CONCATENATE("R",'Mapa final'!$A$29),"")</f>
        <v>R4</v>
      </c>
      <c r="K40" s="361"/>
      <c r="L40" s="361" t="str">
        <f>IF(AND('Mapa final'!$H$31="Muy Baja",'Mapa final'!$L$31="Leve"),CONCATENATE("R",'Mapa final'!$A$31),"")</f>
        <v/>
      </c>
      <c r="M40" s="361"/>
      <c r="N40" s="361" t="e">
        <f>IF(AND('Mapa final'!#REF!="Muy Baja",'Mapa final'!#REF!="Leve"),CONCATENATE("R",'Mapa final'!#REF!),"")</f>
        <v>#REF!</v>
      </c>
      <c r="O40" s="362"/>
      <c r="P40" s="360" t="str">
        <f>IF(AND('Mapa final'!$H$29="Muy Baja",'Mapa final'!$L$29="Menor"),CONCATENATE("R",'Mapa final'!$A$29),"")</f>
        <v/>
      </c>
      <c r="Q40" s="361"/>
      <c r="R40" s="361" t="str">
        <f>IF(AND('Mapa final'!$H$31="Muy Baja",'Mapa final'!$L$31="Menor"),CONCATENATE("R",'Mapa final'!$A$31),"")</f>
        <v/>
      </c>
      <c r="S40" s="361"/>
      <c r="T40" s="361" t="e">
        <f>IF(AND('Mapa final'!#REF!="Muy Baja",'Mapa final'!#REF!="Menor"),CONCATENATE("R",'Mapa final'!#REF!),"")</f>
        <v>#REF!</v>
      </c>
      <c r="U40" s="362"/>
      <c r="V40" s="369" t="str">
        <f>IF(AND('Mapa final'!$H$29="Muy Baja",'Mapa final'!$L$29="Moderado"),CONCATENATE("R",'Mapa final'!$A$29),"")</f>
        <v/>
      </c>
      <c r="W40" s="370"/>
      <c r="X40" s="370" t="str">
        <f>IF(AND('Mapa final'!$H$31="Muy Baja",'Mapa final'!$L$31="Moderado"),CONCATENATE("R",'Mapa final'!$A$31),"")</f>
        <v/>
      </c>
      <c r="Y40" s="370"/>
      <c r="Z40" s="370" t="e">
        <f>IF(AND('Mapa final'!#REF!="Muy Baja",'Mapa final'!#REF!="Moderado"),CONCATENATE("R",'Mapa final'!#REF!),"")</f>
        <v>#REF!</v>
      </c>
      <c r="AA40" s="371"/>
      <c r="AB40" s="387" t="str">
        <f>IF(AND('Mapa final'!$H$29="Muy Baja",'Mapa final'!$L$29="Mayor"),CONCATENATE("R",'Mapa final'!$A$29),"")</f>
        <v/>
      </c>
      <c r="AC40" s="388"/>
      <c r="AD40" s="388" t="str">
        <f>IF(AND('Mapa final'!$H$31="Muy Baja",'Mapa final'!$L$31="Mayor"),CONCATENATE("R",'Mapa final'!$A$31),"")</f>
        <v/>
      </c>
      <c r="AE40" s="388"/>
      <c r="AF40" s="388" t="e">
        <f>IF(AND('Mapa final'!#REF!="Muy Baja",'Mapa final'!#REF!="Mayor"),CONCATENATE("R",'Mapa final'!#REF!),"")</f>
        <v>#REF!</v>
      </c>
      <c r="AG40" s="389"/>
      <c r="AH40" s="378" t="str">
        <f>IF(AND('Mapa final'!$H$29="Muy Baja",'Mapa final'!$L$29="Catastrófico"),CONCATENATE("R",'Mapa final'!$A$29),"")</f>
        <v/>
      </c>
      <c r="AI40" s="379"/>
      <c r="AJ40" s="379" t="str">
        <f>IF(AND('Mapa final'!$H$31="Muy Baja",'Mapa final'!$L$31="Catastrófico"),CONCATENATE("R",'Mapa final'!$A$31),"")</f>
        <v/>
      </c>
      <c r="AK40" s="379"/>
      <c r="AL40" s="379" t="e">
        <f>IF(AND('Mapa final'!#REF!="Muy Baja",'Mapa final'!#REF!="Catastrófico"),CONCATENATE("R",'Mapa final'!#REF!),"")</f>
        <v>#REF!</v>
      </c>
      <c r="AM40" s="380"/>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407"/>
      <c r="C41" s="407"/>
      <c r="D41" s="408"/>
      <c r="E41" s="400"/>
      <c r="F41" s="401"/>
      <c r="G41" s="401"/>
      <c r="H41" s="401"/>
      <c r="I41" s="402"/>
      <c r="J41" s="360"/>
      <c r="K41" s="361"/>
      <c r="L41" s="361"/>
      <c r="M41" s="361"/>
      <c r="N41" s="361"/>
      <c r="O41" s="362"/>
      <c r="P41" s="360"/>
      <c r="Q41" s="361"/>
      <c r="R41" s="361"/>
      <c r="S41" s="361"/>
      <c r="T41" s="361"/>
      <c r="U41" s="362"/>
      <c r="V41" s="369"/>
      <c r="W41" s="370"/>
      <c r="X41" s="370"/>
      <c r="Y41" s="370"/>
      <c r="Z41" s="370"/>
      <c r="AA41" s="371"/>
      <c r="AB41" s="387"/>
      <c r="AC41" s="388"/>
      <c r="AD41" s="388"/>
      <c r="AE41" s="388"/>
      <c r="AF41" s="388"/>
      <c r="AG41" s="389"/>
      <c r="AH41" s="378"/>
      <c r="AI41" s="379"/>
      <c r="AJ41" s="379"/>
      <c r="AK41" s="379"/>
      <c r="AL41" s="379"/>
      <c r="AM41" s="380"/>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407"/>
      <c r="C42" s="407"/>
      <c r="D42" s="408"/>
      <c r="E42" s="400"/>
      <c r="F42" s="401"/>
      <c r="G42" s="401"/>
      <c r="H42" s="401"/>
      <c r="I42" s="402"/>
      <c r="J42" s="360" t="e">
        <f>IF(AND('Mapa final'!#REF!="Muy Baja",'Mapa final'!#REF!="Leve"),CONCATENATE("R",'Mapa final'!#REF!),"")</f>
        <v>#REF!</v>
      </c>
      <c r="K42" s="361"/>
      <c r="L42" s="361" t="str">
        <f>IF(AND('Mapa final'!$H$33="Muy Baja",'Mapa final'!$L$33="Leve"),CONCATENATE("R",'Mapa final'!$A$33),"")</f>
        <v/>
      </c>
      <c r="M42" s="361"/>
      <c r="N42" s="361" t="str">
        <f>IF(AND('Mapa final'!$H$39="Muy Baja",'Mapa final'!$L$39="Leve"),CONCATENATE("R",'Mapa final'!$A$39),"")</f>
        <v/>
      </c>
      <c r="O42" s="362"/>
      <c r="P42" s="360" t="e">
        <f>IF(AND('Mapa final'!#REF!="Muy Baja",'Mapa final'!#REF!="Menor"),CONCATENATE("R",'Mapa final'!#REF!),"")</f>
        <v>#REF!</v>
      </c>
      <c r="Q42" s="361"/>
      <c r="R42" s="361" t="str">
        <f>IF(AND('Mapa final'!$H$33="Muy Baja",'Mapa final'!$L$33="Menor"),CONCATENATE("R",'Mapa final'!$A$33),"")</f>
        <v/>
      </c>
      <c r="S42" s="361"/>
      <c r="T42" s="361" t="str">
        <f>IF(AND('Mapa final'!$H$39="Muy Baja",'Mapa final'!$L$39="Menor"),CONCATENATE("R",'Mapa final'!$A$39),"")</f>
        <v/>
      </c>
      <c r="U42" s="362"/>
      <c r="V42" s="369" t="e">
        <f>IF(AND('Mapa final'!#REF!="Muy Baja",'Mapa final'!#REF!="Moderado"),CONCATENATE("R",'Mapa final'!#REF!),"")</f>
        <v>#REF!</v>
      </c>
      <c r="W42" s="370"/>
      <c r="X42" s="370" t="str">
        <f>IF(AND('Mapa final'!$H$33="Muy Baja",'Mapa final'!$L$33="Moderado"),CONCATENATE("R",'Mapa final'!$A$33),"")</f>
        <v/>
      </c>
      <c r="Y42" s="370"/>
      <c r="Z42" s="370" t="str">
        <f>IF(AND('Mapa final'!$H$39="Muy Baja",'Mapa final'!$L$39="Moderado"),CONCATENATE("R",'Mapa final'!$A$39),"")</f>
        <v/>
      </c>
      <c r="AA42" s="371"/>
      <c r="AB42" s="387" t="e">
        <f>IF(AND('Mapa final'!#REF!="Muy Baja",'Mapa final'!#REF!="Mayor"),CONCATENATE("R",'Mapa final'!#REF!),"")</f>
        <v>#REF!</v>
      </c>
      <c r="AC42" s="388"/>
      <c r="AD42" s="388" t="str">
        <f>IF(AND('Mapa final'!$H$33="Muy Baja",'Mapa final'!$L$33="Mayor"),CONCATENATE("R",'Mapa final'!$A$33),"")</f>
        <v/>
      </c>
      <c r="AE42" s="388"/>
      <c r="AF42" s="388" t="str">
        <f>IF(AND('Mapa final'!$H$39="Muy Baja",'Mapa final'!$L$39="Mayor"),CONCATENATE("R",'Mapa final'!$A$39),"")</f>
        <v/>
      </c>
      <c r="AG42" s="389"/>
      <c r="AH42" s="378" t="e">
        <f>IF(AND('Mapa final'!#REF!="Muy Baja",'Mapa final'!#REF!="Catastrófico"),CONCATENATE("R",'Mapa final'!#REF!),"")</f>
        <v>#REF!</v>
      </c>
      <c r="AI42" s="379"/>
      <c r="AJ42" s="379" t="str">
        <f>IF(AND('Mapa final'!$H$33="Muy Baja",'Mapa final'!$L$33="Catastrófico"),CONCATENATE("R",'Mapa final'!$A$33),"")</f>
        <v/>
      </c>
      <c r="AK42" s="379"/>
      <c r="AL42" s="379" t="str">
        <f>IF(AND('Mapa final'!$H$39="Muy Baja",'Mapa final'!$L$39="Catastrófico"),CONCATENATE("R",'Mapa final'!$A$39),"")</f>
        <v/>
      </c>
      <c r="AM42" s="380"/>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407"/>
      <c r="C43" s="407"/>
      <c r="D43" s="408"/>
      <c r="E43" s="400"/>
      <c r="F43" s="401"/>
      <c r="G43" s="401"/>
      <c r="H43" s="401"/>
      <c r="I43" s="402"/>
      <c r="J43" s="360"/>
      <c r="K43" s="361"/>
      <c r="L43" s="361"/>
      <c r="M43" s="361"/>
      <c r="N43" s="361"/>
      <c r="O43" s="362"/>
      <c r="P43" s="360"/>
      <c r="Q43" s="361"/>
      <c r="R43" s="361"/>
      <c r="S43" s="361"/>
      <c r="T43" s="361"/>
      <c r="U43" s="362"/>
      <c r="V43" s="369"/>
      <c r="W43" s="370"/>
      <c r="X43" s="370"/>
      <c r="Y43" s="370"/>
      <c r="Z43" s="370"/>
      <c r="AA43" s="371"/>
      <c r="AB43" s="387"/>
      <c r="AC43" s="388"/>
      <c r="AD43" s="388"/>
      <c r="AE43" s="388"/>
      <c r="AF43" s="388"/>
      <c r="AG43" s="389"/>
      <c r="AH43" s="378"/>
      <c r="AI43" s="379"/>
      <c r="AJ43" s="379"/>
      <c r="AK43" s="379"/>
      <c r="AL43" s="379"/>
      <c r="AM43" s="380"/>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407"/>
      <c r="C44" s="407"/>
      <c r="D44" s="408"/>
      <c r="E44" s="400"/>
      <c r="F44" s="401"/>
      <c r="G44" s="401"/>
      <c r="H44" s="401"/>
      <c r="I44" s="402"/>
      <c r="J44" s="360" t="str">
        <f>IF(AND('Mapa final'!$H$45="Muy Baja",'Mapa final'!$L$45="Leve"),CONCATENATE("R",'Mapa final'!$A$45),"")</f>
        <v/>
      </c>
      <c r="K44" s="361"/>
      <c r="L44" s="361" t="str">
        <f>IF(AND('Mapa final'!$H$51="Muy Baja",'Mapa final'!$L$51="Leve"),CONCATENATE("R",'Mapa final'!$A$51),"")</f>
        <v/>
      </c>
      <c r="M44" s="361"/>
      <c r="N44" s="361" t="str">
        <f>IF(AND('Mapa final'!$H$57="Muy Baja",'Mapa final'!$L$57="Leve"),CONCATENATE("R",'Mapa final'!$A$57),"")</f>
        <v/>
      </c>
      <c r="O44" s="362"/>
      <c r="P44" s="360" t="str">
        <f>IF(AND('Mapa final'!$H$45="Muy Baja",'Mapa final'!$L$45="Menor"),CONCATENATE("R",'Mapa final'!$A$45),"")</f>
        <v/>
      </c>
      <c r="Q44" s="361"/>
      <c r="R44" s="361" t="str">
        <f>IF(AND('Mapa final'!$H$51="Muy Baja",'Mapa final'!$L$51="Menor"),CONCATENATE("R",'Mapa final'!$A$51),"")</f>
        <v/>
      </c>
      <c r="S44" s="361"/>
      <c r="T44" s="361" t="str">
        <f>IF(AND('Mapa final'!$H$57="Muy Baja",'Mapa final'!$L$57="Menor"),CONCATENATE("R",'Mapa final'!$A$57),"")</f>
        <v/>
      </c>
      <c r="U44" s="362"/>
      <c r="V44" s="369" t="str">
        <f>IF(AND('Mapa final'!$H$45="Muy Baja",'Mapa final'!$L$45="Moderado"),CONCATENATE("R",'Mapa final'!$A$45),"")</f>
        <v/>
      </c>
      <c r="W44" s="370"/>
      <c r="X44" s="370" t="str">
        <f>IF(AND('Mapa final'!$H$51="Muy Baja",'Mapa final'!$L$51="Moderado"),CONCATENATE("R",'Mapa final'!$A$51),"")</f>
        <v/>
      </c>
      <c r="Y44" s="370"/>
      <c r="Z44" s="370" t="str">
        <f>IF(AND('Mapa final'!$H$57="Muy Baja",'Mapa final'!$L$57="Moderado"),CONCATENATE("R",'Mapa final'!$A$57),"")</f>
        <v/>
      </c>
      <c r="AA44" s="371"/>
      <c r="AB44" s="387" t="str">
        <f>IF(AND('Mapa final'!$H$45="Muy Baja",'Mapa final'!$L$45="Mayor"),CONCATENATE("R",'Mapa final'!$A$45),"")</f>
        <v/>
      </c>
      <c r="AC44" s="388"/>
      <c r="AD44" s="388" t="str">
        <f>IF(AND('Mapa final'!$H$51="Muy Baja",'Mapa final'!$L$51="Mayor"),CONCATENATE("R",'Mapa final'!$A$51),"")</f>
        <v/>
      </c>
      <c r="AE44" s="388"/>
      <c r="AF44" s="388" t="str">
        <f>IF(AND('Mapa final'!$H$57="Muy Baja",'Mapa final'!$L$57="Mayor"),CONCATENATE("R",'Mapa final'!$A$57),"")</f>
        <v/>
      </c>
      <c r="AG44" s="389"/>
      <c r="AH44" s="378" t="str">
        <f>IF(AND('Mapa final'!$H$45="Muy Baja",'Mapa final'!$L$45="Catastrófico"),CONCATENATE("R",'Mapa final'!$A$45),"")</f>
        <v/>
      </c>
      <c r="AI44" s="379"/>
      <c r="AJ44" s="379" t="str">
        <f>IF(AND('Mapa final'!$H$51="Muy Baja",'Mapa final'!$L$51="Catastrófico"),CONCATENATE("R",'Mapa final'!$A$51),"")</f>
        <v/>
      </c>
      <c r="AK44" s="379"/>
      <c r="AL44" s="379" t="str">
        <f>IF(AND('Mapa final'!$H$57="Muy Baja",'Mapa final'!$L$57="Catastrófico"),CONCATENATE("R",'Mapa final'!$A$57),"")</f>
        <v/>
      </c>
      <c r="AM44" s="380"/>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407"/>
      <c r="C45" s="407"/>
      <c r="D45" s="408"/>
      <c r="E45" s="403"/>
      <c r="F45" s="404"/>
      <c r="G45" s="404"/>
      <c r="H45" s="404"/>
      <c r="I45" s="405"/>
      <c r="J45" s="363"/>
      <c r="K45" s="364"/>
      <c r="L45" s="364"/>
      <c r="M45" s="364"/>
      <c r="N45" s="364"/>
      <c r="O45" s="365"/>
      <c r="P45" s="363"/>
      <c r="Q45" s="364"/>
      <c r="R45" s="364"/>
      <c r="S45" s="364"/>
      <c r="T45" s="364"/>
      <c r="U45" s="365"/>
      <c r="V45" s="372"/>
      <c r="W45" s="373"/>
      <c r="X45" s="373"/>
      <c r="Y45" s="373"/>
      <c r="Z45" s="373"/>
      <c r="AA45" s="374"/>
      <c r="AB45" s="390"/>
      <c r="AC45" s="391"/>
      <c r="AD45" s="391"/>
      <c r="AE45" s="391"/>
      <c r="AF45" s="391"/>
      <c r="AG45" s="392"/>
      <c r="AH45" s="381"/>
      <c r="AI45" s="382"/>
      <c r="AJ45" s="382"/>
      <c r="AK45" s="382"/>
      <c r="AL45" s="382"/>
      <c r="AM45" s="3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397" t="s">
        <v>101</v>
      </c>
      <c r="K46" s="398"/>
      <c r="L46" s="398"/>
      <c r="M46" s="398"/>
      <c r="N46" s="398"/>
      <c r="O46" s="399"/>
      <c r="P46" s="397" t="s">
        <v>102</v>
      </c>
      <c r="Q46" s="398"/>
      <c r="R46" s="398"/>
      <c r="S46" s="398"/>
      <c r="T46" s="398"/>
      <c r="U46" s="399"/>
      <c r="V46" s="397" t="s">
        <v>103</v>
      </c>
      <c r="W46" s="398"/>
      <c r="X46" s="398"/>
      <c r="Y46" s="398"/>
      <c r="Z46" s="398"/>
      <c r="AA46" s="399"/>
      <c r="AB46" s="397" t="s">
        <v>104</v>
      </c>
      <c r="AC46" s="406"/>
      <c r="AD46" s="398"/>
      <c r="AE46" s="398"/>
      <c r="AF46" s="398"/>
      <c r="AG46" s="399"/>
      <c r="AH46" s="397" t="s">
        <v>105</v>
      </c>
      <c r="AI46" s="398"/>
      <c r="AJ46" s="398"/>
      <c r="AK46" s="398"/>
      <c r="AL46" s="398"/>
      <c r="AM46" s="399"/>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400"/>
      <c r="K47" s="401"/>
      <c r="L47" s="401"/>
      <c r="M47" s="401"/>
      <c r="N47" s="401"/>
      <c r="O47" s="402"/>
      <c r="P47" s="400"/>
      <c r="Q47" s="401"/>
      <c r="R47" s="401"/>
      <c r="S47" s="401"/>
      <c r="T47" s="401"/>
      <c r="U47" s="402"/>
      <c r="V47" s="400"/>
      <c r="W47" s="401"/>
      <c r="X47" s="401"/>
      <c r="Y47" s="401"/>
      <c r="Z47" s="401"/>
      <c r="AA47" s="402"/>
      <c r="AB47" s="400"/>
      <c r="AC47" s="401"/>
      <c r="AD47" s="401"/>
      <c r="AE47" s="401"/>
      <c r="AF47" s="401"/>
      <c r="AG47" s="402"/>
      <c r="AH47" s="400"/>
      <c r="AI47" s="401"/>
      <c r="AJ47" s="401"/>
      <c r="AK47" s="401"/>
      <c r="AL47" s="401"/>
      <c r="AM47" s="402"/>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400"/>
      <c r="K48" s="401"/>
      <c r="L48" s="401"/>
      <c r="M48" s="401"/>
      <c r="N48" s="401"/>
      <c r="O48" s="402"/>
      <c r="P48" s="400"/>
      <c r="Q48" s="401"/>
      <c r="R48" s="401"/>
      <c r="S48" s="401"/>
      <c r="T48" s="401"/>
      <c r="U48" s="402"/>
      <c r="V48" s="400"/>
      <c r="W48" s="401"/>
      <c r="X48" s="401"/>
      <c r="Y48" s="401"/>
      <c r="Z48" s="401"/>
      <c r="AA48" s="402"/>
      <c r="AB48" s="400"/>
      <c r="AC48" s="401"/>
      <c r="AD48" s="401"/>
      <c r="AE48" s="401"/>
      <c r="AF48" s="401"/>
      <c r="AG48" s="402"/>
      <c r="AH48" s="400"/>
      <c r="AI48" s="401"/>
      <c r="AJ48" s="401"/>
      <c r="AK48" s="401"/>
      <c r="AL48" s="401"/>
      <c r="AM48" s="402"/>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400"/>
      <c r="K49" s="401"/>
      <c r="L49" s="401"/>
      <c r="M49" s="401"/>
      <c r="N49" s="401"/>
      <c r="O49" s="402"/>
      <c r="P49" s="400"/>
      <c r="Q49" s="401"/>
      <c r="R49" s="401"/>
      <c r="S49" s="401"/>
      <c r="T49" s="401"/>
      <c r="U49" s="402"/>
      <c r="V49" s="400"/>
      <c r="W49" s="401"/>
      <c r="X49" s="401"/>
      <c r="Y49" s="401"/>
      <c r="Z49" s="401"/>
      <c r="AA49" s="402"/>
      <c r="AB49" s="400"/>
      <c r="AC49" s="401"/>
      <c r="AD49" s="401"/>
      <c r="AE49" s="401"/>
      <c r="AF49" s="401"/>
      <c r="AG49" s="402"/>
      <c r="AH49" s="400"/>
      <c r="AI49" s="401"/>
      <c r="AJ49" s="401"/>
      <c r="AK49" s="401"/>
      <c r="AL49" s="401"/>
      <c r="AM49" s="402"/>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400"/>
      <c r="K50" s="401"/>
      <c r="L50" s="401"/>
      <c r="M50" s="401"/>
      <c r="N50" s="401"/>
      <c r="O50" s="402"/>
      <c r="P50" s="400"/>
      <c r="Q50" s="401"/>
      <c r="R50" s="401"/>
      <c r="S50" s="401"/>
      <c r="T50" s="401"/>
      <c r="U50" s="402"/>
      <c r="V50" s="400"/>
      <c r="W50" s="401"/>
      <c r="X50" s="401"/>
      <c r="Y50" s="401"/>
      <c r="Z50" s="401"/>
      <c r="AA50" s="402"/>
      <c r="AB50" s="400"/>
      <c r="AC50" s="401"/>
      <c r="AD50" s="401"/>
      <c r="AE50" s="401"/>
      <c r="AF50" s="401"/>
      <c r="AG50" s="402"/>
      <c r="AH50" s="400"/>
      <c r="AI50" s="401"/>
      <c r="AJ50" s="401"/>
      <c r="AK50" s="401"/>
      <c r="AL50" s="401"/>
      <c r="AM50" s="402"/>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403"/>
      <c r="K51" s="404"/>
      <c r="L51" s="404"/>
      <c r="M51" s="404"/>
      <c r="N51" s="404"/>
      <c r="O51" s="405"/>
      <c r="P51" s="403"/>
      <c r="Q51" s="404"/>
      <c r="R51" s="404"/>
      <c r="S51" s="404"/>
      <c r="T51" s="404"/>
      <c r="U51" s="405"/>
      <c r="V51" s="403"/>
      <c r="W51" s="404"/>
      <c r="X51" s="404"/>
      <c r="Y51" s="404"/>
      <c r="Z51" s="404"/>
      <c r="AA51" s="405"/>
      <c r="AB51" s="403"/>
      <c r="AC51" s="404"/>
      <c r="AD51" s="404"/>
      <c r="AE51" s="404"/>
      <c r="AF51" s="404"/>
      <c r="AG51" s="405"/>
      <c r="AH51" s="403"/>
      <c r="AI51" s="404"/>
      <c r="AJ51" s="404"/>
      <c r="AK51" s="404"/>
      <c r="AL51" s="404"/>
      <c r="AM51" s="405"/>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M248"/>
  <sheetViews>
    <sheetView zoomScale="50" zoomScaleNormal="50" workbookViewId="0">
      <selection activeCell="J6" sqref="J6"/>
    </sheetView>
  </sheetViews>
  <sheetFormatPr baseColWidth="10" defaultColWidth="11.42578125"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474" t="s">
        <v>106</v>
      </c>
      <c r="C2" s="475"/>
      <c r="D2" s="475"/>
      <c r="E2" s="475"/>
      <c r="F2" s="475"/>
      <c r="G2" s="475"/>
      <c r="H2" s="475"/>
      <c r="I2" s="475"/>
      <c r="J2" s="396" t="s">
        <v>13</v>
      </c>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475"/>
      <c r="C3" s="475"/>
      <c r="D3" s="475"/>
      <c r="E3" s="475"/>
      <c r="F3" s="475"/>
      <c r="G3" s="475"/>
      <c r="H3" s="475"/>
      <c r="I3" s="475"/>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475"/>
      <c r="C4" s="475"/>
      <c r="D4" s="475"/>
      <c r="E4" s="475"/>
      <c r="F4" s="475"/>
      <c r="G4" s="475"/>
      <c r="H4" s="475"/>
      <c r="I4" s="475"/>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407" t="s">
        <v>91</v>
      </c>
      <c r="C6" s="407"/>
      <c r="D6" s="408"/>
      <c r="E6" s="445" t="s">
        <v>92</v>
      </c>
      <c r="F6" s="446"/>
      <c r="G6" s="446"/>
      <c r="H6" s="446"/>
      <c r="I6" s="447"/>
      <c r="J6" s="46" t="str">
        <f>IF(AND('Mapa final'!$Y$24="Muy Alta",'Mapa final'!$AA$24="Leve"),CONCATENATE("R1C",'Mapa final'!$O$24),"")</f>
        <v/>
      </c>
      <c r="K6" s="47" t="str">
        <f>IF(AND('Mapa final'!$Y$25="Muy Alta",'Mapa final'!$AA$25="Leve"),CONCATENATE("R1C",'Mapa final'!$O$25),"")</f>
        <v/>
      </c>
      <c r="L6" s="47" t="e">
        <f>IF(AND('Mapa final'!#REF!="Muy Alta",'Mapa final'!#REF!="Leve"),CONCATENATE("R1C",'Mapa final'!#REF!),"")</f>
        <v>#REF!</v>
      </c>
      <c r="M6" s="47" t="e">
        <f>IF(AND('Mapa final'!#REF!="Muy Alta",'Mapa final'!#REF!="Leve"),CONCATENATE("R1C",'Mapa final'!#REF!),"")</f>
        <v>#REF!</v>
      </c>
      <c r="N6" s="47" t="e">
        <f>IF(AND('Mapa final'!#REF!="Muy Alta",'Mapa final'!#REF!="Leve"),CONCATENATE("R1C",'Mapa final'!#REF!),"")</f>
        <v>#REF!</v>
      </c>
      <c r="O6" s="48" t="e">
        <f>IF(AND('Mapa final'!#REF!="Muy Alta",'Mapa final'!#REF!="Leve"),CONCATENATE("R1C",'Mapa final'!#REF!),"")</f>
        <v>#REF!</v>
      </c>
      <c r="P6" s="46" t="str">
        <f>IF(AND('Mapa final'!$Y$24="Muy Alta",'Mapa final'!$AA$24="Menor"),CONCATENATE("R1C",'Mapa final'!$O$24),"")</f>
        <v/>
      </c>
      <c r="Q6" s="47" t="str">
        <f>IF(AND('Mapa final'!$Y$25="Muy Alta",'Mapa final'!$AA$25="Menor"),CONCATENATE("R1C",'Mapa final'!$O$25),"")</f>
        <v/>
      </c>
      <c r="R6" s="47" t="e">
        <f>IF(AND('Mapa final'!#REF!="Muy Alta",'Mapa final'!#REF!="Menor"),CONCATENATE("R1C",'Mapa final'!#REF!),"")</f>
        <v>#REF!</v>
      </c>
      <c r="S6" s="47" t="e">
        <f>IF(AND('Mapa final'!#REF!="Muy Alta",'Mapa final'!#REF!="Menor"),CONCATENATE("R1C",'Mapa final'!#REF!),"")</f>
        <v>#REF!</v>
      </c>
      <c r="T6" s="47" t="e">
        <f>IF(AND('Mapa final'!#REF!="Muy Alta",'Mapa final'!#REF!="Menor"),CONCATENATE("R1C",'Mapa final'!#REF!),"")</f>
        <v>#REF!</v>
      </c>
      <c r="U6" s="48" t="e">
        <f>IF(AND('Mapa final'!#REF!="Muy Alta",'Mapa final'!#REF!="Menor"),CONCATENATE("R1C",'Mapa final'!#REF!),"")</f>
        <v>#REF!</v>
      </c>
      <c r="V6" s="46" t="str">
        <f>IF(AND('Mapa final'!$Y$24="Muy Alta",'Mapa final'!$AA$24="Moderado"),CONCATENATE("R1C",'Mapa final'!$O$24),"")</f>
        <v/>
      </c>
      <c r="W6" s="47" t="str">
        <f>IF(AND('Mapa final'!$Y$25="Muy Alta",'Mapa final'!$AA$25="Moderado"),CONCATENATE("R1C",'Mapa final'!$O$25),"")</f>
        <v/>
      </c>
      <c r="X6" s="47" t="e">
        <f>IF(AND('Mapa final'!#REF!="Muy Alta",'Mapa final'!#REF!="Moderado"),CONCATENATE("R1C",'Mapa final'!#REF!),"")</f>
        <v>#REF!</v>
      </c>
      <c r="Y6" s="47" t="e">
        <f>IF(AND('Mapa final'!#REF!="Muy Alta",'Mapa final'!#REF!="Moderado"),CONCATENATE("R1C",'Mapa final'!#REF!),"")</f>
        <v>#REF!</v>
      </c>
      <c r="Z6" s="47" t="e">
        <f>IF(AND('Mapa final'!#REF!="Muy Alta",'Mapa final'!#REF!="Moderado"),CONCATENATE("R1C",'Mapa final'!#REF!),"")</f>
        <v>#REF!</v>
      </c>
      <c r="AA6" s="48" t="e">
        <f>IF(AND('Mapa final'!#REF!="Muy Alta",'Mapa final'!#REF!="Moderado"),CONCATENATE("R1C",'Mapa final'!#REF!),"")</f>
        <v>#REF!</v>
      </c>
      <c r="AB6" s="46" t="str">
        <f>IF(AND('Mapa final'!$Y$24="Muy Alta",'Mapa final'!$AA$24="Mayor"),CONCATENATE("R1C",'Mapa final'!$O$24),"")</f>
        <v/>
      </c>
      <c r="AC6" s="47" t="str">
        <f>IF(AND('Mapa final'!$Y$25="Muy Alta",'Mapa final'!$AA$25="Mayor"),CONCATENATE("R1C",'Mapa final'!$O$25),"")</f>
        <v/>
      </c>
      <c r="AD6" s="47" t="e">
        <f>IF(AND('Mapa final'!#REF!="Muy Alta",'Mapa final'!#REF!="Mayor"),CONCATENATE("R1C",'Mapa final'!#REF!),"")</f>
        <v>#REF!</v>
      </c>
      <c r="AE6" s="47" t="e">
        <f>IF(AND('Mapa final'!#REF!="Muy Alta",'Mapa final'!#REF!="Mayor"),CONCATENATE("R1C",'Mapa final'!#REF!),"")</f>
        <v>#REF!</v>
      </c>
      <c r="AF6" s="47" t="e">
        <f>IF(AND('Mapa final'!#REF!="Muy Alta",'Mapa final'!#REF!="Mayor"),CONCATENATE("R1C",'Mapa final'!#REF!),"")</f>
        <v>#REF!</v>
      </c>
      <c r="AG6" s="48" t="e">
        <f>IF(AND('Mapa final'!#REF!="Muy Alta",'Mapa final'!#REF!="Mayor"),CONCATENATE("R1C",'Mapa final'!#REF!),"")</f>
        <v>#REF!</v>
      </c>
      <c r="AH6" s="49" t="str">
        <f>IF(AND('Mapa final'!$Y$24="Muy Alta",'Mapa final'!$AA$24="Catastrófico"),CONCATENATE("R1C",'Mapa final'!$O$24),"")</f>
        <v/>
      </c>
      <c r="AI6" s="50" t="str">
        <f>IF(AND('Mapa final'!$Y$25="Muy Alta",'Mapa final'!$AA$25="Catastrófico"),CONCATENATE("R1C",'Mapa final'!$O$25),"")</f>
        <v/>
      </c>
      <c r="AJ6" s="50" t="e">
        <f>IF(AND('Mapa final'!#REF!="Muy Alta",'Mapa final'!#REF!="Catastrófico"),CONCATENATE("R1C",'Mapa final'!#REF!),"")</f>
        <v>#REF!</v>
      </c>
      <c r="AK6" s="50" t="e">
        <f>IF(AND('Mapa final'!#REF!="Muy Alta",'Mapa final'!#REF!="Catastrófico"),CONCATENATE("R1C",'Mapa final'!#REF!),"")</f>
        <v>#REF!</v>
      </c>
      <c r="AL6" s="50" t="e">
        <f>IF(AND('Mapa final'!#REF!="Muy Alta",'Mapa final'!#REF!="Catastrófico"),CONCATENATE("R1C",'Mapa final'!#REF!),"")</f>
        <v>#REF!</v>
      </c>
      <c r="AM6" s="51" t="e">
        <f>IF(AND('Mapa final'!#REF!="Muy Alta",'Mapa final'!#REF!="Catastrófico"),CONCATENATE("R1C",'Mapa final'!#REF!),"")</f>
        <v>#REF!</v>
      </c>
      <c r="AN6" s="83"/>
      <c r="AO6" s="465" t="s">
        <v>93</v>
      </c>
      <c r="AP6" s="466"/>
      <c r="AQ6" s="466"/>
      <c r="AR6" s="466"/>
      <c r="AS6" s="466"/>
      <c r="AT6" s="467"/>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407"/>
      <c r="C7" s="407"/>
      <c r="D7" s="408"/>
      <c r="E7" s="448"/>
      <c r="F7" s="449"/>
      <c r="G7" s="449"/>
      <c r="H7" s="449"/>
      <c r="I7" s="450"/>
      <c r="J7" s="52" t="str">
        <f>IF(AND('Mapa final'!$Y$26="Muy Alta",'Mapa final'!$AA$26="Leve"),CONCATENATE("R2C",'Mapa final'!$O$26),"")</f>
        <v/>
      </c>
      <c r="K7" s="53" t="e">
        <f>IF(AND('Mapa final'!#REF!="Muy Alta",'Mapa final'!#REF!="Leve"),CONCATENATE("R2C",'Mapa final'!#REF!),"")</f>
        <v>#REF!</v>
      </c>
      <c r="L7" s="53" t="e">
        <f>IF(AND('Mapa final'!#REF!="Muy Alta",'Mapa final'!#REF!="Leve"),CONCATENATE("R2C",'Mapa final'!#REF!),"")</f>
        <v>#REF!</v>
      </c>
      <c r="M7" s="53" t="e">
        <f>IF(AND('Mapa final'!#REF!="Muy Alta",'Mapa final'!#REF!="Leve"),CONCATENATE("R2C",'Mapa final'!#REF!),"")</f>
        <v>#REF!</v>
      </c>
      <c r="N7" s="53" t="e">
        <f>IF(AND('Mapa final'!#REF!="Muy Alta",'Mapa final'!#REF!="Leve"),CONCATENATE("R2C",'Mapa final'!#REF!),"")</f>
        <v>#REF!</v>
      </c>
      <c r="O7" s="54" t="e">
        <f>IF(AND('Mapa final'!#REF!="Muy Alta",'Mapa final'!#REF!="Leve"),CONCATENATE("R2C",'Mapa final'!#REF!),"")</f>
        <v>#REF!</v>
      </c>
      <c r="P7" s="52" t="str">
        <f>IF(AND('Mapa final'!$Y$26="Muy Alta",'Mapa final'!$AA$26="Menor"),CONCATENATE("R2C",'Mapa final'!$O$26),"")</f>
        <v/>
      </c>
      <c r="Q7" s="53" t="e">
        <f>IF(AND('Mapa final'!#REF!="Muy Alta",'Mapa final'!#REF!="Menor"),CONCATENATE("R2C",'Mapa final'!#REF!),"")</f>
        <v>#REF!</v>
      </c>
      <c r="R7" s="53" t="e">
        <f>IF(AND('Mapa final'!#REF!="Muy Alta",'Mapa final'!#REF!="Menor"),CONCATENATE("R2C",'Mapa final'!#REF!),"")</f>
        <v>#REF!</v>
      </c>
      <c r="S7" s="53" t="e">
        <f>IF(AND('Mapa final'!#REF!="Muy Alta",'Mapa final'!#REF!="Menor"),CONCATENATE("R2C",'Mapa final'!#REF!),"")</f>
        <v>#REF!</v>
      </c>
      <c r="T7" s="53" t="e">
        <f>IF(AND('Mapa final'!#REF!="Muy Alta",'Mapa final'!#REF!="Menor"),CONCATENATE("R2C",'Mapa final'!#REF!),"")</f>
        <v>#REF!</v>
      </c>
      <c r="U7" s="54" t="e">
        <f>IF(AND('Mapa final'!#REF!="Muy Alta",'Mapa final'!#REF!="Menor"),CONCATENATE("R2C",'Mapa final'!#REF!),"")</f>
        <v>#REF!</v>
      </c>
      <c r="V7" s="52" t="str">
        <f>IF(AND('Mapa final'!$Y$26="Muy Alta",'Mapa final'!$AA$26="Moderado"),CONCATENATE("R2C",'Mapa final'!$O$26),"")</f>
        <v/>
      </c>
      <c r="W7" s="53" t="e">
        <f>IF(AND('Mapa final'!#REF!="Muy Alta",'Mapa final'!#REF!="Moderado"),CONCATENATE("R2C",'Mapa final'!#REF!),"")</f>
        <v>#REF!</v>
      </c>
      <c r="X7" s="53" t="e">
        <f>IF(AND('Mapa final'!#REF!="Muy Alta",'Mapa final'!#REF!="Moderado"),CONCATENATE("R2C",'Mapa final'!#REF!),"")</f>
        <v>#REF!</v>
      </c>
      <c r="Y7" s="53" t="e">
        <f>IF(AND('Mapa final'!#REF!="Muy Alta",'Mapa final'!#REF!="Moderado"),CONCATENATE("R2C",'Mapa final'!#REF!),"")</f>
        <v>#REF!</v>
      </c>
      <c r="Z7" s="53" t="e">
        <f>IF(AND('Mapa final'!#REF!="Muy Alta",'Mapa final'!#REF!="Moderado"),CONCATENATE("R2C",'Mapa final'!#REF!),"")</f>
        <v>#REF!</v>
      </c>
      <c r="AA7" s="54" t="e">
        <f>IF(AND('Mapa final'!#REF!="Muy Alta",'Mapa final'!#REF!="Moderado"),CONCATENATE("R2C",'Mapa final'!#REF!),"")</f>
        <v>#REF!</v>
      </c>
      <c r="AB7" s="52" t="str">
        <f>IF(AND('Mapa final'!$Y$26="Muy Alta",'Mapa final'!$AA$26="Mayor"),CONCATENATE("R2C",'Mapa final'!$O$26),"")</f>
        <v/>
      </c>
      <c r="AC7" s="53" t="e">
        <f>IF(AND('Mapa final'!#REF!="Muy Alta",'Mapa final'!#REF!="Mayor"),CONCATENATE("R2C",'Mapa final'!#REF!),"")</f>
        <v>#REF!</v>
      </c>
      <c r="AD7" s="53" t="e">
        <f>IF(AND('Mapa final'!#REF!="Muy Alta",'Mapa final'!#REF!="Mayor"),CONCATENATE("R2C",'Mapa final'!#REF!),"")</f>
        <v>#REF!</v>
      </c>
      <c r="AE7" s="53" t="e">
        <f>IF(AND('Mapa final'!#REF!="Muy Alta",'Mapa final'!#REF!="Mayor"),CONCATENATE("R2C",'Mapa final'!#REF!),"")</f>
        <v>#REF!</v>
      </c>
      <c r="AF7" s="53" t="e">
        <f>IF(AND('Mapa final'!#REF!="Muy Alta",'Mapa final'!#REF!="Mayor"),CONCATENATE("R2C",'Mapa final'!#REF!),"")</f>
        <v>#REF!</v>
      </c>
      <c r="AG7" s="54" t="e">
        <f>IF(AND('Mapa final'!#REF!="Muy Alta",'Mapa final'!#REF!="Mayor"),CONCATENATE("R2C",'Mapa final'!#REF!),"")</f>
        <v>#REF!</v>
      </c>
      <c r="AH7" s="55" t="str">
        <f>IF(AND('Mapa final'!$Y$26="Muy Alta",'Mapa final'!$AA$26="Catastrófico"),CONCATENATE("R2C",'Mapa final'!$O$26),"")</f>
        <v/>
      </c>
      <c r="AI7" s="56" t="e">
        <f>IF(AND('Mapa final'!#REF!="Muy Alta",'Mapa final'!#REF!="Catastrófico"),CONCATENATE("R2C",'Mapa final'!#REF!),"")</f>
        <v>#REF!</v>
      </c>
      <c r="AJ7" s="56" t="e">
        <f>IF(AND('Mapa final'!#REF!="Muy Alta",'Mapa final'!#REF!="Catastrófico"),CONCATENATE("R2C",'Mapa final'!#REF!),"")</f>
        <v>#REF!</v>
      </c>
      <c r="AK7" s="56" t="e">
        <f>IF(AND('Mapa final'!#REF!="Muy Alta",'Mapa final'!#REF!="Catastrófico"),CONCATENATE("R2C",'Mapa final'!#REF!),"")</f>
        <v>#REF!</v>
      </c>
      <c r="AL7" s="56" t="e">
        <f>IF(AND('Mapa final'!#REF!="Muy Alta",'Mapa final'!#REF!="Catastrófico"),CONCATENATE("R2C",'Mapa final'!#REF!),"")</f>
        <v>#REF!</v>
      </c>
      <c r="AM7" s="57" t="e">
        <f>IF(AND('Mapa final'!#REF!="Muy Alta",'Mapa final'!#REF!="Catastrófico"),CONCATENATE("R2C",'Mapa final'!#REF!),"")</f>
        <v>#REF!</v>
      </c>
      <c r="AN7" s="83"/>
      <c r="AO7" s="468"/>
      <c r="AP7" s="469"/>
      <c r="AQ7" s="469"/>
      <c r="AR7" s="469"/>
      <c r="AS7" s="469"/>
      <c r="AT7" s="470"/>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407"/>
      <c r="C8" s="407"/>
      <c r="D8" s="408"/>
      <c r="E8" s="448"/>
      <c r="F8" s="449"/>
      <c r="G8" s="449"/>
      <c r="H8" s="449"/>
      <c r="I8" s="450"/>
      <c r="J8" s="52" t="str">
        <f>IF(AND('Mapa final'!$Y$27="Muy Alta",'Mapa final'!$AA$27="Leve"),CONCATENATE("R3C",'Mapa final'!$O$27),"")</f>
        <v/>
      </c>
      <c r="K8" s="53" t="str">
        <f>IF(AND('Mapa final'!$Y$28="Muy Alta",'Mapa final'!$AA$28="Leve"),CONCATENATE("R3C",'Mapa final'!$O$28),"")</f>
        <v/>
      </c>
      <c r="L8" s="53" t="e">
        <f>IF(AND('Mapa final'!#REF!="Muy Alta",'Mapa final'!#REF!="Leve"),CONCATENATE("R3C",'Mapa final'!#REF!),"")</f>
        <v>#REF!</v>
      </c>
      <c r="M8" s="53" t="e">
        <f>IF(AND('Mapa final'!#REF!="Muy Alta",'Mapa final'!#REF!="Leve"),CONCATENATE("R3C",'Mapa final'!#REF!),"")</f>
        <v>#REF!</v>
      </c>
      <c r="N8" s="53" t="e">
        <f>IF(AND('Mapa final'!#REF!="Muy Alta",'Mapa final'!#REF!="Leve"),CONCATENATE("R3C",'Mapa final'!#REF!),"")</f>
        <v>#REF!</v>
      </c>
      <c r="O8" s="54" t="e">
        <f>IF(AND('Mapa final'!#REF!="Muy Alta",'Mapa final'!#REF!="Leve"),CONCATENATE("R3C",'Mapa final'!#REF!),"")</f>
        <v>#REF!</v>
      </c>
      <c r="P8" s="52" t="str">
        <f>IF(AND('Mapa final'!$Y$27="Muy Alta",'Mapa final'!$AA$27="Menor"),CONCATENATE("R3C",'Mapa final'!$O$27),"")</f>
        <v/>
      </c>
      <c r="Q8" s="53" t="str">
        <f>IF(AND('Mapa final'!$Y$28="Muy Alta",'Mapa final'!$AA$28="Menor"),CONCATENATE("R3C",'Mapa final'!$O$28),"")</f>
        <v/>
      </c>
      <c r="R8" s="53" t="e">
        <f>IF(AND('Mapa final'!#REF!="Muy Alta",'Mapa final'!#REF!="Menor"),CONCATENATE("R3C",'Mapa final'!#REF!),"")</f>
        <v>#REF!</v>
      </c>
      <c r="S8" s="53" t="e">
        <f>IF(AND('Mapa final'!#REF!="Muy Alta",'Mapa final'!#REF!="Menor"),CONCATENATE("R3C",'Mapa final'!#REF!),"")</f>
        <v>#REF!</v>
      </c>
      <c r="T8" s="53" t="e">
        <f>IF(AND('Mapa final'!#REF!="Muy Alta",'Mapa final'!#REF!="Menor"),CONCATENATE("R3C",'Mapa final'!#REF!),"")</f>
        <v>#REF!</v>
      </c>
      <c r="U8" s="54" t="e">
        <f>IF(AND('Mapa final'!#REF!="Muy Alta",'Mapa final'!#REF!="Menor"),CONCATENATE("R3C",'Mapa final'!#REF!),"")</f>
        <v>#REF!</v>
      </c>
      <c r="V8" s="52" t="str">
        <f>IF(AND('Mapa final'!$Y$27="Muy Alta",'Mapa final'!$AA$27="Moderado"),CONCATENATE("R3C",'Mapa final'!$O$27),"")</f>
        <v/>
      </c>
      <c r="W8" s="53" t="str">
        <f>IF(AND('Mapa final'!$Y$28="Muy Alta",'Mapa final'!$AA$28="Moderado"),CONCATENATE("R3C",'Mapa final'!$O$28),"")</f>
        <v/>
      </c>
      <c r="X8" s="53" t="e">
        <f>IF(AND('Mapa final'!#REF!="Muy Alta",'Mapa final'!#REF!="Moderado"),CONCATENATE("R3C",'Mapa final'!#REF!),"")</f>
        <v>#REF!</v>
      </c>
      <c r="Y8" s="53" t="e">
        <f>IF(AND('Mapa final'!#REF!="Muy Alta",'Mapa final'!#REF!="Moderado"),CONCATENATE("R3C",'Mapa final'!#REF!),"")</f>
        <v>#REF!</v>
      </c>
      <c r="Z8" s="53" t="e">
        <f>IF(AND('Mapa final'!#REF!="Muy Alta",'Mapa final'!#REF!="Moderado"),CONCATENATE("R3C",'Mapa final'!#REF!),"")</f>
        <v>#REF!</v>
      </c>
      <c r="AA8" s="54" t="e">
        <f>IF(AND('Mapa final'!#REF!="Muy Alta",'Mapa final'!#REF!="Moderado"),CONCATENATE("R3C",'Mapa final'!#REF!),"")</f>
        <v>#REF!</v>
      </c>
      <c r="AB8" s="52" t="str">
        <f>IF(AND('Mapa final'!$Y$27="Muy Alta",'Mapa final'!$AA$27="Mayor"),CONCATENATE("R3C",'Mapa final'!$O$27),"")</f>
        <v/>
      </c>
      <c r="AC8" s="53" t="str">
        <f>IF(AND('Mapa final'!$Y$28="Muy Alta",'Mapa final'!$AA$28="Mayor"),CONCATENATE("R3C",'Mapa final'!$O$28),"")</f>
        <v/>
      </c>
      <c r="AD8" s="53" t="e">
        <f>IF(AND('Mapa final'!#REF!="Muy Alta",'Mapa final'!#REF!="Mayor"),CONCATENATE("R3C",'Mapa final'!#REF!),"")</f>
        <v>#REF!</v>
      </c>
      <c r="AE8" s="53" t="e">
        <f>IF(AND('Mapa final'!#REF!="Muy Alta",'Mapa final'!#REF!="Mayor"),CONCATENATE("R3C",'Mapa final'!#REF!),"")</f>
        <v>#REF!</v>
      </c>
      <c r="AF8" s="53" t="e">
        <f>IF(AND('Mapa final'!#REF!="Muy Alta",'Mapa final'!#REF!="Mayor"),CONCATENATE("R3C",'Mapa final'!#REF!),"")</f>
        <v>#REF!</v>
      </c>
      <c r="AG8" s="54" t="e">
        <f>IF(AND('Mapa final'!#REF!="Muy Alta",'Mapa final'!#REF!="Mayor"),CONCATENATE("R3C",'Mapa final'!#REF!),"")</f>
        <v>#REF!</v>
      </c>
      <c r="AH8" s="55" t="str">
        <f>IF(AND('Mapa final'!$Y$27="Muy Alta",'Mapa final'!$AA$27="Catastrófico"),CONCATENATE("R3C",'Mapa final'!$O$27),"")</f>
        <v/>
      </c>
      <c r="AI8" s="56" t="str">
        <f>IF(AND('Mapa final'!$Y$28="Muy Alta",'Mapa final'!$AA$28="Catastrófico"),CONCATENATE("R3C",'Mapa final'!$O$28),"")</f>
        <v/>
      </c>
      <c r="AJ8" s="56" t="e">
        <f>IF(AND('Mapa final'!#REF!="Muy Alta",'Mapa final'!#REF!="Catastrófico"),CONCATENATE("R3C",'Mapa final'!#REF!),"")</f>
        <v>#REF!</v>
      </c>
      <c r="AK8" s="56" t="e">
        <f>IF(AND('Mapa final'!#REF!="Muy Alta",'Mapa final'!#REF!="Catastrófico"),CONCATENATE("R3C",'Mapa final'!#REF!),"")</f>
        <v>#REF!</v>
      </c>
      <c r="AL8" s="56" t="e">
        <f>IF(AND('Mapa final'!#REF!="Muy Alta",'Mapa final'!#REF!="Catastrófico"),CONCATENATE("R3C",'Mapa final'!#REF!),"")</f>
        <v>#REF!</v>
      </c>
      <c r="AM8" s="57" t="e">
        <f>IF(AND('Mapa final'!#REF!="Muy Alta",'Mapa final'!#REF!="Catastrófico"),CONCATENATE("R3C",'Mapa final'!#REF!),"")</f>
        <v>#REF!</v>
      </c>
      <c r="AN8" s="83"/>
      <c r="AO8" s="468"/>
      <c r="AP8" s="469"/>
      <c r="AQ8" s="469"/>
      <c r="AR8" s="469"/>
      <c r="AS8" s="469"/>
      <c r="AT8" s="470"/>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407"/>
      <c r="C9" s="407"/>
      <c r="D9" s="408"/>
      <c r="E9" s="448"/>
      <c r="F9" s="449"/>
      <c r="G9" s="449"/>
      <c r="H9" s="449"/>
      <c r="I9" s="450"/>
      <c r="J9" s="52" t="str">
        <f>IF(AND('Mapa final'!$Y$29="Muy Alta",'Mapa final'!$AA$29="Leve"),CONCATENATE("R4C",'Mapa final'!$O$29),"")</f>
        <v/>
      </c>
      <c r="K9" s="53" t="str">
        <f>IF(AND('Mapa final'!$Y$30="Muy Alta",'Mapa final'!$AA$30="Leve"),CONCATENATE("R4C",'Mapa final'!$O$30),"")</f>
        <v/>
      </c>
      <c r="L9" s="53" t="e">
        <f>IF(AND('Mapa final'!#REF!="Muy Alta",'Mapa final'!#REF!="Leve"),CONCATENATE("R4C",'Mapa final'!#REF!),"")</f>
        <v>#REF!</v>
      </c>
      <c r="M9" s="53" t="e">
        <f>IF(AND('Mapa final'!#REF!="Muy Alta",'Mapa final'!#REF!="Leve"),CONCATENATE("R4C",'Mapa final'!#REF!),"")</f>
        <v>#REF!</v>
      </c>
      <c r="N9" s="53" t="e">
        <f>IF(AND('Mapa final'!#REF!="Muy Alta",'Mapa final'!#REF!="Leve"),CONCATENATE("R4C",'Mapa final'!#REF!),"")</f>
        <v>#REF!</v>
      </c>
      <c r="O9" s="54" t="e">
        <f>IF(AND('Mapa final'!#REF!="Muy Alta",'Mapa final'!#REF!="Leve"),CONCATENATE("R4C",'Mapa final'!#REF!),"")</f>
        <v>#REF!</v>
      </c>
      <c r="P9" s="52" t="str">
        <f>IF(AND('Mapa final'!$Y$29="Muy Alta",'Mapa final'!$AA$29="Menor"),CONCATENATE("R4C",'Mapa final'!$O$29),"")</f>
        <v/>
      </c>
      <c r="Q9" s="53" t="str">
        <f>IF(AND('Mapa final'!$Y$30="Muy Alta",'Mapa final'!$AA$30="Menor"),CONCATENATE("R4C",'Mapa final'!$O$30),"")</f>
        <v/>
      </c>
      <c r="R9" s="53" t="e">
        <f>IF(AND('Mapa final'!#REF!="Muy Alta",'Mapa final'!#REF!="Menor"),CONCATENATE("R4C",'Mapa final'!#REF!),"")</f>
        <v>#REF!</v>
      </c>
      <c r="S9" s="53" t="e">
        <f>IF(AND('Mapa final'!#REF!="Muy Alta",'Mapa final'!#REF!="Menor"),CONCATENATE("R4C",'Mapa final'!#REF!),"")</f>
        <v>#REF!</v>
      </c>
      <c r="T9" s="53" t="e">
        <f>IF(AND('Mapa final'!#REF!="Muy Alta",'Mapa final'!#REF!="Menor"),CONCATENATE("R4C",'Mapa final'!#REF!),"")</f>
        <v>#REF!</v>
      </c>
      <c r="U9" s="54" t="e">
        <f>IF(AND('Mapa final'!#REF!="Muy Alta",'Mapa final'!#REF!="Menor"),CONCATENATE("R4C",'Mapa final'!#REF!),"")</f>
        <v>#REF!</v>
      </c>
      <c r="V9" s="52" t="str">
        <f>IF(AND('Mapa final'!$Y$29="Muy Alta",'Mapa final'!$AA$29="Moderado"),CONCATENATE("R4C",'Mapa final'!$O$29),"")</f>
        <v/>
      </c>
      <c r="W9" s="53" t="str">
        <f>IF(AND('Mapa final'!$Y$30="Muy Alta",'Mapa final'!$AA$30="Moderado"),CONCATENATE("R4C",'Mapa final'!$O$30),"")</f>
        <v/>
      </c>
      <c r="X9" s="53" t="e">
        <f>IF(AND('Mapa final'!#REF!="Muy Alta",'Mapa final'!#REF!="Moderado"),CONCATENATE("R4C",'Mapa final'!#REF!),"")</f>
        <v>#REF!</v>
      </c>
      <c r="Y9" s="53" t="e">
        <f>IF(AND('Mapa final'!#REF!="Muy Alta",'Mapa final'!#REF!="Moderado"),CONCATENATE("R4C",'Mapa final'!#REF!),"")</f>
        <v>#REF!</v>
      </c>
      <c r="Z9" s="53" t="e">
        <f>IF(AND('Mapa final'!#REF!="Muy Alta",'Mapa final'!#REF!="Moderado"),CONCATENATE("R4C",'Mapa final'!#REF!),"")</f>
        <v>#REF!</v>
      </c>
      <c r="AA9" s="54" t="e">
        <f>IF(AND('Mapa final'!#REF!="Muy Alta",'Mapa final'!#REF!="Moderado"),CONCATENATE("R4C",'Mapa final'!#REF!),"")</f>
        <v>#REF!</v>
      </c>
      <c r="AB9" s="52" t="str">
        <f>IF(AND('Mapa final'!$Y$29="Muy Alta",'Mapa final'!$AA$29="Mayor"),CONCATENATE("R4C",'Mapa final'!$O$29),"")</f>
        <v/>
      </c>
      <c r="AC9" s="53" t="str">
        <f>IF(AND('Mapa final'!$Y$30="Muy Alta",'Mapa final'!$AA$30="Mayor"),CONCATENATE("R4C",'Mapa final'!$O$30),"")</f>
        <v/>
      </c>
      <c r="AD9" s="53" t="e">
        <f>IF(AND('Mapa final'!#REF!="Muy Alta",'Mapa final'!#REF!="Mayor"),CONCATENATE("R4C",'Mapa final'!#REF!),"")</f>
        <v>#REF!</v>
      </c>
      <c r="AE9" s="53" t="e">
        <f>IF(AND('Mapa final'!#REF!="Muy Alta",'Mapa final'!#REF!="Mayor"),CONCATENATE("R4C",'Mapa final'!#REF!),"")</f>
        <v>#REF!</v>
      </c>
      <c r="AF9" s="53" t="e">
        <f>IF(AND('Mapa final'!#REF!="Muy Alta",'Mapa final'!#REF!="Mayor"),CONCATENATE("R4C",'Mapa final'!#REF!),"")</f>
        <v>#REF!</v>
      </c>
      <c r="AG9" s="54" t="e">
        <f>IF(AND('Mapa final'!#REF!="Muy Alta",'Mapa final'!#REF!="Mayor"),CONCATENATE("R4C",'Mapa final'!#REF!),"")</f>
        <v>#REF!</v>
      </c>
      <c r="AH9" s="55" t="str">
        <f>IF(AND('Mapa final'!$Y$29="Muy Alta",'Mapa final'!$AA$29="Catastrófico"),CONCATENATE("R4C",'Mapa final'!$O$29),"")</f>
        <v/>
      </c>
      <c r="AI9" s="56" t="str">
        <f>IF(AND('Mapa final'!$Y$30="Muy Alta",'Mapa final'!$AA$30="Catastrófico"),CONCATENATE("R4C",'Mapa final'!$O$30),"")</f>
        <v/>
      </c>
      <c r="AJ9" s="56" t="e">
        <f>IF(AND('Mapa final'!#REF!="Muy Alta",'Mapa final'!#REF!="Catastrófico"),CONCATENATE("R4C",'Mapa final'!#REF!),"")</f>
        <v>#REF!</v>
      </c>
      <c r="AK9" s="56" t="e">
        <f>IF(AND('Mapa final'!#REF!="Muy Alta",'Mapa final'!#REF!="Catastrófico"),CONCATENATE("R4C",'Mapa final'!#REF!),"")</f>
        <v>#REF!</v>
      </c>
      <c r="AL9" s="56" t="e">
        <f>IF(AND('Mapa final'!#REF!="Muy Alta",'Mapa final'!#REF!="Catastrófico"),CONCATENATE("R4C",'Mapa final'!#REF!),"")</f>
        <v>#REF!</v>
      </c>
      <c r="AM9" s="57" t="e">
        <f>IF(AND('Mapa final'!#REF!="Muy Alta",'Mapa final'!#REF!="Catastrófico"),CONCATENATE("R4C",'Mapa final'!#REF!),"")</f>
        <v>#REF!</v>
      </c>
      <c r="AN9" s="83"/>
      <c r="AO9" s="468"/>
      <c r="AP9" s="469"/>
      <c r="AQ9" s="469"/>
      <c r="AR9" s="469"/>
      <c r="AS9" s="469"/>
      <c r="AT9" s="470"/>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407"/>
      <c r="C10" s="407"/>
      <c r="D10" s="408"/>
      <c r="E10" s="448"/>
      <c r="F10" s="449"/>
      <c r="G10" s="449"/>
      <c r="H10" s="449"/>
      <c r="I10" s="450"/>
      <c r="J10" s="52" t="str">
        <f>IF(AND('Mapa final'!$Y$31="Muy Alta",'Mapa final'!$AA$31="Leve"),CONCATENATE("R5C",'Mapa final'!$O$31),"")</f>
        <v/>
      </c>
      <c r="K10" s="53" t="str">
        <f>IF(AND('Mapa final'!$Y$32="Muy Alta",'Mapa final'!$AA$32="Leve"),CONCATENATE("R5C",'Mapa final'!$O$32),"")</f>
        <v/>
      </c>
      <c r="L10" s="53" t="e">
        <f>IF(AND('Mapa final'!#REF!="Muy Alta",'Mapa final'!#REF!="Leve"),CONCATENATE("R5C",'Mapa final'!#REF!),"")</f>
        <v>#REF!</v>
      </c>
      <c r="M10" s="53" t="e">
        <f>IF(AND('Mapa final'!#REF!="Muy Alta",'Mapa final'!#REF!="Leve"),CONCATENATE("R5C",'Mapa final'!#REF!),"")</f>
        <v>#REF!</v>
      </c>
      <c r="N10" s="53" t="e">
        <f>IF(AND('Mapa final'!#REF!="Muy Alta",'Mapa final'!#REF!="Leve"),CONCATENATE("R5C",'Mapa final'!#REF!),"")</f>
        <v>#REF!</v>
      </c>
      <c r="O10" s="54" t="e">
        <f>IF(AND('Mapa final'!#REF!="Muy Alta",'Mapa final'!#REF!="Leve"),CONCATENATE("R5C",'Mapa final'!#REF!),"")</f>
        <v>#REF!</v>
      </c>
      <c r="P10" s="52" t="str">
        <f>IF(AND('Mapa final'!$Y$31="Muy Alta",'Mapa final'!$AA$31="Menor"),CONCATENATE("R5C",'Mapa final'!$O$31),"")</f>
        <v/>
      </c>
      <c r="Q10" s="53" t="str">
        <f>IF(AND('Mapa final'!$Y$32="Muy Alta",'Mapa final'!$AA$32="Menor"),CONCATENATE("R5C",'Mapa final'!$O$32),"")</f>
        <v/>
      </c>
      <c r="R10" s="53" t="e">
        <f>IF(AND('Mapa final'!#REF!="Muy Alta",'Mapa final'!#REF!="Menor"),CONCATENATE("R5C",'Mapa final'!#REF!),"")</f>
        <v>#REF!</v>
      </c>
      <c r="S10" s="53" t="e">
        <f>IF(AND('Mapa final'!#REF!="Muy Alta",'Mapa final'!#REF!="Menor"),CONCATENATE("R5C",'Mapa final'!#REF!),"")</f>
        <v>#REF!</v>
      </c>
      <c r="T10" s="53" t="e">
        <f>IF(AND('Mapa final'!#REF!="Muy Alta",'Mapa final'!#REF!="Menor"),CONCATENATE("R5C",'Mapa final'!#REF!),"")</f>
        <v>#REF!</v>
      </c>
      <c r="U10" s="54" t="e">
        <f>IF(AND('Mapa final'!#REF!="Muy Alta",'Mapa final'!#REF!="Menor"),CONCATENATE("R5C",'Mapa final'!#REF!),"")</f>
        <v>#REF!</v>
      </c>
      <c r="V10" s="52" t="str">
        <f>IF(AND('Mapa final'!$Y$31="Muy Alta",'Mapa final'!$AA$31="Moderado"),CONCATENATE("R5C",'Mapa final'!$O$31),"")</f>
        <v/>
      </c>
      <c r="W10" s="53" t="str">
        <f>IF(AND('Mapa final'!$Y$32="Muy Alta",'Mapa final'!$AA$32="Moderado"),CONCATENATE("R5C",'Mapa final'!$O$32),"")</f>
        <v/>
      </c>
      <c r="X10" s="53" t="e">
        <f>IF(AND('Mapa final'!#REF!="Muy Alta",'Mapa final'!#REF!="Moderado"),CONCATENATE("R5C",'Mapa final'!#REF!),"")</f>
        <v>#REF!</v>
      </c>
      <c r="Y10" s="53" t="e">
        <f>IF(AND('Mapa final'!#REF!="Muy Alta",'Mapa final'!#REF!="Moderado"),CONCATENATE("R5C",'Mapa final'!#REF!),"")</f>
        <v>#REF!</v>
      </c>
      <c r="Z10" s="53" t="e">
        <f>IF(AND('Mapa final'!#REF!="Muy Alta",'Mapa final'!#REF!="Moderado"),CONCATENATE("R5C",'Mapa final'!#REF!),"")</f>
        <v>#REF!</v>
      </c>
      <c r="AA10" s="54" t="e">
        <f>IF(AND('Mapa final'!#REF!="Muy Alta",'Mapa final'!#REF!="Moderado"),CONCATENATE("R5C",'Mapa final'!#REF!),"")</f>
        <v>#REF!</v>
      </c>
      <c r="AB10" s="52" t="str">
        <f>IF(AND('Mapa final'!$Y$31="Muy Alta",'Mapa final'!$AA$31="Mayor"),CONCATENATE("R5C",'Mapa final'!$O$31),"")</f>
        <v/>
      </c>
      <c r="AC10" s="53" t="str">
        <f>IF(AND('Mapa final'!$Y$32="Muy Alta",'Mapa final'!$AA$32="Mayor"),CONCATENATE("R5C",'Mapa final'!$O$32),"")</f>
        <v/>
      </c>
      <c r="AD10" s="53" t="e">
        <f>IF(AND('Mapa final'!#REF!="Muy Alta",'Mapa final'!#REF!="Mayor"),CONCATENATE("R5C",'Mapa final'!#REF!),"")</f>
        <v>#REF!</v>
      </c>
      <c r="AE10" s="53" t="e">
        <f>IF(AND('Mapa final'!#REF!="Muy Alta",'Mapa final'!#REF!="Mayor"),CONCATENATE("R5C",'Mapa final'!#REF!),"")</f>
        <v>#REF!</v>
      </c>
      <c r="AF10" s="53" t="e">
        <f>IF(AND('Mapa final'!#REF!="Muy Alta",'Mapa final'!#REF!="Mayor"),CONCATENATE("R5C",'Mapa final'!#REF!),"")</f>
        <v>#REF!</v>
      </c>
      <c r="AG10" s="54" t="e">
        <f>IF(AND('Mapa final'!#REF!="Muy Alta",'Mapa final'!#REF!="Mayor"),CONCATENATE("R5C",'Mapa final'!#REF!),"")</f>
        <v>#REF!</v>
      </c>
      <c r="AH10" s="55" t="str">
        <f>IF(AND('Mapa final'!$Y$31="Muy Alta",'Mapa final'!$AA$31="Catastrófico"),CONCATENATE("R5C",'Mapa final'!$O$31),"")</f>
        <v/>
      </c>
      <c r="AI10" s="56" t="str">
        <f>IF(AND('Mapa final'!$Y$32="Muy Alta",'Mapa final'!$AA$32="Catastrófico"),CONCATENATE("R5C",'Mapa final'!$O$32),"")</f>
        <v/>
      </c>
      <c r="AJ10" s="56" t="e">
        <f>IF(AND('Mapa final'!#REF!="Muy Alta",'Mapa final'!#REF!="Catastrófico"),CONCATENATE("R5C",'Mapa final'!#REF!),"")</f>
        <v>#REF!</v>
      </c>
      <c r="AK10" s="56" t="e">
        <f>IF(AND('Mapa final'!#REF!="Muy Alta",'Mapa final'!#REF!="Catastrófico"),CONCATENATE("R5C",'Mapa final'!#REF!),"")</f>
        <v>#REF!</v>
      </c>
      <c r="AL10" s="56" t="e">
        <f>IF(AND('Mapa final'!#REF!="Muy Alta",'Mapa final'!#REF!="Catastrófico"),CONCATENATE("R5C",'Mapa final'!#REF!),"")</f>
        <v>#REF!</v>
      </c>
      <c r="AM10" s="57" t="e">
        <f>IF(AND('Mapa final'!#REF!="Muy Alta",'Mapa final'!#REF!="Catastrófico"),CONCATENATE("R5C",'Mapa final'!#REF!),"")</f>
        <v>#REF!</v>
      </c>
      <c r="AN10" s="83"/>
      <c r="AO10" s="468"/>
      <c r="AP10" s="469"/>
      <c r="AQ10" s="469"/>
      <c r="AR10" s="469"/>
      <c r="AS10" s="469"/>
      <c r="AT10" s="470"/>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407"/>
      <c r="C11" s="407"/>
      <c r="D11" s="408"/>
      <c r="E11" s="448"/>
      <c r="F11" s="449"/>
      <c r="G11" s="449"/>
      <c r="H11" s="449"/>
      <c r="I11" s="450"/>
      <c r="J11" s="52" t="e">
        <f>IF(AND('Mapa final'!#REF!="Muy Alta",'Mapa final'!#REF!="Leve"),CONCATENATE("R6C",'Mapa final'!#REF!),"")</f>
        <v>#REF!</v>
      </c>
      <c r="K11" s="53" t="e">
        <f>IF(AND('Mapa final'!#REF!="Muy Alta",'Mapa final'!#REF!="Leve"),CONCATENATE("R6C",'Mapa final'!#REF!),"")</f>
        <v>#REF!</v>
      </c>
      <c r="L11" s="53" t="e">
        <f>IF(AND('Mapa final'!#REF!="Muy Alta",'Mapa final'!#REF!="Leve"),CONCATENATE("R6C",'Mapa final'!#REF!),"")</f>
        <v>#REF!</v>
      </c>
      <c r="M11" s="53" t="e">
        <f>IF(AND('Mapa final'!#REF!="Muy Alta",'Mapa final'!#REF!="Leve"),CONCATENATE("R6C",'Mapa final'!#REF!),"")</f>
        <v>#REF!</v>
      </c>
      <c r="N11" s="53" t="e">
        <f>IF(AND('Mapa final'!#REF!="Muy Alta",'Mapa final'!#REF!="Leve"),CONCATENATE("R6C",'Mapa final'!#REF!),"")</f>
        <v>#REF!</v>
      </c>
      <c r="O11" s="54" t="e">
        <f>IF(AND('Mapa final'!#REF!="Muy Alta",'Mapa final'!#REF!="Leve"),CONCATENATE("R6C",'Mapa final'!#REF!),"")</f>
        <v>#REF!</v>
      </c>
      <c r="P11" s="52" t="e">
        <f>IF(AND('Mapa final'!#REF!="Muy Alta",'Mapa final'!#REF!="Menor"),CONCATENATE("R6C",'Mapa final'!#REF!),"")</f>
        <v>#REF!</v>
      </c>
      <c r="Q11" s="53" t="e">
        <f>IF(AND('Mapa final'!#REF!="Muy Alta",'Mapa final'!#REF!="Menor"),CONCATENATE("R6C",'Mapa final'!#REF!),"")</f>
        <v>#REF!</v>
      </c>
      <c r="R11" s="53" t="e">
        <f>IF(AND('Mapa final'!#REF!="Muy Alta",'Mapa final'!#REF!="Menor"),CONCATENATE("R6C",'Mapa final'!#REF!),"")</f>
        <v>#REF!</v>
      </c>
      <c r="S11" s="53" t="e">
        <f>IF(AND('Mapa final'!#REF!="Muy Alta",'Mapa final'!#REF!="Menor"),CONCATENATE("R6C",'Mapa final'!#REF!),"")</f>
        <v>#REF!</v>
      </c>
      <c r="T11" s="53" t="e">
        <f>IF(AND('Mapa final'!#REF!="Muy Alta",'Mapa final'!#REF!="Menor"),CONCATENATE("R6C",'Mapa final'!#REF!),"")</f>
        <v>#REF!</v>
      </c>
      <c r="U11" s="54" t="e">
        <f>IF(AND('Mapa final'!#REF!="Muy Alta",'Mapa final'!#REF!="Menor"),CONCATENATE("R6C",'Mapa final'!#REF!),"")</f>
        <v>#REF!</v>
      </c>
      <c r="V11" s="52" t="e">
        <f>IF(AND('Mapa final'!#REF!="Muy Alta",'Mapa final'!#REF!="Moderado"),CONCATENATE("R6C",'Mapa final'!#REF!),"")</f>
        <v>#REF!</v>
      </c>
      <c r="W11" s="53" t="e">
        <f>IF(AND('Mapa final'!#REF!="Muy Alta",'Mapa final'!#REF!="Moderado"),CONCATENATE("R6C",'Mapa final'!#REF!),"")</f>
        <v>#REF!</v>
      </c>
      <c r="X11" s="53" t="e">
        <f>IF(AND('Mapa final'!#REF!="Muy Alta",'Mapa final'!#REF!="Moderado"),CONCATENATE("R6C",'Mapa final'!#REF!),"")</f>
        <v>#REF!</v>
      </c>
      <c r="Y11" s="53" t="e">
        <f>IF(AND('Mapa final'!#REF!="Muy Alta",'Mapa final'!#REF!="Moderado"),CONCATENATE("R6C",'Mapa final'!#REF!),"")</f>
        <v>#REF!</v>
      </c>
      <c r="Z11" s="53" t="e">
        <f>IF(AND('Mapa final'!#REF!="Muy Alta",'Mapa final'!#REF!="Moderado"),CONCATENATE("R6C",'Mapa final'!#REF!),"")</f>
        <v>#REF!</v>
      </c>
      <c r="AA11" s="54" t="e">
        <f>IF(AND('Mapa final'!#REF!="Muy Alta",'Mapa final'!#REF!="Moderado"),CONCATENATE("R6C",'Mapa final'!#REF!),"")</f>
        <v>#REF!</v>
      </c>
      <c r="AB11" s="52" t="e">
        <f>IF(AND('Mapa final'!#REF!="Muy Alta",'Mapa final'!#REF!="Mayor"),CONCATENATE("R6C",'Mapa final'!#REF!),"")</f>
        <v>#REF!</v>
      </c>
      <c r="AC11" s="53" t="e">
        <f>IF(AND('Mapa final'!#REF!="Muy Alta",'Mapa final'!#REF!="Mayor"),CONCATENATE("R6C",'Mapa final'!#REF!),"")</f>
        <v>#REF!</v>
      </c>
      <c r="AD11" s="53" t="e">
        <f>IF(AND('Mapa final'!#REF!="Muy Alta",'Mapa final'!#REF!="Mayor"),CONCATENATE("R6C",'Mapa final'!#REF!),"")</f>
        <v>#REF!</v>
      </c>
      <c r="AE11" s="53" t="e">
        <f>IF(AND('Mapa final'!#REF!="Muy Alta",'Mapa final'!#REF!="Mayor"),CONCATENATE("R6C",'Mapa final'!#REF!),"")</f>
        <v>#REF!</v>
      </c>
      <c r="AF11" s="53" t="e">
        <f>IF(AND('Mapa final'!#REF!="Muy Alta",'Mapa final'!#REF!="Mayor"),CONCATENATE("R6C",'Mapa final'!#REF!),"")</f>
        <v>#REF!</v>
      </c>
      <c r="AG11" s="54" t="e">
        <f>IF(AND('Mapa final'!#REF!="Muy Alta",'Mapa final'!#REF!="Mayor"),CONCATENATE("R6C",'Mapa final'!#REF!),"")</f>
        <v>#REF!</v>
      </c>
      <c r="AH11" s="55" t="e">
        <f>IF(AND('Mapa final'!#REF!="Muy Alta",'Mapa final'!#REF!="Catastrófico"),CONCATENATE("R6C",'Mapa final'!#REF!),"")</f>
        <v>#REF!</v>
      </c>
      <c r="AI11" s="56" t="e">
        <f>IF(AND('Mapa final'!#REF!="Muy Alta",'Mapa final'!#REF!="Catastrófico"),CONCATENATE("R6C",'Mapa final'!#REF!),"")</f>
        <v>#REF!</v>
      </c>
      <c r="AJ11" s="56" t="e">
        <f>IF(AND('Mapa final'!#REF!="Muy Alta",'Mapa final'!#REF!="Catastrófico"),CONCATENATE("R6C",'Mapa final'!#REF!),"")</f>
        <v>#REF!</v>
      </c>
      <c r="AK11" s="56" t="e">
        <f>IF(AND('Mapa final'!#REF!="Muy Alta",'Mapa final'!#REF!="Catastrófico"),CONCATENATE("R6C",'Mapa final'!#REF!),"")</f>
        <v>#REF!</v>
      </c>
      <c r="AL11" s="56" t="e">
        <f>IF(AND('Mapa final'!#REF!="Muy Alta",'Mapa final'!#REF!="Catastrófico"),CONCATENATE("R6C",'Mapa final'!#REF!),"")</f>
        <v>#REF!</v>
      </c>
      <c r="AM11" s="57" t="e">
        <f>IF(AND('Mapa final'!#REF!="Muy Alta",'Mapa final'!#REF!="Catastrófico"),CONCATENATE("R6C",'Mapa final'!#REF!),"")</f>
        <v>#REF!</v>
      </c>
      <c r="AN11" s="83"/>
      <c r="AO11" s="468"/>
      <c r="AP11" s="469"/>
      <c r="AQ11" s="469"/>
      <c r="AR11" s="469"/>
      <c r="AS11" s="469"/>
      <c r="AT11" s="470"/>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407"/>
      <c r="C12" s="407"/>
      <c r="D12" s="408"/>
      <c r="E12" s="448"/>
      <c r="F12" s="449"/>
      <c r="G12" s="449"/>
      <c r="H12" s="449"/>
      <c r="I12" s="450"/>
      <c r="J12" s="52" t="e">
        <f>IF(AND('Mapa final'!#REF!="Muy Alta",'Mapa final'!#REF!="Leve"),CONCATENATE("R7C",'Mapa final'!#REF!),"")</f>
        <v>#REF!</v>
      </c>
      <c r="K12" s="53" t="e">
        <f>IF(AND('Mapa final'!#REF!="Muy Alta",'Mapa final'!#REF!="Leve"),CONCATENATE("R7C",'Mapa final'!#REF!),"")</f>
        <v>#REF!</v>
      </c>
      <c r="L12" s="53" t="e">
        <f>IF(AND('Mapa final'!#REF!="Muy Alta",'Mapa final'!#REF!="Leve"),CONCATENATE("R7C",'Mapa final'!#REF!),"")</f>
        <v>#REF!</v>
      </c>
      <c r="M12" s="53" t="e">
        <f>IF(AND('Mapa final'!#REF!="Muy Alta",'Mapa final'!#REF!="Leve"),CONCATENATE("R7C",'Mapa final'!#REF!),"")</f>
        <v>#REF!</v>
      </c>
      <c r="N12" s="53" t="e">
        <f>IF(AND('Mapa final'!#REF!="Muy Alta",'Mapa final'!#REF!="Leve"),CONCATENATE("R7C",'Mapa final'!#REF!),"")</f>
        <v>#REF!</v>
      </c>
      <c r="O12" s="54" t="e">
        <f>IF(AND('Mapa final'!#REF!="Muy Alta",'Mapa final'!#REF!="Leve"),CONCATENATE("R7C",'Mapa final'!#REF!),"")</f>
        <v>#REF!</v>
      </c>
      <c r="P12" s="52" t="e">
        <f>IF(AND('Mapa final'!#REF!="Muy Alta",'Mapa final'!#REF!="Menor"),CONCATENATE("R7C",'Mapa final'!#REF!),"")</f>
        <v>#REF!</v>
      </c>
      <c r="Q12" s="53" t="e">
        <f>IF(AND('Mapa final'!#REF!="Muy Alta",'Mapa final'!#REF!="Menor"),CONCATENATE("R7C",'Mapa final'!#REF!),"")</f>
        <v>#REF!</v>
      </c>
      <c r="R12" s="53" t="e">
        <f>IF(AND('Mapa final'!#REF!="Muy Alta",'Mapa final'!#REF!="Menor"),CONCATENATE("R7C",'Mapa final'!#REF!),"")</f>
        <v>#REF!</v>
      </c>
      <c r="S12" s="53" t="e">
        <f>IF(AND('Mapa final'!#REF!="Muy Alta",'Mapa final'!#REF!="Menor"),CONCATENATE("R7C",'Mapa final'!#REF!),"")</f>
        <v>#REF!</v>
      </c>
      <c r="T12" s="53" t="e">
        <f>IF(AND('Mapa final'!#REF!="Muy Alta",'Mapa final'!#REF!="Menor"),CONCATENATE("R7C",'Mapa final'!#REF!),"")</f>
        <v>#REF!</v>
      </c>
      <c r="U12" s="54" t="e">
        <f>IF(AND('Mapa final'!#REF!="Muy Alta",'Mapa final'!#REF!="Menor"),CONCATENATE("R7C",'Mapa final'!#REF!),"")</f>
        <v>#REF!</v>
      </c>
      <c r="V12" s="52" t="e">
        <f>IF(AND('Mapa final'!#REF!="Muy Alta",'Mapa final'!#REF!="Moderado"),CONCATENATE("R7C",'Mapa final'!#REF!),"")</f>
        <v>#REF!</v>
      </c>
      <c r="W12" s="53" t="e">
        <f>IF(AND('Mapa final'!#REF!="Muy Alta",'Mapa final'!#REF!="Moderado"),CONCATENATE("R7C",'Mapa final'!#REF!),"")</f>
        <v>#REF!</v>
      </c>
      <c r="X12" s="53" t="e">
        <f>IF(AND('Mapa final'!#REF!="Muy Alta",'Mapa final'!#REF!="Moderado"),CONCATENATE("R7C",'Mapa final'!#REF!),"")</f>
        <v>#REF!</v>
      </c>
      <c r="Y12" s="53" t="e">
        <f>IF(AND('Mapa final'!#REF!="Muy Alta",'Mapa final'!#REF!="Moderado"),CONCATENATE("R7C",'Mapa final'!#REF!),"")</f>
        <v>#REF!</v>
      </c>
      <c r="Z12" s="53" t="e">
        <f>IF(AND('Mapa final'!#REF!="Muy Alta",'Mapa final'!#REF!="Moderado"),CONCATENATE("R7C",'Mapa final'!#REF!),"")</f>
        <v>#REF!</v>
      </c>
      <c r="AA12" s="54" t="e">
        <f>IF(AND('Mapa final'!#REF!="Muy Alta",'Mapa final'!#REF!="Moderado"),CONCATENATE("R7C",'Mapa final'!#REF!),"")</f>
        <v>#REF!</v>
      </c>
      <c r="AB12" s="52" t="e">
        <f>IF(AND('Mapa final'!#REF!="Muy Alta",'Mapa final'!#REF!="Mayor"),CONCATENATE("R7C",'Mapa final'!#REF!),"")</f>
        <v>#REF!</v>
      </c>
      <c r="AC12" s="53" t="e">
        <f>IF(AND('Mapa final'!#REF!="Muy Alta",'Mapa final'!#REF!="Mayor"),CONCATENATE("R7C",'Mapa final'!#REF!),"")</f>
        <v>#REF!</v>
      </c>
      <c r="AD12" s="53" t="e">
        <f>IF(AND('Mapa final'!#REF!="Muy Alta",'Mapa final'!#REF!="Mayor"),CONCATENATE("R7C",'Mapa final'!#REF!),"")</f>
        <v>#REF!</v>
      </c>
      <c r="AE12" s="53" t="e">
        <f>IF(AND('Mapa final'!#REF!="Muy Alta",'Mapa final'!#REF!="Mayor"),CONCATENATE("R7C",'Mapa final'!#REF!),"")</f>
        <v>#REF!</v>
      </c>
      <c r="AF12" s="53" t="e">
        <f>IF(AND('Mapa final'!#REF!="Muy Alta",'Mapa final'!#REF!="Mayor"),CONCATENATE("R7C",'Mapa final'!#REF!),"")</f>
        <v>#REF!</v>
      </c>
      <c r="AG12" s="54" t="e">
        <f>IF(AND('Mapa final'!#REF!="Muy Alta",'Mapa final'!#REF!="Mayor"),CONCATENATE("R7C",'Mapa final'!#REF!),"")</f>
        <v>#REF!</v>
      </c>
      <c r="AH12" s="55" t="e">
        <f>IF(AND('Mapa final'!#REF!="Muy Alta",'Mapa final'!#REF!="Catastrófico"),CONCATENATE("R7C",'Mapa final'!#REF!),"")</f>
        <v>#REF!</v>
      </c>
      <c r="AI12" s="56" t="e">
        <f>IF(AND('Mapa final'!#REF!="Muy Alta",'Mapa final'!#REF!="Catastrófico"),CONCATENATE("R7C",'Mapa final'!#REF!),"")</f>
        <v>#REF!</v>
      </c>
      <c r="AJ12" s="56" t="e">
        <f>IF(AND('Mapa final'!#REF!="Muy Alta",'Mapa final'!#REF!="Catastrófico"),CONCATENATE("R7C",'Mapa final'!#REF!),"")</f>
        <v>#REF!</v>
      </c>
      <c r="AK12" s="56" t="e">
        <f>IF(AND('Mapa final'!#REF!="Muy Alta",'Mapa final'!#REF!="Catastrófico"),CONCATENATE("R7C",'Mapa final'!#REF!),"")</f>
        <v>#REF!</v>
      </c>
      <c r="AL12" s="56" t="e">
        <f>IF(AND('Mapa final'!#REF!="Muy Alta",'Mapa final'!#REF!="Catastrófico"),CONCATENATE("R7C",'Mapa final'!#REF!),"")</f>
        <v>#REF!</v>
      </c>
      <c r="AM12" s="57" t="e">
        <f>IF(AND('Mapa final'!#REF!="Muy Alta",'Mapa final'!#REF!="Catastrófico"),CONCATENATE("R7C",'Mapa final'!#REF!),"")</f>
        <v>#REF!</v>
      </c>
      <c r="AN12" s="83"/>
      <c r="AO12" s="468"/>
      <c r="AP12" s="469"/>
      <c r="AQ12" s="469"/>
      <c r="AR12" s="469"/>
      <c r="AS12" s="469"/>
      <c r="AT12" s="470"/>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407"/>
      <c r="C13" s="407"/>
      <c r="D13" s="408"/>
      <c r="E13" s="448"/>
      <c r="F13" s="449"/>
      <c r="G13" s="449"/>
      <c r="H13" s="449"/>
      <c r="I13" s="450"/>
      <c r="J13" s="52" t="str">
        <f>IF(AND('Mapa final'!$Y$33="Muy Alta",'Mapa final'!$AA$33="Leve"),CONCATENATE("R8C",'Mapa final'!$O$33),"")</f>
        <v/>
      </c>
      <c r="K13" s="53" t="str">
        <f>IF(AND('Mapa final'!$Y$34="Muy Alta",'Mapa final'!$AA$34="Leve"),CONCATENATE("R8C",'Mapa final'!$O$34),"")</f>
        <v/>
      </c>
      <c r="L13" s="53" t="str">
        <f>IF(AND('Mapa final'!$Y$35="Muy Alta",'Mapa final'!$AA$35="Leve"),CONCATENATE("R8C",'Mapa final'!$O$35),"")</f>
        <v/>
      </c>
      <c r="M13" s="53" t="str">
        <f>IF(AND('Mapa final'!$Y$36="Muy Alta",'Mapa final'!$AA$36="Leve"),CONCATENATE("R8C",'Mapa final'!$O$36),"")</f>
        <v/>
      </c>
      <c r="N13" s="53" t="str">
        <f>IF(AND('Mapa final'!$Y$37="Muy Alta",'Mapa final'!$AA$37="Leve"),CONCATENATE("R8C",'Mapa final'!$O$37),"")</f>
        <v/>
      </c>
      <c r="O13" s="54" t="str">
        <f>IF(AND('Mapa final'!$Y$38="Muy Alta",'Mapa final'!$AA$38="Leve"),CONCATENATE("R8C",'Mapa final'!$O$38),"")</f>
        <v/>
      </c>
      <c r="P13" s="52" t="str">
        <f>IF(AND('Mapa final'!$Y$33="Muy Alta",'Mapa final'!$AA$33="Menor"),CONCATENATE("R8C",'Mapa final'!$O$33),"")</f>
        <v/>
      </c>
      <c r="Q13" s="53" t="str">
        <f>IF(AND('Mapa final'!$Y$34="Muy Alta",'Mapa final'!$AA$34="Menor"),CONCATENATE("R8C",'Mapa final'!$O$34),"")</f>
        <v/>
      </c>
      <c r="R13" s="53" t="str">
        <f>IF(AND('Mapa final'!$Y$35="Muy Alta",'Mapa final'!$AA$35="Menor"),CONCATENATE("R8C",'Mapa final'!$O$35),"")</f>
        <v/>
      </c>
      <c r="S13" s="53" t="str">
        <f>IF(AND('Mapa final'!$Y$36="Muy Alta",'Mapa final'!$AA$36="Menor"),CONCATENATE("R8C",'Mapa final'!$O$36),"")</f>
        <v/>
      </c>
      <c r="T13" s="53" t="str">
        <f>IF(AND('Mapa final'!$Y$37="Muy Alta",'Mapa final'!$AA$37="Menor"),CONCATENATE("R8C",'Mapa final'!$O$37),"")</f>
        <v/>
      </c>
      <c r="U13" s="54" t="str">
        <f>IF(AND('Mapa final'!$Y$38="Muy Alta",'Mapa final'!$AA$38="Menor"),CONCATENATE("R8C",'Mapa final'!$O$38),"")</f>
        <v/>
      </c>
      <c r="V13" s="52" t="str">
        <f>IF(AND('Mapa final'!$Y$33="Muy Alta",'Mapa final'!$AA$33="Moderado"),CONCATENATE("R8C",'Mapa final'!$O$33),"")</f>
        <v/>
      </c>
      <c r="W13" s="53" t="str">
        <f>IF(AND('Mapa final'!$Y$34="Muy Alta",'Mapa final'!$AA$34="Moderado"),CONCATENATE("R8C",'Mapa final'!$O$34),"")</f>
        <v/>
      </c>
      <c r="X13" s="53" t="str">
        <f>IF(AND('Mapa final'!$Y$35="Muy Alta",'Mapa final'!$AA$35="Moderado"),CONCATENATE("R8C",'Mapa final'!$O$35),"")</f>
        <v/>
      </c>
      <c r="Y13" s="53" t="str">
        <f>IF(AND('Mapa final'!$Y$36="Muy Alta",'Mapa final'!$AA$36="Moderado"),CONCATENATE("R8C",'Mapa final'!$O$36),"")</f>
        <v/>
      </c>
      <c r="Z13" s="53" t="str">
        <f>IF(AND('Mapa final'!$Y$37="Muy Alta",'Mapa final'!$AA$37="Moderado"),CONCATENATE("R8C",'Mapa final'!$O$37),"")</f>
        <v/>
      </c>
      <c r="AA13" s="54" t="str">
        <f>IF(AND('Mapa final'!$Y$38="Muy Alta",'Mapa final'!$AA$38="Moderado"),CONCATENATE("R8C",'Mapa final'!$O$38),"")</f>
        <v/>
      </c>
      <c r="AB13" s="52" t="str">
        <f>IF(AND('Mapa final'!$Y$33="Muy Alta",'Mapa final'!$AA$33="Mayor"),CONCATENATE("R8C",'Mapa final'!$O$33),"")</f>
        <v/>
      </c>
      <c r="AC13" s="53" t="str">
        <f>IF(AND('Mapa final'!$Y$34="Muy Alta",'Mapa final'!$AA$34="Mayor"),CONCATENATE("R8C",'Mapa final'!$O$34),"")</f>
        <v/>
      </c>
      <c r="AD13" s="53" t="str">
        <f>IF(AND('Mapa final'!$Y$35="Muy Alta",'Mapa final'!$AA$35="Mayor"),CONCATENATE("R8C",'Mapa final'!$O$35),"")</f>
        <v/>
      </c>
      <c r="AE13" s="53" t="str">
        <f>IF(AND('Mapa final'!$Y$36="Muy Alta",'Mapa final'!$AA$36="Mayor"),CONCATENATE("R8C",'Mapa final'!$O$36),"")</f>
        <v/>
      </c>
      <c r="AF13" s="53" t="str">
        <f>IF(AND('Mapa final'!$Y$37="Muy Alta",'Mapa final'!$AA$37="Mayor"),CONCATENATE("R8C",'Mapa final'!$O$37),"")</f>
        <v/>
      </c>
      <c r="AG13" s="54" t="str">
        <f>IF(AND('Mapa final'!$Y$38="Muy Alta",'Mapa final'!$AA$38="Mayor"),CONCATENATE("R8C",'Mapa final'!$O$38),"")</f>
        <v/>
      </c>
      <c r="AH13" s="55" t="str">
        <f>IF(AND('Mapa final'!$Y$33="Muy Alta",'Mapa final'!$AA$33="Catastrófico"),CONCATENATE("R8C",'Mapa final'!$O$33),"")</f>
        <v/>
      </c>
      <c r="AI13" s="56" t="str">
        <f>IF(AND('Mapa final'!$Y$34="Muy Alta",'Mapa final'!$AA$34="Catastrófico"),CONCATENATE("R8C",'Mapa final'!$O$34),"")</f>
        <v/>
      </c>
      <c r="AJ13" s="56" t="str">
        <f>IF(AND('Mapa final'!$Y$35="Muy Alta",'Mapa final'!$AA$35="Catastrófico"),CONCATENATE("R8C",'Mapa final'!$O$35),"")</f>
        <v/>
      </c>
      <c r="AK13" s="56" t="str">
        <f>IF(AND('Mapa final'!$Y$36="Muy Alta",'Mapa final'!$AA$36="Catastrófico"),CONCATENATE("R8C",'Mapa final'!$O$36),"")</f>
        <v/>
      </c>
      <c r="AL13" s="56" t="str">
        <f>IF(AND('Mapa final'!$Y$37="Muy Alta",'Mapa final'!$AA$37="Catastrófico"),CONCATENATE("R8C",'Mapa final'!$O$37),"")</f>
        <v/>
      </c>
      <c r="AM13" s="57" t="str">
        <f>IF(AND('Mapa final'!$Y$38="Muy Alta",'Mapa final'!$AA$38="Catastrófico"),CONCATENATE("R8C",'Mapa final'!$O$38),"")</f>
        <v/>
      </c>
      <c r="AN13" s="83"/>
      <c r="AO13" s="468"/>
      <c r="AP13" s="469"/>
      <c r="AQ13" s="469"/>
      <c r="AR13" s="469"/>
      <c r="AS13" s="469"/>
      <c r="AT13" s="470"/>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407"/>
      <c r="C14" s="407"/>
      <c r="D14" s="408"/>
      <c r="E14" s="448"/>
      <c r="F14" s="449"/>
      <c r="G14" s="449"/>
      <c r="H14" s="449"/>
      <c r="I14" s="450"/>
      <c r="J14" s="52" t="str">
        <f>IF(AND('Mapa final'!$Y$39="Muy Alta",'Mapa final'!$AA$39="Leve"),CONCATENATE("R9C",'Mapa final'!$O$39),"")</f>
        <v/>
      </c>
      <c r="K14" s="53" t="str">
        <f>IF(AND('Mapa final'!$Y$40="Muy Alta",'Mapa final'!$AA$40="Leve"),CONCATENATE("R9C",'Mapa final'!$O$40),"")</f>
        <v/>
      </c>
      <c r="L14" s="53" t="str">
        <f>IF(AND('Mapa final'!$Y$41="Muy Alta",'Mapa final'!$AA$41="Leve"),CONCATENATE("R9C",'Mapa final'!$O$41),"")</f>
        <v/>
      </c>
      <c r="M14" s="53" t="str">
        <f>IF(AND('Mapa final'!$Y$42="Muy Alta",'Mapa final'!$AA$42="Leve"),CONCATENATE("R9C",'Mapa final'!$O$42),"")</f>
        <v/>
      </c>
      <c r="N14" s="53" t="str">
        <f>IF(AND('Mapa final'!$Y$43="Muy Alta",'Mapa final'!$AA$43="Leve"),CONCATENATE("R9C",'Mapa final'!$O$43),"")</f>
        <v/>
      </c>
      <c r="O14" s="54" t="str">
        <f>IF(AND('Mapa final'!$Y$44="Muy Alta",'Mapa final'!$AA$44="Leve"),CONCATENATE("R9C",'Mapa final'!$O$44),"")</f>
        <v/>
      </c>
      <c r="P14" s="52" t="str">
        <f>IF(AND('Mapa final'!$Y$39="Muy Alta",'Mapa final'!$AA$39="Menor"),CONCATENATE("R9C",'Mapa final'!$O$39),"")</f>
        <v/>
      </c>
      <c r="Q14" s="53" t="str">
        <f>IF(AND('Mapa final'!$Y$40="Muy Alta",'Mapa final'!$AA$40="Menor"),CONCATENATE("R9C",'Mapa final'!$O$40),"")</f>
        <v/>
      </c>
      <c r="R14" s="53" t="str">
        <f>IF(AND('Mapa final'!$Y$41="Muy Alta",'Mapa final'!$AA$41="Menor"),CONCATENATE("R9C",'Mapa final'!$O$41),"")</f>
        <v/>
      </c>
      <c r="S14" s="53" t="str">
        <f>IF(AND('Mapa final'!$Y$42="Muy Alta",'Mapa final'!$AA$42="Menor"),CONCATENATE("R9C",'Mapa final'!$O$42),"")</f>
        <v/>
      </c>
      <c r="T14" s="53" t="str">
        <f>IF(AND('Mapa final'!$Y$43="Muy Alta",'Mapa final'!$AA$43="Menor"),CONCATENATE("R9C",'Mapa final'!$O$43),"")</f>
        <v/>
      </c>
      <c r="U14" s="54" t="str">
        <f>IF(AND('Mapa final'!$Y$44="Muy Alta",'Mapa final'!$AA$44="Menor"),CONCATENATE("R9C",'Mapa final'!$O$44),"")</f>
        <v/>
      </c>
      <c r="V14" s="52" t="str">
        <f>IF(AND('Mapa final'!$Y$39="Muy Alta",'Mapa final'!$AA$39="Moderado"),CONCATENATE("R9C",'Mapa final'!$O$39),"")</f>
        <v/>
      </c>
      <c r="W14" s="53" t="str">
        <f>IF(AND('Mapa final'!$Y$40="Muy Alta",'Mapa final'!$AA$40="Moderado"),CONCATENATE("R9C",'Mapa final'!$O$40),"")</f>
        <v/>
      </c>
      <c r="X14" s="53" t="str">
        <f>IF(AND('Mapa final'!$Y$41="Muy Alta",'Mapa final'!$AA$41="Moderado"),CONCATENATE("R9C",'Mapa final'!$O$41),"")</f>
        <v/>
      </c>
      <c r="Y14" s="53" t="str">
        <f>IF(AND('Mapa final'!$Y$42="Muy Alta",'Mapa final'!$AA$42="Moderado"),CONCATENATE("R9C",'Mapa final'!$O$42),"")</f>
        <v/>
      </c>
      <c r="Z14" s="53" t="str">
        <f>IF(AND('Mapa final'!$Y$43="Muy Alta",'Mapa final'!$AA$43="Moderado"),CONCATENATE("R9C",'Mapa final'!$O$43),"")</f>
        <v/>
      </c>
      <c r="AA14" s="54" t="str">
        <f>IF(AND('Mapa final'!$Y$44="Muy Alta",'Mapa final'!$AA$44="Moderado"),CONCATENATE("R9C",'Mapa final'!$O$44),"")</f>
        <v/>
      </c>
      <c r="AB14" s="52" t="str">
        <f>IF(AND('Mapa final'!$Y$39="Muy Alta",'Mapa final'!$AA$39="Mayor"),CONCATENATE("R9C",'Mapa final'!$O$39),"")</f>
        <v/>
      </c>
      <c r="AC14" s="53" t="str">
        <f>IF(AND('Mapa final'!$Y$40="Muy Alta",'Mapa final'!$AA$40="Mayor"),CONCATENATE("R9C",'Mapa final'!$O$40),"")</f>
        <v/>
      </c>
      <c r="AD14" s="53" t="str">
        <f>IF(AND('Mapa final'!$Y$41="Muy Alta",'Mapa final'!$AA$41="Mayor"),CONCATENATE("R9C",'Mapa final'!$O$41),"")</f>
        <v/>
      </c>
      <c r="AE14" s="53" t="str">
        <f>IF(AND('Mapa final'!$Y$42="Muy Alta",'Mapa final'!$AA$42="Mayor"),CONCATENATE("R9C",'Mapa final'!$O$42),"")</f>
        <v/>
      </c>
      <c r="AF14" s="53" t="str">
        <f>IF(AND('Mapa final'!$Y$43="Muy Alta",'Mapa final'!$AA$43="Mayor"),CONCATENATE("R9C",'Mapa final'!$O$43),"")</f>
        <v/>
      </c>
      <c r="AG14" s="54" t="str">
        <f>IF(AND('Mapa final'!$Y$44="Muy Alta",'Mapa final'!$AA$44="Mayor"),CONCATENATE("R9C",'Mapa final'!$O$44),"")</f>
        <v/>
      </c>
      <c r="AH14" s="55" t="str">
        <f>IF(AND('Mapa final'!$Y$39="Muy Alta",'Mapa final'!$AA$39="Catastrófico"),CONCATENATE("R9C",'Mapa final'!$O$39),"")</f>
        <v/>
      </c>
      <c r="AI14" s="56" t="str">
        <f>IF(AND('Mapa final'!$Y$40="Muy Alta",'Mapa final'!$AA$40="Catastrófico"),CONCATENATE("R9C",'Mapa final'!$O$40),"")</f>
        <v/>
      </c>
      <c r="AJ14" s="56" t="str">
        <f>IF(AND('Mapa final'!$Y$41="Muy Alta",'Mapa final'!$AA$41="Catastrófico"),CONCATENATE("R9C",'Mapa final'!$O$41),"")</f>
        <v/>
      </c>
      <c r="AK14" s="56" t="str">
        <f>IF(AND('Mapa final'!$Y$42="Muy Alta",'Mapa final'!$AA$42="Catastrófico"),CONCATENATE("R9C",'Mapa final'!$O$42),"")</f>
        <v/>
      </c>
      <c r="AL14" s="56" t="str">
        <f>IF(AND('Mapa final'!$Y$43="Muy Alta",'Mapa final'!$AA$43="Catastrófico"),CONCATENATE("R9C",'Mapa final'!$O$43),"")</f>
        <v/>
      </c>
      <c r="AM14" s="57" t="str">
        <f>IF(AND('Mapa final'!$Y$44="Muy Alta",'Mapa final'!$AA$44="Catastrófico"),CONCATENATE("R9C",'Mapa final'!$O$44),"")</f>
        <v/>
      </c>
      <c r="AN14" s="83"/>
      <c r="AO14" s="468"/>
      <c r="AP14" s="469"/>
      <c r="AQ14" s="469"/>
      <c r="AR14" s="469"/>
      <c r="AS14" s="469"/>
      <c r="AT14" s="470"/>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407"/>
      <c r="C15" s="407"/>
      <c r="D15" s="408"/>
      <c r="E15" s="451"/>
      <c r="F15" s="452"/>
      <c r="G15" s="452"/>
      <c r="H15" s="452"/>
      <c r="I15" s="453"/>
      <c r="J15" s="58" t="str">
        <f>IF(AND('Mapa final'!$Y$45="Muy Alta",'Mapa final'!$AA$45="Leve"),CONCATENATE("R10C",'Mapa final'!$O$45),"")</f>
        <v/>
      </c>
      <c r="K15" s="59" t="str">
        <f>IF(AND('Mapa final'!$Y$46="Muy Alta",'Mapa final'!$AA$46="Leve"),CONCATENATE("R10C",'Mapa final'!$O$46),"")</f>
        <v/>
      </c>
      <c r="L15" s="59" t="str">
        <f>IF(AND('Mapa final'!$Y$47="Muy Alta",'Mapa final'!$AA$47="Leve"),CONCATENATE("R10C",'Mapa final'!$O$47),"")</f>
        <v/>
      </c>
      <c r="M15" s="59" t="str">
        <f>IF(AND('Mapa final'!$Y$48="Muy Alta",'Mapa final'!$AA$48="Leve"),CONCATENATE("R10C",'Mapa final'!$O$48),"")</f>
        <v/>
      </c>
      <c r="N15" s="59" t="str">
        <f>IF(AND('Mapa final'!$Y$49="Muy Alta",'Mapa final'!$AA$49="Leve"),CONCATENATE("R10C",'Mapa final'!$O$49),"")</f>
        <v/>
      </c>
      <c r="O15" s="60" t="str">
        <f>IF(AND('Mapa final'!$Y$50="Muy Alta",'Mapa final'!$AA$50="Leve"),CONCATENATE("R10C",'Mapa final'!$O$50),"")</f>
        <v/>
      </c>
      <c r="P15" s="52" t="str">
        <f>IF(AND('Mapa final'!$Y$45="Muy Alta",'Mapa final'!$AA$45="Menor"),CONCATENATE("R10C",'Mapa final'!$O$45),"")</f>
        <v/>
      </c>
      <c r="Q15" s="53" t="str">
        <f>IF(AND('Mapa final'!$Y$46="Muy Alta",'Mapa final'!$AA$46="Menor"),CONCATENATE("R10C",'Mapa final'!$O$46),"")</f>
        <v/>
      </c>
      <c r="R15" s="53" t="str">
        <f>IF(AND('Mapa final'!$Y$47="Muy Alta",'Mapa final'!$AA$47="Menor"),CONCATENATE("R10C",'Mapa final'!$O$47),"")</f>
        <v/>
      </c>
      <c r="S15" s="53" t="str">
        <f>IF(AND('Mapa final'!$Y$48="Muy Alta",'Mapa final'!$AA$48="Menor"),CONCATENATE("R10C",'Mapa final'!$O$48),"")</f>
        <v/>
      </c>
      <c r="T15" s="53" t="str">
        <f>IF(AND('Mapa final'!$Y$49="Muy Alta",'Mapa final'!$AA$49="Menor"),CONCATENATE("R10C",'Mapa final'!$O$49),"")</f>
        <v/>
      </c>
      <c r="U15" s="54" t="str">
        <f>IF(AND('Mapa final'!$Y$50="Muy Alta",'Mapa final'!$AA$50="Menor"),CONCATENATE("R10C",'Mapa final'!$O$50),"")</f>
        <v/>
      </c>
      <c r="V15" s="58" t="str">
        <f>IF(AND('Mapa final'!$Y$45="Muy Alta",'Mapa final'!$AA$45="Moderado"),CONCATENATE("R10C",'Mapa final'!$O$45),"")</f>
        <v/>
      </c>
      <c r="W15" s="59" t="str">
        <f>IF(AND('Mapa final'!$Y$46="Muy Alta",'Mapa final'!$AA$46="Moderado"),CONCATENATE("R10C",'Mapa final'!$O$46),"")</f>
        <v/>
      </c>
      <c r="X15" s="59" t="str">
        <f>IF(AND('Mapa final'!$Y$47="Muy Alta",'Mapa final'!$AA$47="Moderado"),CONCATENATE("R10C",'Mapa final'!$O$47),"")</f>
        <v/>
      </c>
      <c r="Y15" s="59" t="str">
        <f>IF(AND('Mapa final'!$Y$48="Muy Alta",'Mapa final'!$AA$48="Moderado"),CONCATENATE("R10C",'Mapa final'!$O$48),"")</f>
        <v/>
      </c>
      <c r="Z15" s="59" t="str">
        <f>IF(AND('Mapa final'!$Y$49="Muy Alta",'Mapa final'!$AA$49="Moderado"),CONCATENATE("R10C",'Mapa final'!$O$49),"")</f>
        <v/>
      </c>
      <c r="AA15" s="60" t="str">
        <f>IF(AND('Mapa final'!$Y$50="Muy Alta",'Mapa final'!$AA$50="Moderado"),CONCATENATE("R10C",'Mapa final'!$O$50),"")</f>
        <v/>
      </c>
      <c r="AB15" s="52" t="str">
        <f>IF(AND('Mapa final'!$Y$45="Muy Alta",'Mapa final'!$AA$45="Mayor"),CONCATENATE("R10C",'Mapa final'!$O$45),"")</f>
        <v/>
      </c>
      <c r="AC15" s="53" t="str">
        <f>IF(AND('Mapa final'!$Y$46="Muy Alta",'Mapa final'!$AA$46="Mayor"),CONCATENATE("R10C",'Mapa final'!$O$46),"")</f>
        <v/>
      </c>
      <c r="AD15" s="53" t="str">
        <f>IF(AND('Mapa final'!$Y$47="Muy Alta",'Mapa final'!$AA$47="Mayor"),CONCATENATE("R10C",'Mapa final'!$O$47),"")</f>
        <v/>
      </c>
      <c r="AE15" s="53" t="str">
        <f>IF(AND('Mapa final'!$Y$48="Muy Alta",'Mapa final'!$AA$48="Mayor"),CONCATENATE("R10C",'Mapa final'!$O$48),"")</f>
        <v/>
      </c>
      <c r="AF15" s="53" t="str">
        <f>IF(AND('Mapa final'!$Y$49="Muy Alta",'Mapa final'!$AA$49="Mayor"),CONCATENATE("R10C",'Mapa final'!$O$49),"")</f>
        <v/>
      </c>
      <c r="AG15" s="54" t="str">
        <f>IF(AND('Mapa final'!$Y$50="Muy Alta",'Mapa final'!$AA$50="Mayor"),CONCATENATE("R10C",'Mapa final'!$O$50),"")</f>
        <v/>
      </c>
      <c r="AH15" s="61" t="str">
        <f>IF(AND('Mapa final'!$Y$45="Muy Alta",'Mapa final'!$AA$45="Catastrófico"),CONCATENATE("R10C",'Mapa final'!$O$45),"")</f>
        <v/>
      </c>
      <c r="AI15" s="62" t="str">
        <f>IF(AND('Mapa final'!$Y$46="Muy Alta",'Mapa final'!$AA$46="Catastrófico"),CONCATENATE("R10C",'Mapa final'!$O$46),"")</f>
        <v/>
      </c>
      <c r="AJ15" s="62" t="str">
        <f>IF(AND('Mapa final'!$Y$47="Muy Alta",'Mapa final'!$AA$47="Catastrófico"),CONCATENATE("R10C",'Mapa final'!$O$47),"")</f>
        <v/>
      </c>
      <c r="AK15" s="62" t="str">
        <f>IF(AND('Mapa final'!$Y$48="Muy Alta",'Mapa final'!$AA$48="Catastrófico"),CONCATENATE("R10C",'Mapa final'!$O$48),"")</f>
        <v/>
      </c>
      <c r="AL15" s="62" t="str">
        <f>IF(AND('Mapa final'!$Y$49="Muy Alta",'Mapa final'!$AA$49="Catastrófico"),CONCATENATE("R10C",'Mapa final'!$O$49),"")</f>
        <v/>
      </c>
      <c r="AM15" s="63" t="str">
        <f>IF(AND('Mapa final'!$Y$50="Muy Alta",'Mapa final'!$AA$50="Catastrófico"),CONCATENATE("R10C",'Mapa final'!$O$50),"")</f>
        <v/>
      </c>
      <c r="AN15" s="83"/>
      <c r="AO15" s="471"/>
      <c r="AP15" s="472"/>
      <c r="AQ15" s="472"/>
      <c r="AR15" s="472"/>
      <c r="AS15" s="472"/>
      <c r="AT15" s="47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407"/>
      <c r="C16" s="407"/>
      <c r="D16" s="408"/>
      <c r="E16" s="445" t="s">
        <v>94</v>
      </c>
      <c r="F16" s="446"/>
      <c r="G16" s="446"/>
      <c r="H16" s="446"/>
      <c r="I16" s="446"/>
      <c r="J16" s="64" t="str">
        <f>IF(AND('Mapa final'!$Y$24="Alta",'Mapa final'!$AA$24="Leve"),CONCATENATE("R1C",'Mapa final'!$O$24),"")</f>
        <v/>
      </c>
      <c r="K16" s="65" t="str">
        <f>IF(AND('Mapa final'!$Y$25="Alta",'Mapa final'!$AA$25="Leve"),CONCATENATE("R1C",'Mapa final'!$O$25),"")</f>
        <v/>
      </c>
      <c r="L16" s="65" t="e">
        <f>IF(AND('Mapa final'!#REF!="Alta",'Mapa final'!#REF!="Leve"),CONCATENATE("R1C",'Mapa final'!#REF!),"")</f>
        <v>#REF!</v>
      </c>
      <c r="M16" s="65" t="e">
        <f>IF(AND('Mapa final'!#REF!="Alta",'Mapa final'!#REF!="Leve"),CONCATENATE("R1C",'Mapa final'!#REF!),"")</f>
        <v>#REF!</v>
      </c>
      <c r="N16" s="65" t="e">
        <f>IF(AND('Mapa final'!#REF!="Alta",'Mapa final'!#REF!="Leve"),CONCATENATE("R1C",'Mapa final'!#REF!),"")</f>
        <v>#REF!</v>
      </c>
      <c r="O16" s="66" t="e">
        <f>IF(AND('Mapa final'!#REF!="Alta",'Mapa final'!#REF!="Leve"),CONCATENATE("R1C",'Mapa final'!#REF!),"")</f>
        <v>#REF!</v>
      </c>
      <c r="P16" s="64" t="str">
        <f>IF(AND('Mapa final'!$Y$24="Alta",'Mapa final'!$AA$24="Menor"),CONCATENATE("R1C",'Mapa final'!$O$24),"")</f>
        <v/>
      </c>
      <c r="Q16" s="65" t="str">
        <f>IF(AND('Mapa final'!$Y$25="Alta",'Mapa final'!$AA$25="Menor"),CONCATENATE("R1C",'Mapa final'!$O$25),"")</f>
        <v/>
      </c>
      <c r="R16" s="65" t="e">
        <f>IF(AND('Mapa final'!#REF!="Alta",'Mapa final'!#REF!="Menor"),CONCATENATE("R1C",'Mapa final'!#REF!),"")</f>
        <v>#REF!</v>
      </c>
      <c r="S16" s="65" t="e">
        <f>IF(AND('Mapa final'!#REF!="Alta",'Mapa final'!#REF!="Menor"),CONCATENATE("R1C",'Mapa final'!#REF!),"")</f>
        <v>#REF!</v>
      </c>
      <c r="T16" s="65" t="e">
        <f>IF(AND('Mapa final'!#REF!="Alta",'Mapa final'!#REF!="Menor"),CONCATENATE("R1C",'Mapa final'!#REF!),"")</f>
        <v>#REF!</v>
      </c>
      <c r="U16" s="66" t="e">
        <f>IF(AND('Mapa final'!#REF!="Alta",'Mapa final'!#REF!="Menor"),CONCATENATE("R1C",'Mapa final'!#REF!),"")</f>
        <v>#REF!</v>
      </c>
      <c r="V16" s="46" t="str">
        <f>IF(AND('Mapa final'!$Y$24="Alta",'Mapa final'!$AA$24="Moderado"),CONCATENATE("R1C",'Mapa final'!$O$24),"")</f>
        <v/>
      </c>
      <c r="W16" s="47" t="str">
        <f>IF(AND('Mapa final'!$Y$25="Alta",'Mapa final'!$AA$25="Moderado"),CONCATENATE("R1C",'Mapa final'!$O$25),"")</f>
        <v/>
      </c>
      <c r="X16" s="47" t="e">
        <f>IF(AND('Mapa final'!#REF!="Alta",'Mapa final'!#REF!="Moderado"),CONCATENATE("R1C",'Mapa final'!#REF!),"")</f>
        <v>#REF!</v>
      </c>
      <c r="Y16" s="47" t="e">
        <f>IF(AND('Mapa final'!#REF!="Alta",'Mapa final'!#REF!="Moderado"),CONCATENATE("R1C",'Mapa final'!#REF!),"")</f>
        <v>#REF!</v>
      </c>
      <c r="Z16" s="47" t="e">
        <f>IF(AND('Mapa final'!#REF!="Alta",'Mapa final'!#REF!="Moderado"),CONCATENATE("R1C",'Mapa final'!#REF!),"")</f>
        <v>#REF!</v>
      </c>
      <c r="AA16" s="48" t="e">
        <f>IF(AND('Mapa final'!#REF!="Alta",'Mapa final'!#REF!="Moderado"),CONCATENATE("R1C",'Mapa final'!#REF!),"")</f>
        <v>#REF!</v>
      </c>
      <c r="AB16" s="46" t="str">
        <f>IF(AND('Mapa final'!$Y$24="Alta",'Mapa final'!$AA$24="Mayor"),CONCATENATE("R1C",'Mapa final'!$O$24),"")</f>
        <v/>
      </c>
      <c r="AC16" s="47" t="str">
        <f>IF(AND('Mapa final'!$Y$25="Alta",'Mapa final'!$AA$25="Mayor"),CONCATENATE("R1C",'Mapa final'!$O$25),"")</f>
        <v/>
      </c>
      <c r="AD16" s="47" t="e">
        <f>IF(AND('Mapa final'!#REF!="Alta",'Mapa final'!#REF!="Mayor"),CONCATENATE("R1C",'Mapa final'!#REF!),"")</f>
        <v>#REF!</v>
      </c>
      <c r="AE16" s="47" t="e">
        <f>IF(AND('Mapa final'!#REF!="Alta",'Mapa final'!#REF!="Mayor"),CONCATENATE("R1C",'Mapa final'!#REF!),"")</f>
        <v>#REF!</v>
      </c>
      <c r="AF16" s="47" t="e">
        <f>IF(AND('Mapa final'!#REF!="Alta",'Mapa final'!#REF!="Mayor"),CONCATENATE("R1C",'Mapa final'!#REF!),"")</f>
        <v>#REF!</v>
      </c>
      <c r="AG16" s="48" t="e">
        <f>IF(AND('Mapa final'!#REF!="Alta",'Mapa final'!#REF!="Mayor"),CONCATENATE("R1C",'Mapa final'!#REF!),"")</f>
        <v>#REF!</v>
      </c>
      <c r="AH16" s="49" t="str">
        <f>IF(AND('Mapa final'!$Y$24="Alta",'Mapa final'!$AA$24="Catastrófico"),CONCATENATE("R1C",'Mapa final'!$O$24),"")</f>
        <v/>
      </c>
      <c r="AI16" s="50" t="str">
        <f>IF(AND('Mapa final'!$Y$25="Alta",'Mapa final'!$AA$25="Catastrófico"),CONCATENATE("R1C",'Mapa final'!$O$25),"")</f>
        <v/>
      </c>
      <c r="AJ16" s="50" t="e">
        <f>IF(AND('Mapa final'!#REF!="Alta",'Mapa final'!#REF!="Catastrófico"),CONCATENATE("R1C",'Mapa final'!#REF!),"")</f>
        <v>#REF!</v>
      </c>
      <c r="AK16" s="50" t="e">
        <f>IF(AND('Mapa final'!#REF!="Alta",'Mapa final'!#REF!="Catastrófico"),CONCATENATE("R1C",'Mapa final'!#REF!),"")</f>
        <v>#REF!</v>
      </c>
      <c r="AL16" s="50" t="e">
        <f>IF(AND('Mapa final'!#REF!="Alta",'Mapa final'!#REF!="Catastrófico"),CONCATENATE("R1C",'Mapa final'!#REF!),"")</f>
        <v>#REF!</v>
      </c>
      <c r="AM16" s="51" t="e">
        <f>IF(AND('Mapa final'!#REF!="Alta",'Mapa final'!#REF!="Catastrófico"),CONCATENATE("R1C",'Mapa final'!#REF!),"")</f>
        <v>#REF!</v>
      </c>
      <c r="AN16" s="83"/>
      <c r="AO16" s="455" t="s">
        <v>95</v>
      </c>
      <c r="AP16" s="456"/>
      <c r="AQ16" s="456"/>
      <c r="AR16" s="456"/>
      <c r="AS16" s="456"/>
      <c r="AT16" s="457"/>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407"/>
      <c r="C17" s="407"/>
      <c r="D17" s="408"/>
      <c r="E17" s="464"/>
      <c r="F17" s="449"/>
      <c r="G17" s="449"/>
      <c r="H17" s="449"/>
      <c r="I17" s="449"/>
      <c r="J17" s="67" t="str">
        <f>IF(AND('Mapa final'!$Y$26="Alta",'Mapa final'!$AA$26="Leve"),CONCATENATE("R2C",'Mapa final'!$O$26),"")</f>
        <v/>
      </c>
      <c r="K17" s="68" t="e">
        <f>IF(AND('Mapa final'!#REF!="Alta",'Mapa final'!#REF!="Leve"),CONCATENATE("R2C",'Mapa final'!#REF!),"")</f>
        <v>#REF!</v>
      </c>
      <c r="L17" s="68" t="e">
        <f>IF(AND('Mapa final'!#REF!="Alta",'Mapa final'!#REF!="Leve"),CONCATENATE("R2C",'Mapa final'!#REF!),"")</f>
        <v>#REF!</v>
      </c>
      <c r="M17" s="68" t="e">
        <f>IF(AND('Mapa final'!#REF!="Alta",'Mapa final'!#REF!="Leve"),CONCATENATE("R2C",'Mapa final'!#REF!),"")</f>
        <v>#REF!</v>
      </c>
      <c r="N17" s="68" t="e">
        <f>IF(AND('Mapa final'!#REF!="Alta",'Mapa final'!#REF!="Leve"),CONCATENATE("R2C",'Mapa final'!#REF!),"")</f>
        <v>#REF!</v>
      </c>
      <c r="O17" s="69" t="e">
        <f>IF(AND('Mapa final'!#REF!="Alta",'Mapa final'!#REF!="Leve"),CONCATENATE("R2C",'Mapa final'!#REF!),"")</f>
        <v>#REF!</v>
      </c>
      <c r="P17" s="67" t="str">
        <f>IF(AND('Mapa final'!$Y$26="Alta",'Mapa final'!$AA$26="Menor"),CONCATENATE("R2C",'Mapa final'!$O$26),"")</f>
        <v/>
      </c>
      <c r="Q17" s="68" t="e">
        <f>IF(AND('Mapa final'!#REF!="Alta",'Mapa final'!#REF!="Menor"),CONCATENATE("R2C",'Mapa final'!#REF!),"")</f>
        <v>#REF!</v>
      </c>
      <c r="R17" s="68" t="e">
        <f>IF(AND('Mapa final'!#REF!="Alta",'Mapa final'!#REF!="Menor"),CONCATENATE("R2C",'Mapa final'!#REF!),"")</f>
        <v>#REF!</v>
      </c>
      <c r="S17" s="68" t="e">
        <f>IF(AND('Mapa final'!#REF!="Alta",'Mapa final'!#REF!="Menor"),CONCATENATE("R2C",'Mapa final'!#REF!),"")</f>
        <v>#REF!</v>
      </c>
      <c r="T17" s="68" t="e">
        <f>IF(AND('Mapa final'!#REF!="Alta",'Mapa final'!#REF!="Menor"),CONCATENATE("R2C",'Mapa final'!#REF!),"")</f>
        <v>#REF!</v>
      </c>
      <c r="U17" s="69" t="e">
        <f>IF(AND('Mapa final'!#REF!="Alta",'Mapa final'!#REF!="Menor"),CONCATENATE("R2C",'Mapa final'!#REF!),"")</f>
        <v>#REF!</v>
      </c>
      <c r="V17" s="52" t="str">
        <f>IF(AND('Mapa final'!$Y$26="Alta",'Mapa final'!$AA$26="Moderado"),CONCATENATE("R2C",'Mapa final'!$O$26),"")</f>
        <v/>
      </c>
      <c r="W17" s="53" t="e">
        <f>IF(AND('Mapa final'!#REF!="Alta",'Mapa final'!#REF!="Moderado"),CONCATENATE("R2C",'Mapa final'!#REF!),"")</f>
        <v>#REF!</v>
      </c>
      <c r="X17" s="53" t="e">
        <f>IF(AND('Mapa final'!#REF!="Alta",'Mapa final'!#REF!="Moderado"),CONCATENATE("R2C",'Mapa final'!#REF!),"")</f>
        <v>#REF!</v>
      </c>
      <c r="Y17" s="53" t="e">
        <f>IF(AND('Mapa final'!#REF!="Alta",'Mapa final'!#REF!="Moderado"),CONCATENATE("R2C",'Mapa final'!#REF!),"")</f>
        <v>#REF!</v>
      </c>
      <c r="Z17" s="53" t="e">
        <f>IF(AND('Mapa final'!#REF!="Alta",'Mapa final'!#REF!="Moderado"),CONCATENATE("R2C",'Mapa final'!#REF!),"")</f>
        <v>#REF!</v>
      </c>
      <c r="AA17" s="54" t="e">
        <f>IF(AND('Mapa final'!#REF!="Alta",'Mapa final'!#REF!="Moderado"),CONCATENATE("R2C",'Mapa final'!#REF!),"")</f>
        <v>#REF!</v>
      </c>
      <c r="AB17" s="52" t="str">
        <f>IF(AND('Mapa final'!$Y$26="Alta",'Mapa final'!$AA$26="Mayor"),CONCATENATE("R2C",'Mapa final'!$O$26),"")</f>
        <v/>
      </c>
      <c r="AC17" s="53" t="e">
        <f>IF(AND('Mapa final'!#REF!="Alta",'Mapa final'!#REF!="Mayor"),CONCATENATE("R2C",'Mapa final'!#REF!),"")</f>
        <v>#REF!</v>
      </c>
      <c r="AD17" s="53" t="e">
        <f>IF(AND('Mapa final'!#REF!="Alta",'Mapa final'!#REF!="Mayor"),CONCATENATE("R2C",'Mapa final'!#REF!),"")</f>
        <v>#REF!</v>
      </c>
      <c r="AE17" s="53" t="e">
        <f>IF(AND('Mapa final'!#REF!="Alta",'Mapa final'!#REF!="Mayor"),CONCATENATE("R2C",'Mapa final'!#REF!),"")</f>
        <v>#REF!</v>
      </c>
      <c r="AF17" s="53" t="e">
        <f>IF(AND('Mapa final'!#REF!="Alta",'Mapa final'!#REF!="Mayor"),CONCATENATE("R2C",'Mapa final'!#REF!),"")</f>
        <v>#REF!</v>
      </c>
      <c r="AG17" s="54" t="e">
        <f>IF(AND('Mapa final'!#REF!="Alta",'Mapa final'!#REF!="Mayor"),CONCATENATE("R2C",'Mapa final'!#REF!),"")</f>
        <v>#REF!</v>
      </c>
      <c r="AH17" s="55" t="str">
        <f>IF(AND('Mapa final'!$Y$26="Alta",'Mapa final'!$AA$26="Catastrófico"),CONCATENATE("R2C",'Mapa final'!$O$26),"")</f>
        <v/>
      </c>
      <c r="AI17" s="56" t="e">
        <f>IF(AND('Mapa final'!#REF!="Alta",'Mapa final'!#REF!="Catastrófico"),CONCATENATE("R2C",'Mapa final'!#REF!),"")</f>
        <v>#REF!</v>
      </c>
      <c r="AJ17" s="56" t="e">
        <f>IF(AND('Mapa final'!#REF!="Alta",'Mapa final'!#REF!="Catastrófico"),CONCATENATE("R2C",'Mapa final'!#REF!),"")</f>
        <v>#REF!</v>
      </c>
      <c r="AK17" s="56" t="e">
        <f>IF(AND('Mapa final'!#REF!="Alta",'Mapa final'!#REF!="Catastrófico"),CONCATENATE("R2C",'Mapa final'!#REF!),"")</f>
        <v>#REF!</v>
      </c>
      <c r="AL17" s="56" t="e">
        <f>IF(AND('Mapa final'!#REF!="Alta",'Mapa final'!#REF!="Catastrófico"),CONCATENATE("R2C",'Mapa final'!#REF!),"")</f>
        <v>#REF!</v>
      </c>
      <c r="AM17" s="57" t="e">
        <f>IF(AND('Mapa final'!#REF!="Alta",'Mapa final'!#REF!="Catastrófico"),CONCATENATE("R2C",'Mapa final'!#REF!),"")</f>
        <v>#REF!</v>
      </c>
      <c r="AN17" s="83"/>
      <c r="AO17" s="458"/>
      <c r="AP17" s="459"/>
      <c r="AQ17" s="459"/>
      <c r="AR17" s="459"/>
      <c r="AS17" s="459"/>
      <c r="AT17" s="460"/>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407"/>
      <c r="C18" s="407"/>
      <c r="D18" s="408"/>
      <c r="E18" s="448"/>
      <c r="F18" s="449"/>
      <c r="G18" s="449"/>
      <c r="H18" s="449"/>
      <c r="I18" s="449"/>
      <c r="J18" s="67" t="str">
        <f>IF(AND('Mapa final'!$Y$27="Alta",'Mapa final'!$AA$27="Leve"),CONCATENATE("R3C",'Mapa final'!$O$27),"")</f>
        <v/>
      </c>
      <c r="K18" s="68" t="str">
        <f>IF(AND('Mapa final'!$Y$28="Alta",'Mapa final'!$AA$28="Leve"),CONCATENATE("R3C",'Mapa final'!$O$28),"")</f>
        <v/>
      </c>
      <c r="L18" s="68" t="e">
        <f>IF(AND('Mapa final'!#REF!="Alta",'Mapa final'!#REF!="Leve"),CONCATENATE("R3C",'Mapa final'!#REF!),"")</f>
        <v>#REF!</v>
      </c>
      <c r="M18" s="68" t="e">
        <f>IF(AND('Mapa final'!#REF!="Alta",'Mapa final'!#REF!="Leve"),CONCATENATE("R3C",'Mapa final'!#REF!),"")</f>
        <v>#REF!</v>
      </c>
      <c r="N18" s="68" t="e">
        <f>IF(AND('Mapa final'!#REF!="Alta",'Mapa final'!#REF!="Leve"),CONCATENATE("R3C",'Mapa final'!#REF!),"")</f>
        <v>#REF!</v>
      </c>
      <c r="O18" s="69" t="e">
        <f>IF(AND('Mapa final'!#REF!="Alta",'Mapa final'!#REF!="Leve"),CONCATENATE("R3C",'Mapa final'!#REF!),"")</f>
        <v>#REF!</v>
      </c>
      <c r="P18" s="67" t="str">
        <f>IF(AND('Mapa final'!$Y$27="Alta",'Mapa final'!$AA$27="Menor"),CONCATENATE("R3C",'Mapa final'!$O$27),"")</f>
        <v/>
      </c>
      <c r="Q18" s="68" t="str">
        <f>IF(AND('Mapa final'!$Y$28="Alta",'Mapa final'!$AA$28="Menor"),CONCATENATE("R3C",'Mapa final'!$O$28),"")</f>
        <v/>
      </c>
      <c r="R18" s="68" t="e">
        <f>IF(AND('Mapa final'!#REF!="Alta",'Mapa final'!#REF!="Menor"),CONCATENATE("R3C",'Mapa final'!#REF!),"")</f>
        <v>#REF!</v>
      </c>
      <c r="S18" s="68" t="e">
        <f>IF(AND('Mapa final'!#REF!="Alta",'Mapa final'!#REF!="Menor"),CONCATENATE("R3C",'Mapa final'!#REF!),"")</f>
        <v>#REF!</v>
      </c>
      <c r="T18" s="68" t="e">
        <f>IF(AND('Mapa final'!#REF!="Alta",'Mapa final'!#REF!="Menor"),CONCATENATE("R3C",'Mapa final'!#REF!),"")</f>
        <v>#REF!</v>
      </c>
      <c r="U18" s="69" t="e">
        <f>IF(AND('Mapa final'!#REF!="Alta",'Mapa final'!#REF!="Menor"),CONCATENATE("R3C",'Mapa final'!#REF!),"")</f>
        <v>#REF!</v>
      </c>
      <c r="V18" s="52" t="str">
        <f>IF(AND('Mapa final'!$Y$27="Alta",'Mapa final'!$AA$27="Moderado"),CONCATENATE("R3C",'Mapa final'!$O$27),"")</f>
        <v/>
      </c>
      <c r="W18" s="53" t="str">
        <f>IF(AND('Mapa final'!$Y$28="Alta",'Mapa final'!$AA$28="Moderado"),CONCATENATE("R3C",'Mapa final'!$O$28),"")</f>
        <v/>
      </c>
      <c r="X18" s="53" t="e">
        <f>IF(AND('Mapa final'!#REF!="Alta",'Mapa final'!#REF!="Moderado"),CONCATENATE("R3C",'Mapa final'!#REF!),"")</f>
        <v>#REF!</v>
      </c>
      <c r="Y18" s="53" t="e">
        <f>IF(AND('Mapa final'!#REF!="Alta",'Mapa final'!#REF!="Moderado"),CONCATENATE("R3C",'Mapa final'!#REF!),"")</f>
        <v>#REF!</v>
      </c>
      <c r="Z18" s="53" t="e">
        <f>IF(AND('Mapa final'!#REF!="Alta",'Mapa final'!#REF!="Moderado"),CONCATENATE("R3C",'Mapa final'!#REF!),"")</f>
        <v>#REF!</v>
      </c>
      <c r="AA18" s="54" t="e">
        <f>IF(AND('Mapa final'!#REF!="Alta",'Mapa final'!#REF!="Moderado"),CONCATENATE("R3C",'Mapa final'!#REF!),"")</f>
        <v>#REF!</v>
      </c>
      <c r="AB18" s="52" t="str">
        <f>IF(AND('Mapa final'!$Y$27="Alta",'Mapa final'!$AA$27="Mayor"),CONCATENATE("R3C",'Mapa final'!$O$27),"")</f>
        <v/>
      </c>
      <c r="AC18" s="53" t="str">
        <f>IF(AND('Mapa final'!$Y$28="Alta",'Mapa final'!$AA$28="Mayor"),CONCATENATE("R3C",'Mapa final'!$O$28),"")</f>
        <v/>
      </c>
      <c r="AD18" s="53" t="e">
        <f>IF(AND('Mapa final'!#REF!="Alta",'Mapa final'!#REF!="Mayor"),CONCATENATE("R3C",'Mapa final'!#REF!),"")</f>
        <v>#REF!</v>
      </c>
      <c r="AE18" s="53" t="e">
        <f>IF(AND('Mapa final'!#REF!="Alta",'Mapa final'!#REF!="Mayor"),CONCATENATE("R3C",'Mapa final'!#REF!),"")</f>
        <v>#REF!</v>
      </c>
      <c r="AF18" s="53" t="e">
        <f>IF(AND('Mapa final'!#REF!="Alta",'Mapa final'!#REF!="Mayor"),CONCATENATE("R3C",'Mapa final'!#REF!),"")</f>
        <v>#REF!</v>
      </c>
      <c r="AG18" s="54" t="e">
        <f>IF(AND('Mapa final'!#REF!="Alta",'Mapa final'!#REF!="Mayor"),CONCATENATE("R3C",'Mapa final'!#REF!),"")</f>
        <v>#REF!</v>
      </c>
      <c r="AH18" s="55" t="str">
        <f>IF(AND('Mapa final'!$Y$27="Alta",'Mapa final'!$AA$27="Catastrófico"),CONCATENATE("R3C",'Mapa final'!$O$27),"")</f>
        <v/>
      </c>
      <c r="AI18" s="56" t="str">
        <f>IF(AND('Mapa final'!$Y$28="Alta",'Mapa final'!$AA$28="Catastrófico"),CONCATENATE("R3C",'Mapa final'!$O$28),"")</f>
        <v/>
      </c>
      <c r="AJ18" s="56" t="e">
        <f>IF(AND('Mapa final'!#REF!="Alta",'Mapa final'!#REF!="Catastrófico"),CONCATENATE("R3C",'Mapa final'!#REF!),"")</f>
        <v>#REF!</v>
      </c>
      <c r="AK18" s="56" t="e">
        <f>IF(AND('Mapa final'!#REF!="Alta",'Mapa final'!#REF!="Catastrófico"),CONCATENATE("R3C",'Mapa final'!#REF!),"")</f>
        <v>#REF!</v>
      </c>
      <c r="AL18" s="56" t="e">
        <f>IF(AND('Mapa final'!#REF!="Alta",'Mapa final'!#REF!="Catastrófico"),CONCATENATE("R3C",'Mapa final'!#REF!),"")</f>
        <v>#REF!</v>
      </c>
      <c r="AM18" s="57" t="e">
        <f>IF(AND('Mapa final'!#REF!="Alta",'Mapa final'!#REF!="Catastrófico"),CONCATENATE("R3C",'Mapa final'!#REF!),"")</f>
        <v>#REF!</v>
      </c>
      <c r="AN18" s="83"/>
      <c r="AO18" s="458"/>
      <c r="AP18" s="459"/>
      <c r="AQ18" s="459"/>
      <c r="AR18" s="459"/>
      <c r="AS18" s="459"/>
      <c r="AT18" s="460"/>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407"/>
      <c r="C19" s="407"/>
      <c r="D19" s="408"/>
      <c r="E19" s="448"/>
      <c r="F19" s="449"/>
      <c r="G19" s="449"/>
      <c r="H19" s="449"/>
      <c r="I19" s="449"/>
      <c r="J19" s="67" t="str">
        <f>IF(AND('Mapa final'!$Y$29="Alta",'Mapa final'!$AA$29="Leve"),CONCATENATE("R4C",'Mapa final'!$O$29),"")</f>
        <v/>
      </c>
      <c r="K19" s="68" t="str">
        <f>IF(AND('Mapa final'!$Y$30="Alta",'Mapa final'!$AA$30="Leve"),CONCATENATE("R4C",'Mapa final'!$O$30),"")</f>
        <v/>
      </c>
      <c r="L19" s="68" t="e">
        <f>IF(AND('Mapa final'!#REF!="Alta",'Mapa final'!#REF!="Leve"),CONCATENATE("R4C",'Mapa final'!#REF!),"")</f>
        <v>#REF!</v>
      </c>
      <c r="M19" s="68" t="e">
        <f>IF(AND('Mapa final'!#REF!="Alta",'Mapa final'!#REF!="Leve"),CONCATENATE("R4C",'Mapa final'!#REF!),"")</f>
        <v>#REF!</v>
      </c>
      <c r="N19" s="68" t="e">
        <f>IF(AND('Mapa final'!#REF!="Alta",'Mapa final'!#REF!="Leve"),CONCATENATE("R4C",'Mapa final'!#REF!),"")</f>
        <v>#REF!</v>
      </c>
      <c r="O19" s="69" t="e">
        <f>IF(AND('Mapa final'!#REF!="Alta",'Mapa final'!#REF!="Leve"),CONCATENATE("R4C",'Mapa final'!#REF!),"")</f>
        <v>#REF!</v>
      </c>
      <c r="P19" s="67" t="str">
        <f>IF(AND('Mapa final'!$Y$29="Alta",'Mapa final'!$AA$29="Menor"),CONCATENATE("R4C",'Mapa final'!$O$29),"")</f>
        <v/>
      </c>
      <c r="Q19" s="68" t="str">
        <f>IF(AND('Mapa final'!$Y$30="Alta",'Mapa final'!$AA$30="Menor"),CONCATENATE("R4C",'Mapa final'!$O$30),"")</f>
        <v/>
      </c>
      <c r="R19" s="68" t="e">
        <f>IF(AND('Mapa final'!#REF!="Alta",'Mapa final'!#REF!="Menor"),CONCATENATE("R4C",'Mapa final'!#REF!),"")</f>
        <v>#REF!</v>
      </c>
      <c r="S19" s="68" t="e">
        <f>IF(AND('Mapa final'!#REF!="Alta",'Mapa final'!#REF!="Menor"),CONCATENATE("R4C",'Mapa final'!#REF!),"")</f>
        <v>#REF!</v>
      </c>
      <c r="T19" s="68" t="e">
        <f>IF(AND('Mapa final'!#REF!="Alta",'Mapa final'!#REF!="Menor"),CONCATENATE("R4C",'Mapa final'!#REF!),"")</f>
        <v>#REF!</v>
      </c>
      <c r="U19" s="69" t="e">
        <f>IF(AND('Mapa final'!#REF!="Alta",'Mapa final'!#REF!="Menor"),CONCATENATE("R4C",'Mapa final'!#REF!),"")</f>
        <v>#REF!</v>
      </c>
      <c r="V19" s="52" t="str">
        <f>IF(AND('Mapa final'!$Y$29="Alta",'Mapa final'!$AA$29="Moderado"),CONCATENATE("R4C",'Mapa final'!$O$29),"")</f>
        <v/>
      </c>
      <c r="W19" s="53" t="str">
        <f>IF(AND('Mapa final'!$Y$30="Alta",'Mapa final'!$AA$30="Moderado"),CONCATENATE("R4C",'Mapa final'!$O$30),"")</f>
        <v/>
      </c>
      <c r="X19" s="53" t="e">
        <f>IF(AND('Mapa final'!#REF!="Alta",'Mapa final'!#REF!="Moderado"),CONCATENATE("R4C",'Mapa final'!#REF!),"")</f>
        <v>#REF!</v>
      </c>
      <c r="Y19" s="53" t="e">
        <f>IF(AND('Mapa final'!#REF!="Alta",'Mapa final'!#REF!="Moderado"),CONCATENATE("R4C",'Mapa final'!#REF!),"")</f>
        <v>#REF!</v>
      </c>
      <c r="Z19" s="53" t="e">
        <f>IF(AND('Mapa final'!#REF!="Alta",'Mapa final'!#REF!="Moderado"),CONCATENATE("R4C",'Mapa final'!#REF!),"")</f>
        <v>#REF!</v>
      </c>
      <c r="AA19" s="54" t="e">
        <f>IF(AND('Mapa final'!#REF!="Alta",'Mapa final'!#REF!="Moderado"),CONCATENATE("R4C",'Mapa final'!#REF!),"")</f>
        <v>#REF!</v>
      </c>
      <c r="AB19" s="52" t="str">
        <f>IF(AND('Mapa final'!$Y$29="Alta",'Mapa final'!$AA$29="Mayor"),CONCATENATE("R4C",'Mapa final'!$O$29),"")</f>
        <v/>
      </c>
      <c r="AC19" s="53" t="str">
        <f>IF(AND('Mapa final'!$Y$30="Alta",'Mapa final'!$AA$30="Mayor"),CONCATENATE("R4C",'Mapa final'!$O$30),"")</f>
        <v/>
      </c>
      <c r="AD19" s="53" t="e">
        <f>IF(AND('Mapa final'!#REF!="Alta",'Mapa final'!#REF!="Mayor"),CONCATENATE("R4C",'Mapa final'!#REF!),"")</f>
        <v>#REF!</v>
      </c>
      <c r="AE19" s="53" t="e">
        <f>IF(AND('Mapa final'!#REF!="Alta",'Mapa final'!#REF!="Mayor"),CONCATENATE("R4C",'Mapa final'!#REF!),"")</f>
        <v>#REF!</v>
      </c>
      <c r="AF19" s="53" t="e">
        <f>IF(AND('Mapa final'!#REF!="Alta",'Mapa final'!#REF!="Mayor"),CONCATENATE("R4C",'Mapa final'!#REF!),"")</f>
        <v>#REF!</v>
      </c>
      <c r="AG19" s="54" t="e">
        <f>IF(AND('Mapa final'!#REF!="Alta",'Mapa final'!#REF!="Mayor"),CONCATENATE("R4C",'Mapa final'!#REF!),"")</f>
        <v>#REF!</v>
      </c>
      <c r="AH19" s="55" t="str">
        <f>IF(AND('Mapa final'!$Y$29="Alta",'Mapa final'!$AA$29="Catastrófico"),CONCATENATE("R4C",'Mapa final'!$O$29),"")</f>
        <v/>
      </c>
      <c r="AI19" s="56" t="str">
        <f>IF(AND('Mapa final'!$Y$30="Alta",'Mapa final'!$AA$30="Catastrófico"),CONCATENATE("R4C",'Mapa final'!$O$30),"")</f>
        <v/>
      </c>
      <c r="AJ19" s="56" t="e">
        <f>IF(AND('Mapa final'!#REF!="Alta",'Mapa final'!#REF!="Catastrófico"),CONCATENATE("R4C",'Mapa final'!#REF!),"")</f>
        <v>#REF!</v>
      </c>
      <c r="AK19" s="56" t="e">
        <f>IF(AND('Mapa final'!#REF!="Alta",'Mapa final'!#REF!="Catastrófico"),CONCATENATE("R4C",'Mapa final'!#REF!),"")</f>
        <v>#REF!</v>
      </c>
      <c r="AL19" s="56" t="e">
        <f>IF(AND('Mapa final'!#REF!="Alta",'Mapa final'!#REF!="Catastrófico"),CONCATENATE("R4C",'Mapa final'!#REF!),"")</f>
        <v>#REF!</v>
      </c>
      <c r="AM19" s="57" t="e">
        <f>IF(AND('Mapa final'!#REF!="Alta",'Mapa final'!#REF!="Catastrófico"),CONCATENATE("R4C",'Mapa final'!#REF!),"")</f>
        <v>#REF!</v>
      </c>
      <c r="AN19" s="83"/>
      <c r="AO19" s="458"/>
      <c r="AP19" s="459"/>
      <c r="AQ19" s="459"/>
      <c r="AR19" s="459"/>
      <c r="AS19" s="459"/>
      <c r="AT19" s="460"/>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407"/>
      <c r="C20" s="407"/>
      <c r="D20" s="408"/>
      <c r="E20" s="448"/>
      <c r="F20" s="449"/>
      <c r="G20" s="449"/>
      <c r="H20" s="449"/>
      <c r="I20" s="449"/>
      <c r="J20" s="67" t="str">
        <f>IF(AND('Mapa final'!$Y$31="Alta",'Mapa final'!$AA$31="Leve"),CONCATENATE("R5C",'Mapa final'!$O$31),"")</f>
        <v/>
      </c>
      <c r="K20" s="68" t="str">
        <f>IF(AND('Mapa final'!$Y$32="Alta",'Mapa final'!$AA$32="Leve"),CONCATENATE("R5C",'Mapa final'!$O$32),"")</f>
        <v/>
      </c>
      <c r="L20" s="68" t="e">
        <f>IF(AND('Mapa final'!#REF!="Alta",'Mapa final'!#REF!="Leve"),CONCATENATE("R5C",'Mapa final'!#REF!),"")</f>
        <v>#REF!</v>
      </c>
      <c r="M20" s="68" t="e">
        <f>IF(AND('Mapa final'!#REF!="Alta",'Mapa final'!#REF!="Leve"),CONCATENATE("R5C",'Mapa final'!#REF!),"")</f>
        <v>#REF!</v>
      </c>
      <c r="N20" s="68" t="e">
        <f>IF(AND('Mapa final'!#REF!="Alta",'Mapa final'!#REF!="Leve"),CONCATENATE("R5C",'Mapa final'!#REF!),"")</f>
        <v>#REF!</v>
      </c>
      <c r="O20" s="69" t="e">
        <f>IF(AND('Mapa final'!#REF!="Alta",'Mapa final'!#REF!="Leve"),CONCATENATE("R5C",'Mapa final'!#REF!),"")</f>
        <v>#REF!</v>
      </c>
      <c r="P20" s="67" t="str">
        <f>IF(AND('Mapa final'!$Y$31="Alta",'Mapa final'!$AA$31="Menor"),CONCATENATE("R5C",'Mapa final'!$O$31),"")</f>
        <v/>
      </c>
      <c r="Q20" s="68" t="str">
        <f>IF(AND('Mapa final'!$Y$32="Alta",'Mapa final'!$AA$32="Menor"),CONCATENATE("R5C",'Mapa final'!$O$32),"")</f>
        <v/>
      </c>
      <c r="R20" s="68" t="e">
        <f>IF(AND('Mapa final'!#REF!="Alta",'Mapa final'!#REF!="Menor"),CONCATENATE("R5C",'Mapa final'!#REF!),"")</f>
        <v>#REF!</v>
      </c>
      <c r="S20" s="68" t="e">
        <f>IF(AND('Mapa final'!#REF!="Alta",'Mapa final'!#REF!="Menor"),CONCATENATE("R5C",'Mapa final'!#REF!),"")</f>
        <v>#REF!</v>
      </c>
      <c r="T20" s="68" t="e">
        <f>IF(AND('Mapa final'!#REF!="Alta",'Mapa final'!#REF!="Menor"),CONCATENATE("R5C",'Mapa final'!#REF!),"")</f>
        <v>#REF!</v>
      </c>
      <c r="U20" s="69" t="e">
        <f>IF(AND('Mapa final'!#REF!="Alta",'Mapa final'!#REF!="Menor"),CONCATENATE("R5C",'Mapa final'!#REF!),"")</f>
        <v>#REF!</v>
      </c>
      <c r="V20" s="52" t="str">
        <f>IF(AND('Mapa final'!$Y$31="Alta",'Mapa final'!$AA$31="Moderado"),CONCATENATE("R5C",'Mapa final'!$O$31),"")</f>
        <v/>
      </c>
      <c r="W20" s="53" t="str">
        <f>IF(AND('Mapa final'!$Y$32="Alta",'Mapa final'!$AA$32="Moderado"),CONCATENATE("R5C",'Mapa final'!$O$32),"")</f>
        <v/>
      </c>
      <c r="X20" s="53" t="e">
        <f>IF(AND('Mapa final'!#REF!="Alta",'Mapa final'!#REF!="Moderado"),CONCATENATE("R5C",'Mapa final'!#REF!),"")</f>
        <v>#REF!</v>
      </c>
      <c r="Y20" s="53" t="e">
        <f>IF(AND('Mapa final'!#REF!="Alta",'Mapa final'!#REF!="Moderado"),CONCATENATE("R5C",'Mapa final'!#REF!),"")</f>
        <v>#REF!</v>
      </c>
      <c r="Z20" s="53" t="e">
        <f>IF(AND('Mapa final'!#REF!="Alta",'Mapa final'!#REF!="Moderado"),CONCATENATE("R5C",'Mapa final'!#REF!),"")</f>
        <v>#REF!</v>
      </c>
      <c r="AA20" s="54" t="e">
        <f>IF(AND('Mapa final'!#REF!="Alta",'Mapa final'!#REF!="Moderado"),CONCATENATE("R5C",'Mapa final'!#REF!),"")</f>
        <v>#REF!</v>
      </c>
      <c r="AB20" s="52" t="str">
        <f>IF(AND('Mapa final'!$Y$31="Alta",'Mapa final'!$AA$31="Mayor"),CONCATENATE("R5C",'Mapa final'!$O$31),"")</f>
        <v/>
      </c>
      <c r="AC20" s="53" t="str">
        <f>IF(AND('Mapa final'!$Y$32="Alta",'Mapa final'!$AA$32="Mayor"),CONCATENATE("R5C",'Mapa final'!$O$32),"")</f>
        <v/>
      </c>
      <c r="AD20" s="53" t="e">
        <f>IF(AND('Mapa final'!#REF!="Alta",'Mapa final'!#REF!="Mayor"),CONCATENATE("R5C",'Mapa final'!#REF!),"")</f>
        <v>#REF!</v>
      </c>
      <c r="AE20" s="53" t="e">
        <f>IF(AND('Mapa final'!#REF!="Alta",'Mapa final'!#REF!="Mayor"),CONCATENATE("R5C",'Mapa final'!#REF!),"")</f>
        <v>#REF!</v>
      </c>
      <c r="AF20" s="53" t="e">
        <f>IF(AND('Mapa final'!#REF!="Alta",'Mapa final'!#REF!="Mayor"),CONCATENATE("R5C",'Mapa final'!#REF!),"")</f>
        <v>#REF!</v>
      </c>
      <c r="AG20" s="54" t="e">
        <f>IF(AND('Mapa final'!#REF!="Alta",'Mapa final'!#REF!="Mayor"),CONCATENATE("R5C",'Mapa final'!#REF!),"")</f>
        <v>#REF!</v>
      </c>
      <c r="AH20" s="55" t="str">
        <f>IF(AND('Mapa final'!$Y$31="Alta",'Mapa final'!$AA$31="Catastrófico"),CONCATENATE("R5C",'Mapa final'!$O$31),"")</f>
        <v/>
      </c>
      <c r="AI20" s="56" t="str">
        <f>IF(AND('Mapa final'!$Y$32="Alta",'Mapa final'!$AA$32="Catastrófico"),CONCATENATE("R5C",'Mapa final'!$O$32),"")</f>
        <v/>
      </c>
      <c r="AJ20" s="56" t="e">
        <f>IF(AND('Mapa final'!#REF!="Alta",'Mapa final'!#REF!="Catastrófico"),CONCATENATE("R5C",'Mapa final'!#REF!),"")</f>
        <v>#REF!</v>
      </c>
      <c r="AK20" s="56" t="e">
        <f>IF(AND('Mapa final'!#REF!="Alta",'Mapa final'!#REF!="Catastrófico"),CONCATENATE("R5C",'Mapa final'!#REF!),"")</f>
        <v>#REF!</v>
      </c>
      <c r="AL20" s="56" t="e">
        <f>IF(AND('Mapa final'!#REF!="Alta",'Mapa final'!#REF!="Catastrófico"),CONCATENATE("R5C",'Mapa final'!#REF!),"")</f>
        <v>#REF!</v>
      </c>
      <c r="AM20" s="57" t="e">
        <f>IF(AND('Mapa final'!#REF!="Alta",'Mapa final'!#REF!="Catastrófico"),CONCATENATE("R5C",'Mapa final'!#REF!),"")</f>
        <v>#REF!</v>
      </c>
      <c r="AN20" s="83"/>
      <c r="AO20" s="458"/>
      <c r="AP20" s="459"/>
      <c r="AQ20" s="459"/>
      <c r="AR20" s="459"/>
      <c r="AS20" s="459"/>
      <c r="AT20" s="460"/>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407"/>
      <c r="C21" s="407"/>
      <c r="D21" s="408"/>
      <c r="E21" s="448"/>
      <c r="F21" s="449"/>
      <c r="G21" s="449"/>
      <c r="H21" s="449"/>
      <c r="I21" s="449"/>
      <c r="J21" s="67" t="e">
        <f>IF(AND('Mapa final'!#REF!="Alta",'Mapa final'!#REF!="Leve"),CONCATENATE("R6C",'Mapa final'!#REF!),"")</f>
        <v>#REF!</v>
      </c>
      <c r="K21" s="68" t="e">
        <f>IF(AND('Mapa final'!#REF!="Alta",'Mapa final'!#REF!="Leve"),CONCATENATE("R6C",'Mapa final'!#REF!),"")</f>
        <v>#REF!</v>
      </c>
      <c r="L21" s="68" t="e">
        <f>IF(AND('Mapa final'!#REF!="Alta",'Mapa final'!#REF!="Leve"),CONCATENATE("R6C",'Mapa final'!#REF!),"")</f>
        <v>#REF!</v>
      </c>
      <c r="M21" s="68" t="e">
        <f>IF(AND('Mapa final'!#REF!="Alta",'Mapa final'!#REF!="Leve"),CONCATENATE("R6C",'Mapa final'!#REF!),"")</f>
        <v>#REF!</v>
      </c>
      <c r="N21" s="68" t="e">
        <f>IF(AND('Mapa final'!#REF!="Alta",'Mapa final'!#REF!="Leve"),CONCATENATE("R6C",'Mapa final'!#REF!),"")</f>
        <v>#REF!</v>
      </c>
      <c r="O21" s="69" t="e">
        <f>IF(AND('Mapa final'!#REF!="Alta",'Mapa final'!#REF!="Leve"),CONCATENATE("R6C",'Mapa final'!#REF!),"")</f>
        <v>#REF!</v>
      </c>
      <c r="P21" s="67" t="e">
        <f>IF(AND('Mapa final'!#REF!="Alta",'Mapa final'!#REF!="Menor"),CONCATENATE("R6C",'Mapa final'!#REF!),"")</f>
        <v>#REF!</v>
      </c>
      <c r="Q21" s="68" t="e">
        <f>IF(AND('Mapa final'!#REF!="Alta",'Mapa final'!#REF!="Menor"),CONCATENATE("R6C",'Mapa final'!#REF!),"")</f>
        <v>#REF!</v>
      </c>
      <c r="R21" s="68" t="e">
        <f>IF(AND('Mapa final'!#REF!="Alta",'Mapa final'!#REF!="Menor"),CONCATENATE("R6C",'Mapa final'!#REF!),"")</f>
        <v>#REF!</v>
      </c>
      <c r="S21" s="68" t="e">
        <f>IF(AND('Mapa final'!#REF!="Alta",'Mapa final'!#REF!="Menor"),CONCATENATE("R6C",'Mapa final'!#REF!),"")</f>
        <v>#REF!</v>
      </c>
      <c r="T21" s="68" t="e">
        <f>IF(AND('Mapa final'!#REF!="Alta",'Mapa final'!#REF!="Menor"),CONCATENATE("R6C",'Mapa final'!#REF!),"")</f>
        <v>#REF!</v>
      </c>
      <c r="U21" s="69" t="e">
        <f>IF(AND('Mapa final'!#REF!="Alta",'Mapa final'!#REF!="Menor"),CONCATENATE("R6C",'Mapa final'!#REF!),"")</f>
        <v>#REF!</v>
      </c>
      <c r="V21" s="52" t="e">
        <f>IF(AND('Mapa final'!#REF!="Alta",'Mapa final'!#REF!="Moderado"),CONCATENATE("R6C",'Mapa final'!#REF!),"")</f>
        <v>#REF!</v>
      </c>
      <c r="W21" s="53" t="e">
        <f>IF(AND('Mapa final'!#REF!="Alta",'Mapa final'!#REF!="Moderado"),CONCATENATE("R6C",'Mapa final'!#REF!),"")</f>
        <v>#REF!</v>
      </c>
      <c r="X21" s="53" t="e">
        <f>IF(AND('Mapa final'!#REF!="Alta",'Mapa final'!#REF!="Moderado"),CONCATENATE("R6C",'Mapa final'!#REF!),"")</f>
        <v>#REF!</v>
      </c>
      <c r="Y21" s="53" t="e">
        <f>IF(AND('Mapa final'!#REF!="Alta",'Mapa final'!#REF!="Moderado"),CONCATENATE("R6C",'Mapa final'!#REF!),"")</f>
        <v>#REF!</v>
      </c>
      <c r="Z21" s="53" t="e">
        <f>IF(AND('Mapa final'!#REF!="Alta",'Mapa final'!#REF!="Moderado"),CONCATENATE("R6C",'Mapa final'!#REF!),"")</f>
        <v>#REF!</v>
      </c>
      <c r="AA21" s="54" t="e">
        <f>IF(AND('Mapa final'!#REF!="Alta",'Mapa final'!#REF!="Moderado"),CONCATENATE("R6C",'Mapa final'!#REF!),"")</f>
        <v>#REF!</v>
      </c>
      <c r="AB21" s="52" t="e">
        <f>IF(AND('Mapa final'!#REF!="Alta",'Mapa final'!#REF!="Mayor"),CONCATENATE("R6C",'Mapa final'!#REF!),"")</f>
        <v>#REF!</v>
      </c>
      <c r="AC21" s="53" t="e">
        <f>IF(AND('Mapa final'!#REF!="Alta",'Mapa final'!#REF!="Mayor"),CONCATENATE("R6C",'Mapa final'!#REF!),"")</f>
        <v>#REF!</v>
      </c>
      <c r="AD21" s="53" t="e">
        <f>IF(AND('Mapa final'!#REF!="Alta",'Mapa final'!#REF!="Mayor"),CONCATENATE("R6C",'Mapa final'!#REF!),"")</f>
        <v>#REF!</v>
      </c>
      <c r="AE21" s="53" t="e">
        <f>IF(AND('Mapa final'!#REF!="Alta",'Mapa final'!#REF!="Mayor"),CONCATENATE("R6C",'Mapa final'!#REF!),"")</f>
        <v>#REF!</v>
      </c>
      <c r="AF21" s="53" t="e">
        <f>IF(AND('Mapa final'!#REF!="Alta",'Mapa final'!#REF!="Mayor"),CONCATENATE("R6C",'Mapa final'!#REF!),"")</f>
        <v>#REF!</v>
      </c>
      <c r="AG21" s="54" t="e">
        <f>IF(AND('Mapa final'!#REF!="Alta",'Mapa final'!#REF!="Mayor"),CONCATENATE("R6C",'Mapa final'!#REF!),"")</f>
        <v>#REF!</v>
      </c>
      <c r="AH21" s="55" t="e">
        <f>IF(AND('Mapa final'!#REF!="Alta",'Mapa final'!#REF!="Catastrófico"),CONCATENATE("R6C",'Mapa final'!#REF!),"")</f>
        <v>#REF!</v>
      </c>
      <c r="AI21" s="56" t="e">
        <f>IF(AND('Mapa final'!#REF!="Alta",'Mapa final'!#REF!="Catastrófico"),CONCATENATE("R6C",'Mapa final'!#REF!),"")</f>
        <v>#REF!</v>
      </c>
      <c r="AJ21" s="56" t="e">
        <f>IF(AND('Mapa final'!#REF!="Alta",'Mapa final'!#REF!="Catastrófico"),CONCATENATE("R6C",'Mapa final'!#REF!),"")</f>
        <v>#REF!</v>
      </c>
      <c r="AK21" s="56" t="e">
        <f>IF(AND('Mapa final'!#REF!="Alta",'Mapa final'!#REF!="Catastrófico"),CONCATENATE("R6C",'Mapa final'!#REF!),"")</f>
        <v>#REF!</v>
      </c>
      <c r="AL21" s="56" t="e">
        <f>IF(AND('Mapa final'!#REF!="Alta",'Mapa final'!#REF!="Catastrófico"),CONCATENATE("R6C",'Mapa final'!#REF!),"")</f>
        <v>#REF!</v>
      </c>
      <c r="AM21" s="57" t="e">
        <f>IF(AND('Mapa final'!#REF!="Alta",'Mapa final'!#REF!="Catastrófico"),CONCATENATE("R6C",'Mapa final'!#REF!),"")</f>
        <v>#REF!</v>
      </c>
      <c r="AN21" s="83"/>
      <c r="AO21" s="458"/>
      <c r="AP21" s="459"/>
      <c r="AQ21" s="459"/>
      <c r="AR21" s="459"/>
      <c r="AS21" s="459"/>
      <c r="AT21" s="460"/>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407"/>
      <c r="C22" s="407"/>
      <c r="D22" s="408"/>
      <c r="E22" s="448"/>
      <c r="F22" s="449"/>
      <c r="G22" s="449"/>
      <c r="H22" s="449"/>
      <c r="I22" s="449"/>
      <c r="J22" s="67" t="e">
        <f>IF(AND('Mapa final'!#REF!="Alta",'Mapa final'!#REF!="Leve"),CONCATENATE("R7C",'Mapa final'!#REF!),"")</f>
        <v>#REF!</v>
      </c>
      <c r="K22" s="68" t="e">
        <f>IF(AND('Mapa final'!#REF!="Alta",'Mapa final'!#REF!="Leve"),CONCATENATE("R7C",'Mapa final'!#REF!),"")</f>
        <v>#REF!</v>
      </c>
      <c r="L22" s="68" t="e">
        <f>IF(AND('Mapa final'!#REF!="Alta",'Mapa final'!#REF!="Leve"),CONCATENATE("R7C",'Mapa final'!#REF!),"")</f>
        <v>#REF!</v>
      </c>
      <c r="M22" s="68" t="e">
        <f>IF(AND('Mapa final'!#REF!="Alta",'Mapa final'!#REF!="Leve"),CONCATENATE("R7C",'Mapa final'!#REF!),"")</f>
        <v>#REF!</v>
      </c>
      <c r="N22" s="68" t="e">
        <f>IF(AND('Mapa final'!#REF!="Alta",'Mapa final'!#REF!="Leve"),CONCATENATE("R7C",'Mapa final'!#REF!),"")</f>
        <v>#REF!</v>
      </c>
      <c r="O22" s="69" t="e">
        <f>IF(AND('Mapa final'!#REF!="Alta",'Mapa final'!#REF!="Leve"),CONCATENATE("R7C",'Mapa final'!#REF!),"")</f>
        <v>#REF!</v>
      </c>
      <c r="P22" s="67" t="e">
        <f>IF(AND('Mapa final'!#REF!="Alta",'Mapa final'!#REF!="Menor"),CONCATENATE("R7C",'Mapa final'!#REF!),"")</f>
        <v>#REF!</v>
      </c>
      <c r="Q22" s="68" t="e">
        <f>IF(AND('Mapa final'!#REF!="Alta",'Mapa final'!#REF!="Menor"),CONCATENATE("R7C",'Mapa final'!#REF!),"")</f>
        <v>#REF!</v>
      </c>
      <c r="R22" s="68" t="e">
        <f>IF(AND('Mapa final'!#REF!="Alta",'Mapa final'!#REF!="Menor"),CONCATENATE("R7C",'Mapa final'!#REF!),"")</f>
        <v>#REF!</v>
      </c>
      <c r="S22" s="68" t="e">
        <f>IF(AND('Mapa final'!#REF!="Alta",'Mapa final'!#REF!="Menor"),CONCATENATE("R7C",'Mapa final'!#REF!),"")</f>
        <v>#REF!</v>
      </c>
      <c r="T22" s="68" t="e">
        <f>IF(AND('Mapa final'!#REF!="Alta",'Mapa final'!#REF!="Menor"),CONCATENATE("R7C",'Mapa final'!#REF!),"")</f>
        <v>#REF!</v>
      </c>
      <c r="U22" s="69" t="e">
        <f>IF(AND('Mapa final'!#REF!="Alta",'Mapa final'!#REF!="Menor"),CONCATENATE("R7C",'Mapa final'!#REF!),"")</f>
        <v>#REF!</v>
      </c>
      <c r="V22" s="52" t="e">
        <f>IF(AND('Mapa final'!#REF!="Alta",'Mapa final'!#REF!="Moderado"),CONCATENATE("R7C",'Mapa final'!#REF!),"")</f>
        <v>#REF!</v>
      </c>
      <c r="W22" s="53" t="e">
        <f>IF(AND('Mapa final'!#REF!="Alta",'Mapa final'!#REF!="Moderado"),CONCATENATE("R7C",'Mapa final'!#REF!),"")</f>
        <v>#REF!</v>
      </c>
      <c r="X22" s="53" t="e">
        <f>IF(AND('Mapa final'!#REF!="Alta",'Mapa final'!#REF!="Moderado"),CONCATENATE("R7C",'Mapa final'!#REF!),"")</f>
        <v>#REF!</v>
      </c>
      <c r="Y22" s="53" t="e">
        <f>IF(AND('Mapa final'!#REF!="Alta",'Mapa final'!#REF!="Moderado"),CONCATENATE("R7C",'Mapa final'!#REF!),"")</f>
        <v>#REF!</v>
      </c>
      <c r="Z22" s="53" t="e">
        <f>IF(AND('Mapa final'!#REF!="Alta",'Mapa final'!#REF!="Moderado"),CONCATENATE("R7C",'Mapa final'!#REF!),"")</f>
        <v>#REF!</v>
      </c>
      <c r="AA22" s="54" t="e">
        <f>IF(AND('Mapa final'!#REF!="Alta",'Mapa final'!#REF!="Moderado"),CONCATENATE("R7C",'Mapa final'!#REF!),"")</f>
        <v>#REF!</v>
      </c>
      <c r="AB22" s="52" t="e">
        <f>IF(AND('Mapa final'!#REF!="Alta",'Mapa final'!#REF!="Mayor"),CONCATENATE("R7C",'Mapa final'!#REF!),"")</f>
        <v>#REF!</v>
      </c>
      <c r="AC22" s="53" t="e">
        <f>IF(AND('Mapa final'!#REF!="Alta",'Mapa final'!#REF!="Mayor"),CONCATENATE("R7C",'Mapa final'!#REF!),"")</f>
        <v>#REF!</v>
      </c>
      <c r="AD22" s="53" t="e">
        <f>IF(AND('Mapa final'!#REF!="Alta",'Mapa final'!#REF!="Mayor"),CONCATENATE("R7C",'Mapa final'!#REF!),"")</f>
        <v>#REF!</v>
      </c>
      <c r="AE22" s="53" t="e">
        <f>IF(AND('Mapa final'!#REF!="Alta",'Mapa final'!#REF!="Mayor"),CONCATENATE("R7C",'Mapa final'!#REF!),"")</f>
        <v>#REF!</v>
      </c>
      <c r="AF22" s="53" t="e">
        <f>IF(AND('Mapa final'!#REF!="Alta",'Mapa final'!#REF!="Mayor"),CONCATENATE("R7C",'Mapa final'!#REF!),"")</f>
        <v>#REF!</v>
      </c>
      <c r="AG22" s="54" t="e">
        <f>IF(AND('Mapa final'!#REF!="Alta",'Mapa final'!#REF!="Mayor"),CONCATENATE("R7C",'Mapa final'!#REF!),"")</f>
        <v>#REF!</v>
      </c>
      <c r="AH22" s="55" t="e">
        <f>IF(AND('Mapa final'!#REF!="Alta",'Mapa final'!#REF!="Catastrófico"),CONCATENATE("R7C",'Mapa final'!#REF!),"")</f>
        <v>#REF!</v>
      </c>
      <c r="AI22" s="56" t="e">
        <f>IF(AND('Mapa final'!#REF!="Alta",'Mapa final'!#REF!="Catastrófico"),CONCATENATE("R7C",'Mapa final'!#REF!),"")</f>
        <v>#REF!</v>
      </c>
      <c r="AJ22" s="56" t="e">
        <f>IF(AND('Mapa final'!#REF!="Alta",'Mapa final'!#REF!="Catastrófico"),CONCATENATE("R7C",'Mapa final'!#REF!),"")</f>
        <v>#REF!</v>
      </c>
      <c r="AK22" s="56" t="e">
        <f>IF(AND('Mapa final'!#REF!="Alta",'Mapa final'!#REF!="Catastrófico"),CONCATENATE("R7C",'Mapa final'!#REF!),"")</f>
        <v>#REF!</v>
      </c>
      <c r="AL22" s="56" t="e">
        <f>IF(AND('Mapa final'!#REF!="Alta",'Mapa final'!#REF!="Catastrófico"),CONCATENATE("R7C",'Mapa final'!#REF!),"")</f>
        <v>#REF!</v>
      </c>
      <c r="AM22" s="57" t="e">
        <f>IF(AND('Mapa final'!#REF!="Alta",'Mapa final'!#REF!="Catastrófico"),CONCATENATE("R7C",'Mapa final'!#REF!),"")</f>
        <v>#REF!</v>
      </c>
      <c r="AN22" s="83"/>
      <c r="AO22" s="458"/>
      <c r="AP22" s="459"/>
      <c r="AQ22" s="459"/>
      <c r="AR22" s="459"/>
      <c r="AS22" s="459"/>
      <c r="AT22" s="460"/>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407"/>
      <c r="C23" s="407"/>
      <c r="D23" s="408"/>
      <c r="E23" s="448"/>
      <c r="F23" s="449"/>
      <c r="G23" s="449"/>
      <c r="H23" s="449"/>
      <c r="I23" s="449"/>
      <c r="J23" s="67" t="str">
        <f>IF(AND('Mapa final'!$Y$33="Alta",'Mapa final'!$AA$33="Leve"),CONCATENATE("R8C",'Mapa final'!$O$33),"")</f>
        <v/>
      </c>
      <c r="K23" s="68" t="str">
        <f>IF(AND('Mapa final'!$Y$34="Alta",'Mapa final'!$AA$34="Leve"),CONCATENATE("R8C",'Mapa final'!$O$34),"")</f>
        <v/>
      </c>
      <c r="L23" s="68" t="str">
        <f>IF(AND('Mapa final'!$Y$35="Alta",'Mapa final'!$AA$35="Leve"),CONCATENATE("R8C",'Mapa final'!$O$35),"")</f>
        <v/>
      </c>
      <c r="M23" s="68" t="str">
        <f>IF(AND('Mapa final'!$Y$36="Alta",'Mapa final'!$AA$36="Leve"),CONCATENATE("R8C",'Mapa final'!$O$36),"")</f>
        <v/>
      </c>
      <c r="N23" s="68" t="str">
        <f>IF(AND('Mapa final'!$Y$37="Alta",'Mapa final'!$AA$37="Leve"),CONCATENATE("R8C",'Mapa final'!$O$37),"")</f>
        <v/>
      </c>
      <c r="O23" s="69" t="str">
        <f>IF(AND('Mapa final'!$Y$38="Alta",'Mapa final'!$AA$38="Leve"),CONCATENATE("R8C",'Mapa final'!$O$38),"")</f>
        <v/>
      </c>
      <c r="P23" s="67" t="str">
        <f>IF(AND('Mapa final'!$Y$33="Alta",'Mapa final'!$AA$33="Menor"),CONCATENATE("R8C",'Mapa final'!$O$33),"")</f>
        <v/>
      </c>
      <c r="Q23" s="68" t="str">
        <f>IF(AND('Mapa final'!$Y$34="Alta",'Mapa final'!$AA$34="Menor"),CONCATENATE("R8C",'Mapa final'!$O$34),"")</f>
        <v/>
      </c>
      <c r="R23" s="68" t="str">
        <f>IF(AND('Mapa final'!$Y$35="Alta",'Mapa final'!$AA$35="Menor"),CONCATENATE("R8C",'Mapa final'!$O$35),"")</f>
        <v/>
      </c>
      <c r="S23" s="68" t="str">
        <f>IF(AND('Mapa final'!$Y$36="Alta",'Mapa final'!$AA$36="Menor"),CONCATENATE("R8C",'Mapa final'!$O$36),"")</f>
        <v/>
      </c>
      <c r="T23" s="68" t="str">
        <f>IF(AND('Mapa final'!$Y$37="Alta",'Mapa final'!$AA$37="Menor"),CONCATENATE("R8C",'Mapa final'!$O$37),"")</f>
        <v/>
      </c>
      <c r="U23" s="69" t="str">
        <f>IF(AND('Mapa final'!$Y$38="Alta",'Mapa final'!$AA$38="Menor"),CONCATENATE("R8C",'Mapa final'!$O$38),"")</f>
        <v/>
      </c>
      <c r="V23" s="52" t="str">
        <f>IF(AND('Mapa final'!$Y$33="Alta",'Mapa final'!$AA$33="Moderado"),CONCATENATE("R8C",'Mapa final'!$O$33),"")</f>
        <v/>
      </c>
      <c r="W23" s="53" t="str">
        <f>IF(AND('Mapa final'!$Y$34="Alta",'Mapa final'!$AA$34="Moderado"),CONCATENATE("R8C",'Mapa final'!$O$34),"")</f>
        <v/>
      </c>
      <c r="X23" s="53" t="str">
        <f>IF(AND('Mapa final'!$Y$35="Alta",'Mapa final'!$AA$35="Moderado"),CONCATENATE("R8C",'Mapa final'!$O$35),"")</f>
        <v/>
      </c>
      <c r="Y23" s="53" t="str">
        <f>IF(AND('Mapa final'!$Y$36="Alta",'Mapa final'!$AA$36="Moderado"),CONCATENATE("R8C",'Mapa final'!$O$36),"")</f>
        <v/>
      </c>
      <c r="Z23" s="53" t="str">
        <f>IF(AND('Mapa final'!$Y$37="Alta",'Mapa final'!$AA$37="Moderado"),CONCATENATE("R8C",'Mapa final'!$O$37),"")</f>
        <v/>
      </c>
      <c r="AA23" s="54" t="str">
        <f>IF(AND('Mapa final'!$Y$38="Alta",'Mapa final'!$AA$38="Moderado"),CONCATENATE("R8C",'Mapa final'!$O$38),"")</f>
        <v/>
      </c>
      <c r="AB23" s="52" t="str">
        <f>IF(AND('Mapa final'!$Y$33="Alta",'Mapa final'!$AA$33="Mayor"),CONCATENATE("R8C",'Mapa final'!$O$33),"")</f>
        <v/>
      </c>
      <c r="AC23" s="53" t="str">
        <f>IF(AND('Mapa final'!$Y$34="Alta",'Mapa final'!$AA$34="Mayor"),CONCATENATE("R8C",'Mapa final'!$O$34),"")</f>
        <v/>
      </c>
      <c r="AD23" s="53" t="str">
        <f>IF(AND('Mapa final'!$Y$35="Alta",'Mapa final'!$AA$35="Mayor"),CONCATENATE("R8C",'Mapa final'!$O$35),"")</f>
        <v/>
      </c>
      <c r="AE23" s="53" t="str">
        <f>IF(AND('Mapa final'!$Y$36="Alta",'Mapa final'!$AA$36="Mayor"),CONCATENATE("R8C",'Mapa final'!$O$36),"")</f>
        <v/>
      </c>
      <c r="AF23" s="53" t="str">
        <f>IF(AND('Mapa final'!$Y$37="Alta",'Mapa final'!$AA$37="Mayor"),CONCATENATE("R8C",'Mapa final'!$O$37),"")</f>
        <v/>
      </c>
      <c r="AG23" s="54" t="str">
        <f>IF(AND('Mapa final'!$Y$38="Alta",'Mapa final'!$AA$38="Mayor"),CONCATENATE("R8C",'Mapa final'!$O$38),"")</f>
        <v/>
      </c>
      <c r="AH23" s="55" t="str">
        <f>IF(AND('Mapa final'!$Y$33="Alta",'Mapa final'!$AA$33="Catastrófico"),CONCATENATE("R8C",'Mapa final'!$O$33),"")</f>
        <v/>
      </c>
      <c r="AI23" s="56" t="str">
        <f>IF(AND('Mapa final'!$Y$34="Alta",'Mapa final'!$AA$34="Catastrófico"),CONCATENATE("R8C",'Mapa final'!$O$34),"")</f>
        <v/>
      </c>
      <c r="AJ23" s="56" t="str">
        <f>IF(AND('Mapa final'!$Y$35="Alta",'Mapa final'!$AA$35="Catastrófico"),CONCATENATE("R8C",'Mapa final'!$O$35),"")</f>
        <v/>
      </c>
      <c r="AK23" s="56" t="str">
        <f>IF(AND('Mapa final'!$Y$36="Alta",'Mapa final'!$AA$36="Catastrófico"),CONCATENATE("R8C",'Mapa final'!$O$36),"")</f>
        <v/>
      </c>
      <c r="AL23" s="56" t="str">
        <f>IF(AND('Mapa final'!$Y$37="Alta",'Mapa final'!$AA$37="Catastrófico"),CONCATENATE("R8C",'Mapa final'!$O$37),"")</f>
        <v/>
      </c>
      <c r="AM23" s="57" t="str">
        <f>IF(AND('Mapa final'!$Y$38="Alta",'Mapa final'!$AA$38="Catastrófico"),CONCATENATE("R8C",'Mapa final'!$O$38),"")</f>
        <v/>
      </c>
      <c r="AN23" s="83"/>
      <c r="AO23" s="458"/>
      <c r="AP23" s="459"/>
      <c r="AQ23" s="459"/>
      <c r="AR23" s="459"/>
      <c r="AS23" s="459"/>
      <c r="AT23" s="460"/>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407"/>
      <c r="C24" s="407"/>
      <c r="D24" s="408"/>
      <c r="E24" s="448"/>
      <c r="F24" s="449"/>
      <c r="G24" s="449"/>
      <c r="H24" s="449"/>
      <c r="I24" s="449"/>
      <c r="J24" s="67" t="str">
        <f>IF(AND('Mapa final'!$Y$39="Alta",'Mapa final'!$AA$39="Leve"),CONCATENATE("R9C",'Mapa final'!$O$39),"")</f>
        <v/>
      </c>
      <c r="K24" s="68" t="str">
        <f>IF(AND('Mapa final'!$Y$40="Alta",'Mapa final'!$AA$40="Leve"),CONCATENATE("R9C",'Mapa final'!$O$40),"")</f>
        <v/>
      </c>
      <c r="L24" s="68" t="str">
        <f>IF(AND('Mapa final'!$Y$41="Alta",'Mapa final'!$AA$41="Leve"),CONCATENATE("R9C",'Mapa final'!$O$41),"")</f>
        <v/>
      </c>
      <c r="M24" s="68" t="str">
        <f>IF(AND('Mapa final'!$Y$42="Alta",'Mapa final'!$AA$42="Leve"),CONCATENATE("R9C",'Mapa final'!$O$42),"")</f>
        <v/>
      </c>
      <c r="N24" s="68" t="str">
        <f>IF(AND('Mapa final'!$Y$43="Alta",'Mapa final'!$AA$43="Leve"),CONCATENATE("R9C",'Mapa final'!$O$43),"")</f>
        <v/>
      </c>
      <c r="O24" s="69" t="str">
        <f>IF(AND('Mapa final'!$Y$44="Alta",'Mapa final'!$AA$44="Leve"),CONCATENATE("R9C",'Mapa final'!$O$44),"")</f>
        <v/>
      </c>
      <c r="P24" s="67" t="str">
        <f>IF(AND('Mapa final'!$Y$39="Alta",'Mapa final'!$AA$39="Menor"),CONCATENATE("R9C",'Mapa final'!$O$39),"")</f>
        <v/>
      </c>
      <c r="Q24" s="68" t="str">
        <f>IF(AND('Mapa final'!$Y$40="Alta",'Mapa final'!$AA$40="Menor"),CONCATENATE("R9C",'Mapa final'!$O$40),"")</f>
        <v/>
      </c>
      <c r="R24" s="68" t="str">
        <f>IF(AND('Mapa final'!$Y$41="Alta",'Mapa final'!$AA$41="Menor"),CONCATENATE("R9C",'Mapa final'!$O$41),"")</f>
        <v/>
      </c>
      <c r="S24" s="68" t="str">
        <f>IF(AND('Mapa final'!$Y$42="Alta",'Mapa final'!$AA$42="Menor"),CONCATENATE("R9C",'Mapa final'!$O$42),"")</f>
        <v/>
      </c>
      <c r="T24" s="68" t="str">
        <f>IF(AND('Mapa final'!$Y$43="Alta",'Mapa final'!$AA$43="Menor"),CONCATENATE("R9C",'Mapa final'!$O$43),"")</f>
        <v/>
      </c>
      <c r="U24" s="69" t="str">
        <f>IF(AND('Mapa final'!$Y$44="Alta",'Mapa final'!$AA$44="Menor"),CONCATENATE("R9C",'Mapa final'!$O$44),"")</f>
        <v/>
      </c>
      <c r="V24" s="52" t="str">
        <f>IF(AND('Mapa final'!$Y$39="Alta",'Mapa final'!$AA$39="Moderado"),CONCATENATE("R9C",'Mapa final'!$O$39),"")</f>
        <v/>
      </c>
      <c r="W24" s="53" t="str">
        <f>IF(AND('Mapa final'!$Y$40="Alta",'Mapa final'!$AA$40="Moderado"),CONCATENATE("R9C",'Mapa final'!$O$40),"")</f>
        <v/>
      </c>
      <c r="X24" s="53" t="str">
        <f>IF(AND('Mapa final'!$Y$41="Alta",'Mapa final'!$AA$41="Moderado"),CONCATENATE("R9C",'Mapa final'!$O$41),"")</f>
        <v/>
      </c>
      <c r="Y24" s="53" t="str">
        <f>IF(AND('Mapa final'!$Y$42="Alta",'Mapa final'!$AA$42="Moderado"),CONCATENATE("R9C",'Mapa final'!$O$42),"")</f>
        <v/>
      </c>
      <c r="Z24" s="53" t="str">
        <f>IF(AND('Mapa final'!$Y$43="Alta",'Mapa final'!$AA$43="Moderado"),CONCATENATE("R9C",'Mapa final'!$O$43),"")</f>
        <v/>
      </c>
      <c r="AA24" s="54" t="str">
        <f>IF(AND('Mapa final'!$Y$44="Alta",'Mapa final'!$AA$44="Moderado"),CONCATENATE("R9C",'Mapa final'!$O$44),"")</f>
        <v/>
      </c>
      <c r="AB24" s="52" t="str">
        <f>IF(AND('Mapa final'!$Y$39="Alta",'Mapa final'!$AA$39="Mayor"),CONCATENATE("R9C",'Mapa final'!$O$39),"")</f>
        <v/>
      </c>
      <c r="AC24" s="53" t="str">
        <f>IF(AND('Mapa final'!$Y$40="Alta",'Mapa final'!$AA$40="Mayor"),CONCATENATE("R9C",'Mapa final'!$O$40),"")</f>
        <v/>
      </c>
      <c r="AD24" s="53" t="str">
        <f>IF(AND('Mapa final'!$Y$41="Alta",'Mapa final'!$AA$41="Mayor"),CONCATENATE("R9C",'Mapa final'!$O$41),"")</f>
        <v/>
      </c>
      <c r="AE24" s="53" t="str">
        <f>IF(AND('Mapa final'!$Y$42="Alta",'Mapa final'!$AA$42="Mayor"),CONCATENATE("R9C",'Mapa final'!$O$42),"")</f>
        <v/>
      </c>
      <c r="AF24" s="53" t="str">
        <f>IF(AND('Mapa final'!$Y$43="Alta",'Mapa final'!$AA$43="Mayor"),CONCATENATE("R9C",'Mapa final'!$O$43),"")</f>
        <v/>
      </c>
      <c r="AG24" s="54" t="str">
        <f>IF(AND('Mapa final'!$Y$44="Alta",'Mapa final'!$AA$44="Mayor"),CONCATENATE("R9C",'Mapa final'!$O$44),"")</f>
        <v/>
      </c>
      <c r="AH24" s="55" t="str">
        <f>IF(AND('Mapa final'!$Y$39="Alta",'Mapa final'!$AA$39="Catastrófico"),CONCATENATE("R9C",'Mapa final'!$O$39),"")</f>
        <v/>
      </c>
      <c r="AI24" s="56" t="str">
        <f>IF(AND('Mapa final'!$Y$40="Alta",'Mapa final'!$AA$40="Catastrófico"),CONCATENATE("R9C",'Mapa final'!$O$40),"")</f>
        <v/>
      </c>
      <c r="AJ24" s="56" t="str">
        <f>IF(AND('Mapa final'!$Y$41="Alta",'Mapa final'!$AA$41="Catastrófico"),CONCATENATE("R9C",'Mapa final'!$O$41),"")</f>
        <v/>
      </c>
      <c r="AK24" s="56" t="str">
        <f>IF(AND('Mapa final'!$Y$42="Alta",'Mapa final'!$AA$42="Catastrófico"),CONCATENATE("R9C",'Mapa final'!$O$42),"")</f>
        <v/>
      </c>
      <c r="AL24" s="56" t="str">
        <f>IF(AND('Mapa final'!$Y$43="Alta",'Mapa final'!$AA$43="Catastrófico"),CONCATENATE("R9C",'Mapa final'!$O$43),"")</f>
        <v/>
      </c>
      <c r="AM24" s="57" t="str">
        <f>IF(AND('Mapa final'!$Y$44="Alta",'Mapa final'!$AA$44="Catastrófico"),CONCATENATE("R9C",'Mapa final'!$O$44),"")</f>
        <v/>
      </c>
      <c r="AN24" s="83"/>
      <c r="AO24" s="458"/>
      <c r="AP24" s="459"/>
      <c r="AQ24" s="459"/>
      <c r="AR24" s="459"/>
      <c r="AS24" s="459"/>
      <c r="AT24" s="460"/>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407"/>
      <c r="C25" s="407"/>
      <c r="D25" s="408"/>
      <c r="E25" s="451"/>
      <c r="F25" s="452"/>
      <c r="G25" s="452"/>
      <c r="H25" s="452"/>
      <c r="I25" s="452"/>
      <c r="J25" s="70" t="str">
        <f>IF(AND('Mapa final'!$Y$45="Alta",'Mapa final'!$AA$45="Leve"),CONCATENATE("R10C",'Mapa final'!$O$45),"")</f>
        <v/>
      </c>
      <c r="K25" s="71" t="str">
        <f>IF(AND('Mapa final'!$Y$46="Alta",'Mapa final'!$AA$46="Leve"),CONCATENATE("R10C",'Mapa final'!$O$46),"")</f>
        <v/>
      </c>
      <c r="L25" s="71" t="str">
        <f>IF(AND('Mapa final'!$Y$47="Alta",'Mapa final'!$AA$47="Leve"),CONCATENATE("R10C",'Mapa final'!$O$47),"")</f>
        <v/>
      </c>
      <c r="M25" s="71" t="str">
        <f>IF(AND('Mapa final'!$Y$48="Alta",'Mapa final'!$AA$48="Leve"),CONCATENATE("R10C",'Mapa final'!$O$48),"")</f>
        <v/>
      </c>
      <c r="N25" s="71" t="str">
        <f>IF(AND('Mapa final'!$Y$49="Alta",'Mapa final'!$AA$49="Leve"),CONCATENATE("R10C",'Mapa final'!$O$49),"")</f>
        <v/>
      </c>
      <c r="O25" s="72" t="str">
        <f>IF(AND('Mapa final'!$Y$50="Alta",'Mapa final'!$AA$50="Leve"),CONCATENATE("R10C",'Mapa final'!$O$50),"")</f>
        <v/>
      </c>
      <c r="P25" s="70" t="str">
        <f>IF(AND('Mapa final'!$Y$45="Alta",'Mapa final'!$AA$45="Menor"),CONCATENATE("R10C",'Mapa final'!$O$45),"")</f>
        <v/>
      </c>
      <c r="Q25" s="71" t="str">
        <f>IF(AND('Mapa final'!$Y$46="Alta",'Mapa final'!$AA$46="Menor"),CONCATENATE("R10C",'Mapa final'!$O$46),"")</f>
        <v/>
      </c>
      <c r="R25" s="71" t="str">
        <f>IF(AND('Mapa final'!$Y$47="Alta",'Mapa final'!$AA$47="Menor"),CONCATENATE("R10C",'Mapa final'!$O$47),"")</f>
        <v/>
      </c>
      <c r="S25" s="71" t="str">
        <f>IF(AND('Mapa final'!$Y$48="Alta",'Mapa final'!$AA$48="Menor"),CONCATENATE("R10C",'Mapa final'!$O$48),"")</f>
        <v/>
      </c>
      <c r="T25" s="71" t="str">
        <f>IF(AND('Mapa final'!$Y$49="Alta",'Mapa final'!$AA$49="Menor"),CONCATENATE("R10C",'Mapa final'!$O$49),"")</f>
        <v/>
      </c>
      <c r="U25" s="72" t="str">
        <f>IF(AND('Mapa final'!$Y$50="Alta",'Mapa final'!$AA$50="Menor"),CONCATENATE("R10C",'Mapa final'!$O$50),"")</f>
        <v/>
      </c>
      <c r="V25" s="58" t="str">
        <f>IF(AND('Mapa final'!$Y$45="Alta",'Mapa final'!$AA$45="Moderado"),CONCATENATE("R10C",'Mapa final'!$O$45),"")</f>
        <v/>
      </c>
      <c r="W25" s="59" t="str">
        <f>IF(AND('Mapa final'!$Y$46="Alta",'Mapa final'!$AA$46="Moderado"),CONCATENATE("R10C",'Mapa final'!$O$46),"")</f>
        <v/>
      </c>
      <c r="X25" s="59" t="str">
        <f>IF(AND('Mapa final'!$Y$47="Alta",'Mapa final'!$AA$47="Moderado"),CONCATENATE("R10C",'Mapa final'!$O$47),"")</f>
        <v/>
      </c>
      <c r="Y25" s="59" t="str">
        <f>IF(AND('Mapa final'!$Y$48="Alta",'Mapa final'!$AA$48="Moderado"),CONCATENATE("R10C",'Mapa final'!$O$48),"")</f>
        <v/>
      </c>
      <c r="Z25" s="59" t="str">
        <f>IF(AND('Mapa final'!$Y$49="Alta",'Mapa final'!$AA$49="Moderado"),CONCATENATE("R10C",'Mapa final'!$O$49),"")</f>
        <v/>
      </c>
      <c r="AA25" s="60" t="str">
        <f>IF(AND('Mapa final'!$Y$50="Alta",'Mapa final'!$AA$50="Moderado"),CONCATENATE("R10C",'Mapa final'!$O$50),"")</f>
        <v/>
      </c>
      <c r="AB25" s="58" t="str">
        <f>IF(AND('Mapa final'!$Y$45="Alta",'Mapa final'!$AA$45="Mayor"),CONCATENATE("R10C",'Mapa final'!$O$45),"")</f>
        <v/>
      </c>
      <c r="AC25" s="59" t="str">
        <f>IF(AND('Mapa final'!$Y$46="Alta",'Mapa final'!$AA$46="Mayor"),CONCATENATE("R10C",'Mapa final'!$O$46),"")</f>
        <v/>
      </c>
      <c r="AD25" s="59" t="str">
        <f>IF(AND('Mapa final'!$Y$47="Alta",'Mapa final'!$AA$47="Mayor"),CONCATENATE("R10C",'Mapa final'!$O$47),"")</f>
        <v/>
      </c>
      <c r="AE25" s="59" t="str">
        <f>IF(AND('Mapa final'!$Y$48="Alta",'Mapa final'!$AA$48="Mayor"),CONCATENATE("R10C",'Mapa final'!$O$48),"")</f>
        <v/>
      </c>
      <c r="AF25" s="59" t="str">
        <f>IF(AND('Mapa final'!$Y$49="Alta",'Mapa final'!$AA$49="Mayor"),CONCATENATE("R10C",'Mapa final'!$O$49),"")</f>
        <v/>
      </c>
      <c r="AG25" s="60" t="str">
        <f>IF(AND('Mapa final'!$Y$50="Alta",'Mapa final'!$AA$50="Mayor"),CONCATENATE("R10C",'Mapa final'!$O$50),"")</f>
        <v/>
      </c>
      <c r="AH25" s="61" t="str">
        <f>IF(AND('Mapa final'!$Y$45="Alta",'Mapa final'!$AA$45="Catastrófico"),CONCATENATE("R10C",'Mapa final'!$O$45),"")</f>
        <v/>
      </c>
      <c r="AI25" s="62" t="str">
        <f>IF(AND('Mapa final'!$Y$46="Alta",'Mapa final'!$AA$46="Catastrófico"),CONCATENATE("R10C",'Mapa final'!$O$46),"")</f>
        <v/>
      </c>
      <c r="AJ25" s="62" t="str">
        <f>IF(AND('Mapa final'!$Y$47="Alta",'Mapa final'!$AA$47="Catastrófico"),CONCATENATE("R10C",'Mapa final'!$O$47),"")</f>
        <v/>
      </c>
      <c r="AK25" s="62" t="str">
        <f>IF(AND('Mapa final'!$Y$48="Alta",'Mapa final'!$AA$48="Catastrófico"),CONCATENATE("R10C",'Mapa final'!$O$48),"")</f>
        <v/>
      </c>
      <c r="AL25" s="62" t="str">
        <f>IF(AND('Mapa final'!$Y$49="Alta",'Mapa final'!$AA$49="Catastrófico"),CONCATENATE("R10C",'Mapa final'!$O$49),"")</f>
        <v/>
      </c>
      <c r="AM25" s="63" t="str">
        <f>IF(AND('Mapa final'!$Y$50="Alta",'Mapa final'!$AA$50="Catastrófico"),CONCATENATE("R10C",'Mapa final'!$O$50),"")</f>
        <v/>
      </c>
      <c r="AN25" s="83"/>
      <c r="AO25" s="461"/>
      <c r="AP25" s="462"/>
      <c r="AQ25" s="462"/>
      <c r="AR25" s="462"/>
      <c r="AS25" s="462"/>
      <c r="AT25" s="46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407"/>
      <c r="C26" s="407"/>
      <c r="D26" s="408"/>
      <c r="E26" s="445" t="s">
        <v>96</v>
      </c>
      <c r="F26" s="446"/>
      <c r="G26" s="446"/>
      <c r="H26" s="446"/>
      <c r="I26" s="447"/>
      <c r="J26" s="64" t="str">
        <f>IF(AND('Mapa final'!$Y$24="Media",'Mapa final'!$AA$24="Leve"),CONCATENATE("R1C",'Mapa final'!$O$24),"")</f>
        <v/>
      </c>
      <c r="K26" s="65" t="str">
        <f>IF(AND('Mapa final'!$Y$25="Media",'Mapa final'!$AA$25="Leve"),CONCATENATE("R1C",'Mapa final'!$O$25),"")</f>
        <v/>
      </c>
      <c r="L26" s="65" t="e">
        <f>IF(AND('Mapa final'!#REF!="Media",'Mapa final'!#REF!="Leve"),CONCATENATE("R1C",'Mapa final'!#REF!),"")</f>
        <v>#REF!</v>
      </c>
      <c r="M26" s="65" t="e">
        <f>IF(AND('Mapa final'!#REF!="Media",'Mapa final'!#REF!="Leve"),CONCATENATE("R1C",'Mapa final'!#REF!),"")</f>
        <v>#REF!</v>
      </c>
      <c r="N26" s="65" t="e">
        <f>IF(AND('Mapa final'!#REF!="Media",'Mapa final'!#REF!="Leve"),CONCATENATE("R1C",'Mapa final'!#REF!),"")</f>
        <v>#REF!</v>
      </c>
      <c r="O26" s="66" t="e">
        <f>IF(AND('Mapa final'!#REF!="Media",'Mapa final'!#REF!="Leve"),CONCATENATE("R1C",'Mapa final'!#REF!),"")</f>
        <v>#REF!</v>
      </c>
      <c r="P26" s="64" t="str">
        <f>IF(AND('Mapa final'!$Y$24="Media",'Mapa final'!$AA$24="Menor"),CONCATENATE("R1C",'Mapa final'!$O$24),"")</f>
        <v/>
      </c>
      <c r="Q26" s="65" t="str">
        <f>IF(AND('Mapa final'!$Y$25="Media",'Mapa final'!$AA$25="Menor"),CONCATENATE("R1C",'Mapa final'!$O$25),"")</f>
        <v/>
      </c>
      <c r="R26" s="65" t="e">
        <f>IF(AND('Mapa final'!#REF!="Media",'Mapa final'!#REF!="Menor"),CONCATENATE("R1C",'Mapa final'!#REF!),"")</f>
        <v>#REF!</v>
      </c>
      <c r="S26" s="65" t="e">
        <f>IF(AND('Mapa final'!#REF!="Media",'Mapa final'!#REF!="Menor"),CONCATENATE("R1C",'Mapa final'!#REF!),"")</f>
        <v>#REF!</v>
      </c>
      <c r="T26" s="65" t="e">
        <f>IF(AND('Mapa final'!#REF!="Media",'Mapa final'!#REF!="Menor"),CONCATENATE("R1C",'Mapa final'!#REF!),"")</f>
        <v>#REF!</v>
      </c>
      <c r="U26" s="66" t="e">
        <f>IF(AND('Mapa final'!#REF!="Media",'Mapa final'!#REF!="Menor"),CONCATENATE("R1C",'Mapa final'!#REF!),"")</f>
        <v>#REF!</v>
      </c>
      <c r="V26" s="64" t="str">
        <f>IF(AND('Mapa final'!$Y$24="Media",'Mapa final'!$AA$24="Moderado"),CONCATENATE("R1C",'Mapa final'!$O$24),"")</f>
        <v/>
      </c>
      <c r="W26" s="65" t="str">
        <f>IF(AND('Mapa final'!$Y$25="Media",'Mapa final'!$AA$25="Moderado"),CONCATENATE("R1C",'Mapa final'!$O$25),"")</f>
        <v/>
      </c>
      <c r="X26" s="65" t="e">
        <f>IF(AND('Mapa final'!#REF!="Media",'Mapa final'!#REF!="Moderado"),CONCATENATE("R1C",'Mapa final'!#REF!),"")</f>
        <v>#REF!</v>
      </c>
      <c r="Y26" s="65" t="e">
        <f>IF(AND('Mapa final'!#REF!="Media",'Mapa final'!#REF!="Moderado"),CONCATENATE("R1C",'Mapa final'!#REF!),"")</f>
        <v>#REF!</v>
      </c>
      <c r="Z26" s="65" t="e">
        <f>IF(AND('Mapa final'!#REF!="Media",'Mapa final'!#REF!="Moderado"),CONCATENATE("R1C",'Mapa final'!#REF!),"")</f>
        <v>#REF!</v>
      </c>
      <c r="AA26" s="66" t="e">
        <f>IF(AND('Mapa final'!#REF!="Media",'Mapa final'!#REF!="Moderado"),CONCATENATE("R1C",'Mapa final'!#REF!),"")</f>
        <v>#REF!</v>
      </c>
      <c r="AB26" s="46" t="str">
        <f>IF(AND('Mapa final'!$Y$24="Media",'Mapa final'!$AA$24="Mayor"),CONCATENATE("R1C",'Mapa final'!$O$24),"")</f>
        <v/>
      </c>
      <c r="AC26" s="47" t="str">
        <f>IF(AND('Mapa final'!$Y$25="Media",'Mapa final'!$AA$25="Mayor"),CONCATENATE("R1C",'Mapa final'!$O$25),"")</f>
        <v/>
      </c>
      <c r="AD26" s="47" t="e">
        <f>IF(AND('Mapa final'!#REF!="Media",'Mapa final'!#REF!="Mayor"),CONCATENATE("R1C",'Mapa final'!#REF!),"")</f>
        <v>#REF!</v>
      </c>
      <c r="AE26" s="47" t="e">
        <f>IF(AND('Mapa final'!#REF!="Media",'Mapa final'!#REF!="Mayor"),CONCATENATE("R1C",'Mapa final'!#REF!),"")</f>
        <v>#REF!</v>
      </c>
      <c r="AF26" s="47" t="e">
        <f>IF(AND('Mapa final'!#REF!="Media",'Mapa final'!#REF!="Mayor"),CONCATENATE("R1C",'Mapa final'!#REF!),"")</f>
        <v>#REF!</v>
      </c>
      <c r="AG26" s="48" t="e">
        <f>IF(AND('Mapa final'!#REF!="Media",'Mapa final'!#REF!="Mayor"),CONCATENATE("R1C",'Mapa final'!#REF!),"")</f>
        <v>#REF!</v>
      </c>
      <c r="AH26" s="49" t="str">
        <f>IF(AND('Mapa final'!$Y$24="Media",'Mapa final'!$AA$24="Catastrófico"),CONCATENATE("R1C",'Mapa final'!$O$24),"")</f>
        <v/>
      </c>
      <c r="AI26" s="50" t="str">
        <f>IF(AND('Mapa final'!$Y$25="Media",'Mapa final'!$AA$25="Catastrófico"),CONCATENATE("R1C",'Mapa final'!$O$25),"")</f>
        <v/>
      </c>
      <c r="AJ26" s="50" t="e">
        <f>IF(AND('Mapa final'!#REF!="Media",'Mapa final'!#REF!="Catastrófico"),CONCATENATE("R1C",'Mapa final'!#REF!),"")</f>
        <v>#REF!</v>
      </c>
      <c r="AK26" s="50" t="e">
        <f>IF(AND('Mapa final'!#REF!="Media",'Mapa final'!#REF!="Catastrófico"),CONCATENATE("R1C",'Mapa final'!#REF!),"")</f>
        <v>#REF!</v>
      </c>
      <c r="AL26" s="50" t="e">
        <f>IF(AND('Mapa final'!#REF!="Media",'Mapa final'!#REF!="Catastrófico"),CONCATENATE("R1C",'Mapa final'!#REF!),"")</f>
        <v>#REF!</v>
      </c>
      <c r="AM26" s="51" t="e">
        <f>IF(AND('Mapa final'!#REF!="Media",'Mapa final'!#REF!="Catastrófico"),CONCATENATE("R1C",'Mapa final'!#REF!),"")</f>
        <v>#REF!</v>
      </c>
      <c r="AN26" s="83"/>
      <c r="AO26" s="485" t="s">
        <v>97</v>
      </c>
      <c r="AP26" s="486"/>
      <c r="AQ26" s="486"/>
      <c r="AR26" s="486"/>
      <c r="AS26" s="486"/>
      <c r="AT26" s="487"/>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407"/>
      <c r="C27" s="407"/>
      <c r="D27" s="408"/>
      <c r="E27" s="464"/>
      <c r="F27" s="449"/>
      <c r="G27" s="449"/>
      <c r="H27" s="449"/>
      <c r="I27" s="450"/>
      <c r="J27" s="67" t="str">
        <f>IF(AND('Mapa final'!$Y$26="Media",'Mapa final'!$AA$26="Leve"),CONCATENATE("R2C",'Mapa final'!$O$26),"")</f>
        <v/>
      </c>
      <c r="K27" s="68" t="e">
        <f>IF(AND('Mapa final'!#REF!="Media",'Mapa final'!#REF!="Leve"),CONCATENATE("R2C",'Mapa final'!#REF!),"")</f>
        <v>#REF!</v>
      </c>
      <c r="L27" s="68" t="e">
        <f>IF(AND('Mapa final'!#REF!="Media",'Mapa final'!#REF!="Leve"),CONCATENATE("R2C",'Mapa final'!#REF!),"")</f>
        <v>#REF!</v>
      </c>
      <c r="M27" s="68" t="e">
        <f>IF(AND('Mapa final'!#REF!="Media",'Mapa final'!#REF!="Leve"),CONCATENATE("R2C",'Mapa final'!#REF!),"")</f>
        <v>#REF!</v>
      </c>
      <c r="N27" s="68" t="e">
        <f>IF(AND('Mapa final'!#REF!="Media",'Mapa final'!#REF!="Leve"),CONCATENATE("R2C",'Mapa final'!#REF!),"")</f>
        <v>#REF!</v>
      </c>
      <c r="O27" s="69" t="e">
        <f>IF(AND('Mapa final'!#REF!="Media",'Mapa final'!#REF!="Leve"),CONCATENATE("R2C",'Mapa final'!#REF!),"")</f>
        <v>#REF!</v>
      </c>
      <c r="P27" s="67" t="str">
        <f>IF(AND('Mapa final'!$Y$26="Media",'Mapa final'!$AA$26="Menor"),CONCATENATE("R2C",'Mapa final'!$O$26),"")</f>
        <v/>
      </c>
      <c r="Q27" s="68" t="e">
        <f>IF(AND('Mapa final'!#REF!="Media",'Mapa final'!#REF!="Menor"),CONCATENATE("R2C",'Mapa final'!#REF!),"")</f>
        <v>#REF!</v>
      </c>
      <c r="R27" s="68" t="e">
        <f>IF(AND('Mapa final'!#REF!="Media",'Mapa final'!#REF!="Menor"),CONCATENATE("R2C",'Mapa final'!#REF!),"")</f>
        <v>#REF!</v>
      </c>
      <c r="S27" s="68" t="e">
        <f>IF(AND('Mapa final'!#REF!="Media",'Mapa final'!#REF!="Menor"),CONCATENATE("R2C",'Mapa final'!#REF!),"")</f>
        <v>#REF!</v>
      </c>
      <c r="T27" s="68" t="e">
        <f>IF(AND('Mapa final'!#REF!="Media",'Mapa final'!#REF!="Menor"),CONCATENATE("R2C",'Mapa final'!#REF!),"")</f>
        <v>#REF!</v>
      </c>
      <c r="U27" s="69" t="e">
        <f>IF(AND('Mapa final'!#REF!="Media",'Mapa final'!#REF!="Menor"),CONCATENATE("R2C",'Mapa final'!#REF!),"")</f>
        <v>#REF!</v>
      </c>
      <c r="V27" s="67" t="str">
        <f>IF(AND('Mapa final'!$Y$26="Media",'Mapa final'!$AA$26="Moderado"),CONCATENATE("R2C",'Mapa final'!$O$26),"")</f>
        <v/>
      </c>
      <c r="W27" s="68" t="e">
        <f>IF(AND('Mapa final'!#REF!="Media",'Mapa final'!#REF!="Moderado"),CONCATENATE("R2C",'Mapa final'!#REF!),"")</f>
        <v>#REF!</v>
      </c>
      <c r="X27" s="68" t="e">
        <f>IF(AND('Mapa final'!#REF!="Media",'Mapa final'!#REF!="Moderado"),CONCATENATE("R2C",'Mapa final'!#REF!),"")</f>
        <v>#REF!</v>
      </c>
      <c r="Y27" s="68" t="e">
        <f>IF(AND('Mapa final'!#REF!="Media",'Mapa final'!#REF!="Moderado"),CONCATENATE("R2C",'Mapa final'!#REF!),"")</f>
        <v>#REF!</v>
      </c>
      <c r="Z27" s="68" t="e">
        <f>IF(AND('Mapa final'!#REF!="Media",'Mapa final'!#REF!="Moderado"),CONCATENATE("R2C",'Mapa final'!#REF!),"")</f>
        <v>#REF!</v>
      </c>
      <c r="AA27" s="69" t="e">
        <f>IF(AND('Mapa final'!#REF!="Media",'Mapa final'!#REF!="Moderado"),CONCATENATE("R2C",'Mapa final'!#REF!),"")</f>
        <v>#REF!</v>
      </c>
      <c r="AB27" s="52" t="str">
        <f>IF(AND('Mapa final'!$Y$26="Media",'Mapa final'!$AA$26="Mayor"),CONCATENATE("R2C",'Mapa final'!$O$26),"")</f>
        <v>R2C1</v>
      </c>
      <c r="AC27" s="53" t="e">
        <f>IF(AND('Mapa final'!#REF!="Media",'Mapa final'!#REF!="Mayor"),CONCATENATE("R2C",'Mapa final'!#REF!),"")</f>
        <v>#REF!</v>
      </c>
      <c r="AD27" s="53" t="e">
        <f>IF(AND('Mapa final'!#REF!="Media",'Mapa final'!#REF!="Mayor"),CONCATENATE("R2C",'Mapa final'!#REF!),"")</f>
        <v>#REF!</v>
      </c>
      <c r="AE27" s="53" t="e">
        <f>IF(AND('Mapa final'!#REF!="Media",'Mapa final'!#REF!="Mayor"),CONCATENATE("R2C",'Mapa final'!#REF!),"")</f>
        <v>#REF!</v>
      </c>
      <c r="AF27" s="53" t="e">
        <f>IF(AND('Mapa final'!#REF!="Media",'Mapa final'!#REF!="Mayor"),CONCATENATE("R2C",'Mapa final'!#REF!),"")</f>
        <v>#REF!</v>
      </c>
      <c r="AG27" s="54" t="e">
        <f>IF(AND('Mapa final'!#REF!="Media",'Mapa final'!#REF!="Mayor"),CONCATENATE("R2C",'Mapa final'!#REF!),"")</f>
        <v>#REF!</v>
      </c>
      <c r="AH27" s="55" t="str">
        <f>IF(AND('Mapa final'!$Y$26="Media",'Mapa final'!$AA$26="Catastrófico"),CONCATENATE("R2C",'Mapa final'!$O$26),"")</f>
        <v/>
      </c>
      <c r="AI27" s="56" t="e">
        <f>IF(AND('Mapa final'!#REF!="Media",'Mapa final'!#REF!="Catastrófico"),CONCATENATE("R2C",'Mapa final'!#REF!),"")</f>
        <v>#REF!</v>
      </c>
      <c r="AJ27" s="56" t="e">
        <f>IF(AND('Mapa final'!#REF!="Media",'Mapa final'!#REF!="Catastrófico"),CONCATENATE("R2C",'Mapa final'!#REF!),"")</f>
        <v>#REF!</v>
      </c>
      <c r="AK27" s="56" t="e">
        <f>IF(AND('Mapa final'!#REF!="Media",'Mapa final'!#REF!="Catastrófico"),CONCATENATE("R2C",'Mapa final'!#REF!),"")</f>
        <v>#REF!</v>
      </c>
      <c r="AL27" s="56" t="e">
        <f>IF(AND('Mapa final'!#REF!="Media",'Mapa final'!#REF!="Catastrófico"),CONCATENATE("R2C",'Mapa final'!#REF!),"")</f>
        <v>#REF!</v>
      </c>
      <c r="AM27" s="57" t="e">
        <f>IF(AND('Mapa final'!#REF!="Media",'Mapa final'!#REF!="Catastrófico"),CONCATENATE("R2C",'Mapa final'!#REF!),"")</f>
        <v>#REF!</v>
      </c>
      <c r="AN27" s="83"/>
      <c r="AO27" s="488"/>
      <c r="AP27" s="489"/>
      <c r="AQ27" s="489"/>
      <c r="AR27" s="489"/>
      <c r="AS27" s="489"/>
      <c r="AT27" s="490"/>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407"/>
      <c r="C28" s="407"/>
      <c r="D28" s="408"/>
      <c r="E28" s="448"/>
      <c r="F28" s="449"/>
      <c r="G28" s="449"/>
      <c r="H28" s="449"/>
      <c r="I28" s="450"/>
      <c r="J28" s="67" t="str">
        <f>IF(AND('Mapa final'!$Y$27="Media",'Mapa final'!$AA$27="Leve"),CONCATENATE("R3C",'Mapa final'!$O$27),"")</f>
        <v/>
      </c>
      <c r="K28" s="68" t="str">
        <f>IF(AND('Mapa final'!$Y$28="Media",'Mapa final'!$AA$28="Leve"),CONCATENATE("R3C",'Mapa final'!$O$28),"")</f>
        <v/>
      </c>
      <c r="L28" s="68" t="e">
        <f>IF(AND('Mapa final'!#REF!="Media",'Mapa final'!#REF!="Leve"),CONCATENATE("R3C",'Mapa final'!#REF!),"")</f>
        <v>#REF!</v>
      </c>
      <c r="M28" s="68" t="e">
        <f>IF(AND('Mapa final'!#REF!="Media",'Mapa final'!#REF!="Leve"),CONCATENATE("R3C",'Mapa final'!#REF!),"")</f>
        <v>#REF!</v>
      </c>
      <c r="N28" s="68" t="e">
        <f>IF(AND('Mapa final'!#REF!="Media",'Mapa final'!#REF!="Leve"),CONCATENATE("R3C",'Mapa final'!#REF!),"")</f>
        <v>#REF!</v>
      </c>
      <c r="O28" s="69" t="e">
        <f>IF(AND('Mapa final'!#REF!="Media",'Mapa final'!#REF!="Leve"),CONCATENATE("R3C",'Mapa final'!#REF!),"")</f>
        <v>#REF!</v>
      </c>
      <c r="P28" s="67" t="str">
        <f>IF(AND('Mapa final'!$Y$27="Media",'Mapa final'!$AA$27="Menor"),CONCATENATE("R3C",'Mapa final'!$O$27),"")</f>
        <v/>
      </c>
      <c r="Q28" s="68" t="str">
        <f>IF(AND('Mapa final'!$Y$28="Media",'Mapa final'!$AA$28="Menor"),CONCATENATE("R3C",'Mapa final'!$O$28),"")</f>
        <v/>
      </c>
      <c r="R28" s="68" t="e">
        <f>IF(AND('Mapa final'!#REF!="Media",'Mapa final'!#REF!="Menor"),CONCATENATE("R3C",'Mapa final'!#REF!),"")</f>
        <v>#REF!</v>
      </c>
      <c r="S28" s="68" t="e">
        <f>IF(AND('Mapa final'!#REF!="Media",'Mapa final'!#REF!="Menor"),CONCATENATE("R3C",'Mapa final'!#REF!),"")</f>
        <v>#REF!</v>
      </c>
      <c r="T28" s="68" t="e">
        <f>IF(AND('Mapa final'!#REF!="Media",'Mapa final'!#REF!="Menor"),CONCATENATE("R3C",'Mapa final'!#REF!),"")</f>
        <v>#REF!</v>
      </c>
      <c r="U28" s="69" t="e">
        <f>IF(AND('Mapa final'!#REF!="Media",'Mapa final'!#REF!="Menor"),CONCATENATE("R3C",'Mapa final'!#REF!),"")</f>
        <v>#REF!</v>
      </c>
      <c r="V28" s="67" t="str">
        <f>IF(AND('Mapa final'!$Y$27="Media",'Mapa final'!$AA$27="Moderado"),CONCATENATE("R3C",'Mapa final'!$O$27),"")</f>
        <v/>
      </c>
      <c r="W28" s="68" t="str">
        <f>IF(AND('Mapa final'!$Y$28="Media",'Mapa final'!$AA$28="Moderado"),CONCATENATE("R3C",'Mapa final'!$O$28),"")</f>
        <v/>
      </c>
      <c r="X28" s="68" t="e">
        <f>IF(AND('Mapa final'!#REF!="Media",'Mapa final'!#REF!="Moderado"),CONCATENATE("R3C",'Mapa final'!#REF!),"")</f>
        <v>#REF!</v>
      </c>
      <c r="Y28" s="68" t="e">
        <f>IF(AND('Mapa final'!#REF!="Media",'Mapa final'!#REF!="Moderado"),CONCATENATE("R3C",'Mapa final'!#REF!),"")</f>
        <v>#REF!</v>
      </c>
      <c r="Z28" s="68" t="e">
        <f>IF(AND('Mapa final'!#REF!="Media",'Mapa final'!#REF!="Moderado"),CONCATENATE("R3C",'Mapa final'!#REF!),"")</f>
        <v>#REF!</v>
      </c>
      <c r="AA28" s="69" t="e">
        <f>IF(AND('Mapa final'!#REF!="Media",'Mapa final'!#REF!="Moderado"),CONCATENATE("R3C",'Mapa final'!#REF!),"")</f>
        <v>#REF!</v>
      </c>
      <c r="AB28" s="52" t="str">
        <f>IF(AND('Mapa final'!$Y$27="Media",'Mapa final'!$AA$27="Mayor"),CONCATENATE("R3C",'Mapa final'!$O$27),"")</f>
        <v/>
      </c>
      <c r="AC28" s="53" t="str">
        <f>IF(AND('Mapa final'!$Y$28="Media",'Mapa final'!$AA$28="Mayor"),CONCATENATE("R3C",'Mapa final'!$O$28),"")</f>
        <v/>
      </c>
      <c r="AD28" s="53" t="e">
        <f>IF(AND('Mapa final'!#REF!="Media",'Mapa final'!#REF!="Mayor"),CONCATENATE("R3C",'Mapa final'!#REF!),"")</f>
        <v>#REF!</v>
      </c>
      <c r="AE28" s="53" t="e">
        <f>IF(AND('Mapa final'!#REF!="Media",'Mapa final'!#REF!="Mayor"),CONCATENATE("R3C",'Mapa final'!#REF!),"")</f>
        <v>#REF!</v>
      </c>
      <c r="AF28" s="53" t="e">
        <f>IF(AND('Mapa final'!#REF!="Media",'Mapa final'!#REF!="Mayor"),CONCATENATE("R3C",'Mapa final'!#REF!),"")</f>
        <v>#REF!</v>
      </c>
      <c r="AG28" s="54" t="e">
        <f>IF(AND('Mapa final'!#REF!="Media",'Mapa final'!#REF!="Mayor"),CONCATENATE("R3C",'Mapa final'!#REF!),"")</f>
        <v>#REF!</v>
      </c>
      <c r="AH28" s="55" t="str">
        <f>IF(AND('Mapa final'!$Y$27="Media",'Mapa final'!$AA$27="Catastrófico"),CONCATENATE("R3C",'Mapa final'!$O$27),"")</f>
        <v/>
      </c>
      <c r="AI28" s="56" t="str">
        <f>IF(AND('Mapa final'!$Y$28="Media",'Mapa final'!$AA$28="Catastrófico"),CONCATENATE("R3C",'Mapa final'!$O$28),"")</f>
        <v/>
      </c>
      <c r="AJ28" s="56" t="e">
        <f>IF(AND('Mapa final'!#REF!="Media",'Mapa final'!#REF!="Catastrófico"),CONCATENATE("R3C",'Mapa final'!#REF!),"")</f>
        <v>#REF!</v>
      </c>
      <c r="AK28" s="56" t="e">
        <f>IF(AND('Mapa final'!#REF!="Media",'Mapa final'!#REF!="Catastrófico"),CONCATENATE("R3C",'Mapa final'!#REF!),"")</f>
        <v>#REF!</v>
      </c>
      <c r="AL28" s="56" t="e">
        <f>IF(AND('Mapa final'!#REF!="Media",'Mapa final'!#REF!="Catastrófico"),CONCATENATE("R3C",'Mapa final'!#REF!),"")</f>
        <v>#REF!</v>
      </c>
      <c r="AM28" s="57" t="e">
        <f>IF(AND('Mapa final'!#REF!="Media",'Mapa final'!#REF!="Catastrófico"),CONCATENATE("R3C",'Mapa final'!#REF!),"")</f>
        <v>#REF!</v>
      </c>
      <c r="AN28" s="83"/>
      <c r="AO28" s="488"/>
      <c r="AP28" s="489"/>
      <c r="AQ28" s="489"/>
      <c r="AR28" s="489"/>
      <c r="AS28" s="489"/>
      <c r="AT28" s="490"/>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407"/>
      <c r="C29" s="407"/>
      <c r="D29" s="408"/>
      <c r="E29" s="448"/>
      <c r="F29" s="449"/>
      <c r="G29" s="449"/>
      <c r="H29" s="449"/>
      <c r="I29" s="450"/>
      <c r="J29" s="67" t="str">
        <f>IF(AND('Mapa final'!$Y$29="Media",'Mapa final'!$AA$29="Leve"),CONCATENATE("R4C",'Mapa final'!$O$29),"")</f>
        <v/>
      </c>
      <c r="K29" s="68" t="str">
        <f>IF(AND('Mapa final'!$Y$30="Media",'Mapa final'!$AA$30="Leve"),CONCATENATE("R4C",'Mapa final'!$O$30),"")</f>
        <v/>
      </c>
      <c r="L29" s="68" t="e">
        <f>IF(AND('Mapa final'!#REF!="Media",'Mapa final'!#REF!="Leve"),CONCATENATE("R4C",'Mapa final'!#REF!),"")</f>
        <v>#REF!</v>
      </c>
      <c r="M29" s="68" t="e">
        <f>IF(AND('Mapa final'!#REF!="Media",'Mapa final'!#REF!="Leve"),CONCATENATE("R4C",'Mapa final'!#REF!),"")</f>
        <v>#REF!</v>
      </c>
      <c r="N29" s="68" t="e">
        <f>IF(AND('Mapa final'!#REF!="Media",'Mapa final'!#REF!="Leve"),CONCATENATE("R4C",'Mapa final'!#REF!),"")</f>
        <v>#REF!</v>
      </c>
      <c r="O29" s="69" t="e">
        <f>IF(AND('Mapa final'!#REF!="Media",'Mapa final'!#REF!="Leve"),CONCATENATE("R4C",'Mapa final'!#REF!),"")</f>
        <v>#REF!</v>
      </c>
      <c r="P29" s="67" t="str">
        <f>IF(AND('Mapa final'!$Y$29="Media",'Mapa final'!$AA$29="Menor"),CONCATENATE("R4C",'Mapa final'!$O$29),"")</f>
        <v/>
      </c>
      <c r="Q29" s="68" t="str">
        <f>IF(AND('Mapa final'!$Y$30="Media",'Mapa final'!$AA$30="Menor"),CONCATENATE("R4C",'Mapa final'!$O$30),"")</f>
        <v/>
      </c>
      <c r="R29" s="68" t="e">
        <f>IF(AND('Mapa final'!#REF!="Media",'Mapa final'!#REF!="Menor"),CONCATENATE("R4C",'Mapa final'!#REF!),"")</f>
        <v>#REF!</v>
      </c>
      <c r="S29" s="68" t="e">
        <f>IF(AND('Mapa final'!#REF!="Media",'Mapa final'!#REF!="Menor"),CONCATENATE("R4C",'Mapa final'!#REF!),"")</f>
        <v>#REF!</v>
      </c>
      <c r="T29" s="68" t="e">
        <f>IF(AND('Mapa final'!#REF!="Media",'Mapa final'!#REF!="Menor"),CONCATENATE("R4C",'Mapa final'!#REF!),"")</f>
        <v>#REF!</v>
      </c>
      <c r="U29" s="69" t="e">
        <f>IF(AND('Mapa final'!#REF!="Media",'Mapa final'!#REF!="Menor"),CONCATENATE("R4C",'Mapa final'!#REF!),"")</f>
        <v>#REF!</v>
      </c>
      <c r="V29" s="67" t="str">
        <f>IF(AND('Mapa final'!$Y$29="Media",'Mapa final'!$AA$29="Moderado"),CONCATENATE("R4C",'Mapa final'!$O$29),"")</f>
        <v/>
      </c>
      <c r="W29" s="68" t="str">
        <f>IF(AND('Mapa final'!$Y$30="Media",'Mapa final'!$AA$30="Moderado"),CONCATENATE("R4C",'Mapa final'!$O$30),"")</f>
        <v/>
      </c>
      <c r="X29" s="68" t="e">
        <f>IF(AND('Mapa final'!#REF!="Media",'Mapa final'!#REF!="Moderado"),CONCATENATE("R4C",'Mapa final'!#REF!),"")</f>
        <v>#REF!</v>
      </c>
      <c r="Y29" s="68" t="e">
        <f>IF(AND('Mapa final'!#REF!="Media",'Mapa final'!#REF!="Moderado"),CONCATENATE("R4C",'Mapa final'!#REF!),"")</f>
        <v>#REF!</v>
      </c>
      <c r="Z29" s="68" t="e">
        <f>IF(AND('Mapa final'!#REF!="Media",'Mapa final'!#REF!="Moderado"),CONCATENATE("R4C",'Mapa final'!#REF!),"")</f>
        <v>#REF!</v>
      </c>
      <c r="AA29" s="69" t="e">
        <f>IF(AND('Mapa final'!#REF!="Media",'Mapa final'!#REF!="Moderado"),CONCATENATE("R4C",'Mapa final'!#REF!),"")</f>
        <v>#REF!</v>
      </c>
      <c r="AB29" s="52" t="str">
        <f>IF(AND('Mapa final'!$Y$29="Media",'Mapa final'!$AA$29="Mayor"),CONCATENATE("R4C",'Mapa final'!$O$29),"")</f>
        <v/>
      </c>
      <c r="AC29" s="53" t="str">
        <f>IF(AND('Mapa final'!$Y$30="Media",'Mapa final'!$AA$30="Mayor"),CONCATENATE("R4C",'Mapa final'!$O$30),"")</f>
        <v/>
      </c>
      <c r="AD29" s="53" t="e">
        <f>IF(AND('Mapa final'!#REF!="Media",'Mapa final'!#REF!="Mayor"),CONCATENATE("R4C",'Mapa final'!#REF!),"")</f>
        <v>#REF!</v>
      </c>
      <c r="AE29" s="53" t="e">
        <f>IF(AND('Mapa final'!#REF!="Media",'Mapa final'!#REF!="Mayor"),CONCATENATE("R4C",'Mapa final'!#REF!),"")</f>
        <v>#REF!</v>
      </c>
      <c r="AF29" s="53" t="e">
        <f>IF(AND('Mapa final'!#REF!="Media",'Mapa final'!#REF!="Mayor"),CONCATENATE("R4C",'Mapa final'!#REF!),"")</f>
        <v>#REF!</v>
      </c>
      <c r="AG29" s="54" t="e">
        <f>IF(AND('Mapa final'!#REF!="Media",'Mapa final'!#REF!="Mayor"),CONCATENATE("R4C",'Mapa final'!#REF!),"")</f>
        <v>#REF!</v>
      </c>
      <c r="AH29" s="55" t="str">
        <f>IF(AND('Mapa final'!$Y$29="Media",'Mapa final'!$AA$29="Catastrófico"),CONCATENATE("R4C",'Mapa final'!$O$29),"")</f>
        <v/>
      </c>
      <c r="AI29" s="56" t="str">
        <f>IF(AND('Mapa final'!$Y$30="Media",'Mapa final'!$AA$30="Catastrófico"),CONCATENATE("R4C",'Mapa final'!$O$30),"")</f>
        <v/>
      </c>
      <c r="AJ29" s="56" t="e">
        <f>IF(AND('Mapa final'!#REF!="Media",'Mapa final'!#REF!="Catastrófico"),CONCATENATE("R4C",'Mapa final'!#REF!),"")</f>
        <v>#REF!</v>
      </c>
      <c r="AK29" s="56" t="e">
        <f>IF(AND('Mapa final'!#REF!="Media",'Mapa final'!#REF!="Catastrófico"),CONCATENATE("R4C",'Mapa final'!#REF!),"")</f>
        <v>#REF!</v>
      </c>
      <c r="AL29" s="56" t="e">
        <f>IF(AND('Mapa final'!#REF!="Media",'Mapa final'!#REF!="Catastrófico"),CONCATENATE("R4C",'Mapa final'!#REF!),"")</f>
        <v>#REF!</v>
      </c>
      <c r="AM29" s="57" t="e">
        <f>IF(AND('Mapa final'!#REF!="Media",'Mapa final'!#REF!="Catastrófico"),CONCATENATE("R4C",'Mapa final'!#REF!),"")</f>
        <v>#REF!</v>
      </c>
      <c r="AN29" s="83"/>
      <c r="AO29" s="488"/>
      <c r="AP29" s="489"/>
      <c r="AQ29" s="489"/>
      <c r="AR29" s="489"/>
      <c r="AS29" s="489"/>
      <c r="AT29" s="490"/>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407"/>
      <c r="C30" s="407"/>
      <c r="D30" s="408"/>
      <c r="E30" s="448"/>
      <c r="F30" s="449"/>
      <c r="G30" s="449"/>
      <c r="H30" s="449"/>
      <c r="I30" s="450"/>
      <c r="J30" s="67" t="str">
        <f>IF(AND('Mapa final'!$Y$31="Media",'Mapa final'!$AA$31="Leve"),CONCATENATE("R5C",'Mapa final'!$O$31),"")</f>
        <v/>
      </c>
      <c r="K30" s="68" t="str">
        <f>IF(AND('Mapa final'!$Y$32="Media",'Mapa final'!$AA$32="Leve"),CONCATENATE("R5C",'Mapa final'!$O$32),"")</f>
        <v/>
      </c>
      <c r="L30" s="68" t="e">
        <f>IF(AND('Mapa final'!#REF!="Media",'Mapa final'!#REF!="Leve"),CONCATENATE("R5C",'Mapa final'!#REF!),"")</f>
        <v>#REF!</v>
      </c>
      <c r="M30" s="68" t="e">
        <f>IF(AND('Mapa final'!#REF!="Media",'Mapa final'!#REF!="Leve"),CONCATENATE("R5C",'Mapa final'!#REF!),"")</f>
        <v>#REF!</v>
      </c>
      <c r="N30" s="68" t="e">
        <f>IF(AND('Mapa final'!#REF!="Media",'Mapa final'!#REF!="Leve"),CONCATENATE("R5C",'Mapa final'!#REF!),"")</f>
        <v>#REF!</v>
      </c>
      <c r="O30" s="69" t="e">
        <f>IF(AND('Mapa final'!#REF!="Media",'Mapa final'!#REF!="Leve"),CONCATENATE("R5C",'Mapa final'!#REF!),"")</f>
        <v>#REF!</v>
      </c>
      <c r="P30" s="67" t="str">
        <f>IF(AND('Mapa final'!$Y$31="Media",'Mapa final'!$AA$31="Menor"),CONCATENATE("R5C",'Mapa final'!$O$31),"")</f>
        <v/>
      </c>
      <c r="Q30" s="68" t="str">
        <f>IF(AND('Mapa final'!$Y$32="Media",'Mapa final'!$AA$32="Menor"),CONCATENATE("R5C",'Mapa final'!$O$32),"")</f>
        <v/>
      </c>
      <c r="R30" s="68" t="e">
        <f>IF(AND('Mapa final'!#REF!="Media",'Mapa final'!#REF!="Menor"),CONCATENATE("R5C",'Mapa final'!#REF!),"")</f>
        <v>#REF!</v>
      </c>
      <c r="S30" s="68" t="e">
        <f>IF(AND('Mapa final'!#REF!="Media",'Mapa final'!#REF!="Menor"),CONCATENATE("R5C",'Mapa final'!#REF!),"")</f>
        <v>#REF!</v>
      </c>
      <c r="T30" s="68" t="e">
        <f>IF(AND('Mapa final'!#REF!="Media",'Mapa final'!#REF!="Menor"),CONCATENATE("R5C",'Mapa final'!#REF!),"")</f>
        <v>#REF!</v>
      </c>
      <c r="U30" s="69" t="e">
        <f>IF(AND('Mapa final'!#REF!="Media",'Mapa final'!#REF!="Menor"),CONCATENATE("R5C",'Mapa final'!#REF!),"")</f>
        <v>#REF!</v>
      </c>
      <c r="V30" s="67" t="str">
        <f>IF(AND('Mapa final'!$Y$31="Media",'Mapa final'!$AA$31="Moderado"),CONCATENATE("R5C",'Mapa final'!$O$31),"")</f>
        <v/>
      </c>
      <c r="W30" s="68" t="str">
        <f>IF(AND('Mapa final'!$Y$32="Media",'Mapa final'!$AA$32="Moderado"),CONCATENATE("R5C",'Mapa final'!$O$32),"")</f>
        <v/>
      </c>
      <c r="X30" s="68" t="e">
        <f>IF(AND('Mapa final'!#REF!="Media",'Mapa final'!#REF!="Moderado"),CONCATENATE("R5C",'Mapa final'!#REF!),"")</f>
        <v>#REF!</v>
      </c>
      <c r="Y30" s="68" t="e">
        <f>IF(AND('Mapa final'!#REF!="Media",'Mapa final'!#REF!="Moderado"),CONCATENATE("R5C",'Mapa final'!#REF!),"")</f>
        <v>#REF!</v>
      </c>
      <c r="Z30" s="68" t="e">
        <f>IF(AND('Mapa final'!#REF!="Media",'Mapa final'!#REF!="Moderado"),CONCATENATE("R5C",'Mapa final'!#REF!),"")</f>
        <v>#REF!</v>
      </c>
      <c r="AA30" s="69" t="e">
        <f>IF(AND('Mapa final'!#REF!="Media",'Mapa final'!#REF!="Moderado"),CONCATENATE("R5C",'Mapa final'!#REF!),"")</f>
        <v>#REF!</v>
      </c>
      <c r="AB30" s="52" t="str">
        <f>IF(AND('Mapa final'!$Y$31="Media",'Mapa final'!$AA$31="Mayor"),CONCATENATE("R5C",'Mapa final'!$O$31),"")</f>
        <v/>
      </c>
      <c r="AC30" s="53" t="str">
        <f>IF(AND('Mapa final'!$Y$32="Media",'Mapa final'!$AA$32="Mayor"),CONCATENATE("R5C",'Mapa final'!$O$32),"")</f>
        <v/>
      </c>
      <c r="AD30" s="53" t="e">
        <f>IF(AND('Mapa final'!#REF!="Media",'Mapa final'!#REF!="Mayor"),CONCATENATE("R5C",'Mapa final'!#REF!),"")</f>
        <v>#REF!</v>
      </c>
      <c r="AE30" s="53" t="e">
        <f>IF(AND('Mapa final'!#REF!="Media",'Mapa final'!#REF!="Mayor"),CONCATENATE("R5C",'Mapa final'!#REF!),"")</f>
        <v>#REF!</v>
      </c>
      <c r="AF30" s="53" t="e">
        <f>IF(AND('Mapa final'!#REF!="Media",'Mapa final'!#REF!="Mayor"),CONCATENATE("R5C",'Mapa final'!#REF!),"")</f>
        <v>#REF!</v>
      </c>
      <c r="AG30" s="54" t="e">
        <f>IF(AND('Mapa final'!#REF!="Media",'Mapa final'!#REF!="Mayor"),CONCATENATE("R5C",'Mapa final'!#REF!),"")</f>
        <v>#REF!</v>
      </c>
      <c r="AH30" s="55" t="str">
        <f>IF(AND('Mapa final'!$Y$31="Media",'Mapa final'!$AA$31="Catastrófico"),CONCATENATE("R5C",'Mapa final'!$O$31),"")</f>
        <v/>
      </c>
      <c r="AI30" s="56" t="str">
        <f>IF(AND('Mapa final'!$Y$32="Media",'Mapa final'!$AA$32="Catastrófico"),CONCATENATE("R5C",'Mapa final'!$O$32),"")</f>
        <v/>
      </c>
      <c r="AJ30" s="56" t="e">
        <f>IF(AND('Mapa final'!#REF!="Media",'Mapa final'!#REF!="Catastrófico"),CONCATENATE("R5C",'Mapa final'!#REF!),"")</f>
        <v>#REF!</v>
      </c>
      <c r="AK30" s="56" t="e">
        <f>IF(AND('Mapa final'!#REF!="Media",'Mapa final'!#REF!="Catastrófico"),CONCATENATE("R5C",'Mapa final'!#REF!),"")</f>
        <v>#REF!</v>
      </c>
      <c r="AL30" s="56" t="e">
        <f>IF(AND('Mapa final'!#REF!="Media",'Mapa final'!#REF!="Catastrófico"),CONCATENATE("R5C",'Mapa final'!#REF!),"")</f>
        <v>#REF!</v>
      </c>
      <c r="AM30" s="57" t="e">
        <f>IF(AND('Mapa final'!#REF!="Media",'Mapa final'!#REF!="Catastrófico"),CONCATENATE("R5C",'Mapa final'!#REF!),"")</f>
        <v>#REF!</v>
      </c>
      <c r="AN30" s="83"/>
      <c r="AO30" s="488"/>
      <c r="AP30" s="489"/>
      <c r="AQ30" s="489"/>
      <c r="AR30" s="489"/>
      <c r="AS30" s="489"/>
      <c r="AT30" s="490"/>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407"/>
      <c r="C31" s="407"/>
      <c r="D31" s="408"/>
      <c r="E31" s="448"/>
      <c r="F31" s="449"/>
      <c r="G31" s="449"/>
      <c r="H31" s="449"/>
      <c r="I31" s="450"/>
      <c r="J31" s="67" t="e">
        <f>IF(AND('Mapa final'!#REF!="Media",'Mapa final'!#REF!="Leve"),CONCATENATE("R6C",'Mapa final'!#REF!),"")</f>
        <v>#REF!</v>
      </c>
      <c r="K31" s="68" t="e">
        <f>IF(AND('Mapa final'!#REF!="Media",'Mapa final'!#REF!="Leve"),CONCATENATE("R6C",'Mapa final'!#REF!),"")</f>
        <v>#REF!</v>
      </c>
      <c r="L31" s="68" t="e">
        <f>IF(AND('Mapa final'!#REF!="Media",'Mapa final'!#REF!="Leve"),CONCATENATE("R6C",'Mapa final'!#REF!),"")</f>
        <v>#REF!</v>
      </c>
      <c r="M31" s="68" t="e">
        <f>IF(AND('Mapa final'!#REF!="Media",'Mapa final'!#REF!="Leve"),CONCATENATE("R6C",'Mapa final'!#REF!),"")</f>
        <v>#REF!</v>
      </c>
      <c r="N31" s="68" t="e">
        <f>IF(AND('Mapa final'!#REF!="Media",'Mapa final'!#REF!="Leve"),CONCATENATE("R6C",'Mapa final'!#REF!),"")</f>
        <v>#REF!</v>
      </c>
      <c r="O31" s="69" t="e">
        <f>IF(AND('Mapa final'!#REF!="Media",'Mapa final'!#REF!="Leve"),CONCATENATE("R6C",'Mapa final'!#REF!),"")</f>
        <v>#REF!</v>
      </c>
      <c r="P31" s="67" t="e">
        <f>IF(AND('Mapa final'!#REF!="Media",'Mapa final'!#REF!="Menor"),CONCATENATE("R6C",'Mapa final'!#REF!),"")</f>
        <v>#REF!</v>
      </c>
      <c r="Q31" s="68" t="e">
        <f>IF(AND('Mapa final'!#REF!="Media",'Mapa final'!#REF!="Menor"),CONCATENATE("R6C",'Mapa final'!#REF!),"")</f>
        <v>#REF!</v>
      </c>
      <c r="R31" s="68" t="e">
        <f>IF(AND('Mapa final'!#REF!="Media",'Mapa final'!#REF!="Menor"),CONCATENATE("R6C",'Mapa final'!#REF!),"")</f>
        <v>#REF!</v>
      </c>
      <c r="S31" s="68" t="e">
        <f>IF(AND('Mapa final'!#REF!="Media",'Mapa final'!#REF!="Menor"),CONCATENATE("R6C",'Mapa final'!#REF!),"")</f>
        <v>#REF!</v>
      </c>
      <c r="T31" s="68" t="e">
        <f>IF(AND('Mapa final'!#REF!="Media",'Mapa final'!#REF!="Menor"),CONCATENATE("R6C",'Mapa final'!#REF!),"")</f>
        <v>#REF!</v>
      </c>
      <c r="U31" s="69" t="e">
        <f>IF(AND('Mapa final'!#REF!="Media",'Mapa final'!#REF!="Menor"),CONCATENATE("R6C",'Mapa final'!#REF!),"")</f>
        <v>#REF!</v>
      </c>
      <c r="V31" s="67" t="e">
        <f>IF(AND('Mapa final'!#REF!="Media",'Mapa final'!#REF!="Moderado"),CONCATENATE("R6C",'Mapa final'!#REF!),"")</f>
        <v>#REF!</v>
      </c>
      <c r="W31" s="68" t="e">
        <f>IF(AND('Mapa final'!#REF!="Media",'Mapa final'!#REF!="Moderado"),CONCATENATE("R6C",'Mapa final'!#REF!),"")</f>
        <v>#REF!</v>
      </c>
      <c r="X31" s="68" t="e">
        <f>IF(AND('Mapa final'!#REF!="Media",'Mapa final'!#REF!="Moderado"),CONCATENATE("R6C",'Mapa final'!#REF!),"")</f>
        <v>#REF!</v>
      </c>
      <c r="Y31" s="68" t="e">
        <f>IF(AND('Mapa final'!#REF!="Media",'Mapa final'!#REF!="Moderado"),CONCATENATE("R6C",'Mapa final'!#REF!),"")</f>
        <v>#REF!</v>
      </c>
      <c r="Z31" s="68" t="e">
        <f>IF(AND('Mapa final'!#REF!="Media",'Mapa final'!#REF!="Moderado"),CONCATENATE("R6C",'Mapa final'!#REF!),"")</f>
        <v>#REF!</v>
      </c>
      <c r="AA31" s="69" t="e">
        <f>IF(AND('Mapa final'!#REF!="Media",'Mapa final'!#REF!="Moderado"),CONCATENATE("R6C",'Mapa final'!#REF!),"")</f>
        <v>#REF!</v>
      </c>
      <c r="AB31" s="52" t="e">
        <f>IF(AND('Mapa final'!#REF!="Media",'Mapa final'!#REF!="Mayor"),CONCATENATE("R6C",'Mapa final'!#REF!),"")</f>
        <v>#REF!</v>
      </c>
      <c r="AC31" s="53" t="e">
        <f>IF(AND('Mapa final'!#REF!="Media",'Mapa final'!#REF!="Mayor"),CONCATENATE("R6C",'Mapa final'!#REF!),"")</f>
        <v>#REF!</v>
      </c>
      <c r="AD31" s="53" t="e">
        <f>IF(AND('Mapa final'!#REF!="Media",'Mapa final'!#REF!="Mayor"),CONCATENATE("R6C",'Mapa final'!#REF!),"")</f>
        <v>#REF!</v>
      </c>
      <c r="AE31" s="53" t="e">
        <f>IF(AND('Mapa final'!#REF!="Media",'Mapa final'!#REF!="Mayor"),CONCATENATE("R6C",'Mapa final'!#REF!),"")</f>
        <v>#REF!</v>
      </c>
      <c r="AF31" s="53" t="e">
        <f>IF(AND('Mapa final'!#REF!="Media",'Mapa final'!#REF!="Mayor"),CONCATENATE("R6C",'Mapa final'!#REF!),"")</f>
        <v>#REF!</v>
      </c>
      <c r="AG31" s="54" t="e">
        <f>IF(AND('Mapa final'!#REF!="Media",'Mapa final'!#REF!="Mayor"),CONCATENATE("R6C",'Mapa final'!#REF!),"")</f>
        <v>#REF!</v>
      </c>
      <c r="AH31" s="55" t="e">
        <f>IF(AND('Mapa final'!#REF!="Media",'Mapa final'!#REF!="Catastrófico"),CONCATENATE("R6C",'Mapa final'!#REF!),"")</f>
        <v>#REF!</v>
      </c>
      <c r="AI31" s="56" t="e">
        <f>IF(AND('Mapa final'!#REF!="Media",'Mapa final'!#REF!="Catastrófico"),CONCATENATE("R6C",'Mapa final'!#REF!),"")</f>
        <v>#REF!</v>
      </c>
      <c r="AJ31" s="56" t="e">
        <f>IF(AND('Mapa final'!#REF!="Media",'Mapa final'!#REF!="Catastrófico"),CONCATENATE("R6C",'Mapa final'!#REF!),"")</f>
        <v>#REF!</v>
      </c>
      <c r="AK31" s="56" t="e">
        <f>IF(AND('Mapa final'!#REF!="Media",'Mapa final'!#REF!="Catastrófico"),CONCATENATE("R6C",'Mapa final'!#REF!),"")</f>
        <v>#REF!</v>
      </c>
      <c r="AL31" s="56" t="e">
        <f>IF(AND('Mapa final'!#REF!="Media",'Mapa final'!#REF!="Catastrófico"),CONCATENATE("R6C",'Mapa final'!#REF!),"")</f>
        <v>#REF!</v>
      </c>
      <c r="AM31" s="57" t="e">
        <f>IF(AND('Mapa final'!#REF!="Media",'Mapa final'!#REF!="Catastrófico"),CONCATENATE("R6C",'Mapa final'!#REF!),"")</f>
        <v>#REF!</v>
      </c>
      <c r="AN31" s="83"/>
      <c r="AO31" s="488"/>
      <c r="AP31" s="489"/>
      <c r="AQ31" s="489"/>
      <c r="AR31" s="489"/>
      <c r="AS31" s="489"/>
      <c r="AT31" s="490"/>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407"/>
      <c r="C32" s="407"/>
      <c r="D32" s="408"/>
      <c r="E32" s="448"/>
      <c r="F32" s="449"/>
      <c r="G32" s="449"/>
      <c r="H32" s="449"/>
      <c r="I32" s="450"/>
      <c r="J32" s="67" t="e">
        <f>IF(AND('Mapa final'!#REF!="Media",'Mapa final'!#REF!="Leve"),CONCATENATE("R7C",'Mapa final'!#REF!),"")</f>
        <v>#REF!</v>
      </c>
      <c r="K32" s="68" t="e">
        <f>IF(AND('Mapa final'!#REF!="Media",'Mapa final'!#REF!="Leve"),CONCATENATE("R7C",'Mapa final'!#REF!),"")</f>
        <v>#REF!</v>
      </c>
      <c r="L32" s="68" t="e">
        <f>IF(AND('Mapa final'!#REF!="Media",'Mapa final'!#REF!="Leve"),CONCATENATE("R7C",'Mapa final'!#REF!),"")</f>
        <v>#REF!</v>
      </c>
      <c r="M32" s="68" t="e">
        <f>IF(AND('Mapa final'!#REF!="Media",'Mapa final'!#REF!="Leve"),CONCATENATE("R7C",'Mapa final'!#REF!),"")</f>
        <v>#REF!</v>
      </c>
      <c r="N32" s="68" t="e">
        <f>IF(AND('Mapa final'!#REF!="Media",'Mapa final'!#REF!="Leve"),CONCATENATE("R7C",'Mapa final'!#REF!),"")</f>
        <v>#REF!</v>
      </c>
      <c r="O32" s="69" t="e">
        <f>IF(AND('Mapa final'!#REF!="Media",'Mapa final'!#REF!="Leve"),CONCATENATE("R7C",'Mapa final'!#REF!),"")</f>
        <v>#REF!</v>
      </c>
      <c r="P32" s="67" t="e">
        <f>IF(AND('Mapa final'!#REF!="Media",'Mapa final'!#REF!="Menor"),CONCATENATE("R7C",'Mapa final'!#REF!),"")</f>
        <v>#REF!</v>
      </c>
      <c r="Q32" s="68" t="e">
        <f>IF(AND('Mapa final'!#REF!="Media",'Mapa final'!#REF!="Menor"),CONCATENATE("R7C",'Mapa final'!#REF!),"")</f>
        <v>#REF!</v>
      </c>
      <c r="R32" s="68" t="e">
        <f>IF(AND('Mapa final'!#REF!="Media",'Mapa final'!#REF!="Menor"),CONCATENATE("R7C",'Mapa final'!#REF!),"")</f>
        <v>#REF!</v>
      </c>
      <c r="S32" s="68" t="e">
        <f>IF(AND('Mapa final'!#REF!="Media",'Mapa final'!#REF!="Menor"),CONCATENATE("R7C",'Mapa final'!#REF!),"")</f>
        <v>#REF!</v>
      </c>
      <c r="T32" s="68" t="e">
        <f>IF(AND('Mapa final'!#REF!="Media",'Mapa final'!#REF!="Menor"),CONCATENATE("R7C",'Mapa final'!#REF!),"")</f>
        <v>#REF!</v>
      </c>
      <c r="U32" s="69" t="e">
        <f>IF(AND('Mapa final'!#REF!="Media",'Mapa final'!#REF!="Menor"),CONCATENATE("R7C",'Mapa final'!#REF!),"")</f>
        <v>#REF!</v>
      </c>
      <c r="V32" s="67" t="e">
        <f>IF(AND('Mapa final'!#REF!="Media",'Mapa final'!#REF!="Moderado"),CONCATENATE("R7C",'Mapa final'!#REF!),"")</f>
        <v>#REF!</v>
      </c>
      <c r="W32" s="68" t="e">
        <f>IF(AND('Mapa final'!#REF!="Media",'Mapa final'!#REF!="Moderado"),CONCATENATE("R7C",'Mapa final'!#REF!),"")</f>
        <v>#REF!</v>
      </c>
      <c r="X32" s="68" t="e">
        <f>IF(AND('Mapa final'!#REF!="Media",'Mapa final'!#REF!="Moderado"),CONCATENATE("R7C",'Mapa final'!#REF!),"")</f>
        <v>#REF!</v>
      </c>
      <c r="Y32" s="68" t="e">
        <f>IF(AND('Mapa final'!#REF!="Media",'Mapa final'!#REF!="Moderado"),CONCATENATE("R7C",'Mapa final'!#REF!),"")</f>
        <v>#REF!</v>
      </c>
      <c r="Z32" s="68" t="e">
        <f>IF(AND('Mapa final'!#REF!="Media",'Mapa final'!#REF!="Moderado"),CONCATENATE("R7C",'Mapa final'!#REF!),"")</f>
        <v>#REF!</v>
      </c>
      <c r="AA32" s="69" t="e">
        <f>IF(AND('Mapa final'!#REF!="Media",'Mapa final'!#REF!="Moderado"),CONCATENATE("R7C",'Mapa final'!#REF!),"")</f>
        <v>#REF!</v>
      </c>
      <c r="AB32" s="52" t="e">
        <f>IF(AND('Mapa final'!#REF!="Media",'Mapa final'!#REF!="Mayor"),CONCATENATE("R7C",'Mapa final'!#REF!),"")</f>
        <v>#REF!</v>
      </c>
      <c r="AC32" s="53" t="e">
        <f>IF(AND('Mapa final'!#REF!="Media",'Mapa final'!#REF!="Mayor"),CONCATENATE("R7C",'Mapa final'!#REF!),"")</f>
        <v>#REF!</v>
      </c>
      <c r="AD32" s="53" t="e">
        <f>IF(AND('Mapa final'!#REF!="Media",'Mapa final'!#REF!="Mayor"),CONCATENATE("R7C",'Mapa final'!#REF!),"")</f>
        <v>#REF!</v>
      </c>
      <c r="AE32" s="53" t="e">
        <f>IF(AND('Mapa final'!#REF!="Media",'Mapa final'!#REF!="Mayor"),CONCATENATE("R7C",'Mapa final'!#REF!),"")</f>
        <v>#REF!</v>
      </c>
      <c r="AF32" s="53" t="e">
        <f>IF(AND('Mapa final'!#REF!="Media",'Mapa final'!#REF!="Mayor"),CONCATENATE("R7C",'Mapa final'!#REF!),"")</f>
        <v>#REF!</v>
      </c>
      <c r="AG32" s="54" t="e">
        <f>IF(AND('Mapa final'!#REF!="Media",'Mapa final'!#REF!="Mayor"),CONCATENATE("R7C",'Mapa final'!#REF!),"")</f>
        <v>#REF!</v>
      </c>
      <c r="AH32" s="55" t="e">
        <f>IF(AND('Mapa final'!#REF!="Media",'Mapa final'!#REF!="Catastrófico"),CONCATENATE("R7C",'Mapa final'!#REF!),"")</f>
        <v>#REF!</v>
      </c>
      <c r="AI32" s="56" t="e">
        <f>IF(AND('Mapa final'!#REF!="Media",'Mapa final'!#REF!="Catastrófico"),CONCATENATE("R7C",'Mapa final'!#REF!),"")</f>
        <v>#REF!</v>
      </c>
      <c r="AJ32" s="56" t="e">
        <f>IF(AND('Mapa final'!#REF!="Media",'Mapa final'!#REF!="Catastrófico"),CONCATENATE("R7C",'Mapa final'!#REF!),"")</f>
        <v>#REF!</v>
      </c>
      <c r="AK32" s="56" t="e">
        <f>IF(AND('Mapa final'!#REF!="Media",'Mapa final'!#REF!="Catastrófico"),CONCATENATE("R7C",'Mapa final'!#REF!),"")</f>
        <v>#REF!</v>
      </c>
      <c r="AL32" s="56" t="e">
        <f>IF(AND('Mapa final'!#REF!="Media",'Mapa final'!#REF!="Catastrófico"),CONCATENATE("R7C",'Mapa final'!#REF!),"")</f>
        <v>#REF!</v>
      </c>
      <c r="AM32" s="57" t="e">
        <f>IF(AND('Mapa final'!#REF!="Media",'Mapa final'!#REF!="Catastrófico"),CONCATENATE("R7C",'Mapa final'!#REF!),"")</f>
        <v>#REF!</v>
      </c>
      <c r="AN32" s="83"/>
      <c r="AO32" s="488"/>
      <c r="AP32" s="489"/>
      <c r="AQ32" s="489"/>
      <c r="AR32" s="489"/>
      <c r="AS32" s="489"/>
      <c r="AT32" s="490"/>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407"/>
      <c r="C33" s="407"/>
      <c r="D33" s="408"/>
      <c r="E33" s="448"/>
      <c r="F33" s="449"/>
      <c r="G33" s="449"/>
      <c r="H33" s="449"/>
      <c r="I33" s="450"/>
      <c r="J33" s="67" t="str">
        <f>IF(AND('Mapa final'!$Y$33="Media",'Mapa final'!$AA$33="Leve"),CONCATENATE("R8C",'Mapa final'!$O$33),"")</f>
        <v/>
      </c>
      <c r="K33" s="68" t="str">
        <f>IF(AND('Mapa final'!$Y$34="Media",'Mapa final'!$AA$34="Leve"),CONCATENATE("R8C",'Mapa final'!$O$34),"")</f>
        <v/>
      </c>
      <c r="L33" s="68" t="str">
        <f>IF(AND('Mapa final'!$Y$35="Media",'Mapa final'!$AA$35="Leve"),CONCATENATE("R8C",'Mapa final'!$O$35),"")</f>
        <v/>
      </c>
      <c r="M33" s="68" t="str">
        <f>IF(AND('Mapa final'!$Y$36="Media",'Mapa final'!$AA$36="Leve"),CONCATENATE("R8C",'Mapa final'!$O$36),"")</f>
        <v/>
      </c>
      <c r="N33" s="68" t="str">
        <f>IF(AND('Mapa final'!$Y$37="Media",'Mapa final'!$AA$37="Leve"),CONCATENATE("R8C",'Mapa final'!$O$37),"")</f>
        <v/>
      </c>
      <c r="O33" s="69" t="str">
        <f>IF(AND('Mapa final'!$Y$38="Media",'Mapa final'!$AA$38="Leve"),CONCATENATE("R8C",'Mapa final'!$O$38),"")</f>
        <v/>
      </c>
      <c r="P33" s="67" t="str">
        <f>IF(AND('Mapa final'!$Y$33="Media",'Mapa final'!$AA$33="Menor"),CONCATENATE("R8C",'Mapa final'!$O$33),"")</f>
        <v/>
      </c>
      <c r="Q33" s="68" t="str">
        <f>IF(AND('Mapa final'!$Y$34="Media",'Mapa final'!$AA$34="Menor"),CONCATENATE("R8C",'Mapa final'!$O$34),"")</f>
        <v/>
      </c>
      <c r="R33" s="68" t="str">
        <f>IF(AND('Mapa final'!$Y$35="Media",'Mapa final'!$AA$35="Menor"),CONCATENATE("R8C",'Mapa final'!$O$35),"")</f>
        <v/>
      </c>
      <c r="S33" s="68" t="str">
        <f>IF(AND('Mapa final'!$Y$36="Media",'Mapa final'!$AA$36="Menor"),CONCATENATE("R8C",'Mapa final'!$O$36),"")</f>
        <v/>
      </c>
      <c r="T33" s="68" t="str">
        <f>IF(AND('Mapa final'!$Y$37="Media",'Mapa final'!$AA$37="Menor"),CONCATENATE("R8C",'Mapa final'!$O$37),"")</f>
        <v/>
      </c>
      <c r="U33" s="69" t="str">
        <f>IF(AND('Mapa final'!$Y$38="Media",'Mapa final'!$AA$38="Menor"),CONCATENATE("R8C",'Mapa final'!$O$38),"")</f>
        <v/>
      </c>
      <c r="V33" s="67" t="str">
        <f>IF(AND('Mapa final'!$Y$33="Media",'Mapa final'!$AA$33="Moderado"),CONCATENATE("R8C",'Mapa final'!$O$33),"")</f>
        <v/>
      </c>
      <c r="W33" s="68" t="str">
        <f>IF(AND('Mapa final'!$Y$34="Media",'Mapa final'!$AA$34="Moderado"),CONCATENATE("R8C",'Mapa final'!$O$34),"")</f>
        <v/>
      </c>
      <c r="X33" s="68" t="str">
        <f>IF(AND('Mapa final'!$Y$35="Media",'Mapa final'!$AA$35="Moderado"),CONCATENATE("R8C",'Mapa final'!$O$35),"")</f>
        <v/>
      </c>
      <c r="Y33" s="68" t="str">
        <f>IF(AND('Mapa final'!$Y$36="Media",'Mapa final'!$AA$36="Moderado"),CONCATENATE("R8C",'Mapa final'!$O$36),"")</f>
        <v/>
      </c>
      <c r="Z33" s="68" t="str">
        <f>IF(AND('Mapa final'!$Y$37="Media",'Mapa final'!$AA$37="Moderado"),CONCATENATE("R8C",'Mapa final'!$O$37),"")</f>
        <v/>
      </c>
      <c r="AA33" s="69" t="str">
        <f>IF(AND('Mapa final'!$Y$38="Media",'Mapa final'!$AA$38="Moderado"),CONCATENATE("R8C",'Mapa final'!$O$38),"")</f>
        <v/>
      </c>
      <c r="AB33" s="52" t="str">
        <f>IF(AND('Mapa final'!$Y$33="Media",'Mapa final'!$AA$33="Mayor"),CONCATENATE("R8C",'Mapa final'!$O$33),"")</f>
        <v/>
      </c>
      <c r="AC33" s="53" t="str">
        <f>IF(AND('Mapa final'!$Y$34="Media",'Mapa final'!$AA$34="Mayor"),CONCATENATE("R8C",'Mapa final'!$O$34),"")</f>
        <v/>
      </c>
      <c r="AD33" s="53" t="str">
        <f>IF(AND('Mapa final'!$Y$35="Media",'Mapa final'!$AA$35="Mayor"),CONCATENATE("R8C",'Mapa final'!$O$35),"")</f>
        <v/>
      </c>
      <c r="AE33" s="53" t="str">
        <f>IF(AND('Mapa final'!$Y$36="Media",'Mapa final'!$AA$36="Mayor"),CONCATENATE("R8C",'Mapa final'!$O$36),"")</f>
        <v/>
      </c>
      <c r="AF33" s="53" t="str">
        <f>IF(AND('Mapa final'!$Y$37="Media",'Mapa final'!$AA$37="Mayor"),CONCATENATE("R8C",'Mapa final'!$O$37),"")</f>
        <v/>
      </c>
      <c r="AG33" s="54" t="str">
        <f>IF(AND('Mapa final'!$Y$38="Media",'Mapa final'!$AA$38="Mayor"),CONCATENATE("R8C",'Mapa final'!$O$38),"")</f>
        <v/>
      </c>
      <c r="AH33" s="55" t="str">
        <f>IF(AND('Mapa final'!$Y$33="Media",'Mapa final'!$AA$33="Catastrófico"),CONCATENATE("R8C",'Mapa final'!$O$33),"")</f>
        <v/>
      </c>
      <c r="AI33" s="56" t="str">
        <f>IF(AND('Mapa final'!$Y$34="Media",'Mapa final'!$AA$34="Catastrófico"),CONCATENATE("R8C",'Mapa final'!$O$34),"")</f>
        <v/>
      </c>
      <c r="AJ33" s="56" t="str">
        <f>IF(AND('Mapa final'!$Y$35="Media",'Mapa final'!$AA$35="Catastrófico"),CONCATENATE("R8C",'Mapa final'!$O$35),"")</f>
        <v/>
      </c>
      <c r="AK33" s="56" t="str">
        <f>IF(AND('Mapa final'!$Y$36="Media",'Mapa final'!$AA$36="Catastrófico"),CONCATENATE("R8C",'Mapa final'!$O$36),"")</f>
        <v/>
      </c>
      <c r="AL33" s="56" t="str">
        <f>IF(AND('Mapa final'!$Y$37="Media",'Mapa final'!$AA$37="Catastrófico"),CONCATENATE("R8C",'Mapa final'!$O$37),"")</f>
        <v/>
      </c>
      <c r="AM33" s="57" t="str">
        <f>IF(AND('Mapa final'!$Y$38="Media",'Mapa final'!$AA$38="Catastrófico"),CONCATENATE("R8C",'Mapa final'!$O$38),"")</f>
        <v/>
      </c>
      <c r="AN33" s="83"/>
      <c r="AO33" s="488"/>
      <c r="AP33" s="489"/>
      <c r="AQ33" s="489"/>
      <c r="AR33" s="489"/>
      <c r="AS33" s="489"/>
      <c r="AT33" s="490"/>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407"/>
      <c r="C34" s="407"/>
      <c r="D34" s="408"/>
      <c r="E34" s="448"/>
      <c r="F34" s="449"/>
      <c r="G34" s="449"/>
      <c r="H34" s="449"/>
      <c r="I34" s="450"/>
      <c r="J34" s="67" t="str">
        <f>IF(AND('Mapa final'!$Y$39="Media",'Mapa final'!$AA$39="Leve"),CONCATENATE("R9C",'Mapa final'!$O$39),"")</f>
        <v/>
      </c>
      <c r="K34" s="68" t="str">
        <f>IF(AND('Mapa final'!$Y$40="Media",'Mapa final'!$AA$40="Leve"),CONCATENATE("R9C",'Mapa final'!$O$40),"")</f>
        <v/>
      </c>
      <c r="L34" s="68" t="str">
        <f>IF(AND('Mapa final'!$Y$41="Media",'Mapa final'!$AA$41="Leve"),CONCATENATE("R9C",'Mapa final'!$O$41),"")</f>
        <v/>
      </c>
      <c r="M34" s="68" t="str">
        <f>IF(AND('Mapa final'!$Y$42="Media",'Mapa final'!$AA$42="Leve"),CONCATENATE("R9C",'Mapa final'!$O$42),"")</f>
        <v/>
      </c>
      <c r="N34" s="68" t="str">
        <f>IF(AND('Mapa final'!$Y$43="Media",'Mapa final'!$AA$43="Leve"),CONCATENATE("R9C",'Mapa final'!$O$43),"")</f>
        <v/>
      </c>
      <c r="O34" s="69" t="str">
        <f>IF(AND('Mapa final'!$Y$44="Media",'Mapa final'!$AA$44="Leve"),CONCATENATE("R9C",'Mapa final'!$O$44),"")</f>
        <v/>
      </c>
      <c r="P34" s="67" t="str">
        <f>IF(AND('Mapa final'!$Y$39="Media",'Mapa final'!$AA$39="Menor"),CONCATENATE("R9C",'Mapa final'!$O$39),"")</f>
        <v/>
      </c>
      <c r="Q34" s="68" t="str">
        <f>IF(AND('Mapa final'!$Y$40="Media",'Mapa final'!$AA$40="Menor"),CONCATENATE("R9C",'Mapa final'!$O$40),"")</f>
        <v/>
      </c>
      <c r="R34" s="68" t="str">
        <f>IF(AND('Mapa final'!$Y$41="Media",'Mapa final'!$AA$41="Menor"),CONCATENATE("R9C",'Mapa final'!$O$41),"")</f>
        <v/>
      </c>
      <c r="S34" s="68" t="str">
        <f>IF(AND('Mapa final'!$Y$42="Media",'Mapa final'!$AA$42="Menor"),CONCATENATE("R9C",'Mapa final'!$O$42),"")</f>
        <v/>
      </c>
      <c r="T34" s="68" t="str">
        <f>IF(AND('Mapa final'!$Y$43="Media",'Mapa final'!$AA$43="Menor"),CONCATENATE("R9C",'Mapa final'!$O$43),"")</f>
        <v/>
      </c>
      <c r="U34" s="69" t="str">
        <f>IF(AND('Mapa final'!$Y$44="Media",'Mapa final'!$AA$44="Menor"),CONCATENATE("R9C",'Mapa final'!$O$44),"")</f>
        <v/>
      </c>
      <c r="V34" s="67" t="str">
        <f>IF(AND('Mapa final'!$Y$39="Media",'Mapa final'!$AA$39="Moderado"),CONCATENATE("R9C",'Mapa final'!$O$39),"")</f>
        <v/>
      </c>
      <c r="W34" s="68" t="str">
        <f>IF(AND('Mapa final'!$Y$40="Media",'Mapa final'!$AA$40="Moderado"),CONCATENATE("R9C",'Mapa final'!$O$40),"")</f>
        <v/>
      </c>
      <c r="X34" s="68" t="str">
        <f>IF(AND('Mapa final'!$Y$41="Media",'Mapa final'!$AA$41="Moderado"),CONCATENATE("R9C",'Mapa final'!$O$41),"")</f>
        <v/>
      </c>
      <c r="Y34" s="68" t="str">
        <f>IF(AND('Mapa final'!$Y$42="Media",'Mapa final'!$AA$42="Moderado"),CONCATENATE("R9C",'Mapa final'!$O$42),"")</f>
        <v/>
      </c>
      <c r="Z34" s="68" t="str">
        <f>IF(AND('Mapa final'!$Y$43="Media",'Mapa final'!$AA$43="Moderado"),CONCATENATE("R9C",'Mapa final'!$O$43),"")</f>
        <v/>
      </c>
      <c r="AA34" s="69" t="str">
        <f>IF(AND('Mapa final'!$Y$44="Media",'Mapa final'!$AA$44="Moderado"),CONCATENATE("R9C",'Mapa final'!$O$44),"")</f>
        <v/>
      </c>
      <c r="AB34" s="52" t="str">
        <f>IF(AND('Mapa final'!$Y$39="Media",'Mapa final'!$AA$39="Mayor"),CONCATENATE("R9C",'Mapa final'!$O$39),"")</f>
        <v/>
      </c>
      <c r="AC34" s="53" t="str">
        <f>IF(AND('Mapa final'!$Y$40="Media",'Mapa final'!$AA$40="Mayor"),CONCATENATE("R9C",'Mapa final'!$O$40),"")</f>
        <v/>
      </c>
      <c r="AD34" s="53" t="str">
        <f>IF(AND('Mapa final'!$Y$41="Media",'Mapa final'!$AA$41="Mayor"),CONCATENATE("R9C",'Mapa final'!$O$41),"")</f>
        <v/>
      </c>
      <c r="AE34" s="53" t="str">
        <f>IF(AND('Mapa final'!$Y$42="Media",'Mapa final'!$AA$42="Mayor"),CONCATENATE("R9C",'Mapa final'!$O$42),"")</f>
        <v/>
      </c>
      <c r="AF34" s="53" t="str">
        <f>IF(AND('Mapa final'!$Y$43="Media",'Mapa final'!$AA$43="Mayor"),CONCATENATE("R9C",'Mapa final'!$O$43),"")</f>
        <v/>
      </c>
      <c r="AG34" s="54" t="str">
        <f>IF(AND('Mapa final'!$Y$44="Media",'Mapa final'!$AA$44="Mayor"),CONCATENATE("R9C",'Mapa final'!$O$44),"")</f>
        <v/>
      </c>
      <c r="AH34" s="55" t="str">
        <f>IF(AND('Mapa final'!$Y$39="Media",'Mapa final'!$AA$39="Catastrófico"),CONCATENATE("R9C",'Mapa final'!$O$39),"")</f>
        <v/>
      </c>
      <c r="AI34" s="56" t="str">
        <f>IF(AND('Mapa final'!$Y$40="Media",'Mapa final'!$AA$40="Catastrófico"),CONCATENATE("R9C",'Mapa final'!$O$40),"")</f>
        <v/>
      </c>
      <c r="AJ34" s="56" t="str">
        <f>IF(AND('Mapa final'!$Y$41="Media",'Mapa final'!$AA$41="Catastrófico"),CONCATENATE("R9C",'Mapa final'!$O$41),"")</f>
        <v/>
      </c>
      <c r="AK34" s="56" t="str">
        <f>IF(AND('Mapa final'!$Y$42="Media",'Mapa final'!$AA$42="Catastrófico"),CONCATENATE("R9C",'Mapa final'!$O$42),"")</f>
        <v/>
      </c>
      <c r="AL34" s="56" t="str">
        <f>IF(AND('Mapa final'!$Y$43="Media",'Mapa final'!$AA$43="Catastrófico"),CONCATENATE("R9C",'Mapa final'!$O$43),"")</f>
        <v/>
      </c>
      <c r="AM34" s="57" t="str">
        <f>IF(AND('Mapa final'!$Y$44="Media",'Mapa final'!$AA$44="Catastrófico"),CONCATENATE("R9C",'Mapa final'!$O$44),"")</f>
        <v/>
      </c>
      <c r="AN34" s="83"/>
      <c r="AO34" s="488"/>
      <c r="AP34" s="489"/>
      <c r="AQ34" s="489"/>
      <c r="AR34" s="489"/>
      <c r="AS34" s="489"/>
      <c r="AT34" s="490"/>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407"/>
      <c r="C35" s="407"/>
      <c r="D35" s="408"/>
      <c r="E35" s="451"/>
      <c r="F35" s="452"/>
      <c r="G35" s="452"/>
      <c r="H35" s="452"/>
      <c r="I35" s="453"/>
      <c r="J35" s="67" t="str">
        <f>IF(AND('Mapa final'!$Y$45="Media",'Mapa final'!$AA$45="Leve"),CONCATENATE("R10C",'Mapa final'!$O$45),"")</f>
        <v/>
      </c>
      <c r="K35" s="68" t="str">
        <f>IF(AND('Mapa final'!$Y$46="Media",'Mapa final'!$AA$46="Leve"),CONCATENATE("R10C",'Mapa final'!$O$46),"")</f>
        <v/>
      </c>
      <c r="L35" s="68" t="str">
        <f>IF(AND('Mapa final'!$Y$47="Media",'Mapa final'!$AA$47="Leve"),CONCATENATE("R10C",'Mapa final'!$O$47),"")</f>
        <v/>
      </c>
      <c r="M35" s="68" t="str">
        <f>IF(AND('Mapa final'!$Y$48="Media",'Mapa final'!$AA$48="Leve"),CONCATENATE("R10C",'Mapa final'!$O$48),"")</f>
        <v/>
      </c>
      <c r="N35" s="68" t="str">
        <f>IF(AND('Mapa final'!$Y$49="Media",'Mapa final'!$AA$49="Leve"),CONCATENATE("R10C",'Mapa final'!$O$49),"")</f>
        <v/>
      </c>
      <c r="O35" s="69" t="str">
        <f>IF(AND('Mapa final'!$Y$50="Media",'Mapa final'!$AA$50="Leve"),CONCATENATE("R10C",'Mapa final'!$O$50),"")</f>
        <v/>
      </c>
      <c r="P35" s="67" t="str">
        <f>IF(AND('Mapa final'!$Y$45="Media",'Mapa final'!$AA$45="Menor"),CONCATENATE("R10C",'Mapa final'!$O$45),"")</f>
        <v/>
      </c>
      <c r="Q35" s="68" t="str">
        <f>IF(AND('Mapa final'!$Y$46="Media",'Mapa final'!$AA$46="Menor"),CONCATENATE("R10C",'Mapa final'!$O$46),"")</f>
        <v/>
      </c>
      <c r="R35" s="68" t="str">
        <f>IF(AND('Mapa final'!$Y$47="Media",'Mapa final'!$AA$47="Menor"),CONCATENATE("R10C",'Mapa final'!$O$47),"")</f>
        <v/>
      </c>
      <c r="S35" s="68" t="str">
        <f>IF(AND('Mapa final'!$Y$48="Media",'Mapa final'!$AA$48="Menor"),CONCATENATE("R10C",'Mapa final'!$O$48),"")</f>
        <v/>
      </c>
      <c r="T35" s="68" t="str">
        <f>IF(AND('Mapa final'!$Y$49="Media",'Mapa final'!$AA$49="Menor"),CONCATENATE("R10C",'Mapa final'!$O$49),"")</f>
        <v/>
      </c>
      <c r="U35" s="69" t="str">
        <f>IF(AND('Mapa final'!$Y$50="Media",'Mapa final'!$AA$50="Menor"),CONCATENATE("R10C",'Mapa final'!$O$50),"")</f>
        <v/>
      </c>
      <c r="V35" s="67" t="str">
        <f>IF(AND('Mapa final'!$Y$45="Media",'Mapa final'!$AA$45="Moderado"),CONCATENATE("R10C",'Mapa final'!$O$45),"")</f>
        <v/>
      </c>
      <c r="W35" s="68" t="str">
        <f>IF(AND('Mapa final'!$Y$46="Media",'Mapa final'!$AA$46="Moderado"),CONCATENATE("R10C",'Mapa final'!$O$46),"")</f>
        <v/>
      </c>
      <c r="X35" s="68" t="str">
        <f>IF(AND('Mapa final'!$Y$47="Media",'Mapa final'!$AA$47="Moderado"),CONCATENATE("R10C",'Mapa final'!$O$47),"")</f>
        <v/>
      </c>
      <c r="Y35" s="68" t="str">
        <f>IF(AND('Mapa final'!$Y$48="Media",'Mapa final'!$AA$48="Moderado"),CONCATENATE("R10C",'Mapa final'!$O$48),"")</f>
        <v/>
      </c>
      <c r="Z35" s="68" t="str">
        <f>IF(AND('Mapa final'!$Y$49="Media",'Mapa final'!$AA$49="Moderado"),CONCATENATE("R10C",'Mapa final'!$O$49),"")</f>
        <v/>
      </c>
      <c r="AA35" s="69" t="str">
        <f>IF(AND('Mapa final'!$Y$50="Media",'Mapa final'!$AA$50="Moderado"),CONCATENATE("R10C",'Mapa final'!$O$50),"")</f>
        <v/>
      </c>
      <c r="AB35" s="58" t="str">
        <f>IF(AND('Mapa final'!$Y$45="Media",'Mapa final'!$AA$45="Mayor"),CONCATENATE("R10C",'Mapa final'!$O$45),"")</f>
        <v/>
      </c>
      <c r="AC35" s="59" t="str">
        <f>IF(AND('Mapa final'!$Y$46="Media",'Mapa final'!$AA$46="Mayor"),CONCATENATE("R10C",'Mapa final'!$O$46),"")</f>
        <v/>
      </c>
      <c r="AD35" s="59" t="str">
        <f>IF(AND('Mapa final'!$Y$47="Media",'Mapa final'!$AA$47="Mayor"),CONCATENATE("R10C",'Mapa final'!$O$47),"")</f>
        <v/>
      </c>
      <c r="AE35" s="59" t="str">
        <f>IF(AND('Mapa final'!$Y$48="Media",'Mapa final'!$AA$48="Mayor"),CONCATENATE("R10C",'Mapa final'!$O$48),"")</f>
        <v/>
      </c>
      <c r="AF35" s="59" t="str">
        <f>IF(AND('Mapa final'!$Y$49="Media",'Mapa final'!$AA$49="Mayor"),CONCATENATE("R10C",'Mapa final'!$O$49),"")</f>
        <v/>
      </c>
      <c r="AG35" s="60" t="str">
        <f>IF(AND('Mapa final'!$Y$50="Media",'Mapa final'!$AA$50="Mayor"),CONCATENATE("R10C",'Mapa final'!$O$50),"")</f>
        <v/>
      </c>
      <c r="AH35" s="61" t="str">
        <f>IF(AND('Mapa final'!$Y$45="Media",'Mapa final'!$AA$45="Catastrófico"),CONCATENATE("R10C",'Mapa final'!$O$45),"")</f>
        <v/>
      </c>
      <c r="AI35" s="62" t="str">
        <f>IF(AND('Mapa final'!$Y$46="Media",'Mapa final'!$AA$46="Catastrófico"),CONCATENATE("R10C",'Mapa final'!$O$46),"")</f>
        <v/>
      </c>
      <c r="AJ35" s="62" t="str">
        <f>IF(AND('Mapa final'!$Y$47="Media",'Mapa final'!$AA$47="Catastrófico"),CONCATENATE("R10C",'Mapa final'!$O$47),"")</f>
        <v/>
      </c>
      <c r="AK35" s="62" t="str">
        <f>IF(AND('Mapa final'!$Y$48="Media",'Mapa final'!$AA$48="Catastrófico"),CONCATENATE("R10C",'Mapa final'!$O$48),"")</f>
        <v/>
      </c>
      <c r="AL35" s="62" t="str">
        <f>IF(AND('Mapa final'!$Y$49="Media",'Mapa final'!$AA$49="Catastrófico"),CONCATENATE("R10C",'Mapa final'!$O$49),"")</f>
        <v/>
      </c>
      <c r="AM35" s="63" t="str">
        <f>IF(AND('Mapa final'!$Y$50="Media",'Mapa final'!$AA$50="Catastrófico"),CONCATENATE("R10C",'Mapa final'!$O$50),"")</f>
        <v/>
      </c>
      <c r="AN35" s="83"/>
      <c r="AO35" s="491"/>
      <c r="AP35" s="492"/>
      <c r="AQ35" s="492"/>
      <c r="AR35" s="492"/>
      <c r="AS35" s="492"/>
      <c r="AT35" s="49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407"/>
      <c r="C36" s="407"/>
      <c r="D36" s="408"/>
      <c r="E36" s="445" t="s">
        <v>98</v>
      </c>
      <c r="F36" s="446"/>
      <c r="G36" s="446"/>
      <c r="H36" s="446"/>
      <c r="I36" s="446"/>
      <c r="J36" s="73" t="str">
        <f>IF(AND('Mapa final'!$Y$24="Baja",'Mapa final'!$AA$24="Leve"),CONCATENATE("R1C",'Mapa final'!$O$24),"")</f>
        <v/>
      </c>
      <c r="K36" s="74" t="str">
        <f>IF(AND('Mapa final'!$Y$25="Baja",'Mapa final'!$AA$25="Leve"),CONCATENATE("R1C",'Mapa final'!$O$25),"")</f>
        <v/>
      </c>
      <c r="L36" s="74" t="e">
        <f>IF(AND('Mapa final'!#REF!="Baja",'Mapa final'!#REF!="Leve"),CONCATENATE("R1C",'Mapa final'!#REF!),"")</f>
        <v>#REF!</v>
      </c>
      <c r="M36" s="74" t="e">
        <f>IF(AND('Mapa final'!#REF!="Baja",'Mapa final'!#REF!="Leve"),CONCATENATE("R1C",'Mapa final'!#REF!),"")</f>
        <v>#REF!</v>
      </c>
      <c r="N36" s="74" t="e">
        <f>IF(AND('Mapa final'!#REF!="Baja",'Mapa final'!#REF!="Leve"),CONCATENATE("R1C",'Mapa final'!#REF!),"")</f>
        <v>#REF!</v>
      </c>
      <c r="O36" s="75" t="e">
        <f>IF(AND('Mapa final'!#REF!="Baja",'Mapa final'!#REF!="Leve"),CONCATENATE("R1C",'Mapa final'!#REF!),"")</f>
        <v>#REF!</v>
      </c>
      <c r="P36" s="64" t="str">
        <f>IF(AND('Mapa final'!$Y$24="Baja",'Mapa final'!$AA$24="Menor"),CONCATENATE("R1C",'Mapa final'!$O$24),"")</f>
        <v/>
      </c>
      <c r="Q36" s="65" t="str">
        <f>IF(AND('Mapa final'!$Y$25="Baja",'Mapa final'!$AA$25="Menor"),CONCATENATE("R1C",'Mapa final'!$O$25),"")</f>
        <v/>
      </c>
      <c r="R36" s="65" t="e">
        <f>IF(AND('Mapa final'!#REF!="Baja",'Mapa final'!#REF!="Menor"),CONCATENATE("R1C",'Mapa final'!#REF!),"")</f>
        <v>#REF!</v>
      </c>
      <c r="S36" s="65" t="e">
        <f>IF(AND('Mapa final'!#REF!="Baja",'Mapa final'!#REF!="Menor"),CONCATENATE("R1C",'Mapa final'!#REF!),"")</f>
        <v>#REF!</v>
      </c>
      <c r="T36" s="65" t="e">
        <f>IF(AND('Mapa final'!#REF!="Baja",'Mapa final'!#REF!="Menor"),CONCATENATE("R1C",'Mapa final'!#REF!),"")</f>
        <v>#REF!</v>
      </c>
      <c r="U36" s="66" t="e">
        <f>IF(AND('Mapa final'!#REF!="Baja",'Mapa final'!#REF!="Menor"),CONCATENATE("R1C",'Mapa final'!#REF!),"")</f>
        <v>#REF!</v>
      </c>
      <c r="V36" s="64" t="str">
        <f>IF(AND('Mapa final'!$Y$24="Baja",'Mapa final'!$AA$24="Moderado"),CONCATENATE("R1C",'Mapa final'!$O$24),"")</f>
        <v/>
      </c>
      <c r="W36" s="65" t="str">
        <f>IF(AND('Mapa final'!$Y$25="Baja",'Mapa final'!$AA$25="Moderado"),CONCATENATE("R1C",'Mapa final'!$O$25),"")</f>
        <v/>
      </c>
      <c r="X36" s="65" t="e">
        <f>IF(AND('Mapa final'!#REF!="Baja",'Mapa final'!#REF!="Moderado"),CONCATENATE("R1C",'Mapa final'!#REF!),"")</f>
        <v>#REF!</v>
      </c>
      <c r="Y36" s="65" t="e">
        <f>IF(AND('Mapa final'!#REF!="Baja",'Mapa final'!#REF!="Moderado"),CONCATENATE("R1C",'Mapa final'!#REF!),"")</f>
        <v>#REF!</v>
      </c>
      <c r="Z36" s="65" t="e">
        <f>IF(AND('Mapa final'!#REF!="Baja",'Mapa final'!#REF!="Moderado"),CONCATENATE("R1C",'Mapa final'!#REF!),"")</f>
        <v>#REF!</v>
      </c>
      <c r="AA36" s="66" t="e">
        <f>IF(AND('Mapa final'!#REF!="Baja",'Mapa final'!#REF!="Moderado"),CONCATENATE("R1C",'Mapa final'!#REF!),"")</f>
        <v>#REF!</v>
      </c>
      <c r="AB36" s="46" t="str">
        <f>IF(AND('Mapa final'!$Y$24="Baja",'Mapa final'!$AA$24="Mayor"),CONCATENATE("R1C",'Mapa final'!$O$24),"")</f>
        <v/>
      </c>
      <c r="AC36" s="47" t="str">
        <f>IF(AND('Mapa final'!$Y$25="Baja",'Mapa final'!$AA$25="Mayor"),CONCATENATE("R1C",'Mapa final'!$O$25),"")</f>
        <v/>
      </c>
      <c r="AD36" s="47" t="e">
        <f>IF(AND('Mapa final'!#REF!="Baja",'Mapa final'!#REF!="Mayor"),CONCATENATE("R1C",'Mapa final'!#REF!),"")</f>
        <v>#REF!</v>
      </c>
      <c r="AE36" s="47" t="e">
        <f>IF(AND('Mapa final'!#REF!="Baja",'Mapa final'!#REF!="Mayor"),CONCATENATE("R1C",'Mapa final'!#REF!),"")</f>
        <v>#REF!</v>
      </c>
      <c r="AF36" s="47" t="e">
        <f>IF(AND('Mapa final'!#REF!="Baja",'Mapa final'!#REF!="Mayor"),CONCATENATE("R1C",'Mapa final'!#REF!),"")</f>
        <v>#REF!</v>
      </c>
      <c r="AG36" s="48" t="e">
        <f>IF(AND('Mapa final'!#REF!="Baja",'Mapa final'!#REF!="Mayor"),CONCATENATE("R1C",'Mapa final'!#REF!),"")</f>
        <v>#REF!</v>
      </c>
      <c r="AH36" s="49" t="str">
        <f>IF(AND('Mapa final'!$Y$24="Baja",'Mapa final'!$AA$24="Catastrófico"),CONCATENATE("R1C",'Mapa final'!$O$24),"")</f>
        <v/>
      </c>
      <c r="AI36" s="50" t="str">
        <f>IF(AND('Mapa final'!$Y$25="Baja",'Mapa final'!$AA$25="Catastrófico"),CONCATENATE("R1C",'Mapa final'!$O$25),"")</f>
        <v/>
      </c>
      <c r="AJ36" s="50" t="e">
        <f>IF(AND('Mapa final'!#REF!="Baja",'Mapa final'!#REF!="Catastrófico"),CONCATENATE("R1C",'Mapa final'!#REF!),"")</f>
        <v>#REF!</v>
      </c>
      <c r="AK36" s="50" t="e">
        <f>IF(AND('Mapa final'!#REF!="Baja",'Mapa final'!#REF!="Catastrófico"),CONCATENATE("R1C",'Mapa final'!#REF!),"")</f>
        <v>#REF!</v>
      </c>
      <c r="AL36" s="50" t="e">
        <f>IF(AND('Mapa final'!#REF!="Baja",'Mapa final'!#REF!="Catastrófico"),CONCATENATE("R1C",'Mapa final'!#REF!),"")</f>
        <v>#REF!</v>
      </c>
      <c r="AM36" s="51" t="e">
        <f>IF(AND('Mapa final'!#REF!="Baja",'Mapa final'!#REF!="Catastrófico"),CONCATENATE("R1C",'Mapa final'!#REF!),"")</f>
        <v>#REF!</v>
      </c>
      <c r="AN36" s="83"/>
      <c r="AO36" s="476" t="s">
        <v>99</v>
      </c>
      <c r="AP36" s="477"/>
      <c r="AQ36" s="477"/>
      <c r="AR36" s="477"/>
      <c r="AS36" s="477"/>
      <c r="AT36" s="478"/>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407"/>
      <c r="C37" s="407"/>
      <c r="D37" s="408"/>
      <c r="E37" s="464"/>
      <c r="F37" s="449"/>
      <c r="G37" s="449"/>
      <c r="H37" s="449"/>
      <c r="I37" s="449"/>
      <c r="J37" s="76" t="str">
        <f>IF(AND('Mapa final'!$Y$26="Baja",'Mapa final'!$AA$26="Leve"),CONCATENATE("R2C",'Mapa final'!$O$26),"")</f>
        <v/>
      </c>
      <c r="K37" s="77" t="e">
        <f>IF(AND('Mapa final'!#REF!="Baja",'Mapa final'!#REF!="Leve"),CONCATENATE("R2C",'Mapa final'!#REF!),"")</f>
        <v>#REF!</v>
      </c>
      <c r="L37" s="77" t="e">
        <f>IF(AND('Mapa final'!#REF!="Baja",'Mapa final'!#REF!="Leve"),CONCATENATE("R2C",'Mapa final'!#REF!),"")</f>
        <v>#REF!</v>
      </c>
      <c r="M37" s="77" t="e">
        <f>IF(AND('Mapa final'!#REF!="Baja",'Mapa final'!#REF!="Leve"),CONCATENATE("R2C",'Mapa final'!#REF!),"")</f>
        <v>#REF!</v>
      </c>
      <c r="N37" s="77" t="e">
        <f>IF(AND('Mapa final'!#REF!="Baja",'Mapa final'!#REF!="Leve"),CONCATENATE("R2C",'Mapa final'!#REF!),"")</f>
        <v>#REF!</v>
      </c>
      <c r="O37" s="78" t="e">
        <f>IF(AND('Mapa final'!#REF!="Baja",'Mapa final'!#REF!="Leve"),CONCATENATE("R2C",'Mapa final'!#REF!),"")</f>
        <v>#REF!</v>
      </c>
      <c r="P37" s="67" t="str">
        <f>IF(AND('Mapa final'!$Y$26="Baja",'Mapa final'!$AA$26="Menor"),CONCATENATE("R2C",'Mapa final'!$O$26),"")</f>
        <v/>
      </c>
      <c r="Q37" s="68" t="e">
        <f>IF(AND('Mapa final'!#REF!="Baja",'Mapa final'!#REF!="Menor"),CONCATENATE("R2C",'Mapa final'!#REF!),"")</f>
        <v>#REF!</v>
      </c>
      <c r="R37" s="68" t="e">
        <f>IF(AND('Mapa final'!#REF!="Baja",'Mapa final'!#REF!="Menor"),CONCATENATE("R2C",'Mapa final'!#REF!),"")</f>
        <v>#REF!</v>
      </c>
      <c r="S37" s="68" t="e">
        <f>IF(AND('Mapa final'!#REF!="Baja",'Mapa final'!#REF!="Menor"),CONCATENATE("R2C",'Mapa final'!#REF!),"")</f>
        <v>#REF!</v>
      </c>
      <c r="T37" s="68" t="e">
        <f>IF(AND('Mapa final'!#REF!="Baja",'Mapa final'!#REF!="Menor"),CONCATENATE("R2C",'Mapa final'!#REF!),"")</f>
        <v>#REF!</v>
      </c>
      <c r="U37" s="69" t="e">
        <f>IF(AND('Mapa final'!#REF!="Baja",'Mapa final'!#REF!="Menor"),CONCATENATE("R2C",'Mapa final'!#REF!),"")</f>
        <v>#REF!</v>
      </c>
      <c r="V37" s="67" t="str">
        <f>IF(AND('Mapa final'!$Y$26="Baja",'Mapa final'!$AA$26="Moderado"),CONCATENATE("R2C",'Mapa final'!$O$26),"")</f>
        <v/>
      </c>
      <c r="W37" s="68" t="e">
        <f>IF(AND('Mapa final'!#REF!="Baja",'Mapa final'!#REF!="Moderado"),CONCATENATE("R2C",'Mapa final'!#REF!),"")</f>
        <v>#REF!</v>
      </c>
      <c r="X37" s="68" t="e">
        <f>IF(AND('Mapa final'!#REF!="Baja",'Mapa final'!#REF!="Moderado"),CONCATENATE("R2C",'Mapa final'!#REF!),"")</f>
        <v>#REF!</v>
      </c>
      <c r="Y37" s="68" t="e">
        <f>IF(AND('Mapa final'!#REF!="Baja",'Mapa final'!#REF!="Moderado"),CONCATENATE("R2C",'Mapa final'!#REF!),"")</f>
        <v>#REF!</v>
      </c>
      <c r="Z37" s="68" t="e">
        <f>IF(AND('Mapa final'!#REF!="Baja",'Mapa final'!#REF!="Moderado"),CONCATENATE("R2C",'Mapa final'!#REF!),"")</f>
        <v>#REF!</v>
      </c>
      <c r="AA37" s="69" t="e">
        <f>IF(AND('Mapa final'!#REF!="Baja",'Mapa final'!#REF!="Moderado"),CONCATENATE("R2C",'Mapa final'!#REF!),"")</f>
        <v>#REF!</v>
      </c>
      <c r="AB37" s="52" t="str">
        <f>IF(AND('Mapa final'!$Y$26="Baja",'Mapa final'!$AA$26="Mayor"),CONCATENATE("R2C",'Mapa final'!$O$26),"")</f>
        <v/>
      </c>
      <c r="AC37" s="53" t="e">
        <f>IF(AND('Mapa final'!#REF!="Baja",'Mapa final'!#REF!="Mayor"),CONCATENATE("R2C",'Mapa final'!#REF!),"")</f>
        <v>#REF!</v>
      </c>
      <c r="AD37" s="53" t="e">
        <f>IF(AND('Mapa final'!#REF!="Baja",'Mapa final'!#REF!="Mayor"),CONCATENATE("R2C",'Mapa final'!#REF!),"")</f>
        <v>#REF!</v>
      </c>
      <c r="AE37" s="53" t="e">
        <f>IF(AND('Mapa final'!#REF!="Baja",'Mapa final'!#REF!="Mayor"),CONCATENATE("R2C",'Mapa final'!#REF!),"")</f>
        <v>#REF!</v>
      </c>
      <c r="AF37" s="53" t="e">
        <f>IF(AND('Mapa final'!#REF!="Baja",'Mapa final'!#REF!="Mayor"),CONCATENATE("R2C",'Mapa final'!#REF!),"")</f>
        <v>#REF!</v>
      </c>
      <c r="AG37" s="54" t="e">
        <f>IF(AND('Mapa final'!#REF!="Baja",'Mapa final'!#REF!="Mayor"),CONCATENATE("R2C",'Mapa final'!#REF!),"")</f>
        <v>#REF!</v>
      </c>
      <c r="AH37" s="55" t="str">
        <f>IF(AND('Mapa final'!$Y$26="Baja",'Mapa final'!$AA$26="Catastrófico"),CONCATENATE("R2C",'Mapa final'!$O$26),"")</f>
        <v/>
      </c>
      <c r="AI37" s="56" t="e">
        <f>IF(AND('Mapa final'!#REF!="Baja",'Mapa final'!#REF!="Catastrófico"),CONCATENATE("R2C",'Mapa final'!#REF!),"")</f>
        <v>#REF!</v>
      </c>
      <c r="AJ37" s="56" t="e">
        <f>IF(AND('Mapa final'!#REF!="Baja",'Mapa final'!#REF!="Catastrófico"),CONCATENATE("R2C",'Mapa final'!#REF!),"")</f>
        <v>#REF!</v>
      </c>
      <c r="AK37" s="56" t="e">
        <f>IF(AND('Mapa final'!#REF!="Baja",'Mapa final'!#REF!="Catastrófico"),CONCATENATE("R2C",'Mapa final'!#REF!),"")</f>
        <v>#REF!</v>
      </c>
      <c r="AL37" s="56" t="e">
        <f>IF(AND('Mapa final'!#REF!="Baja",'Mapa final'!#REF!="Catastrófico"),CONCATENATE("R2C",'Mapa final'!#REF!),"")</f>
        <v>#REF!</v>
      </c>
      <c r="AM37" s="57" t="e">
        <f>IF(AND('Mapa final'!#REF!="Baja",'Mapa final'!#REF!="Catastrófico"),CONCATENATE("R2C",'Mapa final'!#REF!),"")</f>
        <v>#REF!</v>
      </c>
      <c r="AN37" s="83"/>
      <c r="AO37" s="479"/>
      <c r="AP37" s="480"/>
      <c r="AQ37" s="480"/>
      <c r="AR37" s="480"/>
      <c r="AS37" s="480"/>
      <c r="AT37" s="481"/>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407"/>
      <c r="C38" s="407"/>
      <c r="D38" s="408"/>
      <c r="E38" s="448"/>
      <c r="F38" s="449"/>
      <c r="G38" s="449"/>
      <c r="H38" s="449"/>
      <c r="I38" s="449"/>
      <c r="J38" s="76" t="str">
        <f>IF(AND('Mapa final'!$Y$27="Baja",'Mapa final'!$AA$27="Leve"),CONCATENATE("R3C",'Mapa final'!$O$27),"")</f>
        <v/>
      </c>
      <c r="K38" s="77" t="str">
        <f>IF(AND('Mapa final'!$Y$28="Baja",'Mapa final'!$AA$28="Leve"),CONCATENATE("R3C",'Mapa final'!$O$28),"")</f>
        <v/>
      </c>
      <c r="L38" s="77" t="e">
        <f>IF(AND('Mapa final'!#REF!="Baja",'Mapa final'!#REF!="Leve"),CONCATENATE("R3C",'Mapa final'!#REF!),"")</f>
        <v>#REF!</v>
      </c>
      <c r="M38" s="77" t="e">
        <f>IF(AND('Mapa final'!#REF!="Baja",'Mapa final'!#REF!="Leve"),CONCATENATE("R3C",'Mapa final'!#REF!),"")</f>
        <v>#REF!</v>
      </c>
      <c r="N38" s="77" t="e">
        <f>IF(AND('Mapa final'!#REF!="Baja",'Mapa final'!#REF!="Leve"),CONCATENATE("R3C",'Mapa final'!#REF!),"")</f>
        <v>#REF!</v>
      </c>
      <c r="O38" s="78" t="e">
        <f>IF(AND('Mapa final'!#REF!="Baja",'Mapa final'!#REF!="Leve"),CONCATENATE("R3C",'Mapa final'!#REF!),"")</f>
        <v>#REF!</v>
      </c>
      <c r="P38" s="67" t="str">
        <f>IF(AND('Mapa final'!$Y$27="Baja",'Mapa final'!$AA$27="Menor"),CONCATENATE("R3C",'Mapa final'!$O$27),"")</f>
        <v/>
      </c>
      <c r="Q38" s="68" t="str">
        <f>IF(AND('Mapa final'!$Y$28="Baja",'Mapa final'!$AA$28="Menor"),CONCATENATE("R3C",'Mapa final'!$O$28),"")</f>
        <v/>
      </c>
      <c r="R38" s="68" t="e">
        <f>IF(AND('Mapa final'!#REF!="Baja",'Mapa final'!#REF!="Menor"),CONCATENATE("R3C",'Mapa final'!#REF!),"")</f>
        <v>#REF!</v>
      </c>
      <c r="S38" s="68" t="e">
        <f>IF(AND('Mapa final'!#REF!="Baja",'Mapa final'!#REF!="Menor"),CONCATENATE("R3C",'Mapa final'!#REF!),"")</f>
        <v>#REF!</v>
      </c>
      <c r="T38" s="68" t="e">
        <f>IF(AND('Mapa final'!#REF!="Baja",'Mapa final'!#REF!="Menor"),CONCATENATE("R3C",'Mapa final'!#REF!),"")</f>
        <v>#REF!</v>
      </c>
      <c r="U38" s="69" t="e">
        <f>IF(AND('Mapa final'!#REF!="Baja",'Mapa final'!#REF!="Menor"),CONCATENATE("R3C",'Mapa final'!#REF!),"")</f>
        <v>#REF!</v>
      </c>
      <c r="V38" s="67" t="str">
        <f>IF(AND('Mapa final'!$Y$27="Baja",'Mapa final'!$AA$27="Moderado"),CONCATENATE("R3C",'Mapa final'!$O$27),"")</f>
        <v/>
      </c>
      <c r="W38" s="68" t="str">
        <f>IF(AND('Mapa final'!$Y$28="Baja",'Mapa final'!$AA$28="Moderado"),CONCATENATE("R3C",'Mapa final'!$O$28),"")</f>
        <v/>
      </c>
      <c r="X38" s="68" t="e">
        <f>IF(AND('Mapa final'!#REF!="Baja",'Mapa final'!#REF!="Moderado"),CONCATENATE("R3C",'Mapa final'!#REF!),"")</f>
        <v>#REF!</v>
      </c>
      <c r="Y38" s="68" t="e">
        <f>IF(AND('Mapa final'!#REF!="Baja",'Mapa final'!#REF!="Moderado"),CONCATENATE("R3C",'Mapa final'!#REF!),"")</f>
        <v>#REF!</v>
      </c>
      <c r="Z38" s="68" t="e">
        <f>IF(AND('Mapa final'!#REF!="Baja",'Mapa final'!#REF!="Moderado"),CONCATENATE("R3C",'Mapa final'!#REF!),"")</f>
        <v>#REF!</v>
      </c>
      <c r="AA38" s="69" t="e">
        <f>IF(AND('Mapa final'!#REF!="Baja",'Mapa final'!#REF!="Moderado"),CONCATENATE("R3C",'Mapa final'!#REF!),"")</f>
        <v>#REF!</v>
      </c>
      <c r="AB38" s="52" t="str">
        <f>IF(AND('Mapa final'!$Y$27="Baja",'Mapa final'!$AA$27="Mayor"),CONCATENATE("R3C",'Mapa final'!$O$27),"")</f>
        <v/>
      </c>
      <c r="AC38" s="53" t="str">
        <f>IF(AND('Mapa final'!$Y$28="Baja",'Mapa final'!$AA$28="Mayor"),CONCATENATE("R3C",'Mapa final'!$O$28),"")</f>
        <v/>
      </c>
      <c r="AD38" s="53" t="e">
        <f>IF(AND('Mapa final'!#REF!="Baja",'Mapa final'!#REF!="Mayor"),CONCATENATE("R3C",'Mapa final'!#REF!),"")</f>
        <v>#REF!</v>
      </c>
      <c r="AE38" s="53" t="e">
        <f>IF(AND('Mapa final'!#REF!="Baja",'Mapa final'!#REF!="Mayor"),CONCATENATE("R3C",'Mapa final'!#REF!),"")</f>
        <v>#REF!</v>
      </c>
      <c r="AF38" s="53" t="e">
        <f>IF(AND('Mapa final'!#REF!="Baja",'Mapa final'!#REF!="Mayor"),CONCATENATE("R3C",'Mapa final'!#REF!),"")</f>
        <v>#REF!</v>
      </c>
      <c r="AG38" s="54" t="e">
        <f>IF(AND('Mapa final'!#REF!="Baja",'Mapa final'!#REF!="Mayor"),CONCATENATE("R3C",'Mapa final'!#REF!),"")</f>
        <v>#REF!</v>
      </c>
      <c r="AH38" s="55" t="str">
        <f>IF(AND('Mapa final'!$Y$27="Baja",'Mapa final'!$AA$27="Catastrófico"),CONCATENATE("R3C",'Mapa final'!$O$27),"")</f>
        <v/>
      </c>
      <c r="AI38" s="56" t="str">
        <f>IF(AND('Mapa final'!$Y$28="Baja",'Mapa final'!$AA$28="Catastrófico"),CONCATENATE("R3C",'Mapa final'!$O$28),"")</f>
        <v/>
      </c>
      <c r="AJ38" s="56" t="e">
        <f>IF(AND('Mapa final'!#REF!="Baja",'Mapa final'!#REF!="Catastrófico"),CONCATENATE("R3C",'Mapa final'!#REF!),"")</f>
        <v>#REF!</v>
      </c>
      <c r="AK38" s="56" t="e">
        <f>IF(AND('Mapa final'!#REF!="Baja",'Mapa final'!#REF!="Catastrófico"),CONCATENATE("R3C",'Mapa final'!#REF!),"")</f>
        <v>#REF!</v>
      </c>
      <c r="AL38" s="56" t="e">
        <f>IF(AND('Mapa final'!#REF!="Baja",'Mapa final'!#REF!="Catastrófico"),CONCATENATE("R3C",'Mapa final'!#REF!),"")</f>
        <v>#REF!</v>
      </c>
      <c r="AM38" s="57" t="e">
        <f>IF(AND('Mapa final'!#REF!="Baja",'Mapa final'!#REF!="Catastrófico"),CONCATENATE("R3C",'Mapa final'!#REF!),"")</f>
        <v>#REF!</v>
      </c>
      <c r="AN38" s="83"/>
      <c r="AO38" s="479"/>
      <c r="AP38" s="480"/>
      <c r="AQ38" s="480"/>
      <c r="AR38" s="480"/>
      <c r="AS38" s="480"/>
      <c r="AT38" s="481"/>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407"/>
      <c r="C39" s="407"/>
      <c r="D39" s="408"/>
      <c r="E39" s="448"/>
      <c r="F39" s="449"/>
      <c r="G39" s="449"/>
      <c r="H39" s="449"/>
      <c r="I39" s="449"/>
      <c r="J39" s="76" t="str">
        <f>IF(AND('Mapa final'!$Y$29="Baja",'Mapa final'!$AA$29="Leve"),CONCATENATE("R4C",'Mapa final'!$O$29),"")</f>
        <v/>
      </c>
      <c r="K39" s="77" t="str">
        <f>IF(AND('Mapa final'!$Y$30="Baja",'Mapa final'!$AA$30="Leve"),CONCATENATE("R4C",'Mapa final'!$O$30),"")</f>
        <v/>
      </c>
      <c r="L39" s="77" t="e">
        <f>IF(AND('Mapa final'!#REF!="Baja",'Mapa final'!#REF!="Leve"),CONCATENATE("R4C",'Mapa final'!#REF!),"")</f>
        <v>#REF!</v>
      </c>
      <c r="M39" s="77" t="e">
        <f>IF(AND('Mapa final'!#REF!="Baja",'Mapa final'!#REF!="Leve"),CONCATENATE("R4C",'Mapa final'!#REF!),"")</f>
        <v>#REF!</v>
      </c>
      <c r="N39" s="77" t="e">
        <f>IF(AND('Mapa final'!#REF!="Baja",'Mapa final'!#REF!="Leve"),CONCATENATE("R4C",'Mapa final'!#REF!),"")</f>
        <v>#REF!</v>
      </c>
      <c r="O39" s="78" t="e">
        <f>IF(AND('Mapa final'!#REF!="Baja",'Mapa final'!#REF!="Leve"),CONCATENATE("R4C",'Mapa final'!#REF!),"")</f>
        <v>#REF!</v>
      </c>
      <c r="P39" s="67" t="str">
        <f>IF(AND('Mapa final'!$Y$29="Baja",'Mapa final'!$AA$29="Menor"),CONCATENATE("R4C",'Mapa final'!$O$29),"")</f>
        <v/>
      </c>
      <c r="Q39" s="68" t="str">
        <f>IF(AND('Mapa final'!$Y$30="Baja",'Mapa final'!$AA$30="Menor"),CONCATENATE("R4C",'Mapa final'!$O$30),"")</f>
        <v/>
      </c>
      <c r="R39" s="68" t="e">
        <f>IF(AND('Mapa final'!#REF!="Baja",'Mapa final'!#REF!="Menor"),CONCATENATE("R4C",'Mapa final'!#REF!),"")</f>
        <v>#REF!</v>
      </c>
      <c r="S39" s="68" t="e">
        <f>IF(AND('Mapa final'!#REF!="Baja",'Mapa final'!#REF!="Menor"),CONCATENATE("R4C",'Mapa final'!#REF!),"")</f>
        <v>#REF!</v>
      </c>
      <c r="T39" s="68" t="e">
        <f>IF(AND('Mapa final'!#REF!="Baja",'Mapa final'!#REF!="Menor"),CONCATENATE("R4C",'Mapa final'!#REF!),"")</f>
        <v>#REF!</v>
      </c>
      <c r="U39" s="69" t="e">
        <f>IF(AND('Mapa final'!#REF!="Baja",'Mapa final'!#REF!="Menor"),CONCATENATE("R4C",'Mapa final'!#REF!),"")</f>
        <v>#REF!</v>
      </c>
      <c r="V39" s="67" t="str">
        <f>IF(AND('Mapa final'!$Y$29="Baja",'Mapa final'!$AA$29="Moderado"),CONCATENATE("R4C",'Mapa final'!$O$29),"")</f>
        <v/>
      </c>
      <c r="W39" s="68" t="str">
        <f>IF(AND('Mapa final'!$Y$30="Baja",'Mapa final'!$AA$30="Moderado"),CONCATENATE("R4C",'Mapa final'!$O$30),"")</f>
        <v/>
      </c>
      <c r="X39" s="68" t="e">
        <f>IF(AND('Mapa final'!#REF!="Baja",'Mapa final'!#REF!="Moderado"),CONCATENATE("R4C",'Mapa final'!#REF!),"")</f>
        <v>#REF!</v>
      </c>
      <c r="Y39" s="68" t="e">
        <f>IF(AND('Mapa final'!#REF!="Baja",'Mapa final'!#REF!="Moderado"),CONCATENATE("R4C",'Mapa final'!#REF!),"")</f>
        <v>#REF!</v>
      </c>
      <c r="Z39" s="68" t="e">
        <f>IF(AND('Mapa final'!#REF!="Baja",'Mapa final'!#REF!="Moderado"),CONCATENATE("R4C",'Mapa final'!#REF!),"")</f>
        <v>#REF!</v>
      </c>
      <c r="AA39" s="69" t="e">
        <f>IF(AND('Mapa final'!#REF!="Baja",'Mapa final'!#REF!="Moderado"),CONCATENATE("R4C",'Mapa final'!#REF!),"")</f>
        <v>#REF!</v>
      </c>
      <c r="AB39" s="52" t="str">
        <f>IF(AND('Mapa final'!$Y$29="Baja",'Mapa final'!$AA$29="Mayor"),CONCATENATE("R4C",'Mapa final'!$O$29),"")</f>
        <v/>
      </c>
      <c r="AC39" s="53" t="str">
        <f>IF(AND('Mapa final'!$Y$30="Baja",'Mapa final'!$AA$30="Mayor"),CONCATENATE("R4C",'Mapa final'!$O$30),"")</f>
        <v/>
      </c>
      <c r="AD39" s="53" t="e">
        <f>IF(AND('Mapa final'!#REF!="Baja",'Mapa final'!#REF!="Mayor"),CONCATENATE("R4C",'Mapa final'!#REF!),"")</f>
        <v>#REF!</v>
      </c>
      <c r="AE39" s="53" t="e">
        <f>IF(AND('Mapa final'!#REF!="Baja",'Mapa final'!#REF!="Mayor"),CONCATENATE("R4C",'Mapa final'!#REF!),"")</f>
        <v>#REF!</v>
      </c>
      <c r="AF39" s="53" t="e">
        <f>IF(AND('Mapa final'!#REF!="Baja",'Mapa final'!#REF!="Mayor"),CONCATENATE("R4C",'Mapa final'!#REF!),"")</f>
        <v>#REF!</v>
      </c>
      <c r="AG39" s="54" t="e">
        <f>IF(AND('Mapa final'!#REF!="Baja",'Mapa final'!#REF!="Mayor"),CONCATENATE("R4C",'Mapa final'!#REF!),"")</f>
        <v>#REF!</v>
      </c>
      <c r="AH39" s="55" t="str">
        <f>IF(AND('Mapa final'!$Y$29="Baja",'Mapa final'!$AA$29="Catastrófico"),CONCATENATE("R4C",'Mapa final'!$O$29),"")</f>
        <v/>
      </c>
      <c r="AI39" s="56" t="str">
        <f>IF(AND('Mapa final'!$Y$30="Baja",'Mapa final'!$AA$30="Catastrófico"),CONCATENATE("R4C",'Mapa final'!$O$30),"")</f>
        <v/>
      </c>
      <c r="AJ39" s="56" t="e">
        <f>IF(AND('Mapa final'!#REF!="Baja",'Mapa final'!#REF!="Catastrófico"),CONCATENATE("R4C",'Mapa final'!#REF!),"")</f>
        <v>#REF!</v>
      </c>
      <c r="AK39" s="56" t="e">
        <f>IF(AND('Mapa final'!#REF!="Baja",'Mapa final'!#REF!="Catastrófico"),CONCATENATE("R4C",'Mapa final'!#REF!),"")</f>
        <v>#REF!</v>
      </c>
      <c r="AL39" s="56" t="e">
        <f>IF(AND('Mapa final'!#REF!="Baja",'Mapa final'!#REF!="Catastrófico"),CONCATENATE("R4C",'Mapa final'!#REF!),"")</f>
        <v>#REF!</v>
      </c>
      <c r="AM39" s="57" t="e">
        <f>IF(AND('Mapa final'!#REF!="Baja",'Mapa final'!#REF!="Catastrófico"),CONCATENATE("R4C",'Mapa final'!#REF!),"")</f>
        <v>#REF!</v>
      </c>
      <c r="AN39" s="83"/>
      <c r="AO39" s="479"/>
      <c r="AP39" s="480"/>
      <c r="AQ39" s="480"/>
      <c r="AR39" s="480"/>
      <c r="AS39" s="480"/>
      <c r="AT39" s="481"/>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407"/>
      <c r="C40" s="407"/>
      <c r="D40" s="408"/>
      <c r="E40" s="448"/>
      <c r="F40" s="449"/>
      <c r="G40" s="449"/>
      <c r="H40" s="449"/>
      <c r="I40" s="449"/>
      <c r="J40" s="76" t="str">
        <f>IF(AND('Mapa final'!$Y$31="Baja",'Mapa final'!$AA$31="Leve"),CONCATENATE("R5C",'Mapa final'!$O$31),"")</f>
        <v/>
      </c>
      <c r="K40" s="77" t="str">
        <f>IF(AND('Mapa final'!$Y$32="Baja",'Mapa final'!$AA$32="Leve"),CONCATENATE("R5C",'Mapa final'!$O$32),"")</f>
        <v/>
      </c>
      <c r="L40" s="77" t="e">
        <f>IF(AND('Mapa final'!#REF!="Baja",'Mapa final'!#REF!="Leve"),CONCATENATE("R5C",'Mapa final'!#REF!),"")</f>
        <v>#REF!</v>
      </c>
      <c r="M40" s="77" t="e">
        <f>IF(AND('Mapa final'!#REF!="Baja",'Mapa final'!#REF!="Leve"),CONCATENATE("R5C",'Mapa final'!#REF!),"")</f>
        <v>#REF!</v>
      </c>
      <c r="N40" s="77" t="e">
        <f>IF(AND('Mapa final'!#REF!="Baja",'Mapa final'!#REF!="Leve"),CONCATENATE("R5C",'Mapa final'!#REF!),"")</f>
        <v>#REF!</v>
      </c>
      <c r="O40" s="78" t="e">
        <f>IF(AND('Mapa final'!#REF!="Baja",'Mapa final'!#REF!="Leve"),CONCATENATE("R5C",'Mapa final'!#REF!),"")</f>
        <v>#REF!</v>
      </c>
      <c r="P40" s="67" t="str">
        <f>IF(AND('Mapa final'!$Y$31="Baja",'Mapa final'!$AA$31="Menor"),CONCATENATE("R5C",'Mapa final'!$O$31),"")</f>
        <v/>
      </c>
      <c r="Q40" s="68" t="str">
        <f>IF(AND('Mapa final'!$Y$32="Baja",'Mapa final'!$AA$32="Menor"),CONCATENATE("R5C",'Mapa final'!$O$32),"")</f>
        <v/>
      </c>
      <c r="R40" s="68" t="e">
        <f>IF(AND('Mapa final'!#REF!="Baja",'Mapa final'!#REF!="Menor"),CONCATENATE("R5C",'Mapa final'!#REF!),"")</f>
        <v>#REF!</v>
      </c>
      <c r="S40" s="68" t="e">
        <f>IF(AND('Mapa final'!#REF!="Baja",'Mapa final'!#REF!="Menor"),CONCATENATE("R5C",'Mapa final'!#REF!),"")</f>
        <v>#REF!</v>
      </c>
      <c r="T40" s="68" t="e">
        <f>IF(AND('Mapa final'!#REF!="Baja",'Mapa final'!#REF!="Menor"),CONCATENATE("R5C",'Mapa final'!#REF!),"")</f>
        <v>#REF!</v>
      </c>
      <c r="U40" s="69" t="e">
        <f>IF(AND('Mapa final'!#REF!="Baja",'Mapa final'!#REF!="Menor"),CONCATENATE("R5C",'Mapa final'!#REF!),"")</f>
        <v>#REF!</v>
      </c>
      <c r="V40" s="67" t="str">
        <f>IF(AND('Mapa final'!$Y$31="Baja",'Mapa final'!$AA$31="Moderado"),CONCATENATE("R5C",'Mapa final'!$O$31),"")</f>
        <v/>
      </c>
      <c r="W40" s="68" t="str">
        <f>IF(AND('Mapa final'!$Y$32="Baja",'Mapa final'!$AA$32="Moderado"),CONCATENATE("R5C",'Mapa final'!$O$32),"")</f>
        <v/>
      </c>
      <c r="X40" s="68" t="e">
        <f>IF(AND('Mapa final'!#REF!="Baja",'Mapa final'!#REF!="Moderado"),CONCATENATE("R5C",'Mapa final'!#REF!),"")</f>
        <v>#REF!</v>
      </c>
      <c r="Y40" s="68" t="e">
        <f>IF(AND('Mapa final'!#REF!="Baja",'Mapa final'!#REF!="Moderado"),CONCATENATE("R5C",'Mapa final'!#REF!),"")</f>
        <v>#REF!</v>
      </c>
      <c r="Z40" s="68" t="e">
        <f>IF(AND('Mapa final'!#REF!="Baja",'Mapa final'!#REF!="Moderado"),CONCATENATE("R5C",'Mapa final'!#REF!),"")</f>
        <v>#REF!</v>
      </c>
      <c r="AA40" s="69" t="e">
        <f>IF(AND('Mapa final'!#REF!="Baja",'Mapa final'!#REF!="Moderado"),CONCATENATE("R5C",'Mapa final'!#REF!),"")</f>
        <v>#REF!</v>
      </c>
      <c r="AB40" s="52" t="str">
        <f>IF(AND('Mapa final'!$Y$31="Baja",'Mapa final'!$AA$31="Mayor"),CONCATENATE("R5C",'Mapa final'!$O$31),"")</f>
        <v>R5C1</v>
      </c>
      <c r="AC40" s="53" t="str">
        <f>IF(AND('Mapa final'!$Y$32="Baja",'Mapa final'!$AA$32="Mayor"),CONCATENATE("R5C",'Mapa final'!$O$32),"")</f>
        <v/>
      </c>
      <c r="AD40" s="53" t="e">
        <f>IF(AND('Mapa final'!#REF!="Baja",'Mapa final'!#REF!="Mayor"),CONCATENATE("R5C",'Mapa final'!#REF!),"")</f>
        <v>#REF!</v>
      </c>
      <c r="AE40" s="53" t="e">
        <f>IF(AND('Mapa final'!#REF!="Baja",'Mapa final'!#REF!="Mayor"),CONCATENATE("R5C",'Mapa final'!#REF!),"")</f>
        <v>#REF!</v>
      </c>
      <c r="AF40" s="53" t="e">
        <f>IF(AND('Mapa final'!#REF!="Baja",'Mapa final'!#REF!="Mayor"),CONCATENATE("R5C",'Mapa final'!#REF!),"")</f>
        <v>#REF!</v>
      </c>
      <c r="AG40" s="54" t="e">
        <f>IF(AND('Mapa final'!#REF!="Baja",'Mapa final'!#REF!="Mayor"),CONCATENATE("R5C",'Mapa final'!#REF!),"")</f>
        <v>#REF!</v>
      </c>
      <c r="AH40" s="55" t="str">
        <f>IF(AND('Mapa final'!$Y$31="Baja",'Mapa final'!$AA$31="Catastrófico"),CONCATENATE("R5C",'Mapa final'!$O$31),"")</f>
        <v/>
      </c>
      <c r="AI40" s="56" t="str">
        <f>IF(AND('Mapa final'!$Y$32="Baja",'Mapa final'!$AA$32="Catastrófico"),CONCATENATE("R5C",'Mapa final'!$O$32),"")</f>
        <v/>
      </c>
      <c r="AJ40" s="56" t="e">
        <f>IF(AND('Mapa final'!#REF!="Baja",'Mapa final'!#REF!="Catastrófico"),CONCATENATE("R5C",'Mapa final'!#REF!),"")</f>
        <v>#REF!</v>
      </c>
      <c r="AK40" s="56" t="e">
        <f>IF(AND('Mapa final'!#REF!="Baja",'Mapa final'!#REF!="Catastrófico"),CONCATENATE("R5C",'Mapa final'!#REF!),"")</f>
        <v>#REF!</v>
      </c>
      <c r="AL40" s="56" t="e">
        <f>IF(AND('Mapa final'!#REF!="Baja",'Mapa final'!#REF!="Catastrófico"),CONCATENATE("R5C",'Mapa final'!#REF!),"")</f>
        <v>#REF!</v>
      </c>
      <c r="AM40" s="57" t="e">
        <f>IF(AND('Mapa final'!#REF!="Baja",'Mapa final'!#REF!="Catastrófico"),CONCATENATE("R5C",'Mapa final'!#REF!),"")</f>
        <v>#REF!</v>
      </c>
      <c r="AN40" s="83"/>
      <c r="AO40" s="479"/>
      <c r="AP40" s="480"/>
      <c r="AQ40" s="480"/>
      <c r="AR40" s="480"/>
      <c r="AS40" s="480"/>
      <c r="AT40" s="481"/>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407"/>
      <c r="C41" s="407"/>
      <c r="D41" s="408"/>
      <c r="E41" s="448"/>
      <c r="F41" s="449"/>
      <c r="G41" s="449"/>
      <c r="H41" s="449"/>
      <c r="I41" s="449"/>
      <c r="J41" s="76" t="e">
        <f>IF(AND('Mapa final'!#REF!="Baja",'Mapa final'!#REF!="Leve"),CONCATENATE("R6C",'Mapa final'!#REF!),"")</f>
        <v>#REF!</v>
      </c>
      <c r="K41" s="77" t="e">
        <f>IF(AND('Mapa final'!#REF!="Baja",'Mapa final'!#REF!="Leve"),CONCATENATE("R6C",'Mapa final'!#REF!),"")</f>
        <v>#REF!</v>
      </c>
      <c r="L41" s="77" t="e">
        <f>IF(AND('Mapa final'!#REF!="Baja",'Mapa final'!#REF!="Leve"),CONCATENATE("R6C",'Mapa final'!#REF!),"")</f>
        <v>#REF!</v>
      </c>
      <c r="M41" s="77" t="e">
        <f>IF(AND('Mapa final'!#REF!="Baja",'Mapa final'!#REF!="Leve"),CONCATENATE("R6C",'Mapa final'!#REF!),"")</f>
        <v>#REF!</v>
      </c>
      <c r="N41" s="77" t="e">
        <f>IF(AND('Mapa final'!#REF!="Baja",'Mapa final'!#REF!="Leve"),CONCATENATE("R6C",'Mapa final'!#REF!),"")</f>
        <v>#REF!</v>
      </c>
      <c r="O41" s="78" t="e">
        <f>IF(AND('Mapa final'!#REF!="Baja",'Mapa final'!#REF!="Leve"),CONCATENATE("R6C",'Mapa final'!#REF!),"")</f>
        <v>#REF!</v>
      </c>
      <c r="P41" s="67" t="e">
        <f>IF(AND('Mapa final'!#REF!="Baja",'Mapa final'!#REF!="Menor"),CONCATENATE("R6C",'Mapa final'!#REF!),"")</f>
        <v>#REF!</v>
      </c>
      <c r="Q41" s="68" t="e">
        <f>IF(AND('Mapa final'!#REF!="Baja",'Mapa final'!#REF!="Menor"),CONCATENATE("R6C",'Mapa final'!#REF!),"")</f>
        <v>#REF!</v>
      </c>
      <c r="R41" s="68" t="e">
        <f>IF(AND('Mapa final'!#REF!="Baja",'Mapa final'!#REF!="Menor"),CONCATENATE("R6C",'Mapa final'!#REF!),"")</f>
        <v>#REF!</v>
      </c>
      <c r="S41" s="68" t="e">
        <f>IF(AND('Mapa final'!#REF!="Baja",'Mapa final'!#REF!="Menor"),CONCATENATE("R6C",'Mapa final'!#REF!),"")</f>
        <v>#REF!</v>
      </c>
      <c r="T41" s="68" t="e">
        <f>IF(AND('Mapa final'!#REF!="Baja",'Mapa final'!#REF!="Menor"),CONCATENATE("R6C",'Mapa final'!#REF!),"")</f>
        <v>#REF!</v>
      </c>
      <c r="U41" s="69" t="e">
        <f>IF(AND('Mapa final'!#REF!="Baja",'Mapa final'!#REF!="Menor"),CONCATENATE("R6C",'Mapa final'!#REF!),"")</f>
        <v>#REF!</v>
      </c>
      <c r="V41" s="67" t="e">
        <f>IF(AND('Mapa final'!#REF!="Baja",'Mapa final'!#REF!="Moderado"),CONCATENATE("R6C",'Mapa final'!#REF!),"")</f>
        <v>#REF!</v>
      </c>
      <c r="W41" s="68" t="e">
        <f>IF(AND('Mapa final'!#REF!="Baja",'Mapa final'!#REF!="Moderado"),CONCATENATE("R6C",'Mapa final'!#REF!),"")</f>
        <v>#REF!</v>
      </c>
      <c r="X41" s="68" t="e">
        <f>IF(AND('Mapa final'!#REF!="Baja",'Mapa final'!#REF!="Moderado"),CONCATENATE("R6C",'Mapa final'!#REF!),"")</f>
        <v>#REF!</v>
      </c>
      <c r="Y41" s="68" t="e">
        <f>IF(AND('Mapa final'!#REF!="Baja",'Mapa final'!#REF!="Moderado"),CONCATENATE("R6C",'Mapa final'!#REF!),"")</f>
        <v>#REF!</v>
      </c>
      <c r="Z41" s="68" t="e">
        <f>IF(AND('Mapa final'!#REF!="Baja",'Mapa final'!#REF!="Moderado"),CONCATENATE("R6C",'Mapa final'!#REF!),"")</f>
        <v>#REF!</v>
      </c>
      <c r="AA41" s="69" t="e">
        <f>IF(AND('Mapa final'!#REF!="Baja",'Mapa final'!#REF!="Moderado"),CONCATENATE("R6C",'Mapa final'!#REF!),"")</f>
        <v>#REF!</v>
      </c>
      <c r="AB41" s="52" t="e">
        <f>IF(AND('Mapa final'!#REF!="Baja",'Mapa final'!#REF!="Mayor"),CONCATENATE("R6C",'Mapa final'!#REF!),"")</f>
        <v>#REF!</v>
      </c>
      <c r="AC41" s="53" t="e">
        <f>IF(AND('Mapa final'!#REF!="Baja",'Mapa final'!#REF!="Mayor"),CONCATENATE("R6C",'Mapa final'!#REF!),"")</f>
        <v>#REF!</v>
      </c>
      <c r="AD41" s="53" t="e">
        <f>IF(AND('Mapa final'!#REF!="Baja",'Mapa final'!#REF!="Mayor"),CONCATENATE("R6C",'Mapa final'!#REF!),"")</f>
        <v>#REF!</v>
      </c>
      <c r="AE41" s="53" t="e">
        <f>IF(AND('Mapa final'!#REF!="Baja",'Mapa final'!#REF!="Mayor"),CONCATENATE("R6C",'Mapa final'!#REF!),"")</f>
        <v>#REF!</v>
      </c>
      <c r="AF41" s="53" t="e">
        <f>IF(AND('Mapa final'!#REF!="Baja",'Mapa final'!#REF!="Mayor"),CONCATENATE("R6C",'Mapa final'!#REF!),"")</f>
        <v>#REF!</v>
      </c>
      <c r="AG41" s="54" t="e">
        <f>IF(AND('Mapa final'!#REF!="Baja",'Mapa final'!#REF!="Mayor"),CONCATENATE("R6C",'Mapa final'!#REF!),"")</f>
        <v>#REF!</v>
      </c>
      <c r="AH41" s="55" t="e">
        <f>IF(AND('Mapa final'!#REF!="Baja",'Mapa final'!#REF!="Catastrófico"),CONCATENATE("R6C",'Mapa final'!#REF!),"")</f>
        <v>#REF!</v>
      </c>
      <c r="AI41" s="56" t="e">
        <f>IF(AND('Mapa final'!#REF!="Baja",'Mapa final'!#REF!="Catastrófico"),CONCATENATE("R6C",'Mapa final'!#REF!),"")</f>
        <v>#REF!</v>
      </c>
      <c r="AJ41" s="56" t="e">
        <f>IF(AND('Mapa final'!#REF!="Baja",'Mapa final'!#REF!="Catastrófico"),CONCATENATE("R6C",'Mapa final'!#REF!),"")</f>
        <v>#REF!</v>
      </c>
      <c r="AK41" s="56" t="e">
        <f>IF(AND('Mapa final'!#REF!="Baja",'Mapa final'!#REF!="Catastrófico"),CONCATENATE("R6C",'Mapa final'!#REF!),"")</f>
        <v>#REF!</v>
      </c>
      <c r="AL41" s="56" t="e">
        <f>IF(AND('Mapa final'!#REF!="Baja",'Mapa final'!#REF!="Catastrófico"),CONCATENATE("R6C",'Mapa final'!#REF!),"")</f>
        <v>#REF!</v>
      </c>
      <c r="AM41" s="57" t="e">
        <f>IF(AND('Mapa final'!#REF!="Baja",'Mapa final'!#REF!="Catastrófico"),CONCATENATE("R6C",'Mapa final'!#REF!),"")</f>
        <v>#REF!</v>
      </c>
      <c r="AN41" s="83"/>
      <c r="AO41" s="479"/>
      <c r="AP41" s="480"/>
      <c r="AQ41" s="480"/>
      <c r="AR41" s="480"/>
      <c r="AS41" s="480"/>
      <c r="AT41" s="481"/>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407"/>
      <c r="C42" s="407"/>
      <c r="D42" s="408"/>
      <c r="E42" s="448"/>
      <c r="F42" s="449"/>
      <c r="G42" s="449"/>
      <c r="H42" s="449"/>
      <c r="I42" s="449"/>
      <c r="J42" s="76" t="e">
        <f>IF(AND('Mapa final'!#REF!="Baja",'Mapa final'!#REF!="Leve"),CONCATENATE("R7C",'Mapa final'!#REF!),"")</f>
        <v>#REF!</v>
      </c>
      <c r="K42" s="77" t="e">
        <f>IF(AND('Mapa final'!#REF!="Baja",'Mapa final'!#REF!="Leve"),CONCATENATE("R7C",'Mapa final'!#REF!),"")</f>
        <v>#REF!</v>
      </c>
      <c r="L42" s="77" t="e">
        <f>IF(AND('Mapa final'!#REF!="Baja",'Mapa final'!#REF!="Leve"),CONCATENATE("R7C",'Mapa final'!#REF!),"")</f>
        <v>#REF!</v>
      </c>
      <c r="M42" s="77" t="e">
        <f>IF(AND('Mapa final'!#REF!="Baja",'Mapa final'!#REF!="Leve"),CONCATENATE("R7C",'Mapa final'!#REF!),"")</f>
        <v>#REF!</v>
      </c>
      <c r="N42" s="77" t="e">
        <f>IF(AND('Mapa final'!#REF!="Baja",'Mapa final'!#REF!="Leve"),CONCATENATE("R7C",'Mapa final'!#REF!),"")</f>
        <v>#REF!</v>
      </c>
      <c r="O42" s="78" t="e">
        <f>IF(AND('Mapa final'!#REF!="Baja",'Mapa final'!#REF!="Leve"),CONCATENATE("R7C",'Mapa final'!#REF!),"")</f>
        <v>#REF!</v>
      </c>
      <c r="P42" s="67" t="e">
        <f>IF(AND('Mapa final'!#REF!="Baja",'Mapa final'!#REF!="Menor"),CONCATENATE("R7C",'Mapa final'!#REF!),"")</f>
        <v>#REF!</v>
      </c>
      <c r="Q42" s="68" t="e">
        <f>IF(AND('Mapa final'!#REF!="Baja",'Mapa final'!#REF!="Menor"),CONCATENATE("R7C",'Mapa final'!#REF!),"")</f>
        <v>#REF!</v>
      </c>
      <c r="R42" s="68" t="e">
        <f>IF(AND('Mapa final'!#REF!="Baja",'Mapa final'!#REF!="Menor"),CONCATENATE("R7C",'Mapa final'!#REF!),"")</f>
        <v>#REF!</v>
      </c>
      <c r="S42" s="68" t="e">
        <f>IF(AND('Mapa final'!#REF!="Baja",'Mapa final'!#REF!="Menor"),CONCATENATE("R7C",'Mapa final'!#REF!),"")</f>
        <v>#REF!</v>
      </c>
      <c r="T42" s="68" t="e">
        <f>IF(AND('Mapa final'!#REF!="Baja",'Mapa final'!#REF!="Menor"),CONCATENATE("R7C",'Mapa final'!#REF!),"")</f>
        <v>#REF!</v>
      </c>
      <c r="U42" s="69" t="e">
        <f>IF(AND('Mapa final'!#REF!="Baja",'Mapa final'!#REF!="Menor"),CONCATENATE("R7C",'Mapa final'!#REF!),"")</f>
        <v>#REF!</v>
      </c>
      <c r="V42" s="67" t="e">
        <f>IF(AND('Mapa final'!#REF!="Baja",'Mapa final'!#REF!="Moderado"),CONCATENATE("R7C",'Mapa final'!#REF!),"")</f>
        <v>#REF!</v>
      </c>
      <c r="W42" s="68" t="e">
        <f>IF(AND('Mapa final'!#REF!="Baja",'Mapa final'!#REF!="Moderado"),CONCATENATE("R7C",'Mapa final'!#REF!),"")</f>
        <v>#REF!</v>
      </c>
      <c r="X42" s="68" t="e">
        <f>IF(AND('Mapa final'!#REF!="Baja",'Mapa final'!#REF!="Moderado"),CONCATENATE("R7C",'Mapa final'!#REF!),"")</f>
        <v>#REF!</v>
      </c>
      <c r="Y42" s="68" t="e">
        <f>IF(AND('Mapa final'!#REF!="Baja",'Mapa final'!#REF!="Moderado"),CONCATENATE("R7C",'Mapa final'!#REF!),"")</f>
        <v>#REF!</v>
      </c>
      <c r="Z42" s="68" t="e">
        <f>IF(AND('Mapa final'!#REF!="Baja",'Mapa final'!#REF!="Moderado"),CONCATENATE("R7C",'Mapa final'!#REF!),"")</f>
        <v>#REF!</v>
      </c>
      <c r="AA42" s="69" t="e">
        <f>IF(AND('Mapa final'!#REF!="Baja",'Mapa final'!#REF!="Moderado"),CONCATENATE("R7C",'Mapa final'!#REF!),"")</f>
        <v>#REF!</v>
      </c>
      <c r="AB42" s="52" t="e">
        <f>IF(AND('Mapa final'!#REF!="Baja",'Mapa final'!#REF!="Mayor"),CONCATENATE("R7C",'Mapa final'!#REF!),"")</f>
        <v>#REF!</v>
      </c>
      <c r="AC42" s="53" t="e">
        <f>IF(AND('Mapa final'!#REF!="Baja",'Mapa final'!#REF!="Mayor"),CONCATENATE("R7C",'Mapa final'!#REF!),"")</f>
        <v>#REF!</v>
      </c>
      <c r="AD42" s="53" t="e">
        <f>IF(AND('Mapa final'!#REF!="Baja",'Mapa final'!#REF!="Mayor"),CONCATENATE("R7C",'Mapa final'!#REF!),"")</f>
        <v>#REF!</v>
      </c>
      <c r="AE42" s="53" t="e">
        <f>IF(AND('Mapa final'!#REF!="Baja",'Mapa final'!#REF!="Mayor"),CONCATENATE("R7C",'Mapa final'!#REF!),"")</f>
        <v>#REF!</v>
      </c>
      <c r="AF42" s="53" t="e">
        <f>IF(AND('Mapa final'!#REF!="Baja",'Mapa final'!#REF!="Mayor"),CONCATENATE("R7C",'Mapa final'!#REF!),"")</f>
        <v>#REF!</v>
      </c>
      <c r="AG42" s="54" t="e">
        <f>IF(AND('Mapa final'!#REF!="Baja",'Mapa final'!#REF!="Mayor"),CONCATENATE("R7C",'Mapa final'!#REF!),"")</f>
        <v>#REF!</v>
      </c>
      <c r="AH42" s="55" t="e">
        <f>IF(AND('Mapa final'!#REF!="Baja",'Mapa final'!#REF!="Catastrófico"),CONCATENATE("R7C",'Mapa final'!#REF!),"")</f>
        <v>#REF!</v>
      </c>
      <c r="AI42" s="56" t="e">
        <f>IF(AND('Mapa final'!#REF!="Baja",'Mapa final'!#REF!="Catastrófico"),CONCATENATE("R7C",'Mapa final'!#REF!),"")</f>
        <v>#REF!</v>
      </c>
      <c r="AJ42" s="56" t="e">
        <f>IF(AND('Mapa final'!#REF!="Baja",'Mapa final'!#REF!="Catastrófico"),CONCATENATE("R7C",'Mapa final'!#REF!),"")</f>
        <v>#REF!</v>
      </c>
      <c r="AK42" s="56" t="e">
        <f>IF(AND('Mapa final'!#REF!="Baja",'Mapa final'!#REF!="Catastrófico"),CONCATENATE("R7C",'Mapa final'!#REF!),"")</f>
        <v>#REF!</v>
      </c>
      <c r="AL42" s="56" t="e">
        <f>IF(AND('Mapa final'!#REF!="Baja",'Mapa final'!#REF!="Catastrófico"),CONCATENATE("R7C",'Mapa final'!#REF!),"")</f>
        <v>#REF!</v>
      </c>
      <c r="AM42" s="57" t="e">
        <f>IF(AND('Mapa final'!#REF!="Baja",'Mapa final'!#REF!="Catastrófico"),CONCATENATE("R7C",'Mapa final'!#REF!),"")</f>
        <v>#REF!</v>
      </c>
      <c r="AN42" s="83"/>
      <c r="AO42" s="479"/>
      <c r="AP42" s="480"/>
      <c r="AQ42" s="480"/>
      <c r="AR42" s="480"/>
      <c r="AS42" s="480"/>
      <c r="AT42" s="481"/>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407"/>
      <c r="C43" s="407"/>
      <c r="D43" s="408"/>
      <c r="E43" s="448"/>
      <c r="F43" s="449"/>
      <c r="G43" s="449"/>
      <c r="H43" s="449"/>
      <c r="I43" s="449"/>
      <c r="J43" s="76" t="str">
        <f>IF(AND('Mapa final'!$Y$33="Baja",'Mapa final'!$AA$33="Leve"),CONCATENATE("R8C",'Mapa final'!$O$33),"")</f>
        <v/>
      </c>
      <c r="K43" s="77" t="str">
        <f>IF(AND('Mapa final'!$Y$34="Baja",'Mapa final'!$AA$34="Leve"),CONCATENATE("R8C",'Mapa final'!$O$34),"")</f>
        <v/>
      </c>
      <c r="L43" s="77" t="str">
        <f>IF(AND('Mapa final'!$Y$35="Baja",'Mapa final'!$AA$35="Leve"),CONCATENATE("R8C",'Mapa final'!$O$35),"")</f>
        <v/>
      </c>
      <c r="M43" s="77" t="str">
        <f>IF(AND('Mapa final'!$Y$36="Baja",'Mapa final'!$AA$36="Leve"),CONCATENATE("R8C",'Mapa final'!$O$36),"")</f>
        <v/>
      </c>
      <c r="N43" s="77" t="str">
        <f>IF(AND('Mapa final'!$Y$37="Baja",'Mapa final'!$AA$37="Leve"),CONCATENATE("R8C",'Mapa final'!$O$37),"")</f>
        <v/>
      </c>
      <c r="O43" s="78" t="str">
        <f>IF(AND('Mapa final'!$Y$38="Baja",'Mapa final'!$AA$38="Leve"),CONCATENATE("R8C",'Mapa final'!$O$38),"")</f>
        <v/>
      </c>
      <c r="P43" s="67" t="str">
        <f>IF(AND('Mapa final'!$Y$33="Baja",'Mapa final'!$AA$33="Menor"),CONCATENATE("R8C",'Mapa final'!$O$33),"")</f>
        <v/>
      </c>
      <c r="Q43" s="68" t="str">
        <f>IF(AND('Mapa final'!$Y$34="Baja",'Mapa final'!$AA$34="Menor"),CONCATENATE("R8C",'Mapa final'!$O$34),"")</f>
        <v/>
      </c>
      <c r="R43" s="68" t="str">
        <f>IF(AND('Mapa final'!$Y$35="Baja",'Mapa final'!$AA$35="Menor"),CONCATENATE("R8C",'Mapa final'!$O$35),"")</f>
        <v/>
      </c>
      <c r="S43" s="68" t="str">
        <f>IF(AND('Mapa final'!$Y$36="Baja",'Mapa final'!$AA$36="Menor"),CONCATENATE("R8C",'Mapa final'!$O$36),"")</f>
        <v/>
      </c>
      <c r="T43" s="68" t="str">
        <f>IF(AND('Mapa final'!$Y$37="Baja",'Mapa final'!$AA$37="Menor"),CONCATENATE("R8C",'Mapa final'!$O$37),"")</f>
        <v/>
      </c>
      <c r="U43" s="69" t="str">
        <f>IF(AND('Mapa final'!$Y$38="Baja",'Mapa final'!$AA$38="Menor"),CONCATENATE("R8C",'Mapa final'!$O$38),"")</f>
        <v/>
      </c>
      <c r="V43" s="67" t="str">
        <f>IF(AND('Mapa final'!$Y$33="Baja",'Mapa final'!$AA$33="Moderado"),CONCATENATE("R8C",'Mapa final'!$O$33),"")</f>
        <v/>
      </c>
      <c r="W43" s="68" t="str">
        <f>IF(AND('Mapa final'!$Y$34="Baja",'Mapa final'!$AA$34="Moderado"),CONCATENATE("R8C",'Mapa final'!$O$34),"")</f>
        <v/>
      </c>
      <c r="X43" s="68" t="str">
        <f>IF(AND('Mapa final'!$Y$35="Baja",'Mapa final'!$AA$35="Moderado"),CONCATENATE("R8C",'Mapa final'!$O$35),"")</f>
        <v/>
      </c>
      <c r="Y43" s="68" t="str">
        <f>IF(AND('Mapa final'!$Y$36="Baja",'Mapa final'!$AA$36="Moderado"),CONCATENATE("R8C",'Mapa final'!$O$36),"")</f>
        <v/>
      </c>
      <c r="Z43" s="68" t="str">
        <f>IF(AND('Mapa final'!$Y$37="Baja",'Mapa final'!$AA$37="Moderado"),CONCATENATE("R8C",'Mapa final'!$O$37),"")</f>
        <v/>
      </c>
      <c r="AA43" s="69" t="str">
        <f>IF(AND('Mapa final'!$Y$38="Baja",'Mapa final'!$AA$38="Moderado"),CONCATENATE("R8C",'Mapa final'!$O$38),"")</f>
        <v/>
      </c>
      <c r="AB43" s="52" t="str">
        <f>IF(AND('Mapa final'!$Y$33="Baja",'Mapa final'!$AA$33="Mayor"),CONCATENATE("R8C",'Mapa final'!$O$33),"")</f>
        <v/>
      </c>
      <c r="AC43" s="53" t="str">
        <f>IF(AND('Mapa final'!$Y$34="Baja",'Mapa final'!$AA$34="Mayor"),CONCATENATE("R8C",'Mapa final'!$O$34),"")</f>
        <v/>
      </c>
      <c r="AD43" s="53" t="str">
        <f>IF(AND('Mapa final'!$Y$35="Baja",'Mapa final'!$AA$35="Mayor"),CONCATENATE("R8C",'Mapa final'!$O$35),"")</f>
        <v/>
      </c>
      <c r="AE43" s="53" t="str">
        <f>IF(AND('Mapa final'!$Y$36="Baja",'Mapa final'!$AA$36="Mayor"),CONCATENATE("R8C",'Mapa final'!$O$36),"")</f>
        <v/>
      </c>
      <c r="AF43" s="53" t="str">
        <f>IF(AND('Mapa final'!$Y$37="Baja",'Mapa final'!$AA$37="Mayor"),CONCATENATE("R8C",'Mapa final'!$O$37),"")</f>
        <v/>
      </c>
      <c r="AG43" s="54" t="str">
        <f>IF(AND('Mapa final'!$Y$38="Baja",'Mapa final'!$AA$38="Mayor"),CONCATENATE("R8C",'Mapa final'!$O$38),"")</f>
        <v/>
      </c>
      <c r="AH43" s="55" t="str">
        <f>IF(AND('Mapa final'!$Y$33="Baja",'Mapa final'!$AA$33="Catastrófico"),CONCATENATE("R8C",'Mapa final'!$O$33),"")</f>
        <v/>
      </c>
      <c r="AI43" s="56" t="str">
        <f>IF(AND('Mapa final'!$Y$34="Baja",'Mapa final'!$AA$34="Catastrófico"),CONCATENATE("R8C",'Mapa final'!$O$34),"")</f>
        <v/>
      </c>
      <c r="AJ43" s="56" t="str">
        <f>IF(AND('Mapa final'!$Y$35="Baja",'Mapa final'!$AA$35="Catastrófico"),CONCATENATE("R8C",'Mapa final'!$O$35),"")</f>
        <v/>
      </c>
      <c r="AK43" s="56" t="str">
        <f>IF(AND('Mapa final'!$Y$36="Baja",'Mapa final'!$AA$36="Catastrófico"),CONCATENATE("R8C",'Mapa final'!$O$36),"")</f>
        <v/>
      </c>
      <c r="AL43" s="56" t="str">
        <f>IF(AND('Mapa final'!$Y$37="Baja",'Mapa final'!$AA$37="Catastrófico"),CONCATENATE("R8C",'Mapa final'!$O$37),"")</f>
        <v/>
      </c>
      <c r="AM43" s="57" t="str">
        <f>IF(AND('Mapa final'!$Y$38="Baja",'Mapa final'!$AA$38="Catastrófico"),CONCATENATE("R8C",'Mapa final'!$O$38),"")</f>
        <v/>
      </c>
      <c r="AN43" s="83"/>
      <c r="AO43" s="479"/>
      <c r="AP43" s="480"/>
      <c r="AQ43" s="480"/>
      <c r="AR43" s="480"/>
      <c r="AS43" s="480"/>
      <c r="AT43" s="481"/>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407"/>
      <c r="C44" s="407"/>
      <c r="D44" s="408"/>
      <c r="E44" s="448"/>
      <c r="F44" s="449"/>
      <c r="G44" s="449"/>
      <c r="H44" s="449"/>
      <c r="I44" s="449"/>
      <c r="J44" s="76" t="str">
        <f>IF(AND('Mapa final'!$Y$39="Baja",'Mapa final'!$AA$39="Leve"),CONCATENATE("R9C",'Mapa final'!$O$39),"")</f>
        <v/>
      </c>
      <c r="K44" s="77" t="str">
        <f>IF(AND('Mapa final'!$Y$40="Baja",'Mapa final'!$AA$40="Leve"),CONCATENATE("R9C",'Mapa final'!$O$40),"")</f>
        <v/>
      </c>
      <c r="L44" s="77" t="str">
        <f>IF(AND('Mapa final'!$Y$41="Baja",'Mapa final'!$AA$41="Leve"),CONCATENATE("R9C",'Mapa final'!$O$41),"")</f>
        <v/>
      </c>
      <c r="M44" s="77" t="str">
        <f>IF(AND('Mapa final'!$Y$42="Baja",'Mapa final'!$AA$42="Leve"),CONCATENATE("R9C",'Mapa final'!$O$42),"")</f>
        <v/>
      </c>
      <c r="N44" s="77" t="str">
        <f>IF(AND('Mapa final'!$Y$43="Baja",'Mapa final'!$AA$43="Leve"),CONCATENATE("R9C",'Mapa final'!$O$43),"")</f>
        <v/>
      </c>
      <c r="O44" s="78" t="str">
        <f>IF(AND('Mapa final'!$Y$44="Baja",'Mapa final'!$AA$44="Leve"),CONCATENATE("R9C",'Mapa final'!$O$44),"")</f>
        <v/>
      </c>
      <c r="P44" s="67" t="str">
        <f>IF(AND('Mapa final'!$Y$39="Baja",'Mapa final'!$AA$39="Menor"),CONCATENATE("R9C",'Mapa final'!$O$39),"")</f>
        <v/>
      </c>
      <c r="Q44" s="68" t="str">
        <f>IF(AND('Mapa final'!$Y$40="Baja",'Mapa final'!$AA$40="Menor"),CONCATENATE("R9C",'Mapa final'!$O$40),"")</f>
        <v/>
      </c>
      <c r="R44" s="68" t="str">
        <f>IF(AND('Mapa final'!$Y$41="Baja",'Mapa final'!$AA$41="Menor"),CONCATENATE("R9C",'Mapa final'!$O$41),"")</f>
        <v/>
      </c>
      <c r="S44" s="68" t="str">
        <f>IF(AND('Mapa final'!$Y$42="Baja",'Mapa final'!$AA$42="Menor"),CONCATENATE("R9C",'Mapa final'!$O$42),"")</f>
        <v/>
      </c>
      <c r="T44" s="68" t="str">
        <f>IF(AND('Mapa final'!$Y$43="Baja",'Mapa final'!$AA$43="Menor"),CONCATENATE("R9C",'Mapa final'!$O$43),"")</f>
        <v/>
      </c>
      <c r="U44" s="69" t="str">
        <f>IF(AND('Mapa final'!$Y$44="Baja",'Mapa final'!$AA$44="Menor"),CONCATENATE("R9C",'Mapa final'!$O$44),"")</f>
        <v/>
      </c>
      <c r="V44" s="67" t="str">
        <f>IF(AND('Mapa final'!$Y$39="Baja",'Mapa final'!$AA$39="Moderado"),CONCATENATE("R9C",'Mapa final'!$O$39),"")</f>
        <v/>
      </c>
      <c r="W44" s="68" t="str">
        <f>IF(AND('Mapa final'!$Y$40="Baja",'Mapa final'!$AA$40="Moderado"),CONCATENATE("R9C",'Mapa final'!$O$40),"")</f>
        <v/>
      </c>
      <c r="X44" s="68" t="str">
        <f>IF(AND('Mapa final'!$Y$41="Baja",'Mapa final'!$AA$41="Moderado"),CONCATENATE("R9C",'Mapa final'!$O$41),"")</f>
        <v/>
      </c>
      <c r="Y44" s="68" t="str">
        <f>IF(AND('Mapa final'!$Y$42="Baja",'Mapa final'!$AA$42="Moderado"),CONCATENATE("R9C",'Mapa final'!$O$42),"")</f>
        <v/>
      </c>
      <c r="Z44" s="68" t="str">
        <f>IF(AND('Mapa final'!$Y$43="Baja",'Mapa final'!$AA$43="Moderado"),CONCATENATE("R9C",'Mapa final'!$O$43),"")</f>
        <v/>
      </c>
      <c r="AA44" s="69" t="str">
        <f>IF(AND('Mapa final'!$Y$44="Baja",'Mapa final'!$AA$44="Moderado"),CONCATENATE("R9C",'Mapa final'!$O$44),"")</f>
        <v/>
      </c>
      <c r="AB44" s="52" t="str">
        <f>IF(AND('Mapa final'!$Y$39="Baja",'Mapa final'!$AA$39="Mayor"),CONCATENATE("R9C",'Mapa final'!$O$39),"")</f>
        <v/>
      </c>
      <c r="AC44" s="53" t="str">
        <f>IF(AND('Mapa final'!$Y$40="Baja",'Mapa final'!$AA$40="Mayor"),CONCATENATE("R9C",'Mapa final'!$O$40),"")</f>
        <v/>
      </c>
      <c r="AD44" s="53" t="str">
        <f>IF(AND('Mapa final'!$Y$41="Baja",'Mapa final'!$AA$41="Mayor"),CONCATENATE("R9C",'Mapa final'!$O$41),"")</f>
        <v/>
      </c>
      <c r="AE44" s="53" t="str">
        <f>IF(AND('Mapa final'!$Y$42="Baja",'Mapa final'!$AA$42="Mayor"),CONCATENATE("R9C",'Mapa final'!$O$42),"")</f>
        <v/>
      </c>
      <c r="AF44" s="53" t="str">
        <f>IF(AND('Mapa final'!$Y$43="Baja",'Mapa final'!$AA$43="Mayor"),CONCATENATE("R9C",'Mapa final'!$O$43),"")</f>
        <v/>
      </c>
      <c r="AG44" s="54" t="str">
        <f>IF(AND('Mapa final'!$Y$44="Baja",'Mapa final'!$AA$44="Mayor"),CONCATENATE("R9C",'Mapa final'!$O$44),"")</f>
        <v/>
      </c>
      <c r="AH44" s="55" t="str">
        <f>IF(AND('Mapa final'!$Y$39="Baja",'Mapa final'!$AA$39="Catastrófico"),CONCATENATE("R9C",'Mapa final'!$O$39),"")</f>
        <v/>
      </c>
      <c r="AI44" s="56" t="str">
        <f>IF(AND('Mapa final'!$Y$40="Baja",'Mapa final'!$AA$40="Catastrófico"),CONCATENATE("R9C",'Mapa final'!$O$40),"")</f>
        <v/>
      </c>
      <c r="AJ44" s="56" t="str">
        <f>IF(AND('Mapa final'!$Y$41="Baja",'Mapa final'!$AA$41="Catastrófico"),CONCATENATE("R9C",'Mapa final'!$O$41),"")</f>
        <v/>
      </c>
      <c r="AK44" s="56" t="str">
        <f>IF(AND('Mapa final'!$Y$42="Baja",'Mapa final'!$AA$42="Catastrófico"),CONCATENATE("R9C",'Mapa final'!$O$42),"")</f>
        <v/>
      </c>
      <c r="AL44" s="56" t="str">
        <f>IF(AND('Mapa final'!$Y$43="Baja",'Mapa final'!$AA$43="Catastrófico"),CONCATENATE("R9C",'Mapa final'!$O$43),"")</f>
        <v/>
      </c>
      <c r="AM44" s="57" t="str">
        <f>IF(AND('Mapa final'!$Y$44="Baja",'Mapa final'!$AA$44="Catastrófico"),CONCATENATE("R9C",'Mapa final'!$O$44),"")</f>
        <v/>
      </c>
      <c r="AN44" s="83"/>
      <c r="AO44" s="479"/>
      <c r="AP44" s="480"/>
      <c r="AQ44" s="480"/>
      <c r="AR44" s="480"/>
      <c r="AS44" s="480"/>
      <c r="AT44" s="481"/>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407"/>
      <c r="C45" s="407"/>
      <c r="D45" s="408"/>
      <c r="E45" s="451"/>
      <c r="F45" s="452"/>
      <c r="G45" s="452"/>
      <c r="H45" s="452"/>
      <c r="I45" s="452"/>
      <c r="J45" s="79" t="str">
        <f>IF(AND('Mapa final'!$Y$45="Baja",'Mapa final'!$AA$45="Leve"),CONCATENATE("R10C",'Mapa final'!$O$45),"")</f>
        <v/>
      </c>
      <c r="K45" s="80" t="str">
        <f>IF(AND('Mapa final'!$Y$46="Baja",'Mapa final'!$AA$46="Leve"),CONCATENATE("R10C",'Mapa final'!$O$46),"")</f>
        <v/>
      </c>
      <c r="L45" s="80" t="str">
        <f>IF(AND('Mapa final'!$Y$47="Baja",'Mapa final'!$AA$47="Leve"),CONCATENATE("R10C",'Mapa final'!$O$47),"")</f>
        <v/>
      </c>
      <c r="M45" s="80" t="str">
        <f>IF(AND('Mapa final'!$Y$48="Baja",'Mapa final'!$AA$48="Leve"),CONCATENATE("R10C",'Mapa final'!$O$48),"")</f>
        <v/>
      </c>
      <c r="N45" s="80" t="str">
        <f>IF(AND('Mapa final'!$Y$49="Baja",'Mapa final'!$AA$49="Leve"),CONCATENATE("R10C",'Mapa final'!$O$49),"")</f>
        <v/>
      </c>
      <c r="O45" s="81" t="str">
        <f>IF(AND('Mapa final'!$Y$50="Baja",'Mapa final'!$AA$50="Leve"),CONCATENATE("R10C",'Mapa final'!$O$50),"")</f>
        <v/>
      </c>
      <c r="P45" s="67" t="str">
        <f>IF(AND('Mapa final'!$Y$45="Baja",'Mapa final'!$AA$45="Menor"),CONCATENATE("R10C",'Mapa final'!$O$45),"")</f>
        <v/>
      </c>
      <c r="Q45" s="68" t="str">
        <f>IF(AND('Mapa final'!$Y$46="Baja",'Mapa final'!$AA$46="Menor"),CONCATENATE("R10C",'Mapa final'!$O$46),"")</f>
        <v/>
      </c>
      <c r="R45" s="68" t="str">
        <f>IF(AND('Mapa final'!$Y$47="Baja",'Mapa final'!$AA$47="Menor"),CONCATENATE("R10C",'Mapa final'!$O$47),"")</f>
        <v/>
      </c>
      <c r="S45" s="68" t="str">
        <f>IF(AND('Mapa final'!$Y$48="Baja",'Mapa final'!$AA$48="Menor"),CONCATENATE("R10C",'Mapa final'!$O$48),"")</f>
        <v/>
      </c>
      <c r="T45" s="68" t="str">
        <f>IF(AND('Mapa final'!$Y$49="Baja",'Mapa final'!$AA$49="Menor"),CONCATENATE("R10C",'Mapa final'!$O$49),"")</f>
        <v/>
      </c>
      <c r="U45" s="69" t="str">
        <f>IF(AND('Mapa final'!$Y$50="Baja",'Mapa final'!$AA$50="Menor"),CONCATENATE("R10C",'Mapa final'!$O$50),"")</f>
        <v/>
      </c>
      <c r="V45" s="70" t="str">
        <f>IF(AND('Mapa final'!$Y$45="Baja",'Mapa final'!$AA$45="Moderado"),CONCATENATE("R10C",'Mapa final'!$O$45),"")</f>
        <v/>
      </c>
      <c r="W45" s="71" t="str">
        <f>IF(AND('Mapa final'!$Y$46="Baja",'Mapa final'!$AA$46="Moderado"),CONCATENATE("R10C",'Mapa final'!$O$46),"")</f>
        <v/>
      </c>
      <c r="X45" s="71" t="str">
        <f>IF(AND('Mapa final'!$Y$47="Baja",'Mapa final'!$AA$47="Moderado"),CONCATENATE("R10C",'Mapa final'!$O$47),"")</f>
        <v/>
      </c>
      <c r="Y45" s="71" t="str">
        <f>IF(AND('Mapa final'!$Y$48="Baja",'Mapa final'!$AA$48="Moderado"),CONCATENATE("R10C",'Mapa final'!$O$48),"")</f>
        <v/>
      </c>
      <c r="Z45" s="71" t="str">
        <f>IF(AND('Mapa final'!$Y$49="Baja",'Mapa final'!$AA$49="Moderado"),CONCATENATE("R10C",'Mapa final'!$O$49),"")</f>
        <v/>
      </c>
      <c r="AA45" s="72" t="str">
        <f>IF(AND('Mapa final'!$Y$50="Baja",'Mapa final'!$AA$50="Moderado"),CONCATENATE("R10C",'Mapa final'!$O$50),"")</f>
        <v/>
      </c>
      <c r="AB45" s="58" t="str">
        <f>IF(AND('Mapa final'!$Y$45="Baja",'Mapa final'!$AA$45="Mayor"),CONCATENATE("R10C",'Mapa final'!$O$45),"")</f>
        <v/>
      </c>
      <c r="AC45" s="59" t="str">
        <f>IF(AND('Mapa final'!$Y$46="Baja",'Mapa final'!$AA$46="Mayor"),CONCATENATE("R10C",'Mapa final'!$O$46),"")</f>
        <v/>
      </c>
      <c r="AD45" s="59" t="str">
        <f>IF(AND('Mapa final'!$Y$47="Baja",'Mapa final'!$AA$47="Mayor"),CONCATENATE("R10C",'Mapa final'!$O$47),"")</f>
        <v/>
      </c>
      <c r="AE45" s="59" t="str">
        <f>IF(AND('Mapa final'!$Y$48="Baja",'Mapa final'!$AA$48="Mayor"),CONCATENATE("R10C",'Mapa final'!$O$48),"")</f>
        <v/>
      </c>
      <c r="AF45" s="59" t="str">
        <f>IF(AND('Mapa final'!$Y$49="Baja",'Mapa final'!$AA$49="Mayor"),CONCATENATE("R10C",'Mapa final'!$O$49),"")</f>
        <v/>
      </c>
      <c r="AG45" s="60" t="str">
        <f>IF(AND('Mapa final'!$Y$50="Baja",'Mapa final'!$AA$50="Mayor"),CONCATENATE("R10C",'Mapa final'!$O$50),"")</f>
        <v/>
      </c>
      <c r="AH45" s="61" t="str">
        <f>IF(AND('Mapa final'!$Y$45="Baja",'Mapa final'!$AA$45="Catastrófico"),CONCATENATE("R10C",'Mapa final'!$O$45),"")</f>
        <v/>
      </c>
      <c r="AI45" s="62" t="str">
        <f>IF(AND('Mapa final'!$Y$46="Baja",'Mapa final'!$AA$46="Catastrófico"),CONCATENATE("R10C",'Mapa final'!$O$46),"")</f>
        <v/>
      </c>
      <c r="AJ45" s="62" t="str">
        <f>IF(AND('Mapa final'!$Y$47="Baja",'Mapa final'!$AA$47="Catastrófico"),CONCATENATE("R10C",'Mapa final'!$O$47),"")</f>
        <v/>
      </c>
      <c r="AK45" s="62" t="str">
        <f>IF(AND('Mapa final'!$Y$48="Baja",'Mapa final'!$AA$48="Catastrófico"),CONCATENATE("R10C",'Mapa final'!$O$48),"")</f>
        <v/>
      </c>
      <c r="AL45" s="62" t="str">
        <f>IF(AND('Mapa final'!$Y$49="Baja",'Mapa final'!$AA$49="Catastrófico"),CONCATENATE("R10C",'Mapa final'!$O$49),"")</f>
        <v/>
      </c>
      <c r="AM45" s="63" t="str">
        <f>IF(AND('Mapa final'!$Y$50="Baja",'Mapa final'!$AA$50="Catastrófico"),CONCATENATE("R10C",'Mapa final'!$O$50),"")</f>
        <v/>
      </c>
      <c r="AN45" s="83"/>
      <c r="AO45" s="482"/>
      <c r="AP45" s="483"/>
      <c r="AQ45" s="483"/>
      <c r="AR45" s="483"/>
      <c r="AS45" s="483"/>
      <c r="AT45" s="484"/>
    </row>
    <row r="46" spans="1:80" ht="46.5" customHeight="1" x14ac:dyDescent="0.35">
      <c r="A46" s="83"/>
      <c r="B46" s="407"/>
      <c r="C46" s="407"/>
      <c r="D46" s="408"/>
      <c r="E46" s="445" t="s">
        <v>100</v>
      </c>
      <c r="F46" s="446"/>
      <c r="G46" s="446"/>
      <c r="H46" s="446"/>
      <c r="I46" s="447"/>
      <c r="J46" s="73" t="str">
        <f>IF(AND('Mapa final'!$Y$24="Muy Baja",'Mapa final'!$AA$24="Leve"),CONCATENATE("R1C",'Mapa final'!$O$24),"")</f>
        <v/>
      </c>
      <c r="K46" s="74" t="str">
        <f>IF(AND('Mapa final'!$Y$25="Muy Baja",'Mapa final'!$AA$25="Leve"),CONCATENATE("R1C",'Mapa final'!$O$25),"")</f>
        <v/>
      </c>
      <c r="L46" s="74" t="e">
        <f>IF(AND('Mapa final'!#REF!="Muy Baja",'Mapa final'!#REF!="Leve"),CONCATENATE("R1C",'Mapa final'!#REF!),"")</f>
        <v>#REF!</v>
      </c>
      <c r="M46" s="74" t="e">
        <f>IF(AND('Mapa final'!#REF!="Muy Baja",'Mapa final'!#REF!="Leve"),CONCATENATE("R1C",'Mapa final'!#REF!),"")</f>
        <v>#REF!</v>
      </c>
      <c r="N46" s="74" t="e">
        <f>IF(AND('Mapa final'!#REF!="Muy Baja",'Mapa final'!#REF!="Leve"),CONCATENATE("R1C",'Mapa final'!#REF!),"")</f>
        <v>#REF!</v>
      </c>
      <c r="O46" s="75" t="e">
        <f>IF(AND('Mapa final'!#REF!="Muy Baja",'Mapa final'!#REF!="Leve"),CONCATENATE("R1C",'Mapa final'!#REF!),"")</f>
        <v>#REF!</v>
      </c>
      <c r="P46" s="73" t="str">
        <f>IF(AND('Mapa final'!$Y$24="Muy Baja",'Mapa final'!$AA$24="Menor"),CONCATENATE("R1C",'Mapa final'!$O$24),"")</f>
        <v>R1C1</v>
      </c>
      <c r="Q46" s="74" t="str">
        <f>IF(AND('Mapa final'!$Y$25="Muy Baja",'Mapa final'!$AA$25="Menor"),CONCATENATE("R1C",'Mapa final'!$O$25),"")</f>
        <v/>
      </c>
      <c r="R46" s="74" t="e">
        <f>IF(AND('Mapa final'!#REF!="Muy Baja",'Mapa final'!#REF!="Menor"),CONCATENATE("R1C",'Mapa final'!#REF!),"")</f>
        <v>#REF!</v>
      </c>
      <c r="S46" s="74" t="e">
        <f>IF(AND('Mapa final'!#REF!="Muy Baja",'Mapa final'!#REF!="Menor"),CONCATENATE("R1C",'Mapa final'!#REF!),"")</f>
        <v>#REF!</v>
      </c>
      <c r="T46" s="74" t="e">
        <f>IF(AND('Mapa final'!#REF!="Muy Baja",'Mapa final'!#REF!="Menor"),CONCATENATE("R1C",'Mapa final'!#REF!),"")</f>
        <v>#REF!</v>
      </c>
      <c r="U46" s="75" t="e">
        <f>IF(AND('Mapa final'!#REF!="Muy Baja",'Mapa final'!#REF!="Menor"),CONCATENATE("R1C",'Mapa final'!#REF!),"")</f>
        <v>#REF!</v>
      </c>
      <c r="V46" s="64" t="str">
        <f>IF(AND('Mapa final'!$Y$24="Muy Baja",'Mapa final'!$AA$24="Moderado"),CONCATENATE("R1C",'Mapa final'!$O$24),"")</f>
        <v/>
      </c>
      <c r="W46" s="82" t="str">
        <f>IF(AND('Mapa final'!$Y$25="Muy Baja",'Mapa final'!$AA$25="Moderado"),CONCATENATE("R1C",'Mapa final'!$O$25),"")</f>
        <v/>
      </c>
      <c r="X46" s="65" t="e">
        <f>IF(AND('Mapa final'!#REF!="Muy Baja",'Mapa final'!#REF!="Moderado"),CONCATENATE("R1C",'Mapa final'!#REF!),"")</f>
        <v>#REF!</v>
      </c>
      <c r="Y46" s="65" t="e">
        <f>IF(AND('Mapa final'!#REF!="Muy Baja",'Mapa final'!#REF!="Moderado"),CONCATENATE("R1C",'Mapa final'!#REF!),"")</f>
        <v>#REF!</v>
      </c>
      <c r="Z46" s="65" t="e">
        <f>IF(AND('Mapa final'!#REF!="Muy Baja",'Mapa final'!#REF!="Moderado"),CONCATENATE("R1C",'Mapa final'!#REF!),"")</f>
        <v>#REF!</v>
      </c>
      <c r="AA46" s="66" t="e">
        <f>IF(AND('Mapa final'!#REF!="Muy Baja",'Mapa final'!#REF!="Moderado"),CONCATENATE("R1C",'Mapa final'!#REF!),"")</f>
        <v>#REF!</v>
      </c>
      <c r="AB46" s="46" t="str">
        <f>IF(AND('Mapa final'!$Y$24="Muy Baja",'Mapa final'!$AA$24="Mayor"),CONCATENATE("R1C",'Mapa final'!$O$24),"")</f>
        <v/>
      </c>
      <c r="AC46" s="47" t="str">
        <f>IF(AND('Mapa final'!$Y$25="Muy Baja",'Mapa final'!$AA$25="Mayor"),CONCATENATE("R1C",'Mapa final'!$O$25),"")</f>
        <v/>
      </c>
      <c r="AD46" s="47" t="e">
        <f>IF(AND('Mapa final'!#REF!="Muy Baja",'Mapa final'!#REF!="Mayor"),CONCATENATE("R1C",'Mapa final'!#REF!),"")</f>
        <v>#REF!</v>
      </c>
      <c r="AE46" s="47" t="e">
        <f>IF(AND('Mapa final'!#REF!="Muy Baja",'Mapa final'!#REF!="Mayor"),CONCATENATE("R1C",'Mapa final'!#REF!),"")</f>
        <v>#REF!</v>
      </c>
      <c r="AF46" s="47" t="e">
        <f>IF(AND('Mapa final'!#REF!="Muy Baja",'Mapa final'!#REF!="Mayor"),CONCATENATE("R1C",'Mapa final'!#REF!),"")</f>
        <v>#REF!</v>
      </c>
      <c r="AG46" s="48" t="e">
        <f>IF(AND('Mapa final'!#REF!="Muy Baja",'Mapa final'!#REF!="Mayor"),CONCATENATE("R1C",'Mapa final'!#REF!),"")</f>
        <v>#REF!</v>
      </c>
      <c r="AH46" s="49" t="str">
        <f>IF(AND('Mapa final'!$Y$24="Muy Baja",'Mapa final'!$AA$24="Catastrófico"),CONCATENATE("R1C",'Mapa final'!$O$24),"")</f>
        <v/>
      </c>
      <c r="AI46" s="50" t="str">
        <f>IF(AND('Mapa final'!$Y$25="Muy Baja",'Mapa final'!$AA$25="Catastrófico"),CONCATENATE("R1C",'Mapa final'!$O$25),"")</f>
        <v/>
      </c>
      <c r="AJ46" s="50" t="e">
        <f>IF(AND('Mapa final'!#REF!="Muy Baja",'Mapa final'!#REF!="Catastrófico"),CONCATENATE("R1C",'Mapa final'!#REF!),"")</f>
        <v>#REF!</v>
      </c>
      <c r="AK46" s="50" t="e">
        <f>IF(AND('Mapa final'!#REF!="Muy Baja",'Mapa final'!#REF!="Catastrófico"),CONCATENATE("R1C",'Mapa final'!#REF!),"")</f>
        <v>#REF!</v>
      </c>
      <c r="AL46" s="50" t="e">
        <f>IF(AND('Mapa final'!#REF!="Muy Baja",'Mapa final'!#REF!="Catastrófico"),CONCATENATE("R1C",'Mapa final'!#REF!),"")</f>
        <v>#REF!</v>
      </c>
      <c r="AM46" s="51" t="e">
        <f>IF(AND('Mapa final'!#REF!="Muy Baja",'Mapa final'!#REF!="Catastrófico"),CONCATENATE("R1C",'Mapa final'!#REF!),"")</f>
        <v>#REF!</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407"/>
      <c r="C47" s="407"/>
      <c r="D47" s="408"/>
      <c r="E47" s="464"/>
      <c r="F47" s="449"/>
      <c r="G47" s="449"/>
      <c r="H47" s="449"/>
      <c r="I47" s="450"/>
      <c r="J47" s="76" t="str">
        <f>IF(AND('Mapa final'!$Y$26="Muy Baja",'Mapa final'!$AA$26="Leve"),CONCATENATE("R2C",'Mapa final'!$O$26),"")</f>
        <v/>
      </c>
      <c r="K47" s="77" t="e">
        <f>IF(AND('Mapa final'!#REF!="Muy Baja",'Mapa final'!#REF!="Leve"),CONCATENATE("R2C",'Mapa final'!#REF!),"")</f>
        <v>#REF!</v>
      </c>
      <c r="L47" s="77" t="e">
        <f>IF(AND('Mapa final'!#REF!="Muy Baja",'Mapa final'!#REF!="Leve"),CONCATENATE("R2C",'Mapa final'!#REF!),"")</f>
        <v>#REF!</v>
      </c>
      <c r="M47" s="77" t="e">
        <f>IF(AND('Mapa final'!#REF!="Muy Baja",'Mapa final'!#REF!="Leve"),CONCATENATE("R2C",'Mapa final'!#REF!),"")</f>
        <v>#REF!</v>
      </c>
      <c r="N47" s="77" t="e">
        <f>IF(AND('Mapa final'!#REF!="Muy Baja",'Mapa final'!#REF!="Leve"),CONCATENATE("R2C",'Mapa final'!#REF!),"")</f>
        <v>#REF!</v>
      </c>
      <c r="O47" s="78" t="e">
        <f>IF(AND('Mapa final'!#REF!="Muy Baja",'Mapa final'!#REF!="Leve"),CONCATENATE("R2C",'Mapa final'!#REF!),"")</f>
        <v>#REF!</v>
      </c>
      <c r="P47" s="76" t="str">
        <f>IF(AND('Mapa final'!$Y$26="Muy Baja",'Mapa final'!$AA$26="Menor"),CONCATENATE("R2C",'Mapa final'!$O$26),"")</f>
        <v/>
      </c>
      <c r="Q47" s="77" t="e">
        <f>IF(AND('Mapa final'!#REF!="Muy Baja",'Mapa final'!#REF!="Menor"),CONCATENATE("R2C",'Mapa final'!#REF!),"")</f>
        <v>#REF!</v>
      </c>
      <c r="R47" s="77" t="e">
        <f>IF(AND('Mapa final'!#REF!="Muy Baja",'Mapa final'!#REF!="Menor"),CONCATENATE("R2C",'Mapa final'!#REF!),"")</f>
        <v>#REF!</v>
      </c>
      <c r="S47" s="77" t="e">
        <f>IF(AND('Mapa final'!#REF!="Muy Baja",'Mapa final'!#REF!="Menor"),CONCATENATE("R2C",'Mapa final'!#REF!),"")</f>
        <v>#REF!</v>
      </c>
      <c r="T47" s="77" t="e">
        <f>IF(AND('Mapa final'!#REF!="Muy Baja",'Mapa final'!#REF!="Menor"),CONCATENATE("R2C",'Mapa final'!#REF!),"")</f>
        <v>#REF!</v>
      </c>
      <c r="U47" s="78" t="e">
        <f>IF(AND('Mapa final'!#REF!="Muy Baja",'Mapa final'!#REF!="Menor"),CONCATENATE("R2C",'Mapa final'!#REF!),"")</f>
        <v>#REF!</v>
      </c>
      <c r="V47" s="67" t="str">
        <f>IF(AND('Mapa final'!$Y$26="Muy Baja",'Mapa final'!$AA$26="Moderado"),CONCATENATE("R2C",'Mapa final'!$O$26),"")</f>
        <v/>
      </c>
      <c r="W47" s="68" t="e">
        <f>IF(AND('Mapa final'!#REF!="Muy Baja",'Mapa final'!#REF!="Moderado"),CONCATENATE("R2C",'Mapa final'!#REF!),"")</f>
        <v>#REF!</v>
      </c>
      <c r="X47" s="68" t="e">
        <f>IF(AND('Mapa final'!#REF!="Muy Baja",'Mapa final'!#REF!="Moderado"),CONCATENATE("R2C",'Mapa final'!#REF!),"")</f>
        <v>#REF!</v>
      </c>
      <c r="Y47" s="68" t="e">
        <f>IF(AND('Mapa final'!#REF!="Muy Baja",'Mapa final'!#REF!="Moderado"),CONCATENATE("R2C",'Mapa final'!#REF!),"")</f>
        <v>#REF!</v>
      </c>
      <c r="Z47" s="68" t="e">
        <f>IF(AND('Mapa final'!#REF!="Muy Baja",'Mapa final'!#REF!="Moderado"),CONCATENATE("R2C",'Mapa final'!#REF!),"")</f>
        <v>#REF!</v>
      </c>
      <c r="AA47" s="69" t="e">
        <f>IF(AND('Mapa final'!#REF!="Muy Baja",'Mapa final'!#REF!="Moderado"),CONCATENATE("R2C",'Mapa final'!#REF!),"")</f>
        <v>#REF!</v>
      </c>
      <c r="AB47" s="52" t="str">
        <f>IF(AND('Mapa final'!$Y$26="Muy Baja",'Mapa final'!$AA$26="Mayor"),CONCATENATE("R2C",'Mapa final'!$O$26),"")</f>
        <v/>
      </c>
      <c r="AC47" s="53" t="e">
        <f>IF(AND('Mapa final'!#REF!="Muy Baja",'Mapa final'!#REF!="Mayor"),CONCATENATE("R2C",'Mapa final'!#REF!),"")</f>
        <v>#REF!</v>
      </c>
      <c r="AD47" s="53" t="e">
        <f>IF(AND('Mapa final'!#REF!="Muy Baja",'Mapa final'!#REF!="Mayor"),CONCATENATE("R2C",'Mapa final'!#REF!),"")</f>
        <v>#REF!</v>
      </c>
      <c r="AE47" s="53" t="e">
        <f>IF(AND('Mapa final'!#REF!="Muy Baja",'Mapa final'!#REF!="Mayor"),CONCATENATE("R2C",'Mapa final'!#REF!),"")</f>
        <v>#REF!</v>
      </c>
      <c r="AF47" s="53" t="e">
        <f>IF(AND('Mapa final'!#REF!="Muy Baja",'Mapa final'!#REF!="Mayor"),CONCATENATE("R2C",'Mapa final'!#REF!),"")</f>
        <v>#REF!</v>
      </c>
      <c r="AG47" s="54" t="e">
        <f>IF(AND('Mapa final'!#REF!="Muy Baja",'Mapa final'!#REF!="Mayor"),CONCATENATE("R2C",'Mapa final'!#REF!),"")</f>
        <v>#REF!</v>
      </c>
      <c r="AH47" s="55" t="str">
        <f>IF(AND('Mapa final'!$Y$26="Muy Baja",'Mapa final'!$AA$26="Catastrófico"),CONCATENATE("R2C",'Mapa final'!$O$26),"")</f>
        <v/>
      </c>
      <c r="AI47" s="56" t="e">
        <f>IF(AND('Mapa final'!#REF!="Muy Baja",'Mapa final'!#REF!="Catastrófico"),CONCATENATE("R2C",'Mapa final'!#REF!),"")</f>
        <v>#REF!</v>
      </c>
      <c r="AJ47" s="56" t="e">
        <f>IF(AND('Mapa final'!#REF!="Muy Baja",'Mapa final'!#REF!="Catastrófico"),CONCATENATE("R2C",'Mapa final'!#REF!),"")</f>
        <v>#REF!</v>
      </c>
      <c r="AK47" s="56" t="e">
        <f>IF(AND('Mapa final'!#REF!="Muy Baja",'Mapa final'!#REF!="Catastrófico"),CONCATENATE("R2C",'Mapa final'!#REF!),"")</f>
        <v>#REF!</v>
      </c>
      <c r="AL47" s="56" t="e">
        <f>IF(AND('Mapa final'!#REF!="Muy Baja",'Mapa final'!#REF!="Catastrófico"),CONCATENATE("R2C",'Mapa final'!#REF!),"")</f>
        <v>#REF!</v>
      </c>
      <c r="AM47" s="57" t="e">
        <f>IF(AND('Mapa final'!#REF!="Muy Baja",'Mapa final'!#REF!="Catastrófico"),CONCATENATE("R2C",'Mapa final'!#REF!),"")</f>
        <v>#REF!</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407"/>
      <c r="C48" s="407"/>
      <c r="D48" s="408"/>
      <c r="E48" s="464"/>
      <c r="F48" s="449"/>
      <c r="G48" s="449"/>
      <c r="H48" s="449"/>
      <c r="I48" s="450"/>
      <c r="J48" s="76" t="str">
        <f>IF(AND('Mapa final'!$Y$27="Muy Baja",'Mapa final'!$AA$27="Leve"),CONCATENATE("R3C",'Mapa final'!$O$27),"")</f>
        <v/>
      </c>
      <c r="K48" s="77" t="str">
        <f>IF(AND('Mapa final'!$Y$28="Muy Baja",'Mapa final'!$AA$28="Leve"),CONCATENATE("R3C",'Mapa final'!$O$28),"")</f>
        <v/>
      </c>
      <c r="L48" s="77" t="e">
        <f>IF(AND('Mapa final'!#REF!="Muy Baja",'Mapa final'!#REF!="Leve"),CONCATENATE("R3C",'Mapa final'!#REF!),"")</f>
        <v>#REF!</v>
      </c>
      <c r="M48" s="77" t="e">
        <f>IF(AND('Mapa final'!#REF!="Muy Baja",'Mapa final'!#REF!="Leve"),CONCATENATE("R3C",'Mapa final'!#REF!),"")</f>
        <v>#REF!</v>
      </c>
      <c r="N48" s="77" t="e">
        <f>IF(AND('Mapa final'!#REF!="Muy Baja",'Mapa final'!#REF!="Leve"),CONCATENATE("R3C",'Mapa final'!#REF!),"")</f>
        <v>#REF!</v>
      </c>
      <c r="O48" s="78" t="e">
        <f>IF(AND('Mapa final'!#REF!="Muy Baja",'Mapa final'!#REF!="Leve"),CONCATENATE("R3C",'Mapa final'!#REF!),"")</f>
        <v>#REF!</v>
      </c>
      <c r="P48" s="76" t="str">
        <f>IF(AND('Mapa final'!$Y$27="Muy Baja",'Mapa final'!$AA$27="Menor"),CONCATENATE("R3C",'Mapa final'!$O$27),"")</f>
        <v/>
      </c>
      <c r="Q48" s="77" t="str">
        <f>IF(AND('Mapa final'!$Y$28="Muy Baja",'Mapa final'!$AA$28="Menor"),CONCATENATE("R3C",'Mapa final'!$O$28),"")</f>
        <v/>
      </c>
      <c r="R48" s="77" t="e">
        <f>IF(AND('Mapa final'!#REF!="Muy Baja",'Mapa final'!#REF!="Menor"),CONCATENATE("R3C",'Mapa final'!#REF!),"")</f>
        <v>#REF!</v>
      </c>
      <c r="S48" s="77" t="e">
        <f>IF(AND('Mapa final'!#REF!="Muy Baja",'Mapa final'!#REF!="Menor"),CONCATENATE("R3C",'Mapa final'!#REF!),"")</f>
        <v>#REF!</v>
      </c>
      <c r="T48" s="77" t="e">
        <f>IF(AND('Mapa final'!#REF!="Muy Baja",'Mapa final'!#REF!="Menor"),CONCATENATE("R3C",'Mapa final'!#REF!),"")</f>
        <v>#REF!</v>
      </c>
      <c r="U48" s="78" t="e">
        <f>IF(AND('Mapa final'!#REF!="Muy Baja",'Mapa final'!#REF!="Menor"),CONCATENATE("R3C",'Mapa final'!#REF!),"")</f>
        <v>#REF!</v>
      </c>
      <c r="V48" s="67" t="str">
        <f>IF(AND('Mapa final'!$Y$27="Muy Baja",'Mapa final'!$AA$27="Moderado"),CONCATENATE("R3C",'Mapa final'!$O$27),"")</f>
        <v>R3C1</v>
      </c>
      <c r="W48" s="68" t="str">
        <f>IF(AND('Mapa final'!$Y$28="Muy Baja",'Mapa final'!$AA$28="Moderado"),CONCATENATE("R3C",'Mapa final'!$O$28),"")</f>
        <v/>
      </c>
      <c r="X48" s="68" t="e">
        <f>IF(AND('Mapa final'!#REF!="Muy Baja",'Mapa final'!#REF!="Moderado"),CONCATENATE("R3C",'Mapa final'!#REF!),"")</f>
        <v>#REF!</v>
      </c>
      <c r="Y48" s="68" t="e">
        <f>IF(AND('Mapa final'!#REF!="Muy Baja",'Mapa final'!#REF!="Moderado"),CONCATENATE("R3C",'Mapa final'!#REF!),"")</f>
        <v>#REF!</v>
      </c>
      <c r="Z48" s="68" t="e">
        <f>IF(AND('Mapa final'!#REF!="Muy Baja",'Mapa final'!#REF!="Moderado"),CONCATENATE("R3C",'Mapa final'!#REF!),"")</f>
        <v>#REF!</v>
      </c>
      <c r="AA48" s="69" t="e">
        <f>IF(AND('Mapa final'!#REF!="Muy Baja",'Mapa final'!#REF!="Moderado"),CONCATENATE("R3C",'Mapa final'!#REF!),"")</f>
        <v>#REF!</v>
      </c>
      <c r="AB48" s="52" t="str">
        <f>IF(AND('Mapa final'!$Y$27="Muy Baja",'Mapa final'!$AA$27="Mayor"),CONCATENATE("R3C",'Mapa final'!$O$27),"")</f>
        <v/>
      </c>
      <c r="AC48" s="53" t="str">
        <f>IF(AND('Mapa final'!$Y$28="Muy Baja",'Mapa final'!$AA$28="Mayor"),CONCATENATE("R3C",'Mapa final'!$O$28),"")</f>
        <v/>
      </c>
      <c r="AD48" s="53" t="e">
        <f>IF(AND('Mapa final'!#REF!="Muy Baja",'Mapa final'!#REF!="Mayor"),CONCATENATE("R3C",'Mapa final'!#REF!),"")</f>
        <v>#REF!</v>
      </c>
      <c r="AE48" s="53" t="e">
        <f>IF(AND('Mapa final'!#REF!="Muy Baja",'Mapa final'!#REF!="Mayor"),CONCATENATE("R3C",'Mapa final'!#REF!),"")</f>
        <v>#REF!</v>
      </c>
      <c r="AF48" s="53" t="e">
        <f>IF(AND('Mapa final'!#REF!="Muy Baja",'Mapa final'!#REF!="Mayor"),CONCATENATE("R3C",'Mapa final'!#REF!),"")</f>
        <v>#REF!</v>
      </c>
      <c r="AG48" s="54" t="e">
        <f>IF(AND('Mapa final'!#REF!="Muy Baja",'Mapa final'!#REF!="Mayor"),CONCATENATE("R3C",'Mapa final'!#REF!),"")</f>
        <v>#REF!</v>
      </c>
      <c r="AH48" s="55" t="str">
        <f>IF(AND('Mapa final'!$Y$27="Muy Baja",'Mapa final'!$AA$27="Catastrófico"),CONCATENATE("R3C",'Mapa final'!$O$27),"")</f>
        <v/>
      </c>
      <c r="AI48" s="56" t="str">
        <f>IF(AND('Mapa final'!$Y$28="Muy Baja",'Mapa final'!$AA$28="Catastrófico"),CONCATENATE("R3C",'Mapa final'!$O$28),"")</f>
        <v/>
      </c>
      <c r="AJ48" s="56" t="e">
        <f>IF(AND('Mapa final'!#REF!="Muy Baja",'Mapa final'!#REF!="Catastrófico"),CONCATENATE("R3C",'Mapa final'!#REF!),"")</f>
        <v>#REF!</v>
      </c>
      <c r="AK48" s="56" t="e">
        <f>IF(AND('Mapa final'!#REF!="Muy Baja",'Mapa final'!#REF!="Catastrófico"),CONCATENATE("R3C",'Mapa final'!#REF!),"")</f>
        <v>#REF!</v>
      </c>
      <c r="AL48" s="56" t="e">
        <f>IF(AND('Mapa final'!#REF!="Muy Baja",'Mapa final'!#REF!="Catastrófico"),CONCATENATE("R3C",'Mapa final'!#REF!),"")</f>
        <v>#REF!</v>
      </c>
      <c r="AM48" s="57" t="e">
        <f>IF(AND('Mapa final'!#REF!="Muy Baja",'Mapa final'!#REF!="Catastrófico"),CONCATENATE("R3C",'Mapa final'!#REF!),"")</f>
        <v>#REF!</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407"/>
      <c r="C49" s="407"/>
      <c r="D49" s="408"/>
      <c r="E49" s="448"/>
      <c r="F49" s="449"/>
      <c r="G49" s="449"/>
      <c r="H49" s="449"/>
      <c r="I49" s="450"/>
      <c r="J49" s="76" t="str">
        <f>IF(AND('Mapa final'!$Y$29="Muy Baja",'Mapa final'!$AA$29="Leve"),CONCATENATE("R4C",'Mapa final'!$O$29),"")</f>
        <v>R4C1</v>
      </c>
      <c r="K49" s="77" t="str">
        <f>IF(AND('Mapa final'!$Y$30="Muy Baja",'Mapa final'!$AA$30="Leve"),CONCATENATE("R4C",'Mapa final'!$O$30),"")</f>
        <v>R4C2</v>
      </c>
      <c r="L49" s="77" t="e">
        <f>IF(AND('Mapa final'!#REF!="Muy Baja",'Mapa final'!#REF!="Leve"),CONCATENATE("R4C",'Mapa final'!#REF!),"")</f>
        <v>#REF!</v>
      </c>
      <c r="M49" s="77" t="e">
        <f>IF(AND('Mapa final'!#REF!="Muy Baja",'Mapa final'!#REF!="Leve"),CONCATENATE("R4C",'Mapa final'!#REF!),"")</f>
        <v>#REF!</v>
      </c>
      <c r="N49" s="77" t="e">
        <f>IF(AND('Mapa final'!#REF!="Muy Baja",'Mapa final'!#REF!="Leve"),CONCATENATE("R4C",'Mapa final'!#REF!),"")</f>
        <v>#REF!</v>
      </c>
      <c r="O49" s="78" t="e">
        <f>IF(AND('Mapa final'!#REF!="Muy Baja",'Mapa final'!#REF!="Leve"),CONCATENATE("R4C",'Mapa final'!#REF!),"")</f>
        <v>#REF!</v>
      </c>
      <c r="P49" s="76" t="str">
        <f>IF(AND('Mapa final'!$Y$29="Muy Baja",'Mapa final'!$AA$29="Menor"),CONCATENATE("R4C",'Mapa final'!$O$29),"")</f>
        <v/>
      </c>
      <c r="Q49" s="77" t="str">
        <f>IF(AND('Mapa final'!$Y$30="Muy Baja",'Mapa final'!$AA$30="Menor"),CONCATENATE("R4C",'Mapa final'!$O$30),"")</f>
        <v/>
      </c>
      <c r="R49" s="77" t="e">
        <f>IF(AND('Mapa final'!#REF!="Muy Baja",'Mapa final'!#REF!="Menor"),CONCATENATE("R4C",'Mapa final'!#REF!),"")</f>
        <v>#REF!</v>
      </c>
      <c r="S49" s="77" t="e">
        <f>IF(AND('Mapa final'!#REF!="Muy Baja",'Mapa final'!#REF!="Menor"),CONCATENATE("R4C",'Mapa final'!#REF!),"")</f>
        <v>#REF!</v>
      </c>
      <c r="T49" s="77" t="e">
        <f>IF(AND('Mapa final'!#REF!="Muy Baja",'Mapa final'!#REF!="Menor"),CONCATENATE("R4C",'Mapa final'!#REF!),"")</f>
        <v>#REF!</v>
      </c>
      <c r="U49" s="78" t="e">
        <f>IF(AND('Mapa final'!#REF!="Muy Baja",'Mapa final'!#REF!="Menor"),CONCATENATE("R4C",'Mapa final'!#REF!),"")</f>
        <v>#REF!</v>
      </c>
      <c r="V49" s="67" t="str">
        <f>IF(AND('Mapa final'!$Y$29="Muy Baja",'Mapa final'!$AA$29="Moderado"),CONCATENATE("R4C",'Mapa final'!$O$29),"")</f>
        <v/>
      </c>
      <c r="W49" s="68" t="str">
        <f>IF(AND('Mapa final'!$Y$30="Muy Baja",'Mapa final'!$AA$30="Moderado"),CONCATENATE("R4C",'Mapa final'!$O$30),"")</f>
        <v/>
      </c>
      <c r="X49" s="68" t="e">
        <f>IF(AND('Mapa final'!#REF!="Muy Baja",'Mapa final'!#REF!="Moderado"),CONCATENATE("R4C",'Mapa final'!#REF!),"")</f>
        <v>#REF!</v>
      </c>
      <c r="Y49" s="68" t="e">
        <f>IF(AND('Mapa final'!#REF!="Muy Baja",'Mapa final'!#REF!="Moderado"),CONCATENATE("R4C",'Mapa final'!#REF!),"")</f>
        <v>#REF!</v>
      </c>
      <c r="Z49" s="68" t="e">
        <f>IF(AND('Mapa final'!#REF!="Muy Baja",'Mapa final'!#REF!="Moderado"),CONCATENATE("R4C",'Mapa final'!#REF!),"")</f>
        <v>#REF!</v>
      </c>
      <c r="AA49" s="69" t="e">
        <f>IF(AND('Mapa final'!#REF!="Muy Baja",'Mapa final'!#REF!="Moderado"),CONCATENATE("R4C",'Mapa final'!#REF!),"")</f>
        <v>#REF!</v>
      </c>
      <c r="AB49" s="52" t="str">
        <f>IF(AND('Mapa final'!$Y$29="Muy Baja",'Mapa final'!$AA$29="Mayor"),CONCATENATE("R4C",'Mapa final'!$O$29),"")</f>
        <v/>
      </c>
      <c r="AC49" s="53" t="str">
        <f>IF(AND('Mapa final'!$Y$30="Muy Baja",'Mapa final'!$AA$30="Mayor"),CONCATENATE("R4C",'Mapa final'!$O$30),"")</f>
        <v/>
      </c>
      <c r="AD49" s="53" t="e">
        <f>IF(AND('Mapa final'!#REF!="Muy Baja",'Mapa final'!#REF!="Mayor"),CONCATENATE("R4C",'Mapa final'!#REF!),"")</f>
        <v>#REF!</v>
      </c>
      <c r="AE49" s="53" t="e">
        <f>IF(AND('Mapa final'!#REF!="Muy Baja",'Mapa final'!#REF!="Mayor"),CONCATENATE("R4C",'Mapa final'!#REF!),"")</f>
        <v>#REF!</v>
      </c>
      <c r="AF49" s="53" t="e">
        <f>IF(AND('Mapa final'!#REF!="Muy Baja",'Mapa final'!#REF!="Mayor"),CONCATENATE("R4C",'Mapa final'!#REF!),"")</f>
        <v>#REF!</v>
      </c>
      <c r="AG49" s="54" t="e">
        <f>IF(AND('Mapa final'!#REF!="Muy Baja",'Mapa final'!#REF!="Mayor"),CONCATENATE("R4C",'Mapa final'!#REF!),"")</f>
        <v>#REF!</v>
      </c>
      <c r="AH49" s="55" t="str">
        <f>IF(AND('Mapa final'!$Y$29="Muy Baja",'Mapa final'!$AA$29="Catastrófico"),CONCATENATE("R4C",'Mapa final'!$O$29),"")</f>
        <v/>
      </c>
      <c r="AI49" s="56" t="str">
        <f>IF(AND('Mapa final'!$Y$30="Muy Baja",'Mapa final'!$AA$30="Catastrófico"),CONCATENATE("R4C",'Mapa final'!$O$30),"")</f>
        <v/>
      </c>
      <c r="AJ49" s="56" t="e">
        <f>IF(AND('Mapa final'!#REF!="Muy Baja",'Mapa final'!#REF!="Catastrófico"),CONCATENATE("R4C",'Mapa final'!#REF!),"")</f>
        <v>#REF!</v>
      </c>
      <c r="AK49" s="56" t="e">
        <f>IF(AND('Mapa final'!#REF!="Muy Baja",'Mapa final'!#REF!="Catastrófico"),CONCATENATE("R4C",'Mapa final'!#REF!),"")</f>
        <v>#REF!</v>
      </c>
      <c r="AL49" s="56" t="e">
        <f>IF(AND('Mapa final'!#REF!="Muy Baja",'Mapa final'!#REF!="Catastrófico"),CONCATENATE("R4C",'Mapa final'!#REF!),"")</f>
        <v>#REF!</v>
      </c>
      <c r="AM49" s="57" t="e">
        <f>IF(AND('Mapa final'!#REF!="Muy Baja",'Mapa final'!#REF!="Catastrófico"),CONCATENATE("R4C",'Mapa final'!#REF!),"")</f>
        <v>#REF!</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407"/>
      <c r="C50" s="407"/>
      <c r="D50" s="408"/>
      <c r="E50" s="448"/>
      <c r="F50" s="449"/>
      <c r="G50" s="449"/>
      <c r="H50" s="449"/>
      <c r="I50" s="450"/>
      <c r="J50" s="76" t="str">
        <f>IF(AND('Mapa final'!$Y$31="Muy Baja",'Mapa final'!$AA$31="Leve"),CONCATENATE("R5C",'Mapa final'!$O$31),"")</f>
        <v/>
      </c>
      <c r="K50" s="77" t="str">
        <f>IF(AND('Mapa final'!$Y$32="Muy Baja",'Mapa final'!$AA$32="Leve"),CONCATENATE("R5C",'Mapa final'!$O$32),"")</f>
        <v/>
      </c>
      <c r="L50" s="77" t="e">
        <f>IF(AND('Mapa final'!#REF!="Muy Baja",'Mapa final'!#REF!="Leve"),CONCATENATE("R5C",'Mapa final'!#REF!),"")</f>
        <v>#REF!</v>
      </c>
      <c r="M50" s="77" t="e">
        <f>IF(AND('Mapa final'!#REF!="Muy Baja",'Mapa final'!#REF!="Leve"),CONCATENATE("R5C",'Mapa final'!#REF!),"")</f>
        <v>#REF!</v>
      </c>
      <c r="N50" s="77" t="e">
        <f>IF(AND('Mapa final'!#REF!="Muy Baja",'Mapa final'!#REF!="Leve"),CONCATENATE("R5C",'Mapa final'!#REF!),"")</f>
        <v>#REF!</v>
      </c>
      <c r="O50" s="78" t="e">
        <f>IF(AND('Mapa final'!#REF!="Muy Baja",'Mapa final'!#REF!="Leve"),CONCATENATE("R5C",'Mapa final'!#REF!),"")</f>
        <v>#REF!</v>
      </c>
      <c r="P50" s="76" t="str">
        <f>IF(AND('Mapa final'!$Y$31="Muy Baja",'Mapa final'!$AA$31="Menor"),CONCATENATE("R5C",'Mapa final'!$O$31),"")</f>
        <v/>
      </c>
      <c r="Q50" s="77" t="str">
        <f>IF(AND('Mapa final'!$Y$32="Muy Baja",'Mapa final'!$AA$32="Menor"),CONCATENATE("R5C",'Mapa final'!$O$32),"")</f>
        <v/>
      </c>
      <c r="R50" s="77" t="e">
        <f>IF(AND('Mapa final'!#REF!="Muy Baja",'Mapa final'!#REF!="Menor"),CONCATENATE("R5C",'Mapa final'!#REF!),"")</f>
        <v>#REF!</v>
      </c>
      <c r="S50" s="77" t="e">
        <f>IF(AND('Mapa final'!#REF!="Muy Baja",'Mapa final'!#REF!="Menor"),CONCATENATE("R5C",'Mapa final'!#REF!),"")</f>
        <v>#REF!</v>
      </c>
      <c r="T50" s="77" t="e">
        <f>IF(AND('Mapa final'!#REF!="Muy Baja",'Mapa final'!#REF!="Menor"),CONCATENATE("R5C",'Mapa final'!#REF!),"")</f>
        <v>#REF!</v>
      </c>
      <c r="U50" s="78" t="e">
        <f>IF(AND('Mapa final'!#REF!="Muy Baja",'Mapa final'!#REF!="Menor"),CONCATENATE("R5C",'Mapa final'!#REF!),"")</f>
        <v>#REF!</v>
      </c>
      <c r="V50" s="67" t="str">
        <f>IF(AND('Mapa final'!$Y$31="Muy Baja",'Mapa final'!$AA$31="Moderado"),CONCATENATE("R5C",'Mapa final'!$O$31),"")</f>
        <v/>
      </c>
      <c r="W50" s="68" t="str">
        <f>IF(AND('Mapa final'!$Y$32="Muy Baja",'Mapa final'!$AA$32="Moderado"),CONCATENATE("R5C",'Mapa final'!$O$32),"")</f>
        <v/>
      </c>
      <c r="X50" s="68" t="e">
        <f>IF(AND('Mapa final'!#REF!="Muy Baja",'Mapa final'!#REF!="Moderado"),CONCATENATE("R5C",'Mapa final'!#REF!),"")</f>
        <v>#REF!</v>
      </c>
      <c r="Y50" s="68" t="e">
        <f>IF(AND('Mapa final'!#REF!="Muy Baja",'Mapa final'!#REF!="Moderado"),CONCATENATE("R5C",'Mapa final'!#REF!),"")</f>
        <v>#REF!</v>
      </c>
      <c r="Z50" s="68" t="e">
        <f>IF(AND('Mapa final'!#REF!="Muy Baja",'Mapa final'!#REF!="Moderado"),CONCATENATE("R5C",'Mapa final'!#REF!),"")</f>
        <v>#REF!</v>
      </c>
      <c r="AA50" s="69" t="e">
        <f>IF(AND('Mapa final'!#REF!="Muy Baja",'Mapa final'!#REF!="Moderado"),CONCATENATE("R5C",'Mapa final'!#REF!),"")</f>
        <v>#REF!</v>
      </c>
      <c r="AB50" s="52" t="str">
        <f>IF(AND('Mapa final'!$Y$31="Muy Baja",'Mapa final'!$AA$31="Mayor"),CONCATENATE("R5C",'Mapa final'!$O$31),"")</f>
        <v/>
      </c>
      <c r="AC50" s="53" t="str">
        <f>IF(AND('Mapa final'!$Y$32="Muy Baja",'Mapa final'!$AA$32="Mayor"),CONCATENATE("R5C",'Mapa final'!$O$32),"")</f>
        <v/>
      </c>
      <c r="AD50" s="53" t="e">
        <f>IF(AND('Mapa final'!#REF!="Muy Baja",'Mapa final'!#REF!="Mayor"),CONCATENATE("R5C",'Mapa final'!#REF!),"")</f>
        <v>#REF!</v>
      </c>
      <c r="AE50" s="53" t="e">
        <f>IF(AND('Mapa final'!#REF!="Muy Baja",'Mapa final'!#REF!="Mayor"),CONCATENATE("R5C",'Mapa final'!#REF!),"")</f>
        <v>#REF!</v>
      </c>
      <c r="AF50" s="53" t="e">
        <f>IF(AND('Mapa final'!#REF!="Muy Baja",'Mapa final'!#REF!="Mayor"),CONCATENATE("R5C",'Mapa final'!#REF!),"")</f>
        <v>#REF!</v>
      </c>
      <c r="AG50" s="54" t="e">
        <f>IF(AND('Mapa final'!#REF!="Muy Baja",'Mapa final'!#REF!="Mayor"),CONCATENATE("R5C",'Mapa final'!#REF!),"")</f>
        <v>#REF!</v>
      </c>
      <c r="AH50" s="55" t="str">
        <f>IF(AND('Mapa final'!$Y$31="Muy Baja",'Mapa final'!$AA$31="Catastrófico"),CONCATENATE("R5C",'Mapa final'!$O$31),"")</f>
        <v/>
      </c>
      <c r="AI50" s="56" t="str">
        <f>IF(AND('Mapa final'!$Y$32="Muy Baja",'Mapa final'!$AA$32="Catastrófico"),CONCATENATE("R5C",'Mapa final'!$O$32),"")</f>
        <v/>
      </c>
      <c r="AJ50" s="56" t="e">
        <f>IF(AND('Mapa final'!#REF!="Muy Baja",'Mapa final'!#REF!="Catastrófico"),CONCATENATE("R5C",'Mapa final'!#REF!),"")</f>
        <v>#REF!</v>
      </c>
      <c r="AK50" s="56" t="e">
        <f>IF(AND('Mapa final'!#REF!="Muy Baja",'Mapa final'!#REF!="Catastrófico"),CONCATENATE("R5C",'Mapa final'!#REF!),"")</f>
        <v>#REF!</v>
      </c>
      <c r="AL50" s="56" t="e">
        <f>IF(AND('Mapa final'!#REF!="Muy Baja",'Mapa final'!#REF!="Catastrófico"),CONCATENATE("R5C",'Mapa final'!#REF!),"")</f>
        <v>#REF!</v>
      </c>
      <c r="AM50" s="57" t="e">
        <f>IF(AND('Mapa final'!#REF!="Muy Baja",'Mapa final'!#REF!="Catastrófico"),CONCATENATE("R5C",'Mapa final'!#REF!),"")</f>
        <v>#REF!</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407"/>
      <c r="C51" s="407"/>
      <c r="D51" s="408"/>
      <c r="E51" s="448"/>
      <c r="F51" s="449"/>
      <c r="G51" s="449"/>
      <c r="H51" s="449"/>
      <c r="I51" s="450"/>
      <c r="J51" s="76" t="e">
        <f>IF(AND('Mapa final'!#REF!="Muy Baja",'Mapa final'!#REF!="Leve"),CONCATENATE("R6C",'Mapa final'!#REF!),"")</f>
        <v>#REF!</v>
      </c>
      <c r="K51" s="77" t="e">
        <f>IF(AND('Mapa final'!#REF!="Muy Baja",'Mapa final'!#REF!="Leve"),CONCATENATE("R6C",'Mapa final'!#REF!),"")</f>
        <v>#REF!</v>
      </c>
      <c r="L51" s="77" t="e">
        <f>IF(AND('Mapa final'!#REF!="Muy Baja",'Mapa final'!#REF!="Leve"),CONCATENATE("R6C",'Mapa final'!#REF!),"")</f>
        <v>#REF!</v>
      </c>
      <c r="M51" s="77" t="e">
        <f>IF(AND('Mapa final'!#REF!="Muy Baja",'Mapa final'!#REF!="Leve"),CONCATENATE("R6C",'Mapa final'!#REF!),"")</f>
        <v>#REF!</v>
      </c>
      <c r="N51" s="77" t="e">
        <f>IF(AND('Mapa final'!#REF!="Muy Baja",'Mapa final'!#REF!="Leve"),CONCATENATE("R6C",'Mapa final'!#REF!),"")</f>
        <v>#REF!</v>
      </c>
      <c r="O51" s="78" t="e">
        <f>IF(AND('Mapa final'!#REF!="Muy Baja",'Mapa final'!#REF!="Leve"),CONCATENATE("R6C",'Mapa final'!#REF!),"")</f>
        <v>#REF!</v>
      </c>
      <c r="P51" s="76" t="e">
        <f>IF(AND('Mapa final'!#REF!="Muy Baja",'Mapa final'!#REF!="Menor"),CONCATENATE("R6C",'Mapa final'!#REF!),"")</f>
        <v>#REF!</v>
      </c>
      <c r="Q51" s="77" t="e">
        <f>IF(AND('Mapa final'!#REF!="Muy Baja",'Mapa final'!#REF!="Menor"),CONCATENATE("R6C",'Mapa final'!#REF!),"")</f>
        <v>#REF!</v>
      </c>
      <c r="R51" s="77" t="e">
        <f>IF(AND('Mapa final'!#REF!="Muy Baja",'Mapa final'!#REF!="Menor"),CONCATENATE("R6C",'Mapa final'!#REF!),"")</f>
        <v>#REF!</v>
      </c>
      <c r="S51" s="77" t="e">
        <f>IF(AND('Mapa final'!#REF!="Muy Baja",'Mapa final'!#REF!="Menor"),CONCATENATE("R6C",'Mapa final'!#REF!),"")</f>
        <v>#REF!</v>
      </c>
      <c r="T51" s="77" t="e">
        <f>IF(AND('Mapa final'!#REF!="Muy Baja",'Mapa final'!#REF!="Menor"),CONCATENATE("R6C",'Mapa final'!#REF!),"")</f>
        <v>#REF!</v>
      </c>
      <c r="U51" s="78" t="e">
        <f>IF(AND('Mapa final'!#REF!="Muy Baja",'Mapa final'!#REF!="Menor"),CONCATENATE("R6C",'Mapa final'!#REF!),"")</f>
        <v>#REF!</v>
      </c>
      <c r="V51" s="67" t="e">
        <f>IF(AND('Mapa final'!#REF!="Muy Baja",'Mapa final'!#REF!="Moderado"),CONCATENATE("R6C",'Mapa final'!#REF!),"")</f>
        <v>#REF!</v>
      </c>
      <c r="W51" s="68" t="e">
        <f>IF(AND('Mapa final'!#REF!="Muy Baja",'Mapa final'!#REF!="Moderado"),CONCATENATE("R6C",'Mapa final'!#REF!),"")</f>
        <v>#REF!</v>
      </c>
      <c r="X51" s="68" t="e">
        <f>IF(AND('Mapa final'!#REF!="Muy Baja",'Mapa final'!#REF!="Moderado"),CONCATENATE("R6C",'Mapa final'!#REF!),"")</f>
        <v>#REF!</v>
      </c>
      <c r="Y51" s="68" t="e">
        <f>IF(AND('Mapa final'!#REF!="Muy Baja",'Mapa final'!#REF!="Moderado"),CONCATENATE("R6C",'Mapa final'!#REF!),"")</f>
        <v>#REF!</v>
      </c>
      <c r="Z51" s="68" t="e">
        <f>IF(AND('Mapa final'!#REF!="Muy Baja",'Mapa final'!#REF!="Moderado"),CONCATENATE("R6C",'Mapa final'!#REF!),"")</f>
        <v>#REF!</v>
      </c>
      <c r="AA51" s="69" t="e">
        <f>IF(AND('Mapa final'!#REF!="Muy Baja",'Mapa final'!#REF!="Moderado"),CONCATENATE("R6C",'Mapa final'!#REF!),"")</f>
        <v>#REF!</v>
      </c>
      <c r="AB51" s="52" t="e">
        <f>IF(AND('Mapa final'!#REF!="Muy Baja",'Mapa final'!#REF!="Mayor"),CONCATENATE("R6C",'Mapa final'!#REF!),"")</f>
        <v>#REF!</v>
      </c>
      <c r="AC51" s="53" t="e">
        <f>IF(AND('Mapa final'!#REF!="Muy Baja",'Mapa final'!#REF!="Mayor"),CONCATENATE("R6C",'Mapa final'!#REF!),"")</f>
        <v>#REF!</v>
      </c>
      <c r="AD51" s="53" t="e">
        <f>IF(AND('Mapa final'!#REF!="Muy Baja",'Mapa final'!#REF!="Mayor"),CONCATENATE("R6C",'Mapa final'!#REF!),"")</f>
        <v>#REF!</v>
      </c>
      <c r="AE51" s="53" t="e">
        <f>IF(AND('Mapa final'!#REF!="Muy Baja",'Mapa final'!#REF!="Mayor"),CONCATENATE("R6C",'Mapa final'!#REF!),"")</f>
        <v>#REF!</v>
      </c>
      <c r="AF51" s="53" t="e">
        <f>IF(AND('Mapa final'!#REF!="Muy Baja",'Mapa final'!#REF!="Mayor"),CONCATENATE("R6C",'Mapa final'!#REF!),"")</f>
        <v>#REF!</v>
      </c>
      <c r="AG51" s="54" t="e">
        <f>IF(AND('Mapa final'!#REF!="Muy Baja",'Mapa final'!#REF!="Mayor"),CONCATENATE("R6C",'Mapa final'!#REF!),"")</f>
        <v>#REF!</v>
      </c>
      <c r="AH51" s="55" t="e">
        <f>IF(AND('Mapa final'!#REF!="Muy Baja",'Mapa final'!#REF!="Catastrófico"),CONCATENATE("R6C",'Mapa final'!#REF!),"")</f>
        <v>#REF!</v>
      </c>
      <c r="AI51" s="56" t="e">
        <f>IF(AND('Mapa final'!#REF!="Muy Baja",'Mapa final'!#REF!="Catastrófico"),CONCATENATE("R6C",'Mapa final'!#REF!),"")</f>
        <v>#REF!</v>
      </c>
      <c r="AJ51" s="56" t="e">
        <f>IF(AND('Mapa final'!#REF!="Muy Baja",'Mapa final'!#REF!="Catastrófico"),CONCATENATE("R6C",'Mapa final'!#REF!),"")</f>
        <v>#REF!</v>
      </c>
      <c r="AK51" s="56" t="e">
        <f>IF(AND('Mapa final'!#REF!="Muy Baja",'Mapa final'!#REF!="Catastrófico"),CONCATENATE("R6C",'Mapa final'!#REF!),"")</f>
        <v>#REF!</v>
      </c>
      <c r="AL51" s="56" t="e">
        <f>IF(AND('Mapa final'!#REF!="Muy Baja",'Mapa final'!#REF!="Catastrófico"),CONCATENATE("R6C",'Mapa final'!#REF!),"")</f>
        <v>#REF!</v>
      </c>
      <c r="AM51" s="57" t="e">
        <f>IF(AND('Mapa final'!#REF!="Muy Baja",'Mapa final'!#REF!="Catastrófico"),CONCATENATE("R6C",'Mapa final'!#REF!),"")</f>
        <v>#REF!</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407"/>
      <c r="C52" s="407"/>
      <c r="D52" s="408"/>
      <c r="E52" s="448"/>
      <c r="F52" s="449"/>
      <c r="G52" s="449"/>
      <c r="H52" s="449"/>
      <c r="I52" s="450"/>
      <c r="J52" s="76" t="e">
        <f>IF(AND('Mapa final'!#REF!="Muy Baja",'Mapa final'!#REF!="Leve"),CONCATENATE("R7C",'Mapa final'!#REF!),"")</f>
        <v>#REF!</v>
      </c>
      <c r="K52" s="77" t="e">
        <f>IF(AND('Mapa final'!#REF!="Muy Baja",'Mapa final'!#REF!="Leve"),CONCATENATE("R7C",'Mapa final'!#REF!),"")</f>
        <v>#REF!</v>
      </c>
      <c r="L52" s="77" t="e">
        <f>IF(AND('Mapa final'!#REF!="Muy Baja",'Mapa final'!#REF!="Leve"),CONCATENATE("R7C",'Mapa final'!#REF!),"")</f>
        <v>#REF!</v>
      </c>
      <c r="M52" s="77" t="e">
        <f>IF(AND('Mapa final'!#REF!="Muy Baja",'Mapa final'!#REF!="Leve"),CONCATENATE("R7C",'Mapa final'!#REF!),"")</f>
        <v>#REF!</v>
      </c>
      <c r="N52" s="77" t="e">
        <f>IF(AND('Mapa final'!#REF!="Muy Baja",'Mapa final'!#REF!="Leve"),CONCATENATE("R7C",'Mapa final'!#REF!),"")</f>
        <v>#REF!</v>
      </c>
      <c r="O52" s="78" t="e">
        <f>IF(AND('Mapa final'!#REF!="Muy Baja",'Mapa final'!#REF!="Leve"),CONCATENATE("R7C",'Mapa final'!#REF!),"")</f>
        <v>#REF!</v>
      </c>
      <c r="P52" s="76" t="e">
        <f>IF(AND('Mapa final'!#REF!="Muy Baja",'Mapa final'!#REF!="Menor"),CONCATENATE("R7C",'Mapa final'!#REF!),"")</f>
        <v>#REF!</v>
      </c>
      <c r="Q52" s="77" t="e">
        <f>IF(AND('Mapa final'!#REF!="Muy Baja",'Mapa final'!#REF!="Menor"),CONCATENATE("R7C",'Mapa final'!#REF!),"")</f>
        <v>#REF!</v>
      </c>
      <c r="R52" s="77" t="e">
        <f>IF(AND('Mapa final'!#REF!="Muy Baja",'Mapa final'!#REF!="Menor"),CONCATENATE("R7C",'Mapa final'!#REF!),"")</f>
        <v>#REF!</v>
      </c>
      <c r="S52" s="77" t="e">
        <f>IF(AND('Mapa final'!#REF!="Muy Baja",'Mapa final'!#REF!="Menor"),CONCATENATE("R7C",'Mapa final'!#REF!),"")</f>
        <v>#REF!</v>
      </c>
      <c r="T52" s="77" t="e">
        <f>IF(AND('Mapa final'!#REF!="Muy Baja",'Mapa final'!#REF!="Menor"),CONCATENATE("R7C",'Mapa final'!#REF!),"")</f>
        <v>#REF!</v>
      </c>
      <c r="U52" s="78" t="e">
        <f>IF(AND('Mapa final'!#REF!="Muy Baja",'Mapa final'!#REF!="Menor"),CONCATENATE("R7C",'Mapa final'!#REF!),"")</f>
        <v>#REF!</v>
      </c>
      <c r="V52" s="67" t="e">
        <f>IF(AND('Mapa final'!#REF!="Muy Baja",'Mapa final'!#REF!="Moderado"),CONCATENATE("R7C",'Mapa final'!#REF!),"")</f>
        <v>#REF!</v>
      </c>
      <c r="W52" s="68" t="e">
        <f>IF(AND('Mapa final'!#REF!="Muy Baja",'Mapa final'!#REF!="Moderado"),CONCATENATE("R7C",'Mapa final'!#REF!),"")</f>
        <v>#REF!</v>
      </c>
      <c r="X52" s="68" t="e">
        <f>IF(AND('Mapa final'!#REF!="Muy Baja",'Mapa final'!#REF!="Moderado"),CONCATENATE("R7C",'Mapa final'!#REF!),"")</f>
        <v>#REF!</v>
      </c>
      <c r="Y52" s="68" t="e">
        <f>IF(AND('Mapa final'!#REF!="Muy Baja",'Mapa final'!#REF!="Moderado"),CONCATENATE("R7C",'Mapa final'!#REF!),"")</f>
        <v>#REF!</v>
      </c>
      <c r="Z52" s="68" t="e">
        <f>IF(AND('Mapa final'!#REF!="Muy Baja",'Mapa final'!#REF!="Moderado"),CONCATENATE("R7C",'Mapa final'!#REF!),"")</f>
        <v>#REF!</v>
      </c>
      <c r="AA52" s="69" t="e">
        <f>IF(AND('Mapa final'!#REF!="Muy Baja",'Mapa final'!#REF!="Moderado"),CONCATENATE("R7C",'Mapa final'!#REF!),"")</f>
        <v>#REF!</v>
      </c>
      <c r="AB52" s="52" t="e">
        <f>IF(AND('Mapa final'!#REF!="Muy Baja",'Mapa final'!#REF!="Mayor"),CONCATENATE("R7C",'Mapa final'!#REF!),"")</f>
        <v>#REF!</v>
      </c>
      <c r="AC52" s="53" t="e">
        <f>IF(AND('Mapa final'!#REF!="Muy Baja",'Mapa final'!#REF!="Mayor"),CONCATENATE("R7C",'Mapa final'!#REF!),"")</f>
        <v>#REF!</v>
      </c>
      <c r="AD52" s="53" t="e">
        <f>IF(AND('Mapa final'!#REF!="Muy Baja",'Mapa final'!#REF!="Mayor"),CONCATENATE("R7C",'Mapa final'!#REF!),"")</f>
        <v>#REF!</v>
      </c>
      <c r="AE52" s="53" t="e">
        <f>IF(AND('Mapa final'!#REF!="Muy Baja",'Mapa final'!#REF!="Mayor"),CONCATENATE("R7C",'Mapa final'!#REF!),"")</f>
        <v>#REF!</v>
      </c>
      <c r="AF52" s="53" t="e">
        <f>IF(AND('Mapa final'!#REF!="Muy Baja",'Mapa final'!#REF!="Mayor"),CONCATENATE("R7C",'Mapa final'!#REF!),"")</f>
        <v>#REF!</v>
      </c>
      <c r="AG52" s="54" t="e">
        <f>IF(AND('Mapa final'!#REF!="Muy Baja",'Mapa final'!#REF!="Mayor"),CONCATENATE("R7C",'Mapa final'!#REF!),"")</f>
        <v>#REF!</v>
      </c>
      <c r="AH52" s="55" t="e">
        <f>IF(AND('Mapa final'!#REF!="Muy Baja",'Mapa final'!#REF!="Catastrófico"),CONCATENATE("R7C",'Mapa final'!#REF!),"")</f>
        <v>#REF!</v>
      </c>
      <c r="AI52" s="56" t="e">
        <f>IF(AND('Mapa final'!#REF!="Muy Baja",'Mapa final'!#REF!="Catastrófico"),CONCATENATE("R7C",'Mapa final'!#REF!),"")</f>
        <v>#REF!</v>
      </c>
      <c r="AJ52" s="56" t="e">
        <f>IF(AND('Mapa final'!#REF!="Muy Baja",'Mapa final'!#REF!="Catastrófico"),CONCATENATE("R7C",'Mapa final'!#REF!),"")</f>
        <v>#REF!</v>
      </c>
      <c r="AK52" s="56" t="e">
        <f>IF(AND('Mapa final'!#REF!="Muy Baja",'Mapa final'!#REF!="Catastrófico"),CONCATENATE("R7C",'Mapa final'!#REF!),"")</f>
        <v>#REF!</v>
      </c>
      <c r="AL52" s="56" t="e">
        <f>IF(AND('Mapa final'!#REF!="Muy Baja",'Mapa final'!#REF!="Catastrófico"),CONCATENATE("R7C",'Mapa final'!#REF!),"")</f>
        <v>#REF!</v>
      </c>
      <c r="AM52" s="57" t="e">
        <f>IF(AND('Mapa final'!#REF!="Muy Baja",'Mapa final'!#REF!="Catastrófico"),CONCATENATE("R7C",'Mapa final'!#REF!),"")</f>
        <v>#REF!</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407"/>
      <c r="C53" s="407"/>
      <c r="D53" s="408"/>
      <c r="E53" s="448"/>
      <c r="F53" s="449"/>
      <c r="G53" s="449"/>
      <c r="H53" s="449"/>
      <c r="I53" s="450"/>
      <c r="J53" s="76" t="str">
        <f>IF(AND('Mapa final'!$Y$33="Muy Baja",'Mapa final'!$AA$33="Leve"),CONCATENATE("R8C",'Mapa final'!$O$33),"")</f>
        <v/>
      </c>
      <c r="K53" s="77" t="str">
        <f>IF(AND('Mapa final'!$Y$34="Muy Baja",'Mapa final'!$AA$34="Leve"),CONCATENATE("R8C",'Mapa final'!$O$34),"")</f>
        <v/>
      </c>
      <c r="L53" s="77" t="str">
        <f>IF(AND('Mapa final'!$Y$35="Muy Baja",'Mapa final'!$AA$35="Leve"),CONCATENATE("R8C",'Mapa final'!$O$35),"")</f>
        <v/>
      </c>
      <c r="M53" s="77" t="str">
        <f>IF(AND('Mapa final'!$Y$36="Muy Baja",'Mapa final'!$AA$36="Leve"),CONCATENATE("R8C",'Mapa final'!$O$36),"")</f>
        <v/>
      </c>
      <c r="N53" s="77" t="str">
        <f>IF(AND('Mapa final'!$Y$37="Muy Baja",'Mapa final'!$AA$37="Leve"),CONCATENATE("R8C",'Mapa final'!$O$37),"")</f>
        <v/>
      </c>
      <c r="O53" s="78" t="str">
        <f>IF(AND('Mapa final'!$Y$38="Muy Baja",'Mapa final'!$AA$38="Leve"),CONCATENATE("R8C",'Mapa final'!$O$38),"")</f>
        <v/>
      </c>
      <c r="P53" s="76" t="str">
        <f>IF(AND('Mapa final'!$Y$33="Muy Baja",'Mapa final'!$AA$33="Menor"),CONCATENATE("R8C",'Mapa final'!$O$33),"")</f>
        <v/>
      </c>
      <c r="Q53" s="77" t="str">
        <f>IF(AND('Mapa final'!$Y$34="Muy Baja",'Mapa final'!$AA$34="Menor"),CONCATENATE("R8C",'Mapa final'!$O$34),"")</f>
        <v/>
      </c>
      <c r="R53" s="77" t="str">
        <f>IF(AND('Mapa final'!$Y$35="Muy Baja",'Mapa final'!$AA$35="Menor"),CONCATENATE("R8C",'Mapa final'!$O$35),"")</f>
        <v/>
      </c>
      <c r="S53" s="77" t="str">
        <f>IF(AND('Mapa final'!$Y$36="Muy Baja",'Mapa final'!$AA$36="Menor"),CONCATENATE("R8C",'Mapa final'!$O$36),"")</f>
        <v/>
      </c>
      <c r="T53" s="77" t="str">
        <f>IF(AND('Mapa final'!$Y$37="Muy Baja",'Mapa final'!$AA$37="Menor"),CONCATENATE("R8C",'Mapa final'!$O$37),"")</f>
        <v/>
      </c>
      <c r="U53" s="78" t="str">
        <f>IF(AND('Mapa final'!$Y$38="Muy Baja",'Mapa final'!$AA$38="Menor"),CONCATENATE("R8C",'Mapa final'!$O$38),"")</f>
        <v/>
      </c>
      <c r="V53" s="67" t="str">
        <f>IF(AND('Mapa final'!$Y$33="Muy Baja",'Mapa final'!$AA$33="Moderado"),CONCATENATE("R8C",'Mapa final'!$O$33),"")</f>
        <v/>
      </c>
      <c r="W53" s="68" t="str">
        <f>IF(AND('Mapa final'!$Y$34="Muy Baja",'Mapa final'!$AA$34="Moderado"),CONCATENATE("R8C",'Mapa final'!$O$34),"")</f>
        <v/>
      </c>
      <c r="X53" s="68" t="str">
        <f>IF(AND('Mapa final'!$Y$35="Muy Baja",'Mapa final'!$AA$35="Moderado"),CONCATENATE("R8C",'Mapa final'!$O$35),"")</f>
        <v/>
      </c>
      <c r="Y53" s="68" t="str">
        <f>IF(AND('Mapa final'!$Y$36="Muy Baja",'Mapa final'!$AA$36="Moderado"),CONCATENATE("R8C",'Mapa final'!$O$36),"")</f>
        <v/>
      </c>
      <c r="Z53" s="68" t="str">
        <f>IF(AND('Mapa final'!$Y$37="Muy Baja",'Mapa final'!$AA$37="Moderado"),CONCATENATE("R8C",'Mapa final'!$O$37),"")</f>
        <v/>
      </c>
      <c r="AA53" s="69" t="str">
        <f>IF(AND('Mapa final'!$Y$38="Muy Baja",'Mapa final'!$AA$38="Moderado"),CONCATENATE("R8C",'Mapa final'!$O$38),"")</f>
        <v/>
      </c>
      <c r="AB53" s="52" t="str">
        <f>IF(AND('Mapa final'!$Y$33="Muy Baja",'Mapa final'!$AA$33="Mayor"),CONCATENATE("R8C",'Mapa final'!$O$33),"")</f>
        <v/>
      </c>
      <c r="AC53" s="53" t="str">
        <f>IF(AND('Mapa final'!$Y$34="Muy Baja",'Mapa final'!$AA$34="Mayor"),CONCATENATE("R8C",'Mapa final'!$O$34),"")</f>
        <v/>
      </c>
      <c r="AD53" s="53" t="str">
        <f>IF(AND('Mapa final'!$Y$35="Muy Baja",'Mapa final'!$AA$35="Mayor"),CONCATENATE("R8C",'Mapa final'!$O$35),"")</f>
        <v/>
      </c>
      <c r="AE53" s="53" t="str">
        <f>IF(AND('Mapa final'!$Y$36="Muy Baja",'Mapa final'!$AA$36="Mayor"),CONCATENATE("R8C",'Mapa final'!$O$36),"")</f>
        <v/>
      </c>
      <c r="AF53" s="53" t="str">
        <f>IF(AND('Mapa final'!$Y$37="Muy Baja",'Mapa final'!$AA$37="Mayor"),CONCATENATE("R8C",'Mapa final'!$O$37),"")</f>
        <v/>
      </c>
      <c r="AG53" s="54" t="str">
        <f>IF(AND('Mapa final'!$Y$38="Muy Baja",'Mapa final'!$AA$38="Mayor"),CONCATENATE("R8C",'Mapa final'!$O$38),"")</f>
        <v/>
      </c>
      <c r="AH53" s="55" t="str">
        <f>IF(AND('Mapa final'!$Y$33="Muy Baja",'Mapa final'!$AA$33="Catastrófico"),CONCATENATE("R8C",'Mapa final'!$O$33),"")</f>
        <v/>
      </c>
      <c r="AI53" s="56" t="str">
        <f>IF(AND('Mapa final'!$Y$34="Muy Baja",'Mapa final'!$AA$34="Catastrófico"),CONCATENATE("R8C",'Mapa final'!$O$34),"")</f>
        <v/>
      </c>
      <c r="AJ53" s="56" t="str">
        <f>IF(AND('Mapa final'!$Y$35="Muy Baja",'Mapa final'!$AA$35="Catastrófico"),CONCATENATE("R8C",'Mapa final'!$O$35),"")</f>
        <v/>
      </c>
      <c r="AK53" s="56" t="str">
        <f>IF(AND('Mapa final'!$Y$36="Muy Baja",'Mapa final'!$AA$36="Catastrófico"),CONCATENATE("R8C",'Mapa final'!$O$36),"")</f>
        <v/>
      </c>
      <c r="AL53" s="56" t="str">
        <f>IF(AND('Mapa final'!$Y$37="Muy Baja",'Mapa final'!$AA$37="Catastrófico"),CONCATENATE("R8C",'Mapa final'!$O$37),"")</f>
        <v/>
      </c>
      <c r="AM53" s="57" t="str">
        <f>IF(AND('Mapa final'!$Y$38="Muy Baja",'Mapa final'!$AA$38="Catastrófico"),CONCATENATE("R8C",'Mapa final'!$O$38),"")</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407"/>
      <c r="C54" s="407"/>
      <c r="D54" s="408"/>
      <c r="E54" s="448"/>
      <c r="F54" s="449"/>
      <c r="G54" s="449"/>
      <c r="H54" s="449"/>
      <c r="I54" s="450"/>
      <c r="J54" s="76" t="str">
        <f>IF(AND('Mapa final'!$Y$39="Muy Baja",'Mapa final'!$AA$39="Leve"),CONCATENATE("R9C",'Mapa final'!$O$39),"")</f>
        <v/>
      </c>
      <c r="K54" s="77" t="str">
        <f>IF(AND('Mapa final'!$Y$40="Muy Baja",'Mapa final'!$AA$40="Leve"),CONCATENATE("R9C",'Mapa final'!$O$40),"")</f>
        <v/>
      </c>
      <c r="L54" s="77" t="str">
        <f>IF(AND('Mapa final'!$Y$41="Muy Baja",'Mapa final'!$AA$41="Leve"),CONCATENATE("R9C",'Mapa final'!$O$41),"")</f>
        <v/>
      </c>
      <c r="M54" s="77" t="str">
        <f>IF(AND('Mapa final'!$Y$42="Muy Baja",'Mapa final'!$AA$42="Leve"),CONCATENATE("R9C",'Mapa final'!$O$42),"")</f>
        <v/>
      </c>
      <c r="N54" s="77" t="str">
        <f>IF(AND('Mapa final'!$Y$43="Muy Baja",'Mapa final'!$AA$43="Leve"),CONCATENATE("R9C",'Mapa final'!$O$43),"")</f>
        <v/>
      </c>
      <c r="O54" s="78" t="str">
        <f>IF(AND('Mapa final'!$Y$44="Muy Baja",'Mapa final'!$AA$44="Leve"),CONCATENATE("R9C",'Mapa final'!$O$44),"")</f>
        <v/>
      </c>
      <c r="P54" s="76" t="str">
        <f>IF(AND('Mapa final'!$Y$39="Muy Baja",'Mapa final'!$AA$39="Menor"),CONCATENATE("R9C",'Mapa final'!$O$39),"")</f>
        <v/>
      </c>
      <c r="Q54" s="77" t="str">
        <f>IF(AND('Mapa final'!$Y$40="Muy Baja",'Mapa final'!$AA$40="Menor"),CONCATENATE("R9C",'Mapa final'!$O$40),"")</f>
        <v/>
      </c>
      <c r="R54" s="77" t="str">
        <f>IF(AND('Mapa final'!$Y$41="Muy Baja",'Mapa final'!$AA$41="Menor"),CONCATENATE("R9C",'Mapa final'!$O$41),"")</f>
        <v/>
      </c>
      <c r="S54" s="77" t="str">
        <f>IF(AND('Mapa final'!$Y$42="Muy Baja",'Mapa final'!$AA$42="Menor"),CONCATENATE("R9C",'Mapa final'!$O$42),"")</f>
        <v/>
      </c>
      <c r="T54" s="77" t="str">
        <f>IF(AND('Mapa final'!$Y$43="Muy Baja",'Mapa final'!$AA$43="Menor"),CONCATENATE("R9C",'Mapa final'!$O$43),"")</f>
        <v/>
      </c>
      <c r="U54" s="78" t="str">
        <f>IF(AND('Mapa final'!$Y$44="Muy Baja",'Mapa final'!$AA$44="Menor"),CONCATENATE("R9C",'Mapa final'!$O$44),"")</f>
        <v/>
      </c>
      <c r="V54" s="67" t="str">
        <f>IF(AND('Mapa final'!$Y$39="Muy Baja",'Mapa final'!$AA$39="Moderado"),CONCATENATE("R9C",'Mapa final'!$O$39),"")</f>
        <v/>
      </c>
      <c r="W54" s="68" t="str">
        <f>IF(AND('Mapa final'!$Y$40="Muy Baja",'Mapa final'!$AA$40="Moderado"),CONCATENATE("R9C",'Mapa final'!$O$40),"")</f>
        <v/>
      </c>
      <c r="X54" s="68" t="str">
        <f>IF(AND('Mapa final'!$Y$41="Muy Baja",'Mapa final'!$AA$41="Moderado"),CONCATENATE("R9C",'Mapa final'!$O$41),"")</f>
        <v/>
      </c>
      <c r="Y54" s="68" t="str">
        <f>IF(AND('Mapa final'!$Y$42="Muy Baja",'Mapa final'!$AA$42="Moderado"),CONCATENATE("R9C",'Mapa final'!$O$42),"")</f>
        <v/>
      </c>
      <c r="Z54" s="68" t="str">
        <f>IF(AND('Mapa final'!$Y$43="Muy Baja",'Mapa final'!$AA$43="Moderado"),CONCATENATE("R9C",'Mapa final'!$O$43),"")</f>
        <v/>
      </c>
      <c r="AA54" s="69" t="str">
        <f>IF(AND('Mapa final'!$Y$44="Muy Baja",'Mapa final'!$AA$44="Moderado"),CONCATENATE("R9C",'Mapa final'!$O$44),"")</f>
        <v/>
      </c>
      <c r="AB54" s="52" t="str">
        <f>IF(AND('Mapa final'!$Y$39="Muy Baja",'Mapa final'!$AA$39="Mayor"),CONCATENATE("R9C",'Mapa final'!$O$39),"")</f>
        <v/>
      </c>
      <c r="AC54" s="53" t="str">
        <f>IF(AND('Mapa final'!$Y$40="Muy Baja",'Mapa final'!$AA$40="Mayor"),CONCATENATE("R9C",'Mapa final'!$O$40),"")</f>
        <v/>
      </c>
      <c r="AD54" s="53" t="str">
        <f>IF(AND('Mapa final'!$Y$41="Muy Baja",'Mapa final'!$AA$41="Mayor"),CONCATENATE("R9C",'Mapa final'!$O$41),"")</f>
        <v/>
      </c>
      <c r="AE54" s="53" t="str">
        <f>IF(AND('Mapa final'!$Y$42="Muy Baja",'Mapa final'!$AA$42="Mayor"),CONCATENATE("R9C",'Mapa final'!$O$42),"")</f>
        <v/>
      </c>
      <c r="AF54" s="53" t="str">
        <f>IF(AND('Mapa final'!$Y$43="Muy Baja",'Mapa final'!$AA$43="Mayor"),CONCATENATE("R9C",'Mapa final'!$O$43),"")</f>
        <v/>
      </c>
      <c r="AG54" s="54" t="str">
        <f>IF(AND('Mapa final'!$Y$44="Muy Baja",'Mapa final'!$AA$44="Mayor"),CONCATENATE("R9C",'Mapa final'!$O$44),"")</f>
        <v/>
      </c>
      <c r="AH54" s="55" t="str">
        <f>IF(AND('Mapa final'!$Y$39="Muy Baja",'Mapa final'!$AA$39="Catastrófico"),CONCATENATE("R9C",'Mapa final'!$O$39),"")</f>
        <v/>
      </c>
      <c r="AI54" s="56" t="str">
        <f>IF(AND('Mapa final'!$Y$40="Muy Baja",'Mapa final'!$AA$40="Catastrófico"),CONCATENATE("R9C",'Mapa final'!$O$40),"")</f>
        <v/>
      </c>
      <c r="AJ54" s="56" t="str">
        <f>IF(AND('Mapa final'!$Y$41="Muy Baja",'Mapa final'!$AA$41="Catastrófico"),CONCATENATE("R9C",'Mapa final'!$O$41),"")</f>
        <v/>
      </c>
      <c r="AK54" s="56" t="str">
        <f>IF(AND('Mapa final'!$Y$42="Muy Baja",'Mapa final'!$AA$42="Catastrófico"),CONCATENATE("R9C",'Mapa final'!$O$42),"")</f>
        <v/>
      </c>
      <c r="AL54" s="56" t="str">
        <f>IF(AND('Mapa final'!$Y$43="Muy Baja",'Mapa final'!$AA$43="Catastrófico"),CONCATENATE("R9C",'Mapa final'!$O$43),"")</f>
        <v/>
      </c>
      <c r="AM54" s="57" t="str">
        <f>IF(AND('Mapa final'!$Y$44="Muy Baja",'Mapa final'!$AA$44="Catastrófico"),CONCATENATE("R9C",'Mapa final'!$O$44),"")</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407"/>
      <c r="C55" s="407"/>
      <c r="D55" s="408"/>
      <c r="E55" s="451"/>
      <c r="F55" s="452"/>
      <c r="G55" s="452"/>
      <c r="H55" s="452"/>
      <c r="I55" s="453"/>
      <c r="J55" s="79" t="str">
        <f>IF(AND('Mapa final'!$Y$45="Muy Baja",'Mapa final'!$AA$45="Leve"),CONCATENATE("R10C",'Mapa final'!$O$45),"")</f>
        <v/>
      </c>
      <c r="K55" s="80" t="str">
        <f>IF(AND('Mapa final'!$Y$46="Muy Baja",'Mapa final'!$AA$46="Leve"),CONCATENATE("R10C",'Mapa final'!$O$46),"")</f>
        <v/>
      </c>
      <c r="L55" s="80" t="str">
        <f>IF(AND('Mapa final'!$Y$47="Muy Baja",'Mapa final'!$AA$47="Leve"),CONCATENATE("R10C",'Mapa final'!$O$47),"")</f>
        <v/>
      </c>
      <c r="M55" s="80" t="str">
        <f>IF(AND('Mapa final'!$Y$48="Muy Baja",'Mapa final'!$AA$48="Leve"),CONCATENATE("R10C",'Mapa final'!$O$48),"")</f>
        <v/>
      </c>
      <c r="N55" s="80" t="str">
        <f>IF(AND('Mapa final'!$Y$49="Muy Baja",'Mapa final'!$AA$49="Leve"),CONCATENATE("R10C",'Mapa final'!$O$49),"")</f>
        <v/>
      </c>
      <c r="O55" s="81" t="str">
        <f>IF(AND('Mapa final'!$Y$50="Muy Baja",'Mapa final'!$AA$50="Leve"),CONCATENATE("R10C",'Mapa final'!$O$50),"")</f>
        <v/>
      </c>
      <c r="P55" s="79" t="str">
        <f>IF(AND('Mapa final'!$Y$45="Muy Baja",'Mapa final'!$AA$45="Menor"),CONCATENATE("R10C",'Mapa final'!$O$45),"")</f>
        <v/>
      </c>
      <c r="Q55" s="80" t="str">
        <f>IF(AND('Mapa final'!$Y$46="Muy Baja",'Mapa final'!$AA$46="Menor"),CONCATENATE("R10C",'Mapa final'!$O$46),"")</f>
        <v/>
      </c>
      <c r="R55" s="80" t="str">
        <f>IF(AND('Mapa final'!$Y$47="Muy Baja",'Mapa final'!$AA$47="Menor"),CONCATENATE("R10C",'Mapa final'!$O$47),"")</f>
        <v/>
      </c>
      <c r="S55" s="80" t="str">
        <f>IF(AND('Mapa final'!$Y$48="Muy Baja",'Mapa final'!$AA$48="Menor"),CONCATENATE("R10C",'Mapa final'!$O$48),"")</f>
        <v/>
      </c>
      <c r="T55" s="80" t="str">
        <f>IF(AND('Mapa final'!$Y$49="Muy Baja",'Mapa final'!$AA$49="Menor"),CONCATENATE("R10C",'Mapa final'!$O$49),"")</f>
        <v/>
      </c>
      <c r="U55" s="81" t="str">
        <f>IF(AND('Mapa final'!$Y$50="Muy Baja",'Mapa final'!$AA$50="Menor"),CONCATENATE("R10C",'Mapa final'!$O$50),"")</f>
        <v/>
      </c>
      <c r="V55" s="70" t="str">
        <f>IF(AND('Mapa final'!$Y$45="Muy Baja",'Mapa final'!$AA$45="Moderado"),CONCATENATE("R10C",'Mapa final'!$O$45),"")</f>
        <v/>
      </c>
      <c r="W55" s="71" t="str">
        <f>IF(AND('Mapa final'!$Y$46="Muy Baja",'Mapa final'!$AA$46="Moderado"),CONCATENATE("R10C",'Mapa final'!$O$46),"")</f>
        <v/>
      </c>
      <c r="X55" s="71" t="str">
        <f>IF(AND('Mapa final'!$Y$47="Muy Baja",'Mapa final'!$AA$47="Moderado"),CONCATENATE("R10C",'Mapa final'!$O$47),"")</f>
        <v/>
      </c>
      <c r="Y55" s="71" t="str">
        <f>IF(AND('Mapa final'!$Y$48="Muy Baja",'Mapa final'!$AA$48="Moderado"),CONCATENATE("R10C",'Mapa final'!$O$48),"")</f>
        <v/>
      </c>
      <c r="Z55" s="71" t="str">
        <f>IF(AND('Mapa final'!$Y$49="Muy Baja",'Mapa final'!$AA$49="Moderado"),CONCATENATE("R10C",'Mapa final'!$O$49),"")</f>
        <v/>
      </c>
      <c r="AA55" s="72" t="str">
        <f>IF(AND('Mapa final'!$Y$50="Muy Baja",'Mapa final'!$AA$50="Moderado"),CONCATENATE("R10C",'Mapa final'!$O$50),"")</f>
        <v/>
      </c>
      <c r="AB55" s="58" t="str">
        <f>IF(AND('Mapa final'!$Y$45="Muy Baja",'Mapa final'!$AA$45="Mayor"),CONCATENATE("R10C",'Mapa final'!$O$45),"")</f>
        <v/>
      </c>
      <c r="AC55" s="59" t="str">
        <f>IF(AND('Mapa final'!$Y$46="Muy Baja",'Mapa final'!$AA$46="Mayor"),CONCATENATE("R10C",'Mapa final'!$O$46),"")</f>
        <v/>
      </c>
      <c r="AD55" s="59" t="str">
        <f>IF(AND('Mapa final'!$Y$47="Muy Baja",'Mapa final'!$AA$47="Mayor"),CONCATENATE("R10C",'Mapa final'!$O$47),"")</f>
        <v/>
      </c>
      <c r="AE55" s="59" t="str">
        <f>IF(AND('Mapa final'!$Y$48="Muy Baja",'Mapa final'!$AA$48="Mayor"),CONCATENATE("R10C",'Mapa final'!$O$48),"")</f>
        <v/>
      </c>
      <c r="AF55" s="59" t="str">
        <f>IF(AND('Mapa final'!$Y$49="Muy Baja",'Mapa final'!$AA$49="Mayor"),CONCATENATE("R10C",'Mapa final'!$O$49),"")</f>
        <v/>
      </c>
      <c r="AG55" s="60" t="str">
        <f>IF(AND('Mapa final'!$Y$50="Muy Baja",'Mapa final'!$AA$50="Mayor"),CONCATENATE("R10C",'Mapa final'!$O$50),"")</f>
        <v/>
      </c>
      <c r="AH55" s="61" t="str">
        <f>IF(AND('Mapa final'!$Y$45="Muy Baja",'Mapa final'!$AA$45="Catastrófico"),CONCATENATE("R10C",'Mapa final'!$O$45),"")</f>
        <v/>
      </c>
      <c r="AI55" s="62" t="str">
        <f>IF(AND('Mapa final'!$Y$46="Muy Baja",'Mapa final'!$AA$46="Catastrófico"),CONCATENATE("R10C",'Mapa final'!$O$46),"")</f>
        <v/>
      </c>
      <c r="AJ55" s="62" t="str">
        <f>IF(AND('Mapa final'!$Y$47="Muy Baja",'Mapa final'!$AA$47="Catastrófico"),CONCATENATE("R10C",'Mapa final'!$O$47),"")</f>
        <v/>
      </c>
      <c r="AK55" s="62" t="str">
        <f>IF(AND('Mapa final'!$Y$48="Muy Baja",'Mapa final'!$AA$48="Catastrófico"),CONCATENATE("R10C",'Mapa final'!$O$48),"")</f>
        <v/>
      </c>
      <c r="AL55" s="62" t="str">
        <f>IF(AND('Mapa final'!$Y$49="Muy Baja",'Mapa final'!$AA$49="Catastrófico"),CONCATENATE("R10C",'Mapa final'!$O$49),"")</f>
        <v/>
      </c>
      <c r="AM55" s="63" t="str">
        <f>IF(AND('Mapa final'!$Y$50="Muy Baja",'Mapa final'!$AA$50="Catastrófico"),CONCATENATE("R10C",'Mapa final'!$O$50),"")</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445" t="s">
        <v>101</v>
      </c>
      <c r="K56" s="446"/>
      <c r="L56" s="446"/>
      <c r="M56" s="446"/>
      <c r="N56" s="446"/>
      <c r="O56" s="447"/>
      <c r="P56" s="445" t="s">
        <v>102</v>
      </c>
      <c r="Q56" s="446"/>
      <c r="R56" s="446"/>
      <c r="S56" s="446"/>
      <c r="T56" s="446"/>
      <c r="U56" s="447"/>
      <c r="V56" s="445" t="s">
        <v>103</v>
      </c>
      <c r="W56" s="446"/>
      <c r="X56" s="446"/>
      <c r="Y56" s="446"/>
      <c r="Z56" s="446"/>
      <c r="AA56" s="447"/>
      <c r="AB56" s="445" t="s">
        <v>104</v>
      </c>
      <c r="AC56" s="454"/>
      <c r="AD56" s="446"/>
      <c r="AE56" s="446"/>
      <c r="AF56" s="446"/>
      <c r="AG56" s="447"/>
      <c r="AH56" s="445" t="s">
        <v>105</v>
      </c>
      <c r="AI56" s="446"/>
      <c r="AJ56" s="446"/>
      <c r="AK56" s="446"/>
      <c r="AL56" s="446"/>
      <c r="AM56" s="447"/>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448"/>
      <c r="K57" s="449"/>
      <c r="L57" s="449"/>
      <c r="M57" s="449"/>
      <c r="N57" s="449"/>
      <c r="O57" s="450"/>
      <c r="P57" s="448"/>
      <c r="Q57" s="449"/>
      <c r="R57" s="449"/>
      <c r="S57" s="449"/>
      <c r="T57" s="449"/>
      <c r="U57" s="450"/>
      <c r="V57" s="448"/>
      <c r="W57" s="449"/>
      <c r="X57" s="449"/>
      <c r="Y57" s="449"/>
      <c r="Z57" s="449"/>
      <c r="AA57" s="450"/>
      <c r="AB57" s="448"/>
      <c r="AC57" s="449"/>
      <c r="AD57" s="449"/>
      <c r="AE57" s="449"/>
      <c r="AF57" s="449"/>
      <c r="AG57" s="450"/>
      <c r="AH57" s="448"/>
      <c r="AI57" s="449"/>
      <c r="AJ57" s="449"/>
      <c r="AK57" s="449"/>
      <c r="AL57" s="449"/>
      <c r="AM57" s="450"/>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448"/>
      <c r="K58" s="449"/>
      <c r="L58" s="449"/>
      <c r="M58" s="449"/>
      <c r="N58" s="449"/>
      <c r="O58" s="450"/>
      <c r="P58" s="448"/>
      <c r="Q58" s="449"/>
      <c r="R58" s="449"/>
      <c r="S58" s="449"/>
      <c r="T58" s="449"/>
      <c r="U58" s="450"/>
      <c r="V58" s="448"/>
      <c r="W58" s="449"/>
      <c r="X58" s="449"/>
      <c r="Y58" s="449"/>
      <c r="Z58" s="449"/>
      <c r="AA58" s="450"/>
      <c r="AB58" s="448"/>
      <c r="AC58" s="449"/>
      <c r="AD58" s="449"/>
      <c r="AE58" s="449"/>
      <c r="AF58" s="449"/>
      <c r="AG58" s="450"/>
      <c r="AH58" s="448"/>
      <c r="AI58" s="449"/>
      <c r="AJ58" s="449"/>
      <c r="AK58" s="449"/>
      <c r="AL58" s="449"/>
      <c r="AM58" s="450"/>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448"/>
      <c r="K59" s="449"/>
      <c r="L59" s="449"/>
      <c r="M59" s="449"/>
      <c r="N59" s="449"/>
      <c r="O59" s="450"/>
      <c r="P59" s="448"/>
      <c r="Q59" s="449"/>
      <c r="R59" s="449"/>
      <c r="S59" s="449"/>
      <c r="T59" s="449"/>
      <c r="U59" s="450"/>
      <c r="V59" s="448"/>
      <c r="W59" s="449"/>
      <c r="X59" s="449"/>
      <c r="Y59" s="449"/>
      <c r="Z59" s="449"/>
      <c r="AA59" s="450"/>
      <c r="AB59" s="448"/>
      <c r="AC59" s="449"/>
      <c r="AD59" s="449"/>
      <c r="AE59" s="449"/>
      <c r="AF59" s="449"/>
      <c r="AG59" s="450"/>
      <c r="AH59" s="448"/>
      <c r="AI59" s="449"/>
      <c r="AJ59" s="449"/>
      <c r="AK59" s="449"/>
      <c r="AL59" s="449"/>
      <c r="AM59" s="450"/>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448"/>
      <c r="K60" s="449"/>
      <c r="L60" s="449"/>
      <c r="M60" s="449"/>
      <c r="N60" s="449"/>
      <c r="O60" s="450"/>
      <c r="P60" s="448"/>
      <c r="Q60" s="449"/>
      <c r="R60" s="449"/>
      <c r="S60" s="449"/>
      <c r="T60" s="449"/>
      <c r="U60" s="450"/>
      <c r="V60" s="448"/>
      <c r="W60" s="449"/>
      <c r="X60" s="449"/>
      <c r="Y60" s="449"/>
      <c r="Z60" s="449"/>
      <c r="AA60" s="450"/>
      <c r="AB60" s="448"/>
      <c r="AC60" s="449"/>
      <c r="AD60" s="449"/>
      <c r="AE60" s="449"/>
      <c r="AF60" s="449"/>
      <c r="AG60" s="450"/>
      <c r="AH60" s="448"/>
      <c r="AI60" s="449"/>
      <c r="AJ60" s="449"/>
      <c r="AK60" s="449"/>
      <c r="AL60" s="449"/>
      <c r="AM60" s="450"/>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451"/>
      <c r="K61" s="452"/>
      <c r="L61" s="452"/>
      <c r="M61" s="452"/>
      <c r="N61" s="452"/>
      <c r="O61" s="453"/>
      <c r="P61" s="451"/>
      <c r="Q61" s="452"/>
      <c r="R61" s="452"/>
      <c r="S61" s="452"/>
      <c r="T61" s="452"/>
      <c r="U61" s="453"/>
      <c r="V61" s="451"/>
      <c r="W61" s="452"/>
      <c r="X61" s="452"/>
      <c r="Y61" s="452"/>
      <c r="Z61" s="452"/>
      <c r="AA61" s="453"/>
      <c r="AB61" s="451"/>
      <c r="AC61" s="452"/>
      <c r="AD61" s="452"/>
      <c r="AE61" s="452"/>
      <c r="AF61" s="452"/>
      <c r="AG61" s="453"/>
      <c r="AH61" s="451"/>
      <c r="AI61" s="452"/>
      <c r="AJ61" s="452"/>
      <c r="AK61" s="452"/>
      <c r="AL61" s="452"/>
      <c r="AM61" s="45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3"/>
      <c r="AV63" s="83"/>
      <c r="AW63" s="83"/>
      <c r="AX63" s="83"/>
      <c r="AY63" s="83"/>
      <c r="AZ63" s="83"/>
      <c r="BA63" s="83"/>
      <c r="BB63" s="83"/>
      <c r="BC63" s="83"/>
      <c r="BD63" s="83"/>
      <c r="BE63" s="83"/>
      <c r="BF63" s="83"/>
      <c r="BG63" s="83"/>
      <c r="BH63" s="83"/>
    </row>
    <row r="64" spans="1:80" ht="15" customHeight="1" x14ac:dyDescent="0.25">
      <c r="A64" s="83"/>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K55"/>
  <sheetViews>
    <sheetView zoomScale="90" zoomScaleNormal="90" workbookViewId="0">
      <selection activeCell="C8" sqref="C8"/>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494" t="s">
        <v>107</v>
      </c>
      <c r="C1" s="494"/>
      <c r="D1" s="494"/>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108</v>
      </c>
      <c r="D3" s="12" t="s">
        <v>91</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109</v>
      </c>
      <c r="C4" s="14" t="s">
        <v>110</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111</v>
      </c>
      <c r="C5" s="17" t="s">
        <v>112</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113</v>
      </c>
      <c r="C6" s="17" t="s">
        <v>114</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115</v>
      </c>
      <c r="C7" s="17" t="s">
        <v>116</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117</v>
      </c>
      <c r="C8" s="17" t="s">
        <v>118</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7"/>
      <c r="C9" s="107"/>
      <c r="D9" s="107"/>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8"/>
      <c r="C10" s="107"/>
      <c r="D10" s="107"/>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7"/>
      <c r="C11" s="107"/>
      <c r="D11" s="107"/>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7"/>
      <c r="C12" s="107"/>
      <c r="D12" s="107"/>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7"/>
      <c r="C13" s="107"/>
      <c r="D13" s="107"/>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7"/>
      <c r="C14" s="107"/>
      <c r="D14" s="107"/>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7"/>
      <c r="C15" s="107"/>
      <c r="D15" s="107"/>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7"/>
      <c r="C16" s="107"/>
      <c r="D16" s="107"/>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7"/>
      <c r="C17" s="107"/>
      <c r="D17" s="107"/>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7"/>
      <c r="C18" s="107"/>
      <c r="D18" s="107"/>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U232"/>
  <sheetViews>
    <sheetView zoomScale="60" zoomScaleNormal="60" workbookViewId="0">
      <selection activeCell="E4" sqref="D4:E4"/>
    </sheetView>
  </sheetViews>
  <sheetFormatPr baseColWidth="10" defaultColWidth="11.42578125" defaultRowHeight="15" x14ac:dyDescent="0.25"/>
  <cols>
    <col min="1" max="1" width="5.42578125" customWidth="1"/>
    <col min="2" max="2" width="40.42578125" customWidth="1"/>
    <col min="3" max="3" width="69.5703125" customWidth="1"/>
    <col min="4" max="4" width="135" bestFit="1" customWidth="1"/>
    <col min="5" max="5" width="56.140625" customWidth="1"/>
  </cols>
  <sheetData>
    <row r="1" spans="1:21" ht="33.75" x14ac:dyDescent="0.25">
      <c r="A1" s="83"/>
      <c r="B1" s="495" t="s">
        <v>119</v>
      </c>
      <c r="C1" s="495"/>
      <c r="D1" s="495"/>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60" x14ac:dyDescent="0.25">
      <c r="A3" s="83"/>
      <c r="B3" s="104"/>
      <c r="C3" s="36" t="s">
        <v>120</v>
      </c>
      <c r="D3" s="36" t="s">
        <v>121</v>
      </c>
      <c r="E3" s="36" t="s">
        <v>236</v>
      </c>
      <c r="F3" s="83"/>
      <c r="G3" s="83"/>
      <c r="H3" s="83"/>
      <c r="I3" s="83"/>
      <c r="J3" s="83"/>
      <c r="K3" s="83"/>
      <c r="L3" s="83"/>
      <c r="M3" s="83"/>
      <c r="N3" s="83"/>
      <c r="O3" s="83"/>
      <c r="P3" s="83"/>
      <c r="Q3" s="83"/>
      <c r="R3" s="83"/>
      <c r="S3" s="83"/>
      <c r="T3" s="83"/>
      <c r="U3" s="83"/>
    </row>
    <row r="4" spans="1:21" ht="33.75" x14ac:dyDescent="0.25">
      <c r="A4" s="103" t="s">
        <v>122</v>
      </c>
      <c r="B4" s="39" t="s">
        <v>123</v>
      </c>
      <c r="C4" s="44" t="s">
        <v>124</v>
      </c>
      <c r="D4" s="37" t="s">
        <v>125</v>
      </c>
      <c r="E4" s="37" t="s">
        <v>237</v>
      </c>
      <c r="F4" s="83"/>
      <c r="G4" s="83"/>
      <c r="H4" s="83"/>
      <c r="I4" s="83"/>
      <c r="J4" s="83"/>
      <c r="K4" s="83"/>
      <c r="L4" s="83"/>
      <c r="M4" s="83"/>
      <c r="N4" s="83"/>
      <c r="O4" s="83"/>
      <c r="P4" s="83"/>
      <c r="Q4" s="83"/>
      <c r="R4" s="83"/>
      <c r="S4" s="83"/>
      <c r="T4" s="83"/>
      <c r="U4" s="83"/>
    </row>
    <row r="5" spans="1:21" ht="67.5" x14ac:dyDescent="0.25">
      <c r="A5" s="103" t="s">
        <v>126</v>
      </c>
      <c r="B5" s="40" t="s">
        <v>127</v>
      </c>
      <c r="C5" s="45" t="s">
        <v>128</v>
      </c>
      <c r="D5" s="38" t="s">
        <v>241</v>
      </c>
      <c r="E5" s="38" t="s">
        <v>238</v>
      </c>
      <c r="F5" s="83"/>
      <c r="G5" s="83"/>
      <c r="H5" s="83"/>
      <c r="I5" s="83"/>
      <c r="J5" s="83"/>
      <c r="K5" s="83"/>
      <c r="L5" s="83"/>
      <c r="M5" s="83"/>
      <c r="N5" s="83"/>
      <c r="O5" s="83"/>
      <c r="P5" s="83"/>
      <c r="Q5" s="83"/>
      <c r="R5" s="83"/>
      <c r="S5" s="83"/>
      <c r="T5" s="83"/>
      <c r="U5" s="83"/>
    </row>
    <row r="6" spans="1:21" ht="67.5" x14ac:dyDescent="0.25">
      <c r="A6" s="103" t="s">
        <v>97</v>
      </c>
      <c r="B6" s="41" t="s">
        <v>130</v>
      </c>
      <c r="C6" s="45" t="s">
        <v>131</v>
      </c>
      <c r="D6" s="38" t="s">
        <v>132</v>
      </c>
      <c r="E6" s="38" t="s">
        <v>239</v>
      </c>
      <c r="F6" s="83"/>
      <c r="G6" s="83"/>
      <c r="H6" s="83"/>
      <c r="I6" s="83"/>
      <c r="J6" s="83"/>
      <c r="K6" s="83"/>
      <c r="L6" s="83"/>
      <c r="M6" s="83"/>
      <c r="N6" s="83"/>
      <c r="O6" s="83"/>
      <c r="P6" s="83"/>
      <c r="Q6" s="83"/>
      <c r="R6" s="83"/>
      <c r="S6" s="83"/>
      <c r="T6" s="83"/>
      <c r="U6" s="83"/>
    </row>
    <row r="7" spans="1:21" ht="101.25" x14ac:dyDescent="0.25">
      <c r="A7" s="103" t="s">
        <v>133</v>
      </c>
      <c r="B7" s="42" t="s">
        <v>134</v>
      </c>
      <c r="C7" s="45" t="s">
        <v>135</v>
      </c>
      <c r="D7" s="38" t="s">
        <v>136</v>
      </c>
      <c r="E7" s="38" t="s">
        <v>240</v>
      </c>
      <c r="F7" s="83"/>
      <c r="G7" s="83"/>
      <c r="H7" s="83"/>
      <c r="I7" s="83"/>
      <c r="J7" s="83"/>
      <c r="K7" s="83"/>
      <c r="L7" s="83"/>
      <c r="M7" s="83"/>
      <c r="N7" s="83"/>
      <c r="O7" s="83"/>
      <c r="P7" s="83"/>
      <c r="Q7" s="83"/>
      <c r="R7" s="83"/>
      <c r="S7" s="83"/>
      <c r="T7" s="83"/>
      <c r="U7" s="83"/>
    </row>
    <row r="8" spans="1:21" ht="67.5" x14ac:dyDescent="0.25">
      <c r="A8" s="103" t="s">
        <v>137</v>
      </c>
      <c r="B8" s="43" t="s">
        <v>138</v>
      </c>
      <c r="C8" s="45" t="s">
        <v>139</v>
      </c>
      <c r="D8" s="38" t="s">
        <v>140</v>
      </c>
      <c r="E8" s="38" t="s">
        <v>242</v>
      </c>
      <c r="F8" s="83"/>
      <c r="G8" s="83"/>
      <c r="H8" s="83"/>
      <c r="I8" s="83"/>
      <c r="J8" s="83"/>
      <c r="K8" s="83"/>
      <c r="L8" s="83"/>
      <c r="M8" s="83"/>
      <c r="N8" s="83"/>
      <c r="O8" s="83"/>
      <c r="P8" s="83"/>
      <c r="Q8" s="83"/>
      <c r="R8" s="83"/>
      <c r="S8" s="83"/>
      <c r="T8" s="83"/>
      <c r="U8" s="83"/>
    </row>
    <row r="9" spans="1:21" ht="20.25" x14ac:dyDescent="0.25">
      <c r="A9" s="103"/>
      <c r="B9" s="103"/>
      <c r="C9" s="105"/>
      <c r="D9" s="105"/>
      <c r="E9" s="83"/>
      <c r="F9" s="83"/>
      <c r="G9" s="83"/>
      <c r="H9" s="83"/>
      <c r="I9" s="83"/>
      <c r="J9" s="83"/>
      <c r="K9" s="83"/>
      <c r="L9" s="83"/>
      <c r="M9" s="83"/>
      <c r="N9" s="83"/>
      <c r="O9" s="83"/>
      <c r="P9" s="83"/>
      <c r="Q9" s="83"/>
      <c r="R9" s="83"/>
      <c r="S9" s="83"/>
      <c r="T9" s="83"/>
      <c r="U9" s="83"/>
    </row>
    <row r="10" spans="1:21" ht="16.5" x14ac:dyDescent="0.25">
      <c r="A10" s="103"/>
      <c r="B10" s="106"/>
      <c r="C10" s="106"/>
      <c r="D10" s="106"/>
      <c r="E10" s="83"/>
      <c r="F10" s="83"/>
      <c r="G10" s="83"/>
      <c r="H10" s="83"/>
      <c r="I10" s="83"/>
      <c r="J10" s="83"/>
      <c r="K10" s="83"/>
      <c r="L10" s="83"/>
      <c r="M10" s="83"/>
      <c r="N10" s="83"/>
      <c r="O10" s="83"/>
      <c r="P10" s="83"/>
      <c r="Q10" s="83"/>
      <c r="R10" s="83"/>
      <c r="S10" s="83"/>
      <c r="T10" s="83"/>
      <c r="U10" s="83"/>
    </row>
    <row r="11" spans="1:21" x14ac:dyDescent="0.25">
      <c r="A11" s="103"/>
      <c r="B11" s="103" t="s">
        <v>141</v>
      </c>
      <c r="C11" s="103" t="s">
        <v>142</v>
      </c>
      <c r="D11" s="103" t="s">
        <v>143</v>
      </c>
      <c r="E11" s="83"/>
      <c r="F11" s="83"/>
      <c r="G11" s="83"/>
      <c r="H11" s="83"/>
      <c r="I11" s="83"/>
      <c r="J11" s="83"/>
      <c r="K11" s="83"/>
      <c r="L11" s="83"/>
      <c r="M11" s="83"/>
      <c r="N11" s="83"/>
      <c r="O11" s="83"/>
      <c r="P11" s="83"/>
      <c r="Q11" s="83"/>
      <c r="R11" s="83"/>
      <c r="S11" s="83"/>
      <c r="T11" s="83"/>
      <c r="U11" s="83"/>
    </row>
    <row r="12" spans="1:21" x14ac:dyDescent="0.25">
      <c r="A12" s="103"/>
      <c r="B12" s="103" t="s">
        <v>144</v>
      </c>
      <c r="C12" s="103" t="s">
        <v>145</v>
      </c>
      <c r="D12" s="103" t="s">
        <v>146</v>
      </c>
      <c r="E12" s="83"/>
      <c r="F12" s="83"/>
      <c r="G12" s="83"/>
      <c r="H12" s="83"/>
      <c r="I12" s="83"/>
      <c r="J12" s="83"/>
      <c r="K12" s="83"/>
      <c r="L12" s="83"/>
      <c r="M12" s="83"/>
      <c r="N12" s="83"/>
      <c r="O12" s="83"/>
      <c r="P12" s="83"/>
      <c r="Q12" s="83"/>
      <c r="R12" s="83"/>
      <c r="S12" s="83"/>
      <c r="T12" s="83"/>
      <c r="U12" s="83"/>
    </row>
    <row r="13" spans="1:21" x14ac:dyDescent="0.25">
      <c r="A13" s="103"/>
      <c r="B13" s="103"/>
      <c r="C13" s="103" t="s">
        <v>147</v>
      </c>
      <c r="D13" s="103" t="s">
        <v>148</v>
      </c>
      <c r="E13" s="83"/>
      <c r="F13" s="83"/>
      <c r="G13" s="83"/>
      <c r="H13" s="83"/>
      <c r="I13" s="83"/>
      <c r="J13" s="83"/>
      <c r="K13" s="83"/>
      <c r="L13" s="83"/>
      <c r="M13" s="83"/>
      <c r="N13" s="83"/>
      <c r="O13" s="83"/>
      <c r="P13" s="83"/>
      <c r="Q13" s="83"/>
      <c r="R13" s="83"/>
      <c r="S13" s="83"/>
      <c r="T13" s="83"/>
      <c r="U13" s="83"/>
    </row>
    <row r="14" spans="1:21" x14ac:dyDescent="0.25">
      <c r="A14" s="103"/>
      <c r="B14" s="103"/>
      <c r="C14" s="103" t="s">
        <v>149</v>
      </c>
      <c r="D14" s="103" t="s">
        <v>150</v>
      </c>
      <c r="E14" s="83"/>
      <c r="F14" s="83"/>
      <c r="G14" s="83"/>
      <c r="H14" s="83"/>
      <c r="I14" s="83"/>
      <c r="J14" s="83"/>
      <c r="K14" s="83"/>
      <c r="L14" s="83"/>
      <c r="M14" s="83"/>
      <c r="N14" s="83"/>
      <c r="O14" s="83"/>
      <c r="P14" s="83"/>
      <c r="Q14" s="83"/>
      <c r="R14" s="83"/>
      <c r="S14" s="83"/>
      <c r="T14" s="83"/>
      <c r="U14" s="83"/>
    </row>
    <row r="15" spans="1:21" x14ac:dyDescent="0.25">
      <c r="A15" s="103"/>
      <c r="B15" s="103"/>
      <c r="C15" s="103" t="s">
        <v>151</v>
      </c>
      <c r="D15" s="103" t="s">
        <v>152</v>
      </c>
      <c r="E15" s="83"/>
      <c r="F15" s="83"/>
      <c r="G15" s="83"/>
      <c r="H15" s="83"/>
      <c r="I15" s="83"/>
      <c r="J15" s="83"/>
      <c r="K15" s="83"/>
      <c r="L15" s="83"/>
      <c r="M15" s="83"/>
      <c r="N15" s="83"/>
      <c r="O15" s="83"/>
      <c r="P15" s="83"/>
      <c r="Q15" s="83"/>
      <c r="R15" s="83"/>
      <c r="S15" s="83"/>
      <c r="T15" s="83"/>
      <c r="U15" s="83"/>
    </row>
    <row r="16" spans="1:21" x14ac:dyDescent="0.25">
      <c r="A16" s="103"/>
      <c r="B16" s="103"/>
      <c r="C16" s="103"/>
      <c r="D16" s="103"/>
      <c r="E16" s="83"/>
      <c r="F16" s="83"/>
      <c r="G16" s="83"/>
      <c r="H16" s="83"/>
      <c r="I16" s="83"/>
      <c r="J16" s="83"/>
      <c r="K16" s="83"/>
      <c r="L16" s="83"/>
      <c r="M16" s="83"/>
      <c r="N16" s="83"/>
      <c r="O16" s="83"/>
    </row>
    <row r="17" spans="1:15" x14ac:dyDescent="0.25">
      <c r="A17" s="103"/>
      <c r="B17" s="103"/>
      <c r="C17" s="103"/>
      <c r="D17" s="103"/>
      <c r="E17" s="83"/>
      <c r="F17" s="83"/>
      <c r="G17" s="83"/>
      <c r="H17" s="83"/>
      <c r="I17" s="83"/>
      <c r="J17" s="83"/>
      <c r="K17" s="83"/>
      <c r="L17" s="83"/>
      <c r="M17" s="83"/>
      <c r="N17" s="83"/>
      <c r="O17" s="83"/>
    </row>
    <row r="18" spans="1:15" x14ac:dyDescent="0.25">
      <c r="A18" s="103"/>
      <c r="B18" s="107"/>
      <c r="C18" s="107"/>
      <c r="D18" s="107"/>
      <c r="E18" s="83"/>
      <c r="F18" s="83"/>
      <c r="G18" s="83"/>
      <c r="H18" s="83"/>
      <c r="I18" s="83"/>
      <c r="J18" s="83"/>
      <c r="K18" s="83"/>
      <c r="L18" s="83"/>
      <c r="M18" s="83"/>
      <c r="N18" s="83"/>
      <c r="O18" s="83"/>
    </row>
    <row r="19" spans="1:15" x14ac:dyDescent="0.25">
      <c r="A19" s="103"/>
      <c r="B19" s="107"/>
      <c r="C19" s="107"/>
      <c r="D19" s="107"/>
      <c r="E19" s="83"/>
      <c r="F19" s="83"/>
      <c r="G19" s="83"/>
      <c r="H19" s="83"/>
      <c r="I19" s="83"/>
      <c r="J19" s="83"/>
      <c r="K19" s="83"/>
      <c r="L19" s="83"/>
      <c r="M19" s="83"/>
      <c r="N19" s="83"/>
      <c r="O19" s="83"/>
    </row>
    <row r="20" spans="1:15" x14ac:dyDescent="0.25">
      <c r="A20" s="103"/>
      <c r="B20" s="107"/>
      <c r="C20" s="107"/>
      <c r="D20" s="107"/>
      <c r="E20" s="83"/>
      <c r="F20" s="83"/>
      <c r="G20" s="83"/>
      <c r="H20" s="83"/>
      <c r="I20" s="83"/>
      <c r="J20" s="83"/>
      <c r="K20" s="83"/>
      <c r="L20" s="83"/>
      <c r="M20" s="83"/>
      <c r="N20" s="83"/>
      <c r="O20" s="83"/>
    </row>
    <row r="21" spans="1:15" x14ac:dyDescent="0.25">
      <c r="A21" s="103"/>
      <c r="B21" s="107"/>
      <c r="C21" s="107"/>
      <c r="D21" s="107"/>
      <c r="E21" s="83"/>
      <c r="F21" s="83"/>
      <c r="G21" s="83"/>
      <c r="H21" s="83"/>
      <c r="I21" s="83"/>
      <c r="J21" s="83"/>
      <c r="K21" s="83"/>
      <c r="L21" s="83"/>
      <c r="M21" s="83"/>
      <c r="N21" s="83"/>
      <c r="O21" s="83"/>
    </row>
    <row r="22" spans="1:15" ht="20.25" x14ac:dyDescent="0.25">
      <c r="A22" s="103"/>
      <c r="B22" s="103"/>
      <c r="C22" s="105"/>
      <c r="D22" s="105"/>
      <c r="E22" s="83"/>
      <c r="F22" s="83"/>
      <c r="G22" s="83"/>
      <c r="H22" s="83"/>
      <c r="I22" s="83"/>
      <c r="J22" s="83"/>
      <c r="K22" s="83"/>
      <c r="L22" s="83"/>
      <c r="M22" s="83"/>
      <c r="N22" s="83"/>
      <c r="O22" s="83"/>
    </row>
    <row r="23" spans="1:15" ht="20.25" x14ac:dyDescent="0.25">
      <c r="A23" s="103"/>
      <c r="B23" s="103"/>
      <c r="C23" s="105"/>
      <c r="D23" s="105"/>
      <c r="E23" s="83"/>
      <c r="F23" s="83"/>
      <c r="G23" s="83"/>
      <c r="H23" s="83"/>
      <c r="I23" s="83"/>
      <c r="J23" s="83"/>
      <c r="K23" s="83"/>
      <c r="L23" s="83"/>
      <c r="M23" s="83"/>
      <c r="N23" s="83"/>
      <c r="O23" s="83"/>
    </row>
    <row r="24" spans="1:15" ht="20.25" x14ac:dyDescent="0.25">
      <c r="A24" s="103"/>
      <c r="B24" s="103"/>
      <c r="C24" s="105"/>
      <c r="D24" s="105"/>
      <c r="E24" s="83"/>
      <c r="F24" s="83"/>
      <c r="G24" s="83"/>
      <c r="H24" s="83"/>
      <c r="I24" s="83"/>
      <c r="J24" s="83"/>
      <c r="K24" s="83"/>
      <c r="L24" s="83"/>
      <c r="M24" s="83"/>
      <c r="N24" s="83"/>
      <c r="O24" s="83"/>
    </row>
    <row r="25" spans="1:15" ht="20.25" x14ac:dyDescent="0.25">
      <c r="A25" s="103"/>
      <c r="B25" s="103"/>
      <c r="C25" s="105"/>
      <c r="D25" s="105"/>
      <c r="E25" s="83"/>
      <c r="F25" s="83"/>
      <c r="G25" s="83"/>
      <c r="H25" s="83"/>
      <c r="I25" s="83"/>
      <c r="J25" s="83"/>
      <c r="K25" s="83"/>
      <c r="L25" s="83"/>
      <c r="M25" s="83"/>
      <c r="N25" s="83"/>
      <c r="O25" s="83"/>
    </row>
    <row r="26" spans="1:15" ht="20.25" x14ac:dyDescent="0.25">
      <c r="A26" s="103"/>
      <c r="B26" s="103"/>
      <c r="C26" s="105"/>
      <c r="D26" s="105"/>
      <c r="E26" s="83"/>
      <c r="F26" s="83"/>
      <c r="G26" s="83"/>
      <c r="H26" s="83"/>
      <c r="I26" s="83"/>
      <c r="J26" s="83"/>
      <c r="K26" s="83"/>
      <c r="L26" s="83"/>
      <c r="M26" s="83"/>
      <c r="N26" s="83"/>
      <c r="O26" s="83"/>
    </row>
    <row r="27" spans="1:15" ht="20.25" x14ac:dyDescent="0.25">
      <c r="A27" s="103"/>
      <c r="B27" s="103"/>
      <c r="C27" s="105"/>
      <c r="D27" s="105"/>
      <c r="E27" s="83"/>
      <c r="F27" s="83"/>
      <c r="G27" s="83"/>
      <c r="H27" s="83"/>
      <c r="I27" s="83"/>
      <c r="J27" s="83"/>
      <c r="K27" s="83"/>
      <c r="L27" s="83"/>
      <c r="M27" s="83"/>
      <c r="N27" s="83"/>
      <c r="O27" s="83"/>
    </row>
    <row r="28" spans="1:15" ht="20.25" x14ac:dyDescent="0.25">
      <c r="A28" s="103"/>
      <c r="B28" s="103"/>
      <c r="C28" s="105"/>
      <c r="D28" s="105"/>
      <c r="E28" s="83"/>
      <c r="F28" s="83"/>
      <c r="G28" s="83"/>
      <c r="H28" s="83"/>
      <c r="I28" s="83"/>
      <c r="J28" s="83"/>
      <c r="K28" s="83"/>
      <c r="L28" s="83"/>
      <c r="M28" s="83"/>
      <c r="N28" s="83"/>
      <c r="O28" s="83"/>
    </row>
    <row r="29" spans="1:15" ht="20.25" x14ac:dyDescent="0.25">
      <c r="A29" s="103"/>
      <c r="B29" s="103"/>
      <c r="C29" s="105"/>
      <c r="D29" s="105"/>
      <c r="E29" s="83"/>
      <c r="F29" s="83"/>
      <c r="G29" s="83"/>
      <c r="H29" s="83"/>
      <c r="I29" s="83"/>
      <c r="J29" s="83"/>
      <c r="K29" s="83"/>
      <c r="L29" s="83"/>
      <c r="M29" s="83"/>
      <c r="N29" s="83"/>
      <c r="O29" s="83"/>
    </row>
    <row r="30" spans="1:15" ht="20.25" x14ac:dyDescent="0.25">
      <c r="A30" s="103"/>
      <c r="B30" s="103"/>
      <c r="C30" s="105"/>
      <c r="D30" s="105"/>
      <c r="E30" s="83"/>
      <c r="F30" s="83"/>
      <c r="G30" s="83"/>
      <c r="H30" s="83"/>
      <c r="I30" s="83"/>
      <c r="J30" s="83"/>
      <c r="K30" s="83"/>
      <c r="L30" s="83"/>
      <c r="M30" s="83"/>
      <c r="N30" s="83"/>
      <c r="O30" s="83"/>
    </row>
    <row r="31" spans="1:15" ht="20.25" x14ac:dyDescent="0.25">
      <c r="A31" s="103"/>
      <c r="B31" s="103"/>
      <c r="C31" s="105"/>
      <c r="D31" s="105"/>
      <c r="E31" s="83"/>
      <c r="F31" s="83"/>
      <c r="G31" s="83"/>
      <c r="H31" s="83"/>
      <c r="I31" s="83"/>
      <c r="J31" s="83"/>
      <c r="K31" s="83"/>
      <c r="L31" s="83"/>
      <c r="M31" s="83"/>
      <c r="N31" s="83"/>
      <c r="O31" s="83"/>
    </row>
    <row r="32" spans="1:15" ht="20.25" x14ac:dyDescent="0.25">
      <c r="A32" s="103"/>
      <c r="B32" s="103"/>
      <c r="C32" s="105"/>
      <c r="D32" s="105"/>
      <c r="E32" s="83"/>
      <c r="F32" s="83"/>
      <c r="G32" s="83"/>
      <c r="H32" s="83"/>
      <c r="I32" s="83"/>
      <c r="J32" s="83"/>
      <c r="K32" s="83"/>
      <c r="L32" s="83"/>
      <c r="M32" s="83"/>
      <c r="N32" s="83"/>
      <c r="O32" s="83"/>
    </row>
    <row r="33" spans="1:15" ht="20.25" x14ac:dyDescent="0.25">
      <c r="A33" s="103"/>
      <c r="B33" s="103"/>
      <c r="C33" s="105"/>
      <c r="D33" s="105"/>
      <c r="E33" s="83"/>
      <c r="F33" s="83"/>
      <c r="G33" s="83"/>
      <c r="H33" s="83"/>
      <c r="I33" s="83"/>
      <c r="J33" s="83"/>
      <c r="K33" s="83"/>
      <c r="L33" s="83"/>
      <c r="M33" s="83"/>
      <c r="N33" s="83"/>
      <c r="O33" s="83"/>
    </row>
    <row r="34" spans="1:15" ht="20.25" x14ac:dyDescent="0.25">
      <c r="A34" s="103"/>
      <c r="B34" s="103"/>
      <c r="C34" s="105"/>
      <c r="D34" s="105"/>
      <c r="E34" s="83"/>
      <c r="F34" s="83"/>
      <c r="G34" s="83"/>
      <c r="H34" s="83"/>
      <c r="I34" s="83"/>
      <c r="J34" s="83"/>
      <c r="K34" s="83"/>
      <c r="L34" s="83"/>
      <c r="M34" s="83"/>
      <c r="N34" s="83"/>
      <c r="O34" s="83"/>
    </row>
    <row r="35" spans="1:15" ht="20.25" x14ac:dyDescent="0.25">
      <c r="A35" s="103"/>
      <c r="B35" s="103"/>
      <c r="C35" s="105"/>
      <c r="D35" s="105"/>
      <c r="E35" s="83"/>
      <c r="F35" s="83"/>
      <c r="G35" s="83"/>
      <c r="H35" s="83"/>
      <c r="I35" s="83"/>
      <c r="J35" s="83"/>
      <c r="K35" s="83"/>
      <c r="L35" s="83"/>
      <c r="M35" s="83"/>
      <c r="N35" s="83"/>
      <c r="O35" s="83"/>
    </row>
    <row r="36" spans="1:15" ht="20.25" x14ac:dyDescent="0.25">
      <c r="A36" s="103"/>
      <c r="B36" s="103"/>
      <c r="C36" s="105"/>
      <c r="D36" s="105"/>
      <c r="E36" s="83"/>
      <c r="F36" s="83"/>
      <c r="G36" s="83"/>
      <c r="H36" s="83"/>
      <c r="I36" s="83"/>
      <c r="J36" s="83"/>
      <c r="K36" s="83"/>
      <c r="L36" s="83"/>
      <c r="M36" s="83"/>
      <c r="N36" s="83"/>
      <c r="O36" s="83"/>
    </row>
    <row r="37" spans="1:15" ht="20.25" x14ac:dyDescent="0.25">
      <c r="A37" s="103"/>
      <c r="B37" s="103"/>
      <c r="C37" s="105"/>
      <c r="D37" s="105"/>
      <c r="E37" s="83"/>
      <c r="F37" s="83"/>
      <c r="G37" s="83"/>
      <c r="H37" s="83"/>
      <c r="I37" s="83"/>
      <c r="J37" s="83"/>
      <c r="K37" s="83"/>
      <c r="L37" s="83"/>
      <c r="M37" s="83"/>
      <c r="N37" s="83"/>
      <c r="O37" s="83"/>
    </row>
    <row r="38" spans="1:15" ht="20.25" x14ac:dyDescent="0.25">
      <c r="A38" s="103"/>
      <c r="B38" s="103"/>
      <c r="C38" s="105"/>
      <c r="D38" s="105"/>
      <c r="E38" s="83"/>
      <c r="F38" s="83"/>
      <c r="G38" s="83"/>
      <c r="H38" s="83"/>
      <c r="I38" s="83"/>
      <c r="J38" s="83"/>
      <c r="K38" s="83"/>
      <c r="L38" s="83"/>
      <c r="M38" s="83"/>
      <c r="N38" s="83"/>
      <c r="O38" s="83"/>
    </row>
    <row r="39" spans="1:15" ht="20.25" x14ac:dyDescent="0.25">
      <c r="A39" s="103"/>
      <c r="B39" s="103"/>
      <c r="C39" s="105"/>
      <c r="D39" s="105"/>
      <c r="E39" s="83"/>
      <c r="F39" s="83"/>
      <c r="G39" s="83"/>
      <c r="H39" s="83"/>
      <c r="I39" s="83"/>
      <c r="J39" s="83"/>
      <c r="K39" s="83"/>
      <c r="L39" s="83"/>
      <c r="M39" s="83"/>
      <c r="N39" s="83"/>
      <c r="O39" s="83"/>
    </row>
    <row r="40" spans="1:15" ht="20.25" x14ac:dyDescent="0.25">
      <c r="A40" s="103"/>
      <c r="B40" s="103"/>
      <c r="C40" s="105"/>
      <c r="D40" s="105"/>
      <c r="E40" s="83"/>
      <c r="F40" s="83"/>
      <c r="G40" s="83"/>
      <c r="H40" s="83"/>
      <c r="I40" s="83"/>
      <c r="J40" s="83"/>
      <c r="K40" s="83"/>
      <c r="L40" s="83"/>
      <c r="M40" s="83"/>
      <c r="N40" s="83"/>
      <c r="O40" s="83"/>
    </row>
    <row r="41" spans="1:15" ht="20.25" x14ac:dyDescent="0.25">
      <c r="A41" s="103"/>
      <c r="B41" s="103"/>
      <c r="C41" s="105"/>
      <c r="D41" s="105"/>
      <c r="E41" s="83"/>
      <c r="F41" s="83"/>
      <c r="G41" s="83"/>
      <c r="H41" s="83"/>
      <c r="I41" s="83"/>
      <c r="J41" s="83"/>
      <c r="K41" s="83"/>
      <c r="L41" s="83"/>
      <c r="M41" s="83"/>
      <c r="N41" s="83"/>
      <c r="O41" s="83"/>
    </row>
    <row r="42" spans="1:15" ht="20.25" x14ac:dyDescent="0.25">
      <c r="A42" s="103"/>
      <c r="B42" s="103"/>
      <c r="C42" s="105"/>
      <c r="D42" s="105"/>
      <c r="E42" s="83"/>
      <c r="F42" s="83"/>
      <c r="G42" s="83"/>
      <c r="H42" s="83"/>
      <c r="I42" s="83"/>
      <c r="J42" s="83"/>
      <c r="K42" s="83"/>
      <c r="L42" s="83"/>
      <c r="M42" s="83"/>
      <c r="N42" s="83"/>
      <c r="O42" s="83"/>
    </row>
    <row r="43" spans="1:15" ht="20.25" x14ac:dyDescent="0.25">
      <c r="A43" s="103"/>
      <c r="B43" s="103"/>
      <c r="C43" s="105"/>
      <c r="D43" s="105"/>
      <c r="E43" s="83"/>
      <c r="F43" s="83"/>
      <c r="G43" s="83"/>
      <c r="H43" s="83"/>
      <c r="I43" s="83"/>
      <c r="J43" s="83"/>
      <c r="K43" s="83"/>
      <c r="L43" s="83"/>
      <c r="M43" s="83"/>
      <c r="N43" s="83"/>
      <c r="O43" s="83"/>
    </row>
    <row r="44" spans="1:15" ht="20.25" x14ac:dyDescent="0.25">
      <c r="A44" s="103"/>
      <c r="B44" s="103"/>
      <c r="C44" s="105"/>
      <c r="D44" s="105"/>
      <c r="E44" s="83"/>
      <c r="F44" s="83"/>
      <c r="G44" s="83"/>
      <c r="H44" s="83"/>
      <c r="I44" s="83"/>
      <c r="J44" s="83"/>
      <c r="K44" s="83"/>
      <c r="L44" s="83"/>
      <c r="M44" s="83"/>
      <c r="N44" s="83"/>
      <c r="O44" s="83"/>
    </row>
    <row r="45" spans="1:15" ht="20.25" x14ac:dyDescent="0.25">
      <c r="A45" s="103"/>
      <c r="B45" s="103"/>
      <c r="C45" s="105"/>
      <c r="D45" s="105"/>
      <c r="E45" s="83"/>
      <c r="F45" s="83"/>
      <c r="G45" s="83"/>
      <c r="H45" s="83"/>
      <c r="I45" s="83"/>
      <c r="J45" s="83"/>
      <c r="K45" s="83"/>
      <c r="L45" s="83"/>
      <c r="M45" s="83"/>
      <c r="N45" s="83"/>
      <c r="O45" s="83"/>
    </row>
    <row r="46" spans="1:15" ht="20.25" x14ac:dyDescent="0.25">
      <c r="A46" s="103"/>
      <c r="B46" s="103"/>
      <c r="C46" s="105"/>
      <c r="D46" s="105"/>
      <c r="E46" s="83"/>
      <c r="F46" s="83"/>
      <c r="G46" s="83"/>
      <c r="H46" s="83"/>
      <c r="I46" s="83"/>
      <c r="J46" s="83"/>
      <c r="K46" s="83"/>
      <c r="L46" s="83"/>
      <c r="M46" s="83"/>
      <c r="N46" s="83"/>
      <c r="O46" s="83"/>
    </row>
    <row r="47" spans="1:15" ht="20.25" x14ac:dyDescent="0.25">
      <c r="A47" s="103"/>
      <c r="B47" s="103"/>
      <c r="C47" s="105"/>
      <c r="D47" s="105"/>
      <c r="E47" s="83"/>
      <c r="F47" s="83"/>
      <c r="G47" s="83"/>
      <c r="H47" s="83"/>
      <c r="I47" s="83"/>
      <c r="J47" s="83"/>
      <c r="K47" s="83"/>
      <c r="L47" s="83"/>
      <c r="M47" s="83"/>
      <c r="N47" s="83"/>
      <c r="O47" s="83"/>
    </row>
    <row r="48" spans="1:15" ht="20.25" x14ac:dyDescent="0.25">
      <c r="A48" s="103"/>
      <c r="B48" s="103"/>
      <c r="C48" s="105"/>
      <c r="D48" s="105"/>
      <c r="E48" s="83"/>
      <c r="F48" s="83"/>
      <c r="G48" s="83"/>
      <c r="H48" s="83"/>
      <c r="I48" s="83"/>
      <c r="J48" s="83"/>
      <c r="K48" s="83"/>
      <c r="L48" s="83"/>
      <c r="M48" s="83"/>
      <c r="N48" s="83"/>
      <c r="O48" s="83"/>
    </row>
    <row r="49" spans="1:15" ht="20.25" x14ac:dyDescent="0.25">
      <c r="A49" s="103"/>
      <c r="B49" s="103"/>
      <c r="C49" s="105"/>
      <c r="D49" s="105"/>
      <c r="E49" s="83"/>
      <c r="F49" s="83"/>
      <c r="G49" s="83"/>
      <c r="H49" s="83"/>
      <c r="I49" s="83"/>
      <c r="J49" s="83"/>
      <c r="K49" s="83"/>
      <c r="L49" s="83"/>
      <c r="M49" s="83"/>
      <c r="N49" s="83"/>
      <c r="O49" s="83"/>
    </row>
    <row r="50" spans="1:15" ht="20.25" x14ac:dyDescent="0.25">
      <c r="A50" s="103"/>
      <c r="B50" s="103"/>
      <c r="C50" s="105"/>
      <c r="D50" s="105"/>
      <c r="E50" s="83"/>
      <c r="F50" s="83"/>
      <c r="G50" s="83"/>
      <c r="H50" s="83"/>
      <c r="I50" s="83"/>
      <c r="J50" s="83"/>
      <c r="K50" s="83"/>
      <c r="L50" s="83"/>
      <c r="M50" s="83"/>
      <c r="N50" s="83"/>
      <c r="O50" s="83"/>
    </row>
    <row r="51" spans="1:15" ht="20.25" x14ac:dyDescent="0.25">
      <c r="A51" s="103"/>
      <c r="B51" s="103"/>
      <c r="C51" s="105"/>
      <c r="D51" s="105"/>
      <c r="E51" s="83"/>
      <c r="F51" s="83"/>
      <c r="G51" s="83"/>
      <c r="H51" s="83"/>
      <c r="I51" s="83"/>
      <c r="J51" s="83"/>
      <c r="K51" s="83"/>
      <c r="L51" s="83"/>
      <c r="M51" s="83"/>
      <c r="N51" s="83"/>
      <c r="O51" s="83"/>
    </row>
    <row r="52" spans="1:15" ht="20.25" x14ac:dyDescent="0.25">
      <c r="A52" s="103"/>
      <c r="B52" s="23"/>
      <c r="C52" s="34"/>
      <c r="D52" s="34"/>
    </row>
    <row r="53" spans="1:15" ht="20.25" x14ac:dyDescent="0.25">
      <c r="A53" s="103"/>
      <c r="B53" s="23"/>
      <c r="C53" s="34"/>
      <c r="D53" s="34"/>
    </row>
    <row r="54" spans="1:15" ht="20.25" x14ac:dyDescent="0.25">
      <c r="A54" s="103"/>
      <c r="B54" s="23"/>
      <c r="C54" s="34"/>
      <c r="D54" s="34"/>
    </row>
    <row r="55" spans="1:15" ht="20.25" x14ac:dyDescent="0.25">
      <c r="A55" s="103"/>
      <c r="B55" s="23"/>
      <c r="C55" s="34"/>
      <c r="D55" s="34"/>
    </row>
    <row r="56" spans="1:15" ht="20.25" x14ac:dyDescent="0.25">
      <c r="A56" s="103"/>
      <c r="B56" s="23"/>
      <c r="C56" s="34"/>
      <c r="D56" s="34"/>
    </row>
    <row r="57" spans="1:15" ht="20.25" x14ac:dyDescent="0.25">
      <c r="A57" s="103"/>
      <c r="B57" s="23"/>
      <c r="C57" s="34"/>
      <c r="D57" s="34"/>
    </row>
    <row r="58" spans="1:15" ht="20.25" x14ac:dyDescent="0.25">
      <c r="A58" s="103"/>
      <c r="B58" s="23"/>
      <c r="C58" s="34"/>
      <c r="D58" s="34"/>
    </row>
    <row r="59" spans="1:15" ht="20.25" x14ac:dyDescent="0.25">
      <c r="A59" s="103"/>
      <c r="B59" s="23"/>
      <c r="C59" s="34"/>
      <c r="D59" s="34"/>
    </row>
    <row r="60" spans="1:15" ht="20.25" x14ac:dyDescent="0.25">
      <c r="A60" s="103"/>
      <c r="B60" s="23"/>
      <c r="C60" s="34"/>
      <c r="D60" s="34"/>
    </row>
    <row r="61" spans="1:15" ht="20.25" x14ac:dyDescent="0.25">
      <c r="A61" s="103"/>
      <c r="B61" s="23"/>
      <c r="C61" s="34"/>
      <c r="D61" s="34"/>
    </row>
    <row r="62" spans="1:15" ht="20.25" x14ac:dyDescent="0.25">
      <c r="A62" s="103"/>
      <c r="B62" s="23"/>
      <c r="C62" s="34"/>
      <c r="D62" s="34"/>
    </row>
    <row r="63" spans="1:15" ht="20.25" x14ac:dyDescent="0.25">
      <c r="A63" s="103"/>
      <c r="B63" s="23"/>
      <c r="C63" s="34"/>
      <c r="D63" s="34"/>
    </row>
    <row r="64" spans="1:15" ht="20.25" x14ac:dyDescent="0.25">
      <c r="A64" s="103"/>
      <c r="B64" s="23"/>
      <c r="C64" s="34"/>
      <c r="D64" s="34"/>
    </row>
    <row r="65" spans="1:4" ht="20.25" x14ac:dyDescent="0.25">
      <c r="A65" s="103"/>
      <c r="B65" s="23"/>
      <c r="C65" s="34"/>
      <c r="D65" s="34"/>
    </row>
    <row r="66" spans="1:4" ht="20.25" x14ac:dyDescent="0.25">
      <c r="A66" s="103"/>
      <c r="B66" s="23"/>
      <c r="C66" s="34"/>
      <c r="D66" s="34"/>
    </row>
    <row r="67" spans="1:4" ht="20.25" x14ac:dyDescent="0.25">
      <c r="A67" s="103"/>
      <c r="B67" s="23"/>
      <c r="C67" s="34"/>
      <c r="D67" s="34"/>
    </row>
    <row r="68" spans="1:4" ht="20.25" x14ac:dyDescent="0.25">
      <c r="A68" s="103"/>
      <c r="B68" s="23"/>
      <c r="C68" s="34"/>
      <c r="D68" s="34"/>
    </row>
    <row r="69" spans="1:4" ht="20.25" x14ac:dyDescent="0.25">
      <c r="A69" s="103"/>
      <c r="B69" s="23"/>
      <c r="C69" s="34"/>
      <c r="D69" s="34"/>
    </row>
    <row r="70" spans="1:4" ht="20.25" x14ac:dyDescent="0.25">
      <c r="A70" s="103"/>
      <c r="B70" s="23"/>
      <c r="C70" s="34"/>
      <c r="D70" s="34"/>
    </row>
    <row r="71" spans="1:4" ht="20.25" x14ac:dyDescent="0.25">
      <c r="A71" s="103"/>
      <c r="B71" s="23"/>
      <c r="C71" s="34"/>
      <c r="D71" s="34"/>
    </row>
    <row r="72" spans="1:4" ht="20.25" x14ac:dyDescent="0.25">
      <c r="A72" s="103"/>
      <c r="B72" s="23"/>
      <c r="C72" s="34"/>
      <c r="D72" s="34"/>
    </row>
    <row r="73" spans="1:4" ht="20.25" x14ac:dyDescent="0.25">
      <c r="A73" s="103"/>
      <c r="B73" s="23"/>
      <c r="C73" s="34"/>
      <c r="D73" s="34"/>
    </row>
    <row r="74" spans="1:4" ht="20.25" x14ac:dyDescent="0.25">
      <c r="A74" s="103"/>
      <c r="B74" s="23"/>
      <c r="C74" s="34"/>
      <c r="D74" s="34"/>
    </row>
    <row r="75" spans="1:4" ht="20.25" x14ac:dyDescent="0.25">
      <c r="A75" s="103"/>
      <c r="B75" s="23"/>
      <c r="C75" s="34"/>
      <c r="D75" s="34"/>
    </row>
    <row r="76" spans="1:4" ht="20.25" x14ac:dyDescent="0.25">
      <c r="A76" s="103"/>
      <c r="B76" s="23"/>
      <c r="C76" s="34"/>
      <c r="D76" s="34"/>
    </row>
    <row r="77" spans="1:4" ht="20.25" x14ac:dyDescent="0.25">
      <c r="A77" s="103"/>
      <c r="B77" s="23"/>
      <c r="C77" s="34"/>
      <c r="D77" s="34"/>
    </row>
    <row r="78" spans="1:4" ht="20.25" x14ac:dyDescent="0.25">
      <c r="A78" s="103"/>
      <c r="B78" s="23"/>
      <c r="C78" s="34"/>
      <c r="D78" s="34"/>
    </row>
    <row r="79" spans="1:4" ht="20.25" x14ac:dyDescent="0.25">
      <c r="A79" s="103"/>
      <c r="B79" s="23"/>
      <c r="C79" s="34"/>
      <c r="D79" s="34"/>
    </row>
    <row r="80" spans="1:4" ht="20.25" x14ac:dyDescent="0.25">
      <c r="A80" s="103"/>
      <c r="B80" s="23"/>
      <c r="C80" s="34"/>
      <c r="D80" s="34"/>
    </row>
    <row r="81" spans="1:4" ht="20.25" x14ac:dyDescent="0.25">
      <c r="A81" s="103"/>
      <c r="B81" s="23"/>
      <c r="C81" s="34"/>
      <c r="D81" s="34"/>
    </row>
    <row r="82" spans="1:4" ht="20.25" x14ac:dyDescent="0.25">
      <c r="A82" s="103"/>
      <c r="B82" s="23"/>
      <c r="C82" s="34"/>
      <c r="D82" s="34"/>
    </row>
    <row r="83" spans="1:4" ht="20.25" x14ac:dyDescent="0.25">
      <c r="A83" s="103"/>
      <c r="B83" s="23"/>
      <c r="C83" s="34"/>
      <c r="D83" s="34"/>
    </row>
    <row r="84" spans="1:4" ht="20.25" x14ac:dyDescent="0.25">
      <c r="A84" s="103"/>
      <c r="B84" s="23"/>
      <c r="C84" s="34"/>
      <c r="D84" s="34"/>
    </row>
    <row r="85" spans="1:4" ht="20.25" x14ac:dyDescent="0.25">
      <c r="A85" s="103"/>
      <c r="B85" s="23"/>
      <c r="C85" s="34"/>
      <c r="D85" s="34"/>
    </row>
    <row r="86" spans="1:4" ht="20.25" x14ac:dyDescent="0.25">
      <c r="A86" s="103"/>
      <c r="B86" s="23"/>
      <c r="C86" s="34"/>
      <c r="D86" s="34"/>
    </row>
    <row r="87" spans="1:4" ht="20.25" x14ac:dyDescent="0.25">
      <c r="A87" s="103"/>
      <c r="B87" s="23"/>
      <c r="C87" s="34"/>
      <c r="D87" s="34"/>
    </row>
    <row r="88" spans="1:4" ht="20.25" x14ac:dyDescent="0.25">
      <c r="A88" s="103"/>
      <c r="B88" s="23"/>
      <c r="C88" s="34"/>
      <c r="D88" s="34"/>
    </row>
    <row r="89" spans="1:4" ht="20.25" x14ac:dyDescent="0.25">
      <c r="A89" s="103"/>
      <c r="B89" s="23"/>
      <c r="C89" s="34"/>
      <c r="D89" s="34"/>
    </row>
    <row r="90" spans="1:4" ht="20.25" x14ac:dyDescent="0.25">
      <c r="A90" s="103"/>
      <c r="B90" s="23"/>
      <c r="C90" s="34"/>
      <c r="D90" s="34"/>
    </row>
    <row r="91" spans="1:4" ht="20.25" x14ac:dyDescent="0.25">
      <c r="A91" s="103"/>
      <c r="B91" s="23"/>
      <c r="C91" s="34"/>
      <c r="D91" s="34"/>
    </row>
    <row r="92" spans="1:4" ht="20.25" x14ac:dyDescent="0.25">
      <c r="A92" s="103"/>
      <c r="B92" s="23"/>
      <c r="C92" s="34"/>
      <c r="D92" s="34"/>
    </row>
    <row r="93" spans="1:4" ht="20.25" x14ac:dyDescent="0.25">
      <c r="A93" s="103"/>
      <c r="B93" s="23"/>
      <c r="C93" s="34"/>
      <c r="D93" s="34"/>
    </row>
    <row r="94" spans="1:4" ht="20.25" x14ac:dyDescent="0.25">
      <c r="A94" s="103"/>
      <c r="B94" s="23"/>
      <c r="C94" s="34"/>
      <c r="D94" s="34"/>
    </row>
    <row r="95" spans="1:4" ht="20.25" x14ac:dyDescent="0.25">
      <c r="A95" s="103"/>
      <c r="B95" s="23"/>
      <c r="C95" s="34"/>
      <c r="D95" s="34"/>
    </row>
    <row r="96" spans="1:4" ht="20.25" x14ac:dyDescent="0.25">
      <c r="A96" s="103"/>
      <c r="B96" s="23"/>
      <c r="C96" s="34"/>
      <c r="D96" s="34"/>
    </row>
    <row r="97" spans="1:4" ht="20.25" x14ac:dyDescent="0.25">
      <c r="A97" s="103"/>
      <c r="B97" s="23"/>
      <c r="C97" s="34"/>
      <c r="D97" s="34"/>
    </row>
    <row r="98" spans="1:4" ht="20.25" x14ac:dyDescent="0.25">
      <c r="A98" s="103"/>
      <c r="B98" s="23"/>
      <c r="C98" s="34"/>
      <c r="D98" s="34"/>
    </row>
    <row r="99" spans="1:4" ht="20.25" x14ac:dyDescent="0.25">
      <c r="A99" s="103"/>
      <c r="B99" s="23"/>
      <c r="C99" s="34"/>
      <c r="D99" s="34"/>
    </row>
    <row r="100" spans="1:4" ht="20.25" x14ac:dyDescent="0.25">
      <c r="A100" s="103"/>
      <c r="B100" s="23"/>
      <c r="C100" s="34"/>
      <c r="D100" s="34"/>
    </row>
    <row r="101" spans="1:4" ht="20.25" x14ac:dyDescent="0.25">
      <c r="A101" s="103"/>
      <c r="B101" s="23"/>
      <c r="C101" s="34"/>
      <c r="D101" s="34"/>
    </row>
    <row r="102" spans="1:4" ht="20.25" x14ac:dyDescent="0.25">
      <c r="A102" s="103"/>
      <c r="B102" s="23"/>
      <c r="C102" s="34"/>
      <c r="D102" s="34"/>
    </row>
    <row r="103" spans="1:4" ht="20.25" x14ac:dyDescent="0.25">
      <c r="A103" s="103"/>
      <c r="B103" s="23"/>
      <c r="C103" s="34"/>
      <c r="D103" s="34"/>
    </row>
    <row r="104" spans="1:4" ht="20.25" x14ac:dyDescent="0.25">
      <c r="A104" s="103"/>
      <c r="B104" s="23"/>
      <c r="C104" s="34"/>
      <c r="D104" s="34"/>
    </row>
    <row r="105" spans="1:4" ht="20.25" x14ac:dyDescent="0.25">
      <c r="A105" s="103"/>
      <c r="B105" s="23"/>
      <c r="C105" s="34"/>
      <c r="D105" s="34"/>
    </row>
    <row r="106" spans="1:4" ht="20.25" x14ac:dyDescent="0.25">
      <c r="A106" s="103"/>
      <c r="B106" s="23"/>
      <c r="C106" s="34"/>
      <c r="D106" s="34"/>
    </row>
    <row r="107" spans="1:4" ht="20.25" x14ac:dyDescent="0.25">
      <c r="A107" s="103"/>
      <c r="B107" s="23"/>
      <c r="C107" s="34"/>
      <c r="D107" s="34"/>
    </row>
    <row r="108" spans="1:4" ht="20.25" x14ac:dyDescent="0.25">
      <c r="A108" s="103"/>
      <c r="B108" s="23"/>
      <c r="C108" s="34"/>
      <c r="D108" s="34"/>
    </row>
    <row r="109" spans="1:4" ht="20.25" x14ac:dyDescent="0.25">
      <c r="A109" s="103"/>
      <c r="B109" s="23"/>
      <c r="C109" s="34"/>
      <c r="D109" s="34"/>
    </row>
    <row r="110" spans="1:4" ht="20.25" x14ac:dyDescent="0.25">
      <c r="A110" s="103"/>
      <c r="B110" s="23"/>
      <c r="C110" s="34"/>
      <c r="D110" s="34"/>
    </row>
    <row r="111" spans="1:4" ht="20.25" x14ac:dyDescent="0.25">
      <c r="A111" s="103"/>
      <c r="B111" s="23"/>
      <c r="C111" s="34"/>
      <c r="D111" s="34"/>
    </row>
    <row r="112" spans="1:4" ht="20.25" x14ac:dyDescent="0.25">
      <c r="A112" s="103"/>
      <c r="B112" s="23"/>
      <c r="C112" s="34"/>
      <c r="D112" s="34"/>
    </row>
    <row r="113" spans="1:4" ht="20.25" x14ac:dyDescent="0.25">
      <c r="A113" s="103"/>
      <c r="B113" s="23"/>
      <c r="C113" s="34"/>
      <c r="D113" s="34"/>
    </row>
    <row r="114" spans="1:4" ht="20.25" x14ac:dyDescent="0.25">
      <c r="A114" s="103"/>
      <c r="B114" s="23"/>
      <c r="C114" s="34"/>
      <c r="D114" s="34"/>
    </row>
    <row r="115" spans="1:4" ht="20.25" x14ac:dyDescent="0.25">
      <c r="A115" s="103"/>
      <c r="B115" s="23"/>
      <c r="C115" s="34"/>
      <c r="D115" s="34"/>
    </row>
    <row r="116" spans="1:4" ht="20.25" x14ac:dyDescent="0.25">
      <c r="A116" s="103"/>
      <c r="B116" s="23"/>
      <c r="C116" s="34"/>
      <c r="D116" s="34"/>
    </row>
    <row r="117" spans="1:4" ht="20.25" x14ac:dyDescent="0.25">
      <c r="A117" s="103"/>
      <c r="B117" s="23"/>
      <c r="C117" s="34"/>
      <c r="D117" s="34"/>
    </row>
    <row r="118" spans="1:4" ht="20.25" x14ac:dyDescent="0.25">
      <c r="A118" s="103"/>
      <c r="B118" s="23"/>
      <c r="C118" s="34"/>
      <c r="D118" s="34"/>
    </row>
    <row r="119" spans="1:4" ht="20.25" x14ac:dyDescent="0.25">
      <c r="A119" s="103"/>
      <c r="B119" s="23"/>
      <c r="C119" s="34"/>
      <c r="D119" s="34"/>
    </row>
    <row r="120" spans="1:4" ht="20.25" x14ac:dyDescent="0.25">
      <c r="A120" s="103"/>
      <c r="B120" s="23"/>
      <c r="C120" s="34"/>
      <c r="D120" s="34"/>
    </row>
    <row r="121" spans="1:4" ht="20.25" x14ac:dyDescent="0.25">
      <c r="A121" s="103"/>
      <c r="B121" s="23"/>
      <c r="C121" s="34"/>
      <c r="D121" s="34"/>
    </row>
    <row r="122" spans="1:4" ht="20.25" x14ac:dyDescent="0.25">
      <c r="A122" s="103"/>
      <c r="B122" s="23"/>
      <c r="C122" s="34"/>
      <c r="D122" s="34"/>
    </row>
    <row r="123" spans="1:4" ht="20.25" x14ac:dyDescent="0.25">
      <c r="A123" s="103"/>
      <c r="B123" s="23"/>
      <c r="C123" s="34"/>
      <c r="D123" s="34"/>
    </row>
    <row r="124" spans="1:4" ht="20.25" x14ac:dyDescent="0.25">
      <c r="A124" s="103"/>
      <c r="B124" s="23"/>
      <c r="C124" s="34"/>
      <c r="D124" s="34"/>
    </row>
    <row r="125" spans="1:4" ht="20.25" x14ac:dyDescent="0.25">
      <c r="A125" s="103"/>
      <c r="B125" s="23"/>
      <c r="C125" s="34"/>
      <c r="D125" s="34"/>
    </row>
    <row r="126" spans="1:4" ht="20.25" x14ac:dyDescent="0.25">
      <c r="A126" s="103"/>
      <c r="B126" s="23"/>
      <c r="C126" s="34"/>
      <c r="D126" s="34"/>
    </row>
    <row r="127" spans="1:4" ht="20.25" x14ac:dyDescent="0.25">
      <c r="A127" s="103"/>
      <c r="B127" s="23"/>
      <c r="C127" s="34"/>
      <c r="D127" s="34"/>
    </row>
    <row r="128" spans="1:4" ht="20.25" x14ac:dyDescent="0.25">
      <c r="A128" s="103"/>
      <c r="B128" s="23"/>
      <c r="C128" s="34"/>
      <c r="D128" s="34"/>
    </row>
    <row r="129" spans="1:4" ht="20.25" x14ac:dyDescent="0.25">
      <c r="A129" s="103"/>
      <c r="B129" s="23"/>
      <c r="C129" s="34"/>
      <c r="D129" s="34"/>
    </row>
    <row r="130" spans="1:4" ht="20.25" x14ac:dyDescent="0.25">
      <c r="A130" s="103"/>
      <c r="B130" s="23"/>
      <c r="C130" s="34"/>
      <c r="D130" s="34"/>
    </row>
    <row r="131" spans="1:4" ht="20.25" x14ac:dyDescent="0.25">
      <c r="A131" s="103"/>
      <c r="B131" s="23"/>
      <c r="C131" s="34"/>
      <c r="D131" s="34"/>
    </row>
    <row r="132" spans="1:4" ht="20.25" x14ac:dyDescent="0.25">
      <c r="A132" s="103"/>
      <c r="B132" s="23"/>
      <c r="C132" s="34"/>
      <c r="D132" s="34"/>
    </row>
    <row r="133" spans="1:4" ht="20.25" x14ac:dyDescent="0.25">
      <c r="A133" s="103"/>
      <c r="B133" s="23"/>
      <c r="C133" s="34"/>
      <c r="D133" s="34"/>
    </row>
    <row r="134" spans="1:4" ht="20.25" x14ac:dyDescent="0.25">
      <c r="A134" s="103"/>
      <c r="B134" s="23"/>
      <c r="C134" s="34"/>
      <c r="D134" s="34"/>
    </row>
    <row r="135" spans="1:4" ht="20.25" x14ac:dyDescent="0.25">
      <c r="A135" s="103"/>
      <c r="B135" s="23"/>
      <c r="C135" s="34"/>
      <c r="D135" s="34"/>
    </row>
    <row r="136" spans="1:4" ht="20.25" x14ac:dyDescent="0.25">
      <c r="A136" s="103"/>
      <c r="B136" s="23"/>
      <c r="C136" s="34"/>
      <c r="D136" s="34"/>
    </row>
    <row r="137" spans="1:4" ht="20.25" x14ac:dyDescent="0.25">
      <c r="A137" s="103"/>
      <c r="B137" s="23"/>
      <c r="C137" s="34"/>
      <c r="D137" s="34"/>
    </row>
    <row r="138" spans="1:4" ht="20.25" x14ac:dyDescent="0.25">
      <c r="A138" s="103"/>
      <c r="B138" s="23"/>
      <c r="C138" s="34"/>
      <c r="D138" s="34"/>
    </row>
    <row r="139" spans="1:4" ht="20.25" x14ac:dyDescent="0.25">
      <c r="A139" s="103"/>
      <c r="B139" s="23"/>
      <c r="C139" s="34"/>
      <c r="D139" s="34"/>
    </row>
    <row r="140" spans="1:4" ht="20.25" x14ac:dyDescent="0.25">
      <c r="A140" s="103"/>
      <c r="B140" s="23"/>
      <c r="C140" s="34"/>
      <c r="D140" s="34"/>
    </row>
    <row r="141" spans="1:4" ht="20.25" x14ac:dyDescent="0.25">
      <c r="A141" s="103"/>
      <c r="B141" s="23"/>
      <c r="C141" s="34"/>
      <c r="D141" s="34"/>
    </row>
    <row r="142" spans="1:4" ht="20.25" x14ac:dyDescent="0.25">
      <c r="A142" s="103"/>
      <c r="B142" s="23"/>
      <c r="C142" s="34"/>
      <c r="D142" s="34"/>
    </row>
    <row r="143" spans="1:4" ht="20.25" x14ac:dyDescent="0.25">
      <c r="A143" s="103"/>
      <c r="B143" s="23"/>
      <c r="C143" s="34"/>
      <c r="D143" s="34"/>
    </row>
    <row r="144" spans="1:4" ht="20.25" x14ac:dyDescent="0.25">
      <c r="A144" s="103"/>
      <c r="B144" s="23"/>
      <c r="C144" s="34"/>
      <c r="D144" s="34"/>
    </row>
    <row r="145" spans="1:4" ht="20.25" x14ac:dyDescent="0.25">
      <c r="A145" s="103"/>
      <c r="B145" s="23"/>
      <c r="C145" s="34"/>
      <c r="D145" s="34"/>
    </row>
    <row r="146" spans="1:4" ht="20.25" x14ac:dyDescent="0.25">
      <c r="A146" s="103"/>
      <c r="B146" s="23"/>
      <c r="C146" s="34"/>
      <c r="D146" s="34"/>
    </row>
    <row r="147" spans="1:4" ht="20.25" x14ac:dyDescent="0.25">
      <c r="A147" s="103"/>
      <c r="B147" s="23"/>
      <c r="C147" s="34"/>
      <c r="D147" s="34"/>
    </row>
    <row r="148" spans="1:4" ht="20.25" x14ac:dyDescent="0.25">
      <c r="A148" s="103"/>
      <c r="B148" s="23"/>
      <c r="C148" s="34"/>
      <c r="D148" s="34"/>
    </row>
    <row r="149" spans="1:4" ht="20.25" x14ac:dyDescent="0.25">
      <c r="A149" s="103"/>
      <c r="B149" s="23"/>
      <c r="C149" s="34"/>
      <c r="D149" s="34"/>
    </row>
    <row r="150" spans="1:4" ht="20.25" x14ac:dyDescent="0.25">
      <c r="A150" s="103"/>
      <c r="B150" s="23"/>
      <c r="C150" s="34"/>
      <c r="D150" s="34"/>
    </row>
    <row r="151" spans="1:4" ht="20.25" x14ac:dyDescent="0.25">
      <c r="A151" s="103"/>
      <c r="B151" s="23"/>
      <c r="C151" s="34"/>
      <c r="D151" s="34"/>
    </row>
    <row r="152" spans="1:4" ht="20.25" x14ac:dyDescent="0.25">
      <c r="A152" s="103"/>
      <c r="B152" s="23"/>
      <c r="C152" s="34"/>
      <c r="D152" s="34"/>
    </row>
    <row r="153" spans="1:4" ht="20.25" x14ac:dyDescent="0.25">
      <c r="A153" s="103"/>
      <c r="B153" s="23"/>
      <c r="C153" s="34"/>
      <c r="D153" s="34"/>
    </row>
    <row r="154" spans="1:4" ht="20.25" x14ac:dyDescent="0.25">
      <c r="A154" s="103"/>
      <c r="B154" s="23"/>
      <c r="C154" s="34"/>
      <c r="D154" s="34"/>
    </row>
    <row r="155" spans="1:4" ht="20.25" x14ac:dyDescent="0.25">
      <c r="A155" s="103"/>
      <c r="B155" s="23"/>
      <c r="C155" s="34"/>
      <c r="D155" s="34"/>
    </row>
    <row r="156" spans="1:4" ht="20.25" x14ac:dyDescent="0.25">
      <c r="A156" s="103"/>
      <c r="B156" s="23"/>
      <c r="C156" s="34"/>
      <c r="D156" s="34"/>
    </row>
    <row r="157" spans="1:4" ht="20.25" x14ac:dyDescent="0.25">
      <c r="A157" s="103"/>
      <c r="B157" s="23"/>
      <c r="C157" s="34"/>
      <c r="D157" s="34"/>
    </row>
    <row r="158" spans="1:4" ht="20.25" x14ac:dyDescent="0.25">
      <c r="A158" s="103"/>
      <c r="B158" s="23"/>
      <c r="C158" s="34"/>
      <c r="D158" s="34"/>
    </row>
    <row r="159" spans="1:4" ht="20.25" x14ac:dyDescent="0.25">
      <c r="A159" s="103"/>
      <c r="B159" s="23"/>
      <c r="C159" s="34"/>
      <c r="D159" s="34"/>
    </row>
    <row r="160" spans="1:4" ht="20.25" x14ac:dyDescent="0.25">
      <c r="A160" s="103"/>
      <c r="B160" s="23"/>
      <c r="C160" s="34"/>
      <c r="D160" s="34"/>
    </row>
    <row r="161" spans="1:4" ht="20.25" x14ac:dyDescent="0.25">
      <c r="A161" s="103"/>
      <c r="B161" s="23"/>
      <c r="C161" s="34"/>
      <c r="D161" s="34"/>
    </row>
    <row r="162" spans="1:4" ht="20.25" x14ac:dyDescent="0.25">
      <c r="A162" s="103"/>
      <c r="B162" s="23"/>
      <c r="C162" s="34"/>
      <c r="D162" s="34"/>
    </row>
    <row r="163" spans="1:4" ht="20.25" x14ac:dyDescent="0.25">
      <c r="A163" s="103"/>
      <c r="B163" s="23"/>
      <c r="C163" s="34"/>
      <c r="D163" s="34"/>
    </row>
    <row r="164" spans="1:4" ht="20.25" x14ac:dyDescent="0.25">
      <c r="A164" s="103"/>
      <c r="B164" s="23"/>
      <c r="C164" s="34"/>
      <c r="D164" s="34"/>
    </row>
    <row r="165" spans="1:4" ht="20.25" x14ac:dyDescent="0.25">
      <c r="A165" s="103"/>
      <c r="B165" s="23"/>
      <c r="C165" s="34"/>
      <c r="D165" s="34"/>
    </row>
    <row r="166" spans="1:4" ht="20.25" x14ac:dyDescent="0.25">
      <c r="A166" s="103"/>
      <c r="B166" s="23"/>
      <c r="C166" s="34"/>
      <c r="D166" s="34"/>
    </row>
    <row r="167" spans="1:4" ht="20.25" x14ac:dyDescent="0.25">
      <c r="A167" s="103"/>
      <c r="B167" s="23"/>
      <c r="C167" s="34"/>
      <c r="D167" s="34"/>
    </row>
    <row r="168" spans="1:4" ht="20.25" x14ac:dyDescent="0.25">
      <c r="A168" s="103"/>
      <c r="B168" s="23"/>
      <c r="C168" s="34"/>
      <c r="D168" s="34"/>
    </row>
    <row r="169" spans="1:4" ht="20.25" x14ac:dyDescent="0.25">
      <c r="A169" s="103"/>
      <c r="B169" s="23"/>
      <c r="C169" s="34"/>
      <c r="D169" s="34"/>
    </row>
    <row r="170" spans="1:4" ht="20.25" x14ac:dyDescent="0.25">
      <c r="A170" s="103"/>
      <c r="B170" s="23"/>
      <c r="C170" s="34"/>
      <c r="D170" s="34"/>
    </row>
    <row r="171" spans="1:4" ht="20.25" x14ac:dyDescent="0.25">
      <c r="A171" s="103"/>
      <c r="B171" s="23"/>
      <c r="C171" s="34"/>
      <c r="D171" s="34"/>
    </row>
    <row r="172" spans="1:4" ht="20.25" x14ac:dyDescent="0.25">
      <c r="A172" s="103"/>
      <c r="B172" s="23"/>
      <c r="C172" s="34"/>
      <c r="D172" s="34"/>
    </row>
    <row r="173" spans="1:4" ht="20.25" x14ac:dyDescent="0.25">
      <c r="A173" s="103"/>
      <c r="B173" s="23"/>
      <c r="C173" s="34"/>
      <c r="D173" s="34"/>
    </row>
    <row r="174" spans="1:4" ht="20.25" x14ac:dyDescent="0.25">
      <c r="A174" s="103"/>
      <c r="B174" s="23"/>
      <c r="C174" s="34"/>
      <c r="D174" s="34"/>
    </row>
    <row r="175" spans="1:4" ht="20.25" x14ac:dyDescent="0.25">
      <c r="A175" s="103"/>
      <c r="B175" s="23"/>
      <c r="C175" s="34"/>
      <c r="D175" s="34"/>
    </row>
    <row r="176" spans="1:4" ht="20.25" x14ac:dyDescent="0.25">
      <c r="A176" s="103"/>
      <c r="B176" s="23"/>
      <c r="C176" s="34"/>
      <c r="D176" s="34"/>
    </row>
    <row r="177" spans="1:4" ht="20.25" x14ac:dyDescent="0.25">
      <c r="A177" s="103"/>
      <c r="B177" s="23"/>
      <c r="C177" s="34"/>
      <c r="D177" s="34"/>
    </row>
    <row r="178" spans="1:4" ht="20.25" x14ac:dyDescent="0.25">
      <c r="A178" s="103"/>
      <c r="B178" s="23"/>
      <c r="C178" s="34"/>
      <c r="D178" s="34"/>
    </row>
    <row r="179" spans="1:4" ht="20.25" x14ac:dyDescent="0.25">
      <c r="A179" s="103"/>
      <c r="B179" s="23"/>
      <c r="C179" s="34"/>
      <c r="D179" s="34"/>
    </row>
    <row r="180" spans="1:4" ht="20.25" x14ac:dyDescent="0.25">
      <c r="A180" s="103"/>
      <c r="B180" s="23"/>
      <c r="C180" s="34"/>
      <c r="D180" s="34"/>
    </row>
    <row r="181" spans="1:4" ht="20.25" x14ac:dyDescent="0.25">
      <c r="A181" s="103"/>
      <c r="B181" s="23"/>
      <c r="C181" s="34"/>
      <c r="D181" s="34"/>
    </row>
    <row r="182" spans="1:4" ht="20.25" x14ac:dyDescent="0.25">
      <c r="A182" s="103"/>
      <c r="B182" s="23"/>
      <c r="C182" s="34"/>
      <c r="D182" s="34"/>
    </row>
    <row r="183" spans="1:4" ht="20.25" x14ac:dyDescent="0.25">
      <c r="A183" s="103"/>
      <c r="B183" s="23"/>
      <c r="C183" s="34"/>
      <c r="D183" s="34"/>
    </row>
    <row r="184" spans="1:4" ht="20.25" x14ac:dyDescent="0.25">
      <c r="A184" s="103"/>
      <c r="B184" s="23"/>
      <c r="C184" s="34"/>
      <c r="D184" s="34"/>
    </row>
    <row r="185" spans="1:4" ht="20.25" x14ac:dyDescent="0.25">
      <c r="A185" s="103"/>
      <c r="B185" s="23"/>
      <c r="C185" s="34"/>
      <c r="D185" s="34"/>
    </row>
    <row r="186" spans="1:4" ht="20.25" x14ac:dyDescent="0.25">
      <c r="A186" s="103"/>
      <c r="B186" s="23"/>
      <c r="C186" s="34"/>
      <c r="D186" s="34"/>
    </row>
    <row r="187" spans="1:4" ht="20.25" x14ac:dyDescent="0.25">
      <c r="A187" s="103"/>
      <c r="B187" s="23"/>
      <c r="C187" s="34"/>
      <c r="D187" s="34"/>
    </row>
    <row r="188" spans="1:4" ht="20.25" x14ac:dyDescent="0.25">
      <c r="A188" s="103"/>
      <c r="B188" s="23"/>
      <c r="C188" s="34"/>
      <c r="D188" s="34"/>
    </row>
    <row r="189" spans="1:4" ht="20.25" x14ac:dyDescent="0.25">
      <c r="A189" s="103"/>
      <c r="B189" s="23"/>
      <c r="C189" s="34"/>
      <c r="D189" s="34"/>
    </row>
    <row r="190" spans="1:4" ht="20.25" x14ac:dyDescent="0.25">
      <c r="A190" s="103"/>
      <c r="B190" s="23"/>
      <c r="C190" s="34"/>
      <c r="D190" s="34"/>
    </row>
    <row r="191" spans="1:4" ht="20.25" x14ac:dyDescent="0.25">
      <c r="A191" s="103"/>
      <c r="B191" s="23"/>
      <c r="C191" s="34"/>
      <c r="D191" s="34"/>
    </row>
    <row r="192" spans="1:4" ht="20.25" x14ac:dyDescent="0.25">
      <c r="A192" s="103"/>
      <c r="B192" s="23"/>
      <c r="C192" s="34"/>
      <c r="D192" s="34"/>
    </row>
    <row r="193" spans="1:4" ht="20.25" x14ac:dyDescent="0.25">
      <c r="A193" s="103"/>
      <c r="B193" s="23"/>
      <c r="C193" s="34"/>
      <c r="D193" s="34"/>
    </row>
    <row r="194" spans="1:4" ht="20.25" x14ac:dyDescent="0.25">
      <c r="A194" s="103"/>
      <c r="B194" s="23"/>
      <c r="C194" s="34"/>
      <c r="D194" s="34"/>
    </row>
    <row r="195" spans="1:4" ht="20.25" x14ac:dyDescent="0.25">
      <c r="A195" s="103"/>
      <c r="B195" s="23"/>
      <c r="C195" s="34"/>
      <c r="D195" s="34"/>
    </row>
    <row r="196" spans="1:4" ht="20.25" x14ac:dyDescent="0.25">
      <c r="A196" s="103"/>
      <c r="B196" s="23"/>
      <c r="C196" s="34"/>
      <c r="D196" s="34"/>
    </row>
    <row r="197" spans="1:4" ht="20.25" x14ac:dyDescent="0.25">
      <c r="A197" s="103"/>
      <c r="B197" s="23"/>
      <c r="C197" s="34"/>
      <c r="D197" s="34"/>
    </row>
    <row r="198" spans="1:4" ht="20.25" x14ac:dyDescent="0.25">
      <c r="A198" s="103"/>
      <c r="B198" s="23"/>
      <c r="C198" s="34"/>
      <c r="D198" s="34"/>
    </row>
    <row r="199" spans="1:4" ht="20.25" x14ac:dyDescent="0.25">
      <c r="A199" s="103"/>
      <c r="B199" s="23"/>
      <c r="C199" s="34"/>
      <c r="D199" s="34"/>
    </row>
    <row r="200" spans="1:4" ht="20.25" x14ac:dyDescent="0.25">
      <c r="A200" s="103"/>
      <c r="B200" s="23"/>
      <c r="C200" s="34"/>
      <c r="D200" s="34"/>
    </row>
    <row r="201" spans="1:4" ht="20.25" x14ac:dyDescent="0.25">
      <c r="A201" s="103"/>
      <c r="B201" s="23"/>
      <c r="C201" s="34"/>
      <c r="D201" s="34"/>
    </row>
    <row r="202" spans="1:4" ht="20.25" x14ac:dyDescent="0.25">
      <c r="A202" s="103"/>
      <c r="B202" s="23"/>
      <c r="C202" s="34"/>
      <c r="D202" s="34"/>
    </row>
    <row r="203" spans="1:4" ht="20.25" x14ac:dyDescent="0.25">
      <c r="A203" s="103"/>
      <c r="B203" s="23"/>
      <c r="C203" s="34"/>
      <c r="D203" s="34"/>
    </row>
    <row r="204" spans="1:4" ht="20.25" x14ac:dyDescent="0.25">
      <c r="A204" s="103"/>
      <c r="B204" s="23"/>
      <c r="C204" s="34"/>
      <c r="D204" s="34"/>
    </row>
    <row r="205" spans="1:4" ht="20.25" x14ac:dyDescent="0.25">
      <c r="A205" s="103"/>
      <c r="B205" s="23"/>
      <c r="C205" s="34"/>
      <c r="D205" s="34"/>
    </row>
    <row r="206" spans="1:4" ht="20.25" x14ac:dyDescent="0.25">
      <c r="A206" s="103"/>
      <c r="B206" s="23"/>
      <c r="C206" s="34"/>
      <c r="D206" s="34"/>
    </row>
    <row r="207" spans="1:4" ht="20.25" x14ac:dyDescent="0.25">
      <c r="A207" s="103"/>
      <c r="B207" s="23"/>
      <c r="C207" s="34"/>
      <c r="D207" s="34"/>
    </row>
    <row r="208" spans="1:4" x14ac:dyDescent="0.25">
      <c r="A208" s="83"/>
      <c r="B208" s="23"/>
      <c r="C208" s="23"/>
      <c r="D208" s="23"/>
    </row>
    <row r="209" spans="1:8" ht="20.25" x14ac:dyDescent="0.25">
      <c r="A209" s="83"/>
      <c r="B209" s="30" t="s">
        <v>153</v>
      </c>
      <c r="C209" s="30" t="s">
        <v>154</v>
      </c>
      <c r="D209" s="33" t="s">
        <v>153</v>
      </c>
      <c r="E209" s="33" t="s">
        <v>154</v>
      </c>
    </row>
    <row r="210" spans="1:8" ht="21" x14ac:dyDescent="0.35">
      <c r="A210" s="83"/>
      <c r="B210" s="31" t="s">
        <v>155</v>
      </c>
      <c r="C210" s="31" t="s">
        <v>156</v>
      </c>
      <c r="D210" t="s">
        <v>155</v>
      </c>
      <c r="F210" t="str">
        <f>IF(NOT(ISBLANK(D210)),D210,IF(NOT(ISBLANK(E210)),"     "&amp;E210,FALSE))</f>
        <v>Afectación Económica o presupuestal</v>
      </c>
      <c r="G210" t="s">
        <v>155</v>
      </c>
      <c r="H210" t="str">
        <f>IF(NOT(ISERROR(MATCH(G210,_xlfn.ANCHORARRAY(B221),0))),F228&amp;"Por favor no seleccionar los criterios de impacto",G210)</f>
        <v>❌Por favor no seleccionar los criterios de impacto</v>
      </c>
    </row>
    <row r="211" spans="1:8" ht="21" x14ac:dyDescent="0.35">
      <c r="A211" s="83"/>
      <c r="B211" s="31" t="s">
        <v>155</v>
      </c>
      <c r="C211" s="31" t="s">
        <v>128</v>
      </c>
      <c r="E211" t="s">
        <v>156</v>
      </c>
      <c r="F211" t="str">
        <f t="shared" ref="F211:F221" si="0">IF(NOT(ISBLANK(D211)),D211,IF(NOT(ISBLANK(E211)),"     "&amp;E211,FALSE))</f>
        <v xml:space="preserve">     Afectación menor a 10 SMLMV .</v>
      </c>
    </row>
    <row r="212" spans="1:8" ht="21" x14ac:dyDescent="0.35">
      <c r="A212" s="83"/>
      <c r="B212" s="31" t="s">
        <v>155</v>
      </c>
      <c r="C212" s="31" t="s">
        <v>131</v>
      </c>
      <c r="E212" t="s">
        <v>128</v>
      </c>
      <c r="F212" t="str">
        <f t="shared" si="0"/>
        <v xml:space="preserve">     Entre 10 y 50 SMLMV </v>
      </c>
    </row>
    <row r="213" spans="1:8" ht="21" x14ac:dyDescent="0.35">
      <c r="A213" s="83"/>
      <c r="B213" s="31" t="s">
        <v>155</v>
      </c>
      <c r="C213" s="31" t="s">
        <v>135</v>
      </c>
      <c r="E213" t="s">
        <v>131</v>
      </c>
      <c r="F213" t="str">
        <f t="shared" si="0"/>
        <v xml:space="preserve">     Entre 50 y 100 SMLMV </v>
      </c>
    </row>
    <row r="214" spans="1:8" ht="21" x14ac:dyDescent="0.35">
      <c r="A214" s="83"/>
      <c r="B214" s="31" t="s">
        <v>155</v>
      </c>
      <c r="C214" s="31" t="s">
        <v>139</v>
      </c>
      <c r="E214" t="s">
        <v>135</v>
      </c>
      <c r="F214" t="str">
        <f t="shared" si="0"/>
        <v xml:space="preserve">     Entre 100 y 500 SMLMV </v>
      </c>
    </row>
    <row r="215" spans="1:8" ht="21" x14ac:dyDescent="0.35">
      <c r="A215" s="83"/>
      <c r="B215" s="31" t="s">
        <v>121</v>
      </c>
      <c r="C215" s="31" t="s">
        <v>125</v>
      </c>
      <c r="E215" t="s">
        <v>139</v>
      </c>
      <c r="F215" t="str">
        <f t="shared" si="0"/>
        <v xml:space="preserve">     Mayor a 500 SMLMV </v>
      </c>
    </row>
    <row r="216" spans="1:8" ht="21" x14ac:dyDescent="0.35">
      <c r="A216" s="83"/>
      <c r="B216" s="31" t="s">
        <v>121</v>
      </c>
      <c r="C216" s="31" t="s">
        <v>129</v>
      </c>
      <c r="D216" t="s">
        <v>121</v>
      </c>
      <c r="F216" t="str">
        <f t="shared" si="0"/>
        <v>Pérdida Reputacional</v>
      </c>
    </row>
    <row r="217" spans="1:8" ht="21" x14ac:dyDescent="0.35">
      <c r="A217" s="83"/>
      <c r="B217" s="31" t="s">
        <v>121</v>
      </c>
      <c r="C217" s="31" t="s">
        <v>132</v>
      </c>
      <c r="E217" t="s">
        <v>125</v>
      </c>
      <c r="F217" t="str">
        <f t="shared" si="0"/>
        <v xml:space="preserve">     El riesgo afecta la imagen de alguna área de la organización</v>
      </c>
    </row>
    <row r="218" spans="1:8" ht="21" x14ac:dyDescent="0.35">
      <c r="A218" s="83"/>
      <c r="B218" s="31" t="s">
        <v>121</v>
      </c>
      <c r="C218" s="31" t="s">
        <v>136</v>
      </c>
      <c r="E218" t="s">
        <v>129</v>
      </c>
      <c r="F218" t="str">
        <f t="shared" si="0"/>
        <v xml:space="preserve">     El riesgo afecta la imagen de la entidad internamente, de conocimiento general, nivel interno, de junta dircetiva y accionistas y/o de provedores</v>
      </c>
    </row>
    <row r="219" spans="1:8" ht="21" x14ac:dyDescent="0.35">
      <c r="A219" s="83"/>
      <c r="B219" s="31" t="s">
        <v>121</v>
      </c>
      <c r="C219" s="31" t="s">
        <v>140</v>
      </c>
      <c r="E219" t="s">
        <v>132</v>
      </c>
      <c r="F219" t="str">
        <f t="shared" si="0"/>
        <v xml:space="preserve">     El riesgo afecta la imagen de la entidad con algunos usuarios de relevancia frente al logro de los objetivos</v>
      </c>
    </row>
    <row r="220" spans="1:8" x14ac:dyDescent="0.25">
      <c r="A220" s="83"/>
      <c r="B220" s="32"/>
      <c r="C220" s="32"/>
      <c r="E220" t="s">
        <v>136</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140</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c r="F222" t="s">
        <v>236</v>
      </c>
    </row>
    <row r="223" spans="1:8" x14ac:dyDescent="0.25">
      <c r="B223" s="32" t="str">
        <v>Pérdida Reputacional</v>
      </c>
      <c r="C223" s="32"/>
      <c r="F223" t="s">
        <v>237</v>
      </c>
    </row>
    <row r="224" spans="1:8" x14ac:dyDescent="0.25">
      <c r="B224" s="22"/>
      <c r="C224" s="22"/>
      <c r="F224" t="s">
        <v>238</v>
      </c>
    </row>
    <row r="225" spans="2:6" x14ac:dyDescent="0.25">
      <c r="B225" s="22"/>
      <c r="C225" s="22"/>
      <c r="F225" t="s">
        <v>239</v>
      </c>
    </row>
    <row r="226" spans="2:6" x14ac:dyDescent="0.25">
      <c r="B226" s="22"/>
      <c r="C226" s="22"/>
      <c r="F226" t="s">
        <v>240</v>
      </c>
    </row>
    <row r="227" spans="2:6" x14ac:dyDescent="0.25">
      <c r="B227" s="22"/>
      <c r="C227" s="22"/>
      <c r="D227" s="22"/>
      <c r="F227" t="s">
        <v>242</v>
      </c>
    </row>
    <row r="228" spans="2:6" x14ac:dyDescent="0.25">
      <c r="B228" s="22"/>
      <c r="C228" s="22"/>
      <c r="D228" s="22"/>
      <c r="F228" s="35" t="s">
        <v>157</v>
      </c>
    </row>
    <row r="229" spans="2:6" x14ac:dyDescent="0.25">
      <c r="B229" s="22"/>
      <c r="C229" s="22"/>
      <c r="D229" s="22"/>
      <c r="F229" s="35" t="s">
        <v>158</v>
      </c>
    </row>
    <row r="230" spans="2:6" x14ac:dyDescent="0.25">
      <c r="B230" s="22"/>
      <c r="C230" s="22"/>
      <c r="D230" s="22"/>
    </row>
    <row r="231" spans="2:6" x14ac:dyDescent="0.25">
      <c r="B231" s="22"/>
      <c r="C231" s="22"/>
      <c r="D231" s="22"/>
    </row>
    <row r="232" spans="2:6" x14ac:dyDescent="0.25">
      <c r="B232" s="22"/>
      <c r="C232" s="22"/>
      <c r="D232" s="22"/>
    </row>
  </sheetData>
  <mergeCells count="1">
    <mergeCell ref="B1:D1"/>
  </mergeCells>
  <dataValidations count="1">
    <dataValidation type="list" allowBlank="1" showInputMessage="1" showErrorMessage="1" sqref="G210" xr:uid="{00000000-0002-0000-0700-000000000000}">
      <formula1>$F$210:$F$221</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C2:J21"/>
  <sheetViews>
    <sheetView showGridLines="0" workbookViewId="0">
      <selection activeCell="J9" sqref="J9"/>
    </sheetView>
  </sheetViews>
  <sheetFormatPr baseColWidth="10" defaultRowHeight="15.75" x14ac:dyDescent="0.25"/>
  <cols>
    <col min="1" max="3" width="11.42578125" style="171"/>
    <col min="4" max="4" width="25.42578125" style="171" customWidth="1"/>
    <col min="5" max="5" width="22.5703125" style="171" customWidth="1"/>
    <col min="6" max="6" width="23.7109375" style="171" customWidth="1"/>
    <col min="7" max="7" width="45.85546875" style="171" customWidth="1"/>
    <col min="8" max="16384" width="11.42578125" style="171"/>
  </cols>
  <sheetData>
    <row r="2" spans="3:10" ht="16.5" thickBot="1" x14ac:dyDescent="0.3"/>
    <row r="3" spans="3:10" ht="32.25" thickBot="1" x14ac:dyDescent="0.3">
      <c r="C3" s="172" t="s">
        <v>243</v>
      </c>
      <c r="D3" s="173" t="s">
        <v>244</v>
      </c>
      <c r="E3" s="500" t="s">
        <v>245</v>
      </c>
      <c r="F3" s="501"/>
      <c r="G3" s="502"/>
      <c r="J3" s="197" t="s">
        <v>13</v>
      </c>
    </row>
    <row r="4" spans="3:10" x14ac:dyDescent="0.25">
      <c r="C4" s="496">
        <v>1</v>
      </c>
      <c r="D4" s="174" t="s">
        <v>9</v>
      </c>
      <c r="E4" s="175" t="s">
        <v>247</v>
      </c>
      <c r="F4" s="175" t="s">
        <v>249</v>
      </c>
      <c r="G4" s="199" t="s">
        <v>251</v>
      </c>
      <c r="H4" s="200"/>
      <c r="J4" s="198">
        <f>+H4*H7*H11*H14*H17*H20</f>
        <v>0</v>
      </c>
    </row>
    <row r="5" spans="3:10" x14ac:dyDescent="0.25">
      <c r="C5" s="503"/>
      <c r="D5" s="176"/>
      <c r="E5" s="175"/>
      <c r="F5" s="175"/>
      <c r="G5" s="175"/>
    </row>
    <row r="6" spans="3:10" ht="63.75" thickBot="1" x14ac:dyDescent="0.3">
      <c r="C6" s="497"/>
      <c r="D6" s="177" t="s">
        <v>246</v>
      </c>
      <c r="E6" s="178" t="s">
        <v>248</v>
      </c>
      <c r="F6" s="178" t="s">
        <v>250</v>
      </c>
      <c r="G6" s="180" t="s">
        <v>252</v>
      </c>
      <c r="H6" s="196"/>
    </row>
    <row r="7" spans="3:10" x14ac:dyDescent="0.25">
      <c r="C7" s="496">
        <v>2</v>
      </c>
      <c r="D7" s="174" t="s">
        <v>91</v>
      </c>
      <c r="E7" s="175" t="s">
        <v>255</v>
      </c>
      <c r="F7" s="175" t="s">
        <v>257</v>
      </c>
      <c r="G7" s="199" t="s">
        <v>259</v>
      </c>
      <c r="H7" s="200"/>
    </row>
    <row r="8" spans="3:10" x14ac:dyDescent="0.25">
      <c r="C8" s="503"/>
      <c r="D8" s="176"/>
      <c r="E8" s="175"/>
      <c r="F8" s="175"/>
      <c r="G8" s="175"/>
    </row>
    <row r="9" spans="3:10" ht="78.75" x14ac:dyDescent="0.25">
      <c r="C9" s="503"/>
      <c r="D9" s="174" t="s">
        <v>253</v>
      </c>
      <c r="E9" s="175" t="s">
        <v>256</v>
      </c>
      <c r="F9" s="175" t="s">
        <v>258</v>
      </c>
      <c r="G9" s="175" t="s">
        <v>260</v>
      </c>
    </row>
    <row r="10" spans="3:10" ht="16.5" thickBot="1" x14ac:dyDescent="0.3">
      <c r="C10" s="497"/>
      <c r="D10" s="177" t="s">
        <v>254</v>
      </c>
      <c r="E10" s="179"/>
      <c r="F10" s="179"/>
      <c r="G10" s="179"/>
    </row>
    <row r="11" spans="3:10" x14ac:dyDescent="0.25">
      <c r="C11" s="496">
        <v>3</v>
      </c>
      <c r="D11" s="174" t="s">
        <v>261</v>
      </c>
      <c r="E11" s="175" t="s">
        <v>263</v>
      </c>
      <c r="F11" s="175" t="s">
        <v>265</v>
      </c>
      <c r="G11" s="199" t="s">
        <v>267</v>
      </c>
      <c r="H11" s="200"/>
    </row>
    <row r="12" spans="3:10" x14ac:dyDescent="0.25">
      <c r="C12" s="503"/>
      <c r="D12" s="176"/>
      <c r="E12" s="175"/>
      <c r="F12" s="175"/>
      <c r="G12" s="175"/>
    </row>
    <row r="13" spans="3:10" ht="63.75" thickBot="1" x14ac:dyDescent="0.3">
      <c r="C13" s="497"/>
      <c r="D13" s="177" t="s">
        <v>262</v>
      </c>
      <c r="E13" s="178" t="s">
        <v>264</v>
      </c>
      <c r="F13" s="178" t="s">
        <v>266</v>
      </c>
      <c r="G13" s="178" t="s">
        <v>268</v>
      </c>
    </row>
    <row r="14" spans="3:10" x14ac:dyDescent="0.25">
      <c r="C14" s="496">
        <v>4</v>
      </c>
      <c r="D14" s="181" t="s">
        <v>269</v>
      </c>
      <c r="E14" s="182" t="s">
        <v>271</v>
      </c>
      <c r="F14" s="182" t="s">
        <v>272</v>
      </c>
      <c r="G14" s="201" t="s">
        <v>273</v>
      </c>
      <c r="H14" s="200"/>
    </row>
    <row r="15" spans="3:10" x14ac:dyDescent="0.25">
      <c r="C15" s="503"/>
      <c r="D15" s="176"/>
      <c r="E15" s="175"/>
      <c r="F15" s="175"/>
      <c r="G15" s="175"/>
    </row>
    <row r="16" spans="3:10" ht="111" thickBot="1" x14ac:dyDescent="0.3">
      <c r="C16" s="497"/>
      <c r="D16" s="177" t="s">
        <v>270</v>
      </c>
      <c r="E16" s="178" t="s">
        <v>287</v>
      </c>
      <c r="F16" s="178" t="s">
        <v>286</v>
      </c>
      <c r="G16" s="178" t="s">
        <v>274</v>
      </c>
    </row>
    <row r="17" spans="3:8" x14ac:dyDescent="0.25">
      <c r="C17" s="503">
        <v>5</v>
      </c>
      <c r="D17" s="174" t="s">
        <v>275</v>
      </c>
      <c r="E17" s="175" t="s">
        <v>255</v>
      </c>
      <c r="F17" s="175" t="s">
        <v>278</v>
      </c>
      <c r="G17" s="199" t="s">
        <v>259</v>
      </c>
      <c r="H17" s="200"/>
    </row>
    <row r="18" spans="3:8" x14ac:dyDescent="0.25">
      <c r="C18" s="503"/>
      <c r="D18" s="176"/>
      <c r="E18" s="175"/>
      <c r="F18" s="175"/>
      <c r="G18" s="175"/>
    </row>
    <row r="19" spans="3:8" ht="79.5" thickBot="1" x14ac:dyDescent="0.3">
      <c r="C19" s="497"/>
      <c r="D19" s="177" t="s">
        <v>276</v>
      </c>
      <c r="E19" s="178" t="s">
        <v>277</v>
      </c>
      <c r="F19" s="178" t="s">
        <v>279</v>
      </c>
      <c r="G19" s="178" t="s">
        <v>280</v>
      </c>
    </row>
    <row r="20" spans="3:8" x14ac:dyDescent="0.25">
      <c r="C20" s="496">
        <v>6</v>
      </c>
      <c r="D20" s="174" t="s">
        <v>281</v>
      </c>
      <c r="E20" s="175" t="s">
        <v>255</v>
      </c>
      <c r="F20" s="498" t="s">
        <v>284</v>
      </c>
      <c r="G20" s="199" t="s">
        <v>259</v>
      </c>
      <c r="H20" s="200"/>
    </row>
    <row r="21" spans="3:8" ht="79.5" thickBot="1" x14ac:dyDescent="0.3">
      <c r="C21" s="497"/>
      <c r="D21" s="177" t="s">
        <v>282</v>
      </c>
      <c r="E21" s="178" t="s">
        <v>283</v>
      </c>
      <c r="F21" s="499"/>
      <c r="G21" s="178" t="s">
        <v>285</v>
      </c>
    </row>
  </sheetData>
  <mergeCells count="8">
    <mergeCell ref="C20:C21"/>
    <mergeCell ref="F20:F21"/>
    <mergeCell ref="E3:G3"/>
    <mergeCell ref="C4:C6"/>
    <mergeCell ref="C7:C10"/>
    <mergeCell ref="C11:C13"/>
    <mergeCell ref="C14:C16"/>
    <mergeCell ref="C17:C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Instructivo</vt:lpstr>
      <vt:lpstr>Contexto proceso</vt:lpstr>
      <vt:lpstr>Mapa final</vt:lpstr>
      <vt:lpstr>Impacto-clasificacion</vt:lpstr>
      <vt:lpstr>Matriz Calor Inherente</vt:lpstr>
      <vt:lpstr>Matriz Calor Residual</vt:lpstr>
      <vt:lpstr>Tabla probabilidad</vt:lpstr>
      <vt:lpstr>Tabla Impacto</vt:lpstr>
      <vt:lpstr>Criterios riesgos amb.</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Luisa Fernanda Ibagon Moreno</cp:lastModifiedBy>
  <cp:revision/>
  <dcterms:created xsi:type="dcterms:W3CDTF">2020-03-24T23:12:47Z</dcterms:created>
  <dcterms:modified xsi:type="dcterms:W3CDTF">2022-04-27T20:51:22Z</dcterms:modified>
  <cp:category/>
  <cp:contentStatus/>
</cp:coreProperties>
</file>