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42273/"/>
    </mc:Choice>
  </mc:AlternateContent>
  <xr:revisionPtr revIDLastSave="376" documentId="8_{96A30A56-92C6-4A90-B511-622F7E5D09FA}" xr6:coauthVersionLast="47" xr6:coauthVersionMax="47" xr10:uidLastSave="{6117DAF2-FEE8-448D-9EF8-3AE364C1ECAF}"/>
  <bookViews>
    <workbookView xWindow="-120" yWindow="-120" windowWidth="20730" windowHeight="11160" tabRatio="882" firstSheet="1"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0"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3" l="1"/>
  <c r="T25" i="1"/>
  <c r="Q25" i="1"/>
  <c r="H25" i="1"/>
  <c r="K36" i="1"/>
  <c r="K28" i="1"/>
  <c r="K34" i="1"/>
  <c r="K49" i="1"/>
  <c r="K35" i="1"/>
  <c r="K38" i="1"/>
  <c r="K31" i="1"/>
  <c r="K41" i="1"/>
  <c r="K39" i="1"/>
  <c r="K30" i="1"/>
  <c r="K48" i="1"/>
  <c r="K32" i="1"/>
  <c r="F221" i="13"/>
  <c r="F211" i="13"/>
  <c r="F212" i="13"/>
  <c r="F213" i="13"/>
  <c r="F214" i="13"/>
  <c r="F215" i="13"/>
  <c r="F216" i="13"/>
  <c r="F217" i="13"/>
  <c r="F218" i="13"/>
  <c r="F219" i="13"/>
  <c r="F220" i="13"/>
  <c r="F210" i="13"/>
  <c r="K26" i="1"/>
  <c r="B221" i="13" a="1"/>
  <c r="B221" i="13"/>
  <c r="Q47"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7" i="1"/>
  <c r="X47" i="1" s="1"/>
  <c r="H47" i="1"/>
  <c r="I47" i="1" s="1"/>
  <c r="T42" i="1"/>
  <c r="Q42" i="1"/>
  <c r="H42" i="1"/>
  <c r="I42" i="1" s="1"/>
  <c r="T40" i="1"/>
  <c r="Q40" i="1"/>
  <c r="H40" i="1"/>
  <c r="I40" i="1" s="1"/>
  <c r="T37" i="1"/>
  <c r="Q37" i="1"/>
  <c r="H37" i="1"/>
  <c r="I37" i="1" s="1"/>
  <c r="T33" i="1"/>
  <c r="Q33" i="1"/>
  <c r="H33" i="1"/>
  <c r="T29" i="1"/>
  <c r="Q29" i="1"/>
  <c r="H29" i="1"/>
  <c r="I29" i="1" s="1"/>
  <c r="H27" i="1"/>
  <c r="I27" i="1" s="1"/>
  <c r="T27" i="1"/>
  <c r="Q27"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26" i="1"/>
  <c r="Q26" i="1"/>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K40" i="1"/>
  <c r="M40" i="1" s="1"/>
  <c r="K25" i="1"/>
  <c r="L25" i="1" s="1"/>
  <c r="M25" i="1" s="1"/>
  <c r="K33" i="1"/>
  <c r="L33" i="1" s="1"/>
  <c r="K29" i="1"/>
  <c r="L29" i="1" s="1"/>
  <c r="K47" i="1"/>
  <c r="L47" i="1" s="1"/>
  <c r="K42" i="1"/>
  <c r="K37" i="1"/>
  <c r="L37" i="1" s="1"/>
  <c r="K27" i="1"/>
  <c r="L27" i="1" s="1"/>
  <c r="M42" i="1"/>
  <c r="AH26" i="18"/>
  <c r="X42" i="1" l="1"/>
  <c r="Z42" i="1" s="1"/>
  <c r="AH18" i="18"/>
  <c r="AB42" i="1"/>
  <c r="AA42" i="1" s="1"/>
  <c r="X48" i="1"/>
  <c r="AI33" i="19" s="1"/>
  <c r="AB40" i="1"/>
  <c r="AA40" i="1" s="1"/>
  <c r="X41" i="1"/>
  <c r="N14" i="18"/>
  <c r="AG55" i="19"/>
  <c r="X37" i="1"/>
  <c r="Y37" i="1" s="1"/>
  <c r="AH10" i="18"/>
  <c r="P42" i="18"/>
  <c r="J18" i="18"/>
  <c r="AB42" i="18"/>
  <c r="T6" i="18"/>
  <c r="J26" i="18"/>
  <c r="AB10" i="18"/>
  <c r="V10" i="18"/>
  <c r="AB26" i="18"/>
  <c r="V34" i="18"/>
  <c r="AB18" i="18"/>
  <c r="V18" i="18"/>
  <c r="P26" i="18"/>
  <c r="J10" i="18"/>
  <c r="AB34" i="18"/>
  <c r="AH42" i="18"/>
  <c r="P10" i="18"/>
  <c r="P34" i="18"/>
  <c r="X32" i="1"/>
  <c r="P18" i="18"/>
  <c r="N42" i="1"/>
  <c r="J34" i="18"/>
  <c r="V26" i="18"/>
  <c r="V42" i="18"/>
  <c r="AH34" i="18"/>
  <c r="J42" i="18"/>
  <c r="T8" i="18"/>
  <c r="X27" i="1"/>
  <c r="Z27" i="1" s="1"/>
  <c r="AJ14" i="18"/>
  <c r="X36" i="1"/>
  <c r="X49" i="1"/>
  <c r="AD26" i="18"/>
  <c r="AJ32" i="18"/>
  <c r="T42" i="18"/>
  <c r="R45" i="19"/>
  <c r="X13" i="19"/>
  <c r="AF38" i="18"/>
  <c r="AL14" i="18"/>
  <c r="AJ38" i="18"/>
  <c r="Z30" i="18"/>
  <c r="AL38" i="18"/>
  <c r="AA35" i="19"/>
  <c r="X31" i="19"/>
  <c r="R21" i="19"/>
  <c r="V30" i="18"/>
  <c r="AF14" i="18"/>
  <c r="N29" i="1"/>
  <c r="Z14" i="18"/>
  <c r="M29" i="1"/>
  <c r="AB29" i="1" s="1"/>
  <c r="AA29" i="1" s="1"/>
  <c r="M27" i="1"/>
  <c r="AB27" i="1" s="1"/>
  <c r="AA27" i="1" s="1"/>
  <c r="AB24" i="18"/>
  <c r="AM55" i="19"/>
  <c r="V44" i="19"/>
  <c r="P22" i="18"/>
  <c r="AB25" i="1"/>
  <c r="AA25" i="1" s="1"/>
  <c r="AL10" i="18"/>
  <c r="R16" i="18"/>
  <c r="AG35" i="19"/>
  <c r="V32" i="18"/>
  <c r="AH22" i="18"/>
  <c r="AA25" i="19"/>
  <c r="P38" i="18"/>
  <c r="AB30" i="18"/>
  <c r="Z32" i="18"/>
  <c r="N40" i="18"/>
  <c r="AL40" i="18"/>
  <c r="Z24" i="18"/>
  <c r="X30" i="1"/>
  <c r="X29" i="1"/>
  <c r="X31" i="1"/>
  <c r="I33" i="1"/>
  <c r="X33" i="1" s="1"/>
  <c r="AB32" i="18"/>
  <c r="X39" i="1"/>
  <c r="X38" i="1"/>
  <c r="P14" i="18"/>
  <c r="AH14" i="18"/>
  <c r="AB38" i="18"/>
  <c r="AH30" i="18"/>
  <c r="J22" i="18"/>
  <c r="V22" i="18"/>
  <c r="J14" i="18"/>
  <c r="J30" i="18"/>
  <c r="J38" i="18"/>
  <c r="P30" i="18"/>
  <c r="N26" i="18"/>
  <c r="AF34" i="18"/>
  <c r="Z26" i="18"/>
  <c r="AF40" i="18"/>
  <c r="V6" i="18"/>
  <c r="AB22" i="18"/>
  <c r="T10" i="18"/>
  <c r="M33" i="1"/>
  <c r="AB33" i="1" s="1"/>
  <c r="AA33" i="1" s="1"/>
  <c r="AH12" i="18"/>
  <c r="P36" i="18"/>
  <c r="AD34" i="18"/>
  <c r="R34" i="18"/>
  <c r="T16" i="18"/>
  <c r="P6" i="18"/>
  <c r="V38" i="18"/>
  <c r="N18" i="18"/>
  <c r="Z6" i="18"/>
  <c r="T38" i="18"/>
  <c r="AF22" i="18"/>
  <c r="N38" i="18"/>
  <c r="Z22" i="18"/>
  <c r="Z38" i="18"/>
  <c r="T14" i="18"/>
  <c r="T22" i="18"/>
  <c r="N6" i="18"/>
  <c r="AL22" i="18"/>
  <c r="T30" i="18"/>
  <c r="N30" i="18"/>
  <c r="AJ11" i="19"/>
  <c r="X21" i="19"/>
  <c r="X41" i="19"/>
  <c r="R31" i="19"/>
  <c r="AD51" i="19"/>
  <c r="AD11" i="19"/>
  <c r="AD21" i="19"/>
  <c r="L11" i="19"/>
  <c r="AJ21" i="19"/>
  <c r="L31" i="19"/>
  <c r="O25" i="19"/>
  <c r="AM35" i="19"/>
  <c r="Y47" i="1"/>
  <c r="Z47" i="1"/>
  <c r="AA15" i="19"/>
  <c r="AM25" i="19"/>
  <c r="U45" i="19"/>
  <c r="AG15" i="19"/>
  <c r="R6" i="18"/>
  <c r="X38" i="18"/>
  <c r="L22" i="18"/>
  <c r="R22" i="18"/>
  <c r="U35" i="19"/>
  <c r="AM45" i="19"/>
  <c r="AB20" i="18"/>
  <c r="P8" i="18"/>
  <c r="P24" i="18"/>
  <c r="M47" i="1"/>
  <c r="AB47" i="1" s="1"/>
  <c r="AA47" i="1" s="1"/>
  <c r="AJ10" i="18"/>
  <c r="P28" i="18"/>
  <c r="J6" i="18"/>
  <c r="AH6" i="18"/>
  <c r="AB6" i="18"/>
  <c r="AB14" i="18"/>
  <c r="AH38" i="18"/>
  <c r="V14" i="18"/>
  <c r="AH24" i="18"/>
  <c r="AB40" i="18"/>
  <c r="AL6" i="18"/>
  <c r="AF30" i="18"/>
  <c r="AL30" i="18"/>
  <c r="AF6" i="18"/>
  <c r="N22" i="18"/>
  <c r="R42" i="18"/>
  <c r="X18" i="18"/>
  <c r="X28" i="1"/>
  <c r="X34" i="1"/>
  <c r="X35" i="1"/>
  <c r="N47" i="19"/>
  <c r="Y42" i="1"/>
  <c r="R24" i="18"/>
  <c r="R8" i="18"/>
  <c r="X40" i="18"/>
  <c r="X24" i="18"/>
  <c r="L40" i="18"/>
  <c r="X32" i="18"/>
  <c r="AD32" i="18"/>
  <c r="L8" i="18"/>
  <c r="AD24" i="18"/>
  <c r="N37" i="1"/>
  <c r="AJ8" i="18"/>
  <c r="X16" i="18"/>
  <c r="AJ40" i="18"/>
  <c r="AD16" i="18"/>
  <c r="L16" i="18"/>
  <c r="AJ16" i="18"/>
  <c r="AD8" i="18"/>
  <c r="X8" i="18"/>
  <c r="R40" i="18"/>
  <c r="AJ24" i="18"/>
  <c r="AD40" i="18"/>
  <c r="J12" i="18"/>
  <c r="AH36" i="18"/>
  <c r="L24" i="18"/>
  <c r="R32" i="18"/>
  <c r="Z42" i="18"/>
  <c r="N42" i="18"/>
  <c r="AF26" i="18"/>
  <c r="AF10" i="18"/>
  <c r="N10" i="18"/>
  <c r="AL42" i="18"/>
  <c r="T18" i="18"/>
  <c r="Z18" i="18"/>
  <c r="Z10" i="18"/>
  <c r="T34" i="18"/>
  <c r="AF18" i="18"/>
  <c r="Z34" i="18"/>
  <c r="N34" i="18"/>
  <c r="AF42" i="18"/>
  <c r="AL26" i="18"/>
  <c r="T26" i="18"/>
  <c r="AL18" i="18"/>
  <c r="AL34" i="18"/>
  <c r="AF32" i="18"/>
  <c r="AL8" i="18"/>
  <c r="T24" i="18"/>
  <c r="N16" i="18"/>
  <c r="N24" i="18"/>
  <c r="AF16" i="18"/>
  <c r="AL16" i="18"/>
  <c r="T40" i="18"/>
  <c r="AF8" i="18"/>
  <c r="AL24" i="18"/>
  <c r="Z8" i="18"/>
  <c r="T32" i="18"/>
  <c r="AL32" i="18"/>
  <c r="N40" i="1"/>
  <c r="AF24" i="18"/>
  <c r="Z40" i="18"/>
  <c r="Z16" i="18"/>
  <c r="N32" i="18"/>
  <c r="N8" i="18"/>
  <c r="M37" i="1"/>
  <c r="AB37" i="1" s="1"/>
  <c r="AA37" i="1" s="1"/>
  <c r="J44" i="18"/>
  <c r="P12" i="18"/>
  <c r="P20" i="18"/>
  <c r="V44" i="18"/>
  <c r="V28" i="18"/>
  <c r="AH28" i="18"/>
  <c r="AB28" i="18"/>
  <c r="AH20" i="18"/>
  <c r="J36" i="18"/>
  <c r="J28" i="18"/>
  <c r="AH44" i="18"/>
  <c r="V36" i="18"/>
  <c r="J20" i="18"/>
  <c r="AB12" i="18"/>
  <c r="AB44" i="18"/>
  <c r="V12" i="18"/>
  <c r="AB36" i="18"/>
  <c r="V20" i="18"/>
  <c r="P44" i="18"/>
  <c r="L32" i="18"/>
  <c r="X6" i="18"/>
  <c r="R30" i="18"/>
  <c r="N27" i="1"/>
  <c r="L30" i="18"/>
  <c r="AD6" i="18"/>
  <c r="X30" i="18"/>
  <c r="L38" i="18"/>
  <c r="AJ30" i="18"/>
  <c r="X22" i="18"/>
  <c r="AD22" i="18"/>
  <c r="R38" i="18"/>
  <c r="AD30" i="18"/>
  <c r="L14" i="18"/>
  <c r="AD14" i="18"/>
  <c r="L6" i="18"/>
  <c r="AD38" i="18"/>
  <c r="X14" i="18"/>
  <c r="R14" i="18"/>
  <c r="AJ22" i="18"/>
  <c r="AJ6" i="18"/>
  <c r="N33" i="1"/>
  <c r="AB8" i="18"/>
  <c r="AH8" i="18"/>
  <c r="AH16" i="18"/>
  <c r="V40" i="18"/>
  <c r="J16" i="18"/>
  <c r="AH32" i="18"/>
  <c r="X26" i="18"/>
  <c r="L34" i="18"/>
  <c r="L18" i="18"/>
  <c r="AD42" i="18"/>
  <c r="X34" i="18"/>
  <c r="L10" i="18"/>
  <c r="X42" i="18"/>
  <c r="AD36" i="19"/>
  <c r="N25" i="1"/>
  <c r="AF17" i="19"/>
  <c r="Z17" i="19"/>
  <c r="J32" i="18"/>
  <c r="J8" i="18"/>
  <c r="V8" i="18"/>
  <c r="P40" i="18"/>
  <c r="V24" i="18"/>
  <c r="V16" i="18"/>
  <c r="J40" i="18"/>
  <c r="N47" i="1"/>
  <c r="R10" i="18"/>
  <c r="AD18" i="18"/>
  <c r="R26" i="18"/>
  <c r="R18" i="18"/>
  <c r="L26" i="18"/>
  <c r="AD10" i="18"/>
  <c r="AD31" i="19"/>
  <c r="AJ51" i="19"/>
  <c r="L21" i="19"/>
  <c r="R11" i="19"/>
  <c r="R51" i="19"/>
  <c r="AJ31" i="19"/>
  <c r="L51" i="19"/>
  <c r="AD41" i="19"/>
  <c r="L41" i="19"/>
  <c r="X51" i="19"/>
  <c r="AJ41" i="19"/>
  <c r="X11" i="19"/>
  <c r="R41" i="19"/>
  <c r="J24" i="18"/>
  <c r="AH40" i="18"/>
  <c r="AB16" i="18"/>
  <c r="P16" i="18"/>
  <c r="P32" i="18"/>
  <c r="AJ18" i="18"/>
  <c r="AJ42" i="18"/>
  <c r="AJ26" i="18"/>
  <c r="AJ34" i="18"/>
  <c r="X10" i="18"/>
  <c r="L42" i="18"/>
  <c r="I25" i="1"/>
  <c r="X25" i="1" s="1"/>
  <c r="Z25" i="1" s="1"/>
  <c r="X26" i="1" s="1"/>
  <c r="X40" i="1"/>
  <c r="AF6" i="19"/>
  <c r="AL36" i="19"/>
  <c r="Z46" i="19"/>
  <c r="AF36" i="19"/>
  <c r="Z36" i="19"/>
  <c r="AF16" i="19"/>
  <c r="AL16" i="19"/>
  <c r="N46" i="19"/>
  <c r="AF26" i="19"/>
  <c r="AF46" i="19"/>
  <c r="N26" i="19"/>
  <c r="N36" i="19"/>
  <c r="N6" i="19"/>
  <c r="T16" i="19"/>
  <c r="Z26" i="19"/>
  <c r="Z6" i="19"/>
  <c r="T46" i="19"/>
  <c r="Z16" i="19"/>
  <c r="AL46" i="19"/>
  <c r="N16" i="19"/>
  <c r="AD16" i="19"/>
  <c r="AJ46" i="19"/>
  <c r="R26" i="19"/>
  <c r="R6" i="19"/>
  <c r="AD26" i="19"/>
  <c r="L36" i="19"/>
  <c r="X6" i="19"/>
  <c r="X26" i="19"/>
  <c r="L6" i="19"/>
  <c r="T26" i="19"/>
  <c r="T36" i="19"/>
  <c r="AL6" i="19"/>
  <c r="AL26" i="19"/>
  <c r="AC47" i="1" l="1"/>
  <c r="V55" i="19"/>
  <c r="X15" i="19"/>
  <c r="J23" i="19"/>
  <c r="P45" i="19"/>
  <c r="O15" i="19"/>
  <c r="AG45" i="19"/>
  <c r="AM15" i="19"/>
  <c r="U25" i="19"/>
  <c r="O35" i="19"/>
  <c r="AA45" i="19"/>
  <c r="AA55" i="19"/>
  <c r="O45" i="19"/>
  <c r="O55" i="19"/>
  <c r="U55" i="19"/>
  <c r="AG25" i="19"/>
  <c r="U15" i="19"/>
  <c r="K55" i="19"/>
  <c r="AB20" i="19"/>
  <c r="Y27" i="1"/>
  <c r="J37" i="19" s="1"/>
  <c r="P40" i="19"/>
  <c r="W51" i="19"/>
  <c r="X35" i="19"/>
  <c r="Z37" i="1"/>
  <c r="L15" i="19"/>
  <c r="AJ35" i="19"/>
  <c r="AD45" i="19"/>
  <c r="AJ45" i="19"/>
  <c r="AH10" i="19"/>
  <c r="P50" i="19"/>
  <c r="V30" i="19"/>
  <c r="AH20" i="19"/>
  <c r="AJ43" i="19"/>
  <c r="Q45" i="19"/>
  <c r="AB50" i="19"/>
  <c r="J54" i="19"/>
  <c r="AI13" i="19"/>
  <c r="V40" i="19"/>
  <c r="J50" i="19"/>
  <c r="AB10" i="19"/>
  <c r="AH50" i="19"/>
  <c r="P10" i="19"/>
  <c r="V20" i="19"/>
  <c r="AB30" i="19"/>
  <c r="AJ25" i="19"/>
  <c r="L25" i="19"/>
  <c r="AH30" i="19"/>
  <c r="R25" i="19"/>
  <c r="AC37" i="1"/>
  <c r="J30" i="19"/>
  <c r="J20" i="19"/>
  <c r="R55" i="19"/>
  <c r="R35" i="19"/>
  <c r="X45" i="19"/>
  <c r="L45" i="19"/>
  <c r="P30" i="19"/>
  <c r="W48" i="19"/>
  <c r="X25" i="19"/>
  <c r="V10" i="19"/>
  <c r="AH40" i="19"/>
  <c r="AB40" i="19"/>
  <c r="AJ15" i="19"/>
  <c r="AD55" i="19"/>
  <c r="X55" i="19"/>
  <c r="J10" i="19"/>
  <c r="J40" i="19"/>
  <c r="V50" i="19"/>
  <c r="P20" i="19"/>
  <c r="AD25" i="19"/>
  <c r="R15" i="19"/>
  <c r="L35" i="19"/>
  <c r="AD35" i="19"/>
  <c r="AJ55" i="19"/>
  <c r="AB35" i="19"/>
  <c r="L55" i="19"/>
  <c r="AD15" i="19"/>
  <c r="AM14" i="19"/>
  <c r="AI15" i="19"/>
  <c r="AL23" i="19"/>
  <c r="Z33" i="19"/>
  <c r="T23" i="19"/>
  <c r="N53" i="19"/>
  <c r="Z13" i="19"/>
  <c r="Z43" i="19"/>
  <c r="N33" i="19"/>
  <c r="N13" i="19"/>
  <c r="AF53" i="19"/>
  <c r="T33" i="19"/>
  <c r="Z23" i="19"/>
  <c r="AL13" i="19"/>
  <c r="T53" i="19"/>
  <c r="Z53" i="19"/>
  <c r="V53" i="19"/>
  <c r="R13" i="19"/>
  <c r="K15" i="19"/>
  <c r="P15" i="19"/>
  <c r="J13" i="19"/>
  <c r="AH13" i="19"/>
  <c r="Q53" i="19"/>
  <c r="P25" i="19"/>
  <c r="X43" i="19"/>
  <c r="AJ53" i="19"/>
  <c r="AB44" i="19"/>
  <c r="W15" i="19"/>
  <c r="K35" i="19"/>
  <c r="AB15" i="19"/>
  <c r="J45" i="19"/>
  <c r="L33" i="19"/>
  <c r="T35" i="19"/>
  <c r="L13" i="19"/>
  <c r="AC35" i="19"/>
  <c r="X53" i="19"/>
  <c r="P37" i="19"/>
  <c r="Q55" i="19"/>
  <c r="AC45" i="19"/>
  <c r="K45" i="19"/>
  <c r="AI25" i="19"/>
  <c r="AB33" i="19"/>
  <c r="AB23" i="19"/>
  <c r="J33" i="19"/>
  <c r="Q23" i="19"/>
  <c r="K33" i="19"/>
  <c r="W23" i="19"/>
  <c r="AC43" i="19"/>
  <c r="AD13" i="19"/>
  <c r="R23" i="19"/>
  <c r="L23" i="19"/>
  <c r="K25" i="19"/>
  <c r="AG33" i="19"/>
  <c r="AJ23" i="19"/>
  <c r="R53" i="19"/>
  <c r="L53" i="19"/>
  <c r="R33" i="19"/>
  <c r="R43" i="19"/>
  <c r="J53" i="19"/>
  <c r="AC15" i="19"/>
  <c r="Q15" i="19"/>
  <c r="P43" i="19"/>
  <c r="W25" i="19"/>
  <c r="AH23" i="19"/>
  <c r="P23" i="19"/>
  <c r="Q13" i="19"/>
  <c r="W43" i="19"/>
  <c r="AI23" i="19"/>
  <c r="X23" i="19"/>
  <c r="AJ33" i="19"/>
  <c r="Q35" i="19"/>
  <c r="AD53" i="19"/>
  <c r="X33" i="19"/>
  <c r="AC25" i="19"/>
  <c r="V33" i="19"/>
  <c r="W35" i="19"/>
  <c r="AC55" i="19"/>
  <c r="AI55" i="19"/>
  <c r="V43" i="19"/>
  <c r="Q25" i="19"/>
  <c r="AI45" i="19"/>
  <c r="AI35" i="19"/>
  <c r="W55" i="19"/>
  <c r="W45" i="19"/>
  <c r="V23" i="19"/>
  <c r="P13" i="19"/>
  <c r="AC23" i="19"/>
  <c r="K23" i="19"/>
  <c r="AJ13" i="19"/>
  <c r="AD23" i="19"/>
  <c r="AD33" i="19"/>
  <c r="L43" i="19"/>
  <c r="AD43" i="19"/>
  <c r="Z26" i="1"/>
  <c r="Y26" i="1"/>
  <c r="AB26" i="1"/>
  <c r="AA26" i="1" s="1"/>
  <c r="Y25" i="1"/>
  <c r="V36" i="19" s="1"/>
  <c r="O24" i="19"/>
  <c r="O20" i="19"/>
  <c r="AG30" i="19"/>
  <c r="V54" i="19"/>
  <c r="AB54" i="19"/>
  <c r="AF27" i="19"/>
  <c r="Z7" i="19"/>
  <c r="AH35" i="19"/>
  <c r="AB25" i="19"/>
  <c r="AB45" i="19"/>
  <c r="J15" i="19"/>
  <c r="O34" i="19"/>
  <c r="AG24" i="19"/>
  <c r="AA24" i="19"/>
  <c r="P44" i="19"/>
  <c r="P55" i="19"/>
  <c r="V25" i="19"/>
  <c r="J24" i="19"/>
  <c r="T27" i="19"/>
  <c r="P35" i="19"/>
  <c r="V35" i="19"/>
  <c r="AH15" i="19"/>
  <c r="V15" i="19"/>
  <c r="O54" i="19"/>
  <c r="AG54" i="19"/>
  <c r="AM44" i="19"/>
  <c r="AG14" i="19"/>
  <c r="J25" i="19"/>
  <c r="J55" i="19"/>
  <c r="P34" i="19"/>
  <c r="AH55" i="19"/>
  <c r="AH45" i="19"/>
  <c r="J35" i="19"/>
  <c r="AB55" i="19"/>
  <c r="U24" i="19"/>
  <c r="U54" i="19"/>
  <c r="AA34" i="19"/>
  <c r="J14" i="19"/>
  <c r="X36" i="19"/>
  <c r="L16" i="19"/>
  <c r="AJ16" i="19"/>
  <c r="L46" i="19"/>
  <c r="R36" i="19"/>
  <c r="AJ36" i="19"/>
  <c r="AJ6" i="19"/>
  <c r="AD6" i="19"/>
  <c r="R16" i="19"/>
  <c r="AJ26" i="19"/>
  <c r="AM20" i="19"/>
  <c r="O30" i="19"/>
  <c r="X46" i="19"/>
  <c r="AD46" i="19"/>
  <c r="R46" i="19"/>
  <c r="L26" i="19"/>
  <c r="X16" i="19"/>
  <c r="AA20" i="19"/>
  <c r="U50" i="19"/>
  <c r="AA40" i="19"/>
  <c r="U10" i="19"/>
  <c r="U20" i="19"/>
  <c r="O40" i="19"/>
  <c r="T6" i="19"/>
  <c r="U40" i="19"/>
  <c r="AM10" i="19"/>
  <c r="U30" i="19"/>
  <c r="AA50" i="19"/>
  <c r="P24" i="19"/>
  <c r="P14" i="19"/>
  <c r="P54" i="19"/>
  <c r="J34" i="19"/>
  <c r="V24" i="19"/>
  <c r="AB24" i="19"/>
  <c r="AB14" i="19"/>
  <c r="AH24" i="19"/>
  <c r="AG40" i="19"/>
  <c r="AA30" i="19"/>
  <c r="O10" i="19"/>
  <c r="AM40" i="19"/>
  <c r="O50" i="19"/>
  <c r="V34" i="19"/>
  <c r="AH44" i="19"/>
  <c r="AH34" i="19"/>
  <c r="AB34" i="19"/>
  <c r="AH54" i="19"/>
  <c r="AH14" i="19"/>
  <c r="J44" i="19"/>
  <c r="V14" i="19"/>
  <c r="AG10" i="19"/>
  <c r="AM50" i="19"/>
  <c r="AA10" i="19"/>
  <c r="AG20" i="19"/>
  <c r="AM30" i="19"/>
  <c r="AG50" i="19"/>
  <c r="AH25" i="19"/>
  <c r="AF43" i="19"/>
  <c r="AL53" i="19"/>
  <c r="T13" i="19"/>
  <c r="N43" i="19"/>
  <c r="AF13" i="19"/>
  <c r="AL33" i="19"/>
  <c r="AF23" i="19"/>
  <c r="N23" i="19"/>
  <c r="T43" i="19"/>
  <c r="AL43" i="19"/>
  <c r="AF33" i="19"/>
  <c r="V45" i="19"/>
  <c r="AC53" i="19"/>
  <c r="AC33" i="19"/>
  <c r="W33" i="19"/>
  <c r="K13" i="19"/>
  <c r="Q33" i="19"/>
  <c r="W13" i="19"/>
  <c r="AI43" i="19"/>
  <c r="AC13" i="19"/>
  <c r="AI53" i="19"/>
  <c r="Q43" i="19"/>
  <c r="K43" i="19"/>
  <c r="W53" i="19"/>
  <c r="K53" i="19"/>
  <c r="U44" i="19"/>
  <c r="U14" i="19"/>
  <c r="U34" i="19"/>
  <c r="AG34" i="19"/>
  <c r="AM34" i="19"/>
  <c r="AA44" i="19"/>
  <c r="Z35" i="19"/>
  <c r="N35" i="19"/>
  <c r="Z45" i="19"/>
  <c r="Z25" i="19"/>
  <c r="T25" i="19"/>
  <c r="AL15" i="19"/>
  <c r="AA48" i="19"/>
  <c r="AG18" i="19"/>
  <c r="AG28" i="19"/>
  <c r="U38" i="19"/>
  <c r="U28" i="19"/>
  <c r="AM28" i="19"/>
  <c r="AM38" i="19"/>
  <c r="AG48" i="19"/>
  <c r="AA8" i="19"/>
  <c r="AM8" i="19"/>
  <c r="O38" i="19"/>
  <c r="O18" i="19"/>
  <c r="U48" i="19"/>
  <c r="AM18" i="19"/>
  <c r="U18" i="19"/>
  <c r="AA38" i="19"/>
  <c r="U8" i="19"/>
  <c r="O28" i="19"/>
  <c r="AG38" i="19"/>
  <c r="O48" i="19"/>
  <c r="O8" i="19"/>
  <c r="AM48" i="19"/>
  <c r="AA28" i="19"/>
  <c r="AA18" i="19"/>
  <c r="AG8" i="19"/>
  <c r="N51" i="19"/>
  <c r="AF10" i="19"/>
  <c r="AF50" i="19"/>
  <c r="AF40" i="19"/>
  <c r="AL20" i="19"/>
  <c r="Z50" i="19"/>
  <c r="Z30" i="19"/>
  <c r="Z40" i="19"/>
  <c r="T20" i="19"/>
  <c r="T50" i="19"/>
  <c r="AF30" i="19"/>
  <c r="Z10" i="19"/>
  <c r="AL50" i="19"/>
  <c r="AL10" i="19"/>
  <c r="N30" i="19"/>
  <c r="AL30" i="19"/>
  <c r="N50" i="19"/>
  <c r="AF20" i="19"/>
  <c r="N40" i="19"/>
  <c r="N20" i="19"/>
  <c r="Z20" i="19"/>
  <c r="T30" i="19"/>
  <c r="T10" i="19"/>
  <c r="T40" i="19"/>
  <c r="AL40" i="19"/>
  <c r="N10" i="19"/>
  <c r="Y29" i="1"/>
  <c r="Z29" i="1"/>
  <c r="M48" i="19"/>
  <c r="M38" i="19"/>
  <c r="AK28" i="19"/>
  <c r="Y8" i="19"/>
  <c r="Y28" i="19"/>
  <c r="AK8" i="19"/>
  <c r="AE38" i="19"/>
  <c r="S28" i="19"/>
  <c r="AK38" i="19"/>
  <c r="Y18" i="19"/>
  <c r="AE28" i="19"/>
  <c r="AE18" i="19"/>
  <c r="Y48" i="19"/>
  <c r="M18" i="19"/>
  <c r="Y38" i="19"/>
  <c r="S48" i="19"/>
  <c r="AK48" i="19"/>
  <c r="M8" i="19"/>
  <c r="S38" i="19"/>
  <c r="S8" i="19"/>
  <c r="AE48" i="19"/>
  <c r="AE8" i="19"/>
  <c r="S18" i="19"/>
  <c r="AK18" i="19"/>
  <c r="M28" i="19"/>
  <c r="AG44" i="19"/>
  <c r="O44" i="19"/>
  <c r="AM24" i="19"/>
  <c r="AA14" i="19"/>
  <c r="O14" i="19"/>
  <c r="V13" i="19"/>
  <c r="AH43" i="19"/>
  <c r="AH53" i="19"/>
  <c r="AB43" i="19"/>
  <c r="P53" i="19"/>
  <c r="AB13" i="19"/>
  <c r="AB53" i="19"/>
  <c r="J43" i="19"/>
  <c r="P33" i="19"/>
  <c r="AH33" i="19"/>
  <c r="AB42" i="19"/>
  <c r="P42" i="19"/>
  <c r="V52" i="19"/>
  <c r="AH22" i="19"/>
  <c r="AB32" i="19"/>
  <c r="P12" i="19"/>
  <c r="AH12" i="19"/>
  <c r="AB12" i="19"/>
  <c r="AC42" i="1"/>
  <c r="AB22" i="19"/>
  <c r="V22" i="19"/>
  <c r="V42" i="19"/>
  <c r="J22" i="19"/>
  <c r="V32" i="19"/>
  <c r="J12" i="19"/>
  <c r="J32" i="19"/>
  <c r="AH52" i="19"/>
  <c r="P22" i="19"/>
  <c r="P32" i="19"/>
  <c r="J52" i="19"/>
  <c r="V12" i="19"/>
  <c r="P52" i="19"/>
  <c r="AH42" i="19"/>
  <c r="AB52" i="19"/>
  <c r="AH32" i="19"/>
  <c r="J42" i="19"/>
  <c r="T17" i="19"/>
  <c r="T37" i="19"/>
  <c r="AL17" i="19"/>
  <c r="T47" i="19"/>
  <c r="AF7" i="19"/>
  <c r="AF47" i="19"/>
  <c r="N37" i="19"/>
  <c r="AL27" i="19"/>
  <c r="T7" i="19"/>
  <c r="AF37" i="19"/>
  <c r="AL47" i="19"/>
  <c r="Z27" i="19"/>
  <c r="N27" i="19"/>
  <c r="AL37" i="19"/>
  <c r="N17" i="19"/>
  <c r="Z37" i="19"/>
  <c r="AL7" i="19"/>
  <c r="N7" i="19"/>
  <c r="N39" i="19"/>
  <c r="AL29" i="19"/>
  <c r="AL9" i="19"/>
  <c r="N19" i="19"/>
  <c r="Z29" i="19"/>
  <c r="T19" i="19"/>
  <c r="AL19" i="19"/>
  <c r="AL39" i="19"/>
  <c r="Z9" i="19"/>
  <c r="T39" i="19"/>
  <c r="AL49" i="19"/>
  <c r="Z19" i="19"/>
  <c r="AF49" i="19"/>
  <c r="Z49" i="19"/>
  <c r="N9" i="19"/>
  <c r="T29" i="19"/>
  <c r="AF19" i="19"/>
  <c r="AF9" i="19"/>
  <c r="Z39" i="19"/>
  <c r="T49" i="19"/>
  <c r="AF29" i="19"/>
  <c r="AF39" i="19"/>
  <c r="N29" i="19"/>
  <c r="N49" i="19"/>
  <c r="T9" i="19"/>
  <c r="S37" i="19"/>
  <c r="M17" i="19"/>
  <c r="Y37" i="19"/>
  <c r="M27" i="19"/>
  <c r="S17" i="19"/>
  <c r="AK17" i="19"/>
  <c r="Y47" i="19"/>
  <c r="AK27" i="19"/>
  <c r="Y27" i="19"/>
  <c r="Y17" i="19"/>
  <c r="M7" i="19"/>
  <c r="AE27" i="19"/>
  <c r="AE37" i="19"/>
  <c r="S47" i="19"/>
  <c r="AK37" i="19"/>
  <c r="S7" i="19"/>
  <c r="M47" i="19"/>
  <c r="M37" i="19"/>
  <c r="AE17" i="19"/>
  <c r="AE47" i="19"/>
  <c r="AK7" i="19"/>
  <c r="S27" i="19"/>
  <c r="Y7" i="19"/>
  <c r="AE7" i="19"/>
  <c r="AK47" i="19"/>
  <c r="T18" i="19"/>
  <c r="AF38" i="19"/>
  <c r="AL28" i="19"/>
  <c r="AF18" i="19"/>
  <c r="T8" i="19"/>
  <c r="N8" i="19"/>
  <c r="AF8" i="19"/>
  <c r="N38" i="19"/>
  <c r="Z8" i="19"/>
  <c r="AF48" i="19"/>
  <c r="T28" i="19"/>
  <c r="AL8" i="19"/>
  <c r="AL38" i="19"/>
  <c r="T48" i="19"/>
  <c r="N28" i="19"/>
  <c r="Z28" i="19"/>
  <c r="Z48" i="19"/>
  <c r="AF28" i="19"/>
  <c r="T38" i="19"/>
  <c r="N18" i="19"/>
  <c r="N48" i="19"/>
  <c r="Z18" i="19"/>
  <c r="AL48" i="19"/>
  <c r="AL18" i="19"/>
  <c r="Z38" i="19"/>
  <c r="AA26" i="19"/>
  <c r="AM36" i="19"/>
  <c r="U36" i="19"/>
  <c r="AA16" i="19"/>
  <c r="AG6" i="19"/>
  <c r="M41" i="19"/>
  <c r="M31" i="19"/>
  <c r="AK31" i="19"/>
  <c r="S51" i="19"/>
  <c r="AE31" i="19"/>
  <c r="S11" i="19"/>
  <c r="AE11" i="19"/>
  <c r="AK41" i="19"/>
  <c r="Y51" i="19"/>
  <c r="AE41" i="19"/>
  <c r="AK51" i="19"/>
  <c r="S41" i="19"/>
  <c r="S21" i="19"/>
  <c r="M51" i="19"/>
  <c r="AE51" i="19"/>
  <c r="Y31" i="19"/>
  <c r="Y41" i="19"/>
  <c r="AK21" i="19"/>
  <c r="M21" i="19"/>
  <c r="M11" i="19"/>
  <c r="Y21" i="19"/>
  <c r="Y11" i="19"/>
  <c r="S31" i="19"/>
  <c r="AE21" i="19"/>
  <c r="AK11" i="19"/>
  <c r="AM47" i="19"/>
  <c r="AA7" i="19"/>
  <c r="AM17" i="19"/>
  <c r="AG7" i="19"/>
  <c r="AA37" i="19"/>
  <c r="U47" i="19"/>
  <c r="AG37" i="19"/>
  <c r="U27" i="19"/>
  <c r="AA47" i="19"/>
  <c r="AM37" i="19"/>
  <c r="AA27" i="19"/>
  <c r="AG17" i="19"/>
  <c r="AG47" i="19"/>
  <c r="O37" i="19"/>
  <c r="O27" i="19"/>
  <c r="AG27" i="19"/>
  <c r="AA17" i="19"/>
  <c r="AM27" i="19"/>
  <c r="O47" i="19"/>
  <c r="U7" i="19"/>
  <c r="O17" i="19"/>
  <c r="U37" i="19"/>
  <c r="AM7" i="19"/>
  <c r="O7" i="19"/>
  <c r="U17" i="19"/>
  <c r="J47" i="19"/>
  <c r="AC27" i="1"/>
  <c r="S49" i="19"/>
  <c r="AE49" i="19"/>
  <c r="AK39" i="19"/>
  <c r="AE39" i="19"/>
  <c r="S29" i="19"/>
  <c r="S39" i="19"/>
  <c r="AK19" i="19"/>
  <c r="Y39" i="19"/>
  <c r="S19" i="19"/>
  <c r="M39" i="19"/>
  <c r="S9" i="19"/>
  <c r="M9" i="19"/>
  <c r="M49" i="19"/>
  <c r="Y9" i="19"/>
  <c r="AK49" i="19"/>
  <c r="M19" i="19"/>
  <c r="AK9" i="19"/>
  <c r="AE29" i="19"/>
  <c r="Y29" i="19"/>
  <c r="AE19" i="19"/>
  <c r="M29" i="19"/>
  <c r="AK29" i="19"/>
  <c r="AE9" i="19"/>
  <c r="Y19" i="19"/>
  <c r="Y49" i="19"/>
  <c r="Y33" i="1"/>
  <c r="Z33" i="1"/>
  <c r="L54" i="19"/>
  <c r="R14" i="19"/>
  <c r="L34" i="19"/>
  <c r="X44" i="19"/>
  <c r="L14" i="19"/>
  <c r="AD54" i="19"/>
  <c r="AJ54" i="19"/>
  <c r="AD44" i="19"/>
  <c r="AD34" i="19"/>
  <c r="X24" i="19"/>
  <c r="L44" i="19"/>
  <c r="AJ44" i="19"/>
  <c r="AD24" i="19"/>
  <c r="R24" i="19"/>
  <c r="X14" i="19"/>
  <c r="R54" i="19"/>
  <c r="X34" i="19"/>
  <c r="R34" i="19"/>
  <c r="AJ14" i="19"/>
  <c r="AJ34" i="19"/>
  <c r="AD14" i="19"/>
  <c r="L24" i="19"/>
  <c r="X54" i="19"/>
  <c r="AJ24" i="19"/>
  <c r="R44" i="19"/>
  <c r="Z47" i="19"/>
  <c r="U6" i="19"/>
  <c r="AM26" i="19"/>
  <c r="U46" i="19"/>
  <c r="AM6" i="19"/>
  <c r="Y33" i="19"/>
  <c r="AE23" i="19"/>
  <c r="M23" i="19"/>
  <c r="AE53" i="19"/>
  <c r="Y23" i="19"/>
  <c r="S33" i="19"/>
  <c r="AE13" i="19"/>
  <c r="AK33" i="19"/>
  <c r="Y43" i="19"/>
  <c r="M13" i="19"/>
  <c r="AE33" i="19"/>
  <c r="AK53" i="19"/>
  <c r="M33" i="19"/>
  <c r="S23" i="19"/>
  <c r="AK13" i="19"/>
  <c r="M43" i="19"/>
  <c r="AK43" i="19"/>
  <c r="M53" i="19"/>
  <c r="Y53" i="19"/>
  <c r="Y13" i="19"/>
  <c r="S43" i="19"/>
  <c r="AE43" i="19"/>
  <c r="AK23" i="19"/>
  <c r="S13" i="19"/>
  <c r="S53" i="19"/>
  <c r="AI7" i="19"/>
  <c r="Y40" i="1"/>
  <c r="Z40" i="1"/>
  <c r="AG46" i="19"/>
  <c r="AA6" i="19"/>
  <c r="AG26" i="19"/>
  <c r="AM16" i="19"/>
  <c r="U26" i="19"/>
  <c r="AM46" i="19"/>
  <c r="O6" i="19"/>
  <c r="AI41" i="19"/>
  <c r="AI11" i="19"/>
  <c r="K51" i="19"/>
  <c r="Q11" i="19"/>
  <c r="W41" i="19"/>
  <c r="Q31" i="19"/>
  <c r="AC51" i="19"/>
  <c r="K41" i="19"/>
  <c r="AI21" i="19"/>
  <c r="W31" i="19"/>
  <c r="K21" i="19"/>
  <c r="AC31" i="19"/>
  <c r="V27" i="19" l="1"/>
  <c r="J27" i="19"/>
  <c r="P47" i="19"/>
  <c r="P7" i="19"/>
  <c r="J7" i="19"/>
  <c r="AB27" i="19"/>
  <c r="AI36" i="19"/>
  <c r="AH47" i="19"/>
  <c r="V37" i="19"/>
  <c r="AB17" i="19"/>
  <c r="P27" i="19"/>
  <c r="AH37" i="19"/>
  <c r="J46" i="19"/>
  <c r="AH27" i="19"/>
  <c r="V17" i="19"/>
  <c r="AA23" i="19"/>
  <c r="AG43" i="19"/>
  <c r="AB7" i="19"/>
  <c r="V6" i="19"/>
  <c r="W46" i="19"/>
  <c r="J26" i="19"/>
  <c r="AI16" i="19"/>
  <c r="AA13" i="19"/>
  <c r="AH7" i="19"/>
  <c r="AF15" i="19"/>
  <c r="AM33" i="19"/>
  <c r="V47" i="19"/>
  <c r="P17" i="19"/>
  <c r="AB37" i="19"/>
  <c r="V7" i="19"/>
  <c r="AH17" i="19"/>
  <c r="J17" i="19"/>
  <c r="AB47" i="19"/>
  <c r="AA54" i="19"/>
  <c r="AM54" i="19"/>
  <c r="Z15" i="19"/>
  <c r="N45" i="19"/>
  <c r="T55" i="19"/>
  <c r="Z55" i="19"/>
  <c r="N25" i="19"/>
  <c r="AL35" i="19"/>
  <c r="AF45" i="19"/>
  <c r="AL55" i="19"/>
  <c r="N15" i="19"/>
  <c r="AL25" i="19"/>
  <c r="AF55" i="19"/>
  <c r="AF35" i="19"/>
  <c r="AF25" i="19"/>
  <c r="AL45" i="19"/>
  <c r="N55" i="19"/>
  <c r="T45" i="19"/>
  <c r="T15" i="19"/>
  <c r="Q21" i="19"/>
  <c r="AI51" i="19"/>
  <c r="Q41" i="19"/>
  <c r="W21" i="19"/>
  <c r="AC21" i="19"/>
  <c r="K11" i="19"/>
  <c r="AC11" i="19"/>
  <c r="AC41" i="19"/>
  <c r="W11" i="19"/>
  <c r="K31" i="19"/>
  <c r="AI31" i="19"/>
  <c r="Q51" i="19"/>
  <c r="AH46" i="19"/>
  <c r="P26" i="19"/>
  <c r="AH36" i="19"/>
  <c r="W6" i="19"/>
  <c r="AB36" i="19"/>
  <c r="AH6" i="19"/>
  <c r="V46" i="19"/>
  <c r="P46" i="19"/>
  <c r="AB16" i="19"/>
  <c r="AB26" i="19"/>
  <c r="AH16" i="19"/>
  <c r="V16" i="19"/>
  <c r="AB6" i="19"/>
  <c r="Q48" i="19"/>
  <c r="Q18" i="19"/>
  <c r="K38" i="19"/>
  <c r="AC18" i="19"/>
  <c r="Q8" i="19"/>
  <c r="K28" i="19"/>
  <c r="K48" i="19"/>
  <c r="AI18" i="19"/>
  <c r="AI48" i="19"/>
  <c r="AI8" i="19"/>
  <c r="AI38" i="19"/>
  <c r="AI28" i="19"/>
  <c r="AI26" i="19"/>
  <c r="AI6" i="19"/>
  <c r="AC6" i="19"/>
  <c r="K36" i="19"/>
  <c r="K46" i="19"/>
  <c r="Q46" i="19"/>
  <c r="AG23" i="19"/>
  <c r="O13" i="19"/>
  <c r="AM43" i="19"/>
  <c r="AM13" i="19"/>
  <c r="O23" i="19"/>
  <c r="J36" i="19"/>
  <c r="W16" i="19"/>
  <c r="AC28" i="19"/>
  <c r="W8" i="19"/>
  <c r="K8" i="19"/>
  <c r="Q28" i="19"/>
  <c r="W18" i="19"/>
  <c r="Q38" i="19"/>
  <c r="W38" i="19"/>
  <c r="AC26" i="1"/>
  <c r="AC46" i="19"/>
  <c r="Q6" i="19"/>
  <c r="K16" i="19"/>
  <c r="AC26" i="19"/>
  <c r="Q36" i="19"/>
  <c r="U33" i="19"/>
  <c r="O43" i="19"/>
  <c r="J6" i="19"/>
  <c r="AG13" i="19"/>
  <c r="AM23" i="19"/>
  <c r="AG53" i="19"/>
  <c r="AB46" i="19"/>
  <c r="P36" i="19"/>
  <c r="K18" i="19"/>
  <c r="W28" i="19"/>
  <c r="AC48" i="19"/>
  <c r="AC38" i="19"/>
  <c r="AC8" i="19"/>
  <c r="W26" i="19"/>
  <c r="K6" i="19"/>
  <c r="K26" i="19"/>
  <c r="Q16" i="19"/>
  <c r="Q26" i="19"/>
  <c r="W36" i="19"/>
  <c r="O33" i="19"/>
  <c r="AM53" i="19"/>
  <c r="U13" i="19"/>
  <c r="AK45" i="19"/>
  <c r="S45" i="19"/>
  <c r="Y25" i="19"/>
  <c r="AE25" i="19"/>
  <c r="Y15" i="19"/>
  <c r="AK55" i="19"/>
  <c r="M15" i="19"/>
  <c r="Y55" i="19"/>
  <c r="M55" i="19"/>
  <c r="S25" i="19"/>
  <c r="M35" i="19"/>
  <c r="AE35" i="19"/>
  <c r="M25" i="19"/>
  <c r="Y35" i="19"/>
  <c r="Y45" i="19"/>
  <c r="AE15" i="19"/>
  <c r="AE45" i="19"/>
  <c r="AK35" i="19"/>
  <c r="AK15" i="19"/>
  <c r="S35" i="19"/>
  <c r="S15" i="19"/>
  <c r="M45" i="19"/>
  <c r="AK25" i="19"/>
  <c r="S55" i="19"/>
  <c r="AE55" i="19"/>
  <c r="AC36" i="19"/>
  <c r="AA43" i="19"/>
  <c r="AA33" i="19"/>
  <c r="AA53" i="19"/>
  <c r="O53" i="19"/>
  <c r="U53" i="19"/>
  <c r="U43" i="19"/>
  <c r="U23" i="19"/>
  <c r="AI46" i="19"/>
  <c r="AC16" i="19"/>
  <c r="P16" i="19"/>
  <c r="J16" i="19"/>
  <c r="P6" i="19"/>
  <c r="AH26" i="19"/>
  <c r="AC25" i="1"/>
  <c r="V26" i="19"/>
  <c r="AG36" i="19"/>
  <c r="O36" i="19"/>
  <c r="O16" i="19"/>
  <c r="AA36" i="19"/>
  <c r="O46" i="19"/>
  <c r="AA46" i="19"/>
  <c r="AG16" i="19"/>
  <c r="O26" i="19"/>
  <c r="U16" i="19"/>
  <c r="Q10" i="19"/>
  <c r="Q40" i="19"/>
  <c r="AC10" i="19"/>
  <c r="W50" i="19"/>
  <c r="AI50" i="19"/>
  <c r="AC20" i="19"/>
  <c r="W10" i="19"/>
  <c r="W40" i="19"/>
  <c r="Q50" i="19"/>
  <c r="AC30" i="19"/>
  <c r="Q20" i="19"/>
  <c r="K50" i="19"/>
  <c r="AI20" i="19"/>
  <c r="Q30" i="19"/>
  <c r="AI10" i="19"/>
  <c r="AC50" i="19"/>
  <c r="K20" i="19"/>
  <c r="W20" i="19"/>
  <c r="W30" i="19"/>
  <c r="K40" i="19"/>
  <c r="AI30" i="19"/>
  <c r="K30" i="19"/>
  <c r="K10" i="19"/>
  <c r="AC40" i="19"/>
  <c r="AI40" i="19"/>
  <c r="AJ10" i="19"/>
  <c r="AJ40" i="19"/>
  <c r="AJ30" i="19"/>
  <c r="L40" i="19"/>
  <c r="R10" i="19"/>
  <c r="R40" i="19"/>
  <c r="R50" i="19"/>
  <c r="L10" i="19"/>
  <c r="AD30" i="19"/>
  <c r="AJ50" i="19"/>
  <c r="X50" i="19"/>
  <c r="L30" i="19"/>
  <c r="AD10" i="19"/>
  <c r="L50" i="19"/>
  <c r="X30" i="19"/>
  <c r="L20" i="19"/>
  <c r="X40" i="19"/>
  <c r="AJ20" i="19"/>
  <c r="AD20" i="19"/>
  <c r="X10" i="19"/>
  <c r="R20" i="19"/>
  <c r="X20" i="19"/>
  <c r="R30" i="19"/>
  <c r="AD50" i="19"/>
  <c r="AD40" i="19"/>
  <c r="O51" i="19"/>
  <c r="AA41" i="19"/>
  <c r="AM21" i="19"/>
  <c r="AG31" i="19"/>
  <c r="AM41" i="19"/>
  <c r="U31" i="19"/>
  <c r="AA31" i="19"/>
  <c r="AM11" i="19"/>
  <c r="AM51" i="19"/>
  <c r="U41" i="19"/>
  <c r="AA21" i="19"/>
  <c r="AA11" i="19"/>
  <c r="O21" i="19"/>
  <c r="AG41" i="19"/>
  <c r="AG11" i="19"/>
  <c r="O31" i="19"/>
  <c r="AM31" i="19"/>
  <c r="O41" i="19"/>
  <c r="AA51" i="19"/>
  <c r="AG51" i="19"/>
  <c r="U11" i="19"/>
  <c r="U51" i="19"/>
  <c r="U21" i="19"/>
  <c r="O11" i="19"/>
  <c r="AG21" i="19"/>
  <c r="X8" i="19"/>
  <c r="AD48" i="19"/>
  <c r="R28" i="19"/>
  <c r="X38" i="19"/>
  <c r="L48" i="19"/>
  <c r="AD28" i="19"/>
  <c r="R48" i="19"/>
  <c r="AD8" i="19"/>
  <c r="AJ28" i="19"/>
  <c r="L18" i="19"/>
  <c r="AJ8" i="19"/>
  <c r="AJ48" i="19"/>
  <c r="L28" i="19"/>
  <c r="L38" i="19"/>
  <c r="R8" i="19"/>
  <c r="R38" i="19"/>
  <c r="L8" i="19"/>
  <c r="X18" i="19"/>
  <c r="AD18" i="19"/>
  <c r="AD38" i="19"/>
  <c r="X48" i="19"/>
  <c r="AJ38" i="19"/>
  <c r="AJ18" i="19"/>
  <c r="X28" i="19"/>
  <c r="R18" i="19"/>
  <c r="AE40" i="19"/>
  <c r="Y20" i="19"/>
  <c r="AK10" i="19"/>
  <c r="AE30" i="19"/>
  <c r="AE20" i="19"/>
  <c r="S30" i="19"/>
  <c r="M50" i="19"/>
  <c r="M40" i="19"/>
  <c r="Y40" i="19"/>
  <c r="AE50" i="19"/>
  <c r="AK50" i="19"/>
  <c r="Y30" i="19"/>
  <c r="M10" i="19"/>
  <c r="S40" i="19"/>
  <c r="S50" i="19"/>
  <c r="AE10" i="19"/>
  <c r="M20" i="19"/>
  <c r="AK20" i="19"/>
  <c r="Y10" i="19"/>
  <c r="S10" i="19"/>
  <c r="S20" i="19"/>
  <c r="AK40" i="19"/>
  <c r="AK30" i="19"/>
  <c r="Y50" i="19"/>
  <c r="M30" i="19"/>
  <c r="P48" i="19"/>
  <c r="P38" i="19"/>
  <c r="AH28" i="19"/>
  <c r="AH8" i="19"/>
  <c r="AH18" i="19"/>
  <c r="J28" i="19"/>
  <c r="P28" i="19"/>
  <c r="J48" i="19"/>
  <c r="J8" i="19"/>
  <c r="V18" i="19"/>
  <c r="AC29" i="1"/>
  <c r="AH38" i="19"/>
  <c r="AB28" i="19"/>
  <c r="V48" i="19"/>
  <c r="V8" i="19"/>
  <c r="J38" i="19"/>
  <c r="V28" i="19"/>
  <c r="V38" i="19"/>
  <c r="P8" i="19"/>
  <c r="AH48" i="19"/>
  <c r="P18" i="19"/>
  <c r="AB38" i="19"/>
  <c r="AB18" i="19"/>
  <c r="J18" i="19"/>
  <c r="AB8" i="19"/>
  <c r="AB48" i="19"/>
  <c r="T51" i="19"/>
  <c r="Z31" i="19"/>
  <c r="AF11" i="19"/>
  <c r="N11" i="19"/>
  <c r="T41" i="19"/>
  <c r="Z41" i="19"/>
  <c r="N21" i="19"/>
  <c r="AL41" i="19"/>
  <c r="N41" i="19"/>
  <c r="AF41" i="19"/>
  <c r="AL31" i="19"/>
  <c r="AL51" i="19"/>
  <c r="Z11" i="19"/>
  <c r="N31" i="19"/>
  <c r="Z51" i="19"/>
  <c r="AF31" i="19"/>
  <c r="T11" i="19"/>
  <c r="AF21" i="19"/>
  <c r="Z21" i="19"/>
  <c r="AL11" i="19"/>
  <c r="AL21" i="19"/>
  <c r="T31" i="19"/>
  <c r="AF51" i="19"/>
  <c r="T21" i="19"/>
  <c r="AM19" i="19"/>
  <c r="O29" i="19"/>
  <c r="AA19" i="19"/>
  <c r="AM49" i="19"/>
  <c r="O9" i="19"/>
  <c r="U9" i="19"/>
  <c r="AG39" i="19"/>
  <c r="O49" i="19"/>
  <c r="AG9" i="19"/>
  <c r="AM39" i="19"/>
  <c r="AA49" i="19"/>
  <c r="AA9" i="19"/>
  <c r="U29" i="19"/>
  <c r="O19" i="19"/>
  <c r="U19" i="19"/>
  <c r="AG29" i="19"/>
  <c r="U49" i="19"/>
  <c r="AM29" i="19"/>
  <c r="AA29" i="19"/>
  <c r="O39" i="19"/>
  <c r="U39" i="19"/>
  <c r="AM9" i="19"/>
  <c r="AG49" i="19"/>
  <c r="AA39" i="19"/>
  <c r="AG19" i="19"/>
  <c r="R39" i="19"/>
  <c r="AD39" i="19"/>
  <c r="X29" i="19"/>
  <c r="AD9" i="19"/>
  <c r="AJ39" i="19"/>
  <c r="AD49" i="19"/>
  <c r="AD29" i="19"/>
  <c r="X49" i="19"/>
  <c r="L49" i="19"/>
  <c r="L9" i="19"/>
  <c r="L39" i="19"/>
  <c r="AJ19" i="19"/>
  <c r="L29" i="19"/>
  <c r="R9" i="19"/>
  <c r="X39" i="19"/>
  <c r="AJ29" i="19"/>
  <c r="X9" i="19"/>
  <c r="AJ9" i="19"/>
  <c r="R29" i="19"/>
  <c r="AJ49" i="19"/>
  <c r="L19" i="19"/>
  <c r="AD19" i="19"/>
  <c r="X19" i="19"/>
  <c r="R19" i="19"/>
  <c r="R49" i="19"/>
  <c r="AD27" i="19"/>
  <c r="AD17" i="19"/>
  <c r="X7" i="19"/>
  <c r="AJ7" i="19"/>
  <c r="R17" i="19"/>
  <c r="L17" i="19"/>
  <c r="X17" i="19"/>
  <c r="AD7" i="19"/>
  <c r="AD37" i="19"/>
  <c r="AJ37" i="19"/>
  <c r="AJ17" i="19"/>
  <c r="R27" i="19"/>
  <c r="AJ47" i="19"/>
  <c r="X37" i="19"/>
  <c r="AD47" i="19"/>
  <c r="L27" i="19"/>
  <c r="X47" i="19"/>
  <c r="X27" i="19"/>
  <c r="L47" i="19"/>
  <c r="AJ27" i="19"/>
  <c r="L37" i="19"/>
  <c r="L7" i="19"/>
  <c r="R7" i="19"/>
  <c r="R37" i="19"/>
  <c r="R47" i="19"/>
  <c r="AI37" i="19"/>
  <c r="Q7" i="19"/>
  <c r="W7" i="19"/>
  <c r="Q17" i="19"/>
  <c r="Q27" i="19"/>
  <c r="AI47" i="19"/>
  <c r="K7" i="19"/>
  <c r="K47" i="19"/>
  <c r="K17" i="19"/>
  <c r="W47" i="19"/>
  <c r="AC37" i="19"/>
  <c r="W17" i="19"/>
  <c r="AC47" i="19"/>
  <c r="AC7" i="19"/>
  <c r="W37" i="19"/>
  <c r="K37" i="19"/>
  <c r="AI17" i="19"/>
  <c r="K27" i="19"/>
  <c r="AC17" i="19"/>
  <c r="Q47" i="19"/>
  <c r="AI27" i="19"/>
  <c r="AC27" i="19"/>
  <c r="W27" i="19"/>
  <c r="Q37" i="19"/>
  <c r="AF34" i="19"/>
  <c r="N44" i="19"/>
  <c r="Z24" i="19"/>
  <c r="AF24" i="19"/>
  <c r="AL24" i="19"/>
  <c r="AL14" i="19"/>
  <c r="N24" i="19"/>
  <c r="T14" i="19"/>
  <c r="AF14" i="19"/>
  <c r="T44" i="19"/>
  <c r="AL44" i="19"/>
  <c r="N54" i="19"/>
  <c r="AL54" i="19"/>
  <c r="AL34" i="19"/>
  <c r="N14" i="19"/>
  <c r="N34" i="19"/>
  <c r="Z14" i="19"/>
  <c r="T54" i="19"/>
  <c r="Z54" i="19"/>
  <c r="AF44" i="19"/>
  <c r="T34" i="19"/>
  <c r="AF54" i="19"/>
  <c r="Z44" i="19"/>
  <c r="Z34" i="19"/>
  <c r="T24" i="19"/>
  <c r="Y16" i="19"/>
  <c r="AE6" i="19"/>
  <c r="M16" i="19"/>
  <c r="AE46" i="19"/>
  <c r="AK36" i="19"/>
  <c r="AE16" i="19"/>
  <c r="AK6" i="19"/>
  <c r="Y36" i="19"/>
  <c r="S36" i="19"/>
  <c r="S46" i="19"/>
  <c r="AE26" i="19"/>
  <c r="AK46" i="19"/>
  <c r="M46" i="19"/>
  <c r="M26" i="19"/>
  <c r="AE36" i="19"/>
  <c r="AK26" i="19"/>
  <c r="S16" i="19"/>
  <c r="AK16" i="19"/>
  <c r="S6" i="19"/>
  <c r="Y46" i="19"/>
  <c r="M36" i="19"/>
  <c r="S26" i="19"/>
  <c r="M6" i="19"/>
  <c r="Y6" i="19"/>
  <c r="Y26" i="19"/>
  <c r="Q14" i="19"/>
  <c r="AI14" i="19"/>
  <c r="AI34" i="19"/>
  <c r="AI44" i="19"/>
  <c r="AC54" i="19"/>
  <c r="W34" i="19"/>
  <c r="AC34" i="19"/>
  <c r="AI54" i="19"/>
  <c r="W24" i="19"/>
  <c r="W14" i="19"/>
  <c r="AI24" i="19"/>
  <c r="K14" i="19"/>
  <c r="Q54" i="19"/>
  <c r="AC44" i="19"/>
  <c r="K24" i="19"/>
  <c r="W44" i="19"/>
  <c r="K44" i="19"/>
  <c r="W54" i="19"/>
  <c r="AC14" i="19"/>
  <c r="Q44" i="19"/>
  <c r="Q24" i="19"/>
  <c r="Q34" i="19"/>
  <c r="K54" i="19"/>
  <c r="K34" i="19"/>
  <c r="AC24" i="19"/>
  <c r="J29" i="19"/>
  <c r="AB49" i="19"/>
  <c r="AB39" i="19"/>
  <c r="P19" i="19"/>
  <c r="AH19" i="19"/>
  <c r="AB9" i="19"/>
  <c r="P9" i="19"/>
  <c r="V19" i="19"/>
  <c r="J19" i="19"/>
  <c r="AC33" i="1"/>
  <c r="P49" i="19"/>
  <c r="AH9" i="19"/>
  <c r="J9" i="19"/>
  <c r="AB29" i="19"/>
  <c r="AH39" i="19"/>
  <c r="P39" i="19"/>
  <c r="P29" i="19"/>
  <c r="AH49" i="19"/>
  <c r="V49" i="19"/>
  <c r="V9" i="19"/>
  <c r="AB19" i="19"/>
  <c r="J39" i="19"/>
  <c r="J49" i="19"/>
  <c r="AH29" i="19"/>
  <c r="V29" i="19"/>
  <c r="V39" i="19"/>
  <c r="AE54" i="19"/>
  <c r="AE14" i="19"/>
  <c r="M24" i="19"/>
  <c r="Y24" i="19"/>
  <c r="M54" i="19"/>
  <c r="M14" i="19"/>
  <c r="AE24" i="19"/>
  <c r="AE34" i="19"/>
  <c r="M44" i="19"/>
  <c r="Y14" i="19"/>
  <c r="M34" i="19"/>
  <c r="S54" i="19"/>
  <c r="S34" i="19"/>
  <c r="Y34" i="19"/>
  <c r="S44" i="19"/>
  <c r="AE44" i="19"/>
  <c r="AK54" i="19"/>
  <c r="AK44" i="19"/>
  <c r="S24" i="19"/>
  <c r="AK34" i="19"/>
  <c r="Y44" i="19"/>
  <c r="S14" i="19"/>
  <c r="Y54" i="19"/>
  <c r="AK14" i="19"/>
  <c r="AK24" i="19"/>
  <c r="K39" i="19"/>
  <c r="W9" i="19"/>
  <c r="AC9" i="19"/>
  <c r="Q39" i="19"/>
  <c r="AI39" i="19"/>
  <c r="AC29" i="19"/>
  <c r="Q9" i="19"/>
  <c r="W29" i="19"/>
  <c r="Q49" i="19"/>
  <c r="Q29" i="19"/>
  <c r="K9" i="19"/>
  <c r="AC49" i="19"/>
  <c r="K49" i="19"/>
  <c r="AI49" i="19"/>
  <c r="W39" i="19"/>
  <c r="AI19" i="19"/>
  <c r="AC19" i="19"/>
  <c r="K19" i="19"/>
  <c r="W49" i="19"/>
  <c r="W19" i="19"/>
  <c r="Q19" i="19"/>
  <c r="AC39" i="19"/>
  <c r="AI9" i="19"/>
  <c r="K29" i="19"/>
  <c r="AI29" i="19"/>
  <c r="P31" i="19"/>
  <c r="AH41" i="19"/>
  <c r="AB51" i="19"/>
  <c r="AH21" i="19"/>
  <c r="AH31" i="19"/>
  <c r="AH11" i="19"/>
  <c r="V11" i="19"/>
  <c r="AB41" i="19"/>
  <c r="J21" i="19"/>
  <c r="V41" i="19"/>
  <c r="P51" i="19"/>
  <c r="J51" i="19"/>
  <c r="P11" i="19"/>
  <c r="AB21" i="19"/>
  <c r="AC40" i="1"/>
  <c r="AB31" i="19"/>
  <c r="V31" i="19"/>
  <c r="V21" i="19"/>
  <c r="AH51" i="19"/>
  <c r="P21" i="19"/>
  <c r="J11" i="19"/>
  <c r="AB11" i="19"/>
  <c r="J31" i="19"/>
  <c r="V51" i="19"/>
  <c r="P41" i="19"/>
  <c r="J41"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<sst xmlns="http://schemas.openxmlformats.org/spreadsheetml/2006/main" count="556" uniqueCount="366">
  <si>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</si>
  <si>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</si>
  <si>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</si>
  <si>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</si>
  <si>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</si>
  <si>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</si>
  <si>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</si>
  <si>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</si>
  <si>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</si>
  <si>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</si>
  <si>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</si>
  <si>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</si>
  <si>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</si>
  <si>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</si>
  <si>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</si>
  <si>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</si>
  <si>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</si>
  <si>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</si>
  <si>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</si>
  <si>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</si>
  <si>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</si>
  <si>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</si>
  <si>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</si>
  <si>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</si>
  <si>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</si>
  <si>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</si>
  <si>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</si>
  <si>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</si>
  <si>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</si>
  <si>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</si>
  <si>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</si>
  <si>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</si>
  <si>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</si>
  <si>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</si>
  <si>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</si>
  <si>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</si>
  <si>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</si>
  <si>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</si>
  <si>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</si>
  <si>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</si>
  <si>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</si>
  <si>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</si>
  <si>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</si>
  <si>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</si>
  <si>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</si>
  <si>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</si>
  <si>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</si>
  <si>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</si>
  <si>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</si>
  <si>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</si>
  <si>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</si>
  <si>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</si>
  <si>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</si>
  <si>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</si>
  <si>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</si>
  <si>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</si>
  <si>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</si>
  <si>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</si>
  <si>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</si>
  <si>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</si>
  <si>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</si>
  <si>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</si>
  <si>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</si>
  <si>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</si>
  <si>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</si>
  <si>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</si>
  <si>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</si>
  <si>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</si>
  <si>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</si>
  <si>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</si>
  <si>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</si>
  <si>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</si>
  <si>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</si>
  <si>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</si>
  <si>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</si>
  <si>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</si>
  <si>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</si>
  <si>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</si>
  <si>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</si>
  <si>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</si>
  <si>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</si>
  <si>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</si>
  <si>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</si>
  <si>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</si>
  <si>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</si>
  <si>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</si>
  <si>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</si>
  <si>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</si>
  <si>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</si>
  <si>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</si>
  <si>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</si>
  <si>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</si>
  <si>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</si>
  <si>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</si>
  <si>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</si>
  <si>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</si>
  <si>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</si>
  <si>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</si>
  <si>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</si>
  <si>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</si>
  <si>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</si>
  <si>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</si>
  <si>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</si>
  <si>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</si>
  <si>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</si>
  <si>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</si>
  <si>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</si>
  <si>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</si>
  <si>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</si>
  <si>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</si>
  <si>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</si>
  <si>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</si>
  <si>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</si>
  <si>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</si>
  <si>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</si>
  <si>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</si>
  <si>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</si>
  <si>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</si>
  <si>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</si>
  <si>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</si>
  <si>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</si>
  <si>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</si>
  <si>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</si>
  <si>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</si>
  <si>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</si>
  <si>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</si>
  <si>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</si>
  <si>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</si>
  <si>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</si>
  <si>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</si>
  <si>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</si>
  <si>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</si>
  <si>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</si>
  <si>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</si>
  <si>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</si>
  <si>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</si>
  <si>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</si>
  <si>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</si>
  <si>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</si>
  <si>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</si>
  <si>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</si>
  <si>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</si>
  <si>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</si>
  <si>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</si>
  <si>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</si>
  <si>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</si>
  <si>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</si>
  <si>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</si>
  <si>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</si>
  <si>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</si>
  <si>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</si>
  <si>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</si>
  <si>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</si>
  <si>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</si>
  <si>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</si>
  <si>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</si>
  <si>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</si>
  <si>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</si>
  <si>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</si>
  <si>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</si>
  <si>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</si>
  <si>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</si>
  <si>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</si>
  <si>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</si>
  <si>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</si>
  <si>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</si>
  <si>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</si>
  <si>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</si>
  <si>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</si>
  <si>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</si>
  <si>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</si>
  <si>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</si>
  <si>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</si>
  <si>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</si>
  <si>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</si>
  <si>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</si>
  <si>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</si>
  <si>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</si>
  <si>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</si>
  <si>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</si>
  <si>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</si>
  <si>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</si>
  <si>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</si>
  <si>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</si>
  <si>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</si>
  <si>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</si>
  <si>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</si>
  <si>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</si>
  <si>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</si>
  <si>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</si>
  <si>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</si>
  <si>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</si>
  <si>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</si>
  <si>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</si>
  <si>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</si>
  <si>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</si>
  <si>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</si>
  <si>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</si>
  <si>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</si>
  <si>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</si>
  <si>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</si>
  <si>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</si>
  <si>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</si>
  <si>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</si>
  <si>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</si>
  <si>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</si>
  <si>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</si>
  <si>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</si>
  <si>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</si>
  <si>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</si>
  <si>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</si>
  <si>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</si>
  <si>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</si>
  <si>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</si>
  <si>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</si>
  <si>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</si>
  <si>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</si>
  <si>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</si>
  <si>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</si>
  <si>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</si>
  <si>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</si>
  <si>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</si>
  <si>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</si>
  <si>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</si>
  <si>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</si>
  <si>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</si>
  <si>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</si>
  <si>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</si>
  <si>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</si>
  <si>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</si>
  <si>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</si>
  <si>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</si>
  <si>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</si>
  <si>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</si>
  <si>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</si>
  <si>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</si>
  <si>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</si>
  <si>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</si>
  <si>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</si>
  <si>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</si>
  <si>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</si>
  <si>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</si>
  <si>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</si>
  <si>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</si>
  <si>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</si>
  <si>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</si>
  <si>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</si>
  <si>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</si>
  <si>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</si>
  <si>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</si>
  <si>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</si>
  <si>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</si>
  <si>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</si>
  <si>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</si>
  <si>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</si>
  <si>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</si>
  <si>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</si>
  <si>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</si>
  <si>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</si>
  <si>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</si>
  <si>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</si>
  <si>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</si>
  <si>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</si>
  <si>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</si>
  <si>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</si>
  <si>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</si>
  <si>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</si>
  <si>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</si>
  <si>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</si>
  <si>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</si>
  <si>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</si>
  <si>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</si>
  <si>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</si>
  <si>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</si>
  <si>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</si>
  <si>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</si>
  <si>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</si>
  <si>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</si>
  <si>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</si>
  <si>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</si>
  <si>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</si>
  <si>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</si>
  <si>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</si>
  <si>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</si>
  <si>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</si>
  <si>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</si>
  <si>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</si>
  <si>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</si>
  <si>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</si>
  <si>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t>F1 Procedimientos establecidos</t>
  </si>
  <si>
    <t>D1 En la adopción de lineamientos</t>
  </si>
  <si>
    <t>F2 Compromiso Equipo de Trabajo</t>
  </si>
  <si>
    <t>D2 Implementación de Procedimientos e Instrucciones</t>
  </si>
  <si>
    <t>F3 Lineamientos establecidos al interior de la SDG respecto al Talento Humano</t>
  </si>
  <si>
    <t>D3 Falencias en aplicativos</t>
  </si>
  <si>
    <t>F4 Compromiso por parte de la Alta Dirección</t>
  </si>
  <si>
    <t>D4 Coordinación entre Dependencias</t>
  </si>
  <si>
    <t>O1 Fortalecimiento del Talento al interior de la Dirección</t>
  </si>
  <si>
    <t>A1 Cambios en la Normativad que afecten de forma directa al proceso</t>
  </si>
  <si>
    <t>O2 Capacitación orientadas al cumplimiento de procedimientos e instrucciones</t>
  </si>
  <si>
    <t>A2 Materialización de Hallazgos</t>
  </si>
  <si>
    <t>O3 Optimizacion de documentos que respaldan la Gestión de la Dirección</t>
  </si>
  <si>
    <t xml:space="preserve"> A3 Incumplimientos producto de auditorías por parte de entes de control</t>
  </si>
  <si>
    <t>O4 Implementación de aplicaciones que den respuesta a las necesidades de la Dirección</t>
  </si>
  <si>
    <t>A4 Desvinculación de colaboradores claves en procedimientos críticos de la Dirección</t>
  </si>
  <si>
    <t xml:space="preserve">O5 Mejoras entre las articulación de procesos y dependencias </t>
  </si>
  <si>
    <t>A5 Cambios en la Alta Dirección</t>
  </si>
  <si>
    <t>A6 Cambios a nivel Distrital que puedan afectar la continuidad de proyectos ya definidos</t>
  </si>
  <si>
    <t>Se realizan ajustes a los eventos de riesgo y los controles, se incluye riesgo 5.</t>
  </si>
  <si>
    <t>Se realiza ajuste de la matriz de riesgos como consecuencia de la entrada en vigencia de la Resolución 162 de 2017, que crea el proceso Gerencia del Talento Humano como parte del mapa de procesos de la entidad. Nueva codificación del documento GCO-GTH-MR que reemplaza al documento 1D-GTH-MR001.</t>
  </si>
  <si>
    <t>Se actualiza la matriz de riesgos con ocasión a los lineamientos emitidos por el Departamento Administrativo de la Función Publica - DAFP y versión 4 del Manual de Riesgos. Se realizo ajuste  a la redacción del evento, causas y consecuencias y se adecúaron los controles de acuerdo a la "Guía para la administración del riesgo y el diseño de controles en entidades públicas Versión 4 de octubre de 2018 de la Función Pública.</t>
  </si>
  <si>
    <t>Se actualiza la matriz de riesgos como consecuencia a la emergencia sanitaria COVID 19 - 2020,  ingresaron dos riesgos nuevos R8 y R9  se establecieron los respectivos controles, se ajustaron las características del control en el R2 con respecto a la periodicidad y propósito  y se actualizo la valoración de la disminución directa de la probabilidad y el impacto del control que no había quedado en la publicación de la versión 2 del 23 de octubre de 2019.</t>
  </si>
  <si>
    <t>Se realizó ajustes de forma y redacciones en los diferentes riesgos, se adicionó un control asociado al R1 y se realizó la evaluación correspondiente, se elimina el R4 toda vez que posterior al análisis realizado con el acompañamiento de los profesionales de la OAP se evidenció que no cumple con los parámetros para establecerse como riesgo, adicional se actualizó la valoración de la probabilidad e impacto de los riesgos y se realizó la evaluación asociada a los controles.</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</si>
  <si>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242273</t>
  </si>
  <si>
    <t xml:space="preserve">Gerencia del Talento Humano </t>
  </si>
  <si>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</si>
  <si>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El proceso inicia con la vinculación del talento humano y culmina con el retiro del servidor/a público/a de la planta de personal de la entidad (carrera administrativa,
provisionales, periodo fijo, libre nombramiento, remoción y temporales).</t>
  </si>
  <si>
    <t>Errores humanos en la verificación de los requisitos que realiza el profesional encargado</t>
  </si>
  <si>
    <t>Demoras por parte de los entes educativos para certificar o confirmar información allegadas por las personas a vincular</t>
  </si>
  <si>
    <t>Revisión y verificación inadecuada del cumplimiento de los requisitos  al momento de la vinculación del personal por parte de la persona competente y/o responsable.</t>
  </si>
  <si>
    <t>Posibilidad de afectación reputacional por vincular servidores públicos sin el cumplimiento de los requisitos establecidos en el Procedimiento Vinculación a la Planta de Personal de la SDG y  la normatividad vigente.</t>
  </si>
  <si>
    <t>El Profesional responsable de la Dirección de Gestión de Talento Humano, cada vez que se va a realizar una vinculación de personal, verifica si la persona a vincular a la SDG cumple con los requisitos de formación académica y experiencia definidos en el manual específico de funciones y competencias laborales y de la normatividad vigente, consultando vía internet e imprimiendo antecedentes disciplinarios, fiscales, judiciales, inhabilidad y sanciones. En caso de no cumplir con los requisitos el/la Director/a de Gestión de Talento Humano informa al nominador o a la Comisión Nacional del Servicio Civil según el tipo de nombramiento, dando cumplimiento a lo establecido en el GCO-GTH-P001, como evidencia de la ejecución de este control quedan: la hoja de vida con soportes, antecedentes y certificación de cumplimiento.</t>
  </si>
  <si>
    <t>El Profesional responsable de la Dirección de Gestión de Talento Humano, cada vez que se realice la provisión de  empleos de libre nombramiento y remoción,  tendrá en cuenta la transparencia en los procesos de vinculación de servidores dando cumplimiento a lo establecido en el Decreto 189 de 2020 de la Alcaldía Mayor de Bogotá, D.C., a las Circular 038 de 2020 del Departamento Administrativo del Servicio Civil Distrital y a la Circular 052 de La Secretaria General de la Alcaldía Mayor De Bogotá, D. C.,  como evidencia de la ejecución de este control quedan: la hoja de vida con soportes, antecedentes y el GCO-GTH-F045 Formato de verificación de requisitos mínimos.  En caso de identificar alguna desviación se reporta a el/la Directora/a de Gestión de Talento Humano.</t>
  </si>
  <si>
    <t>Falta de seguimiento por parte de los jefes inmediatos, frente a las competencias laborales y comportamentales, para responder a los compromisos fijados.</t>
  </si>
  <si>
    <t xml:space="preserve">Subjetividad del evaluador  </t>
  </si>
  <si>
    <t>Desconocimiento de los criterios e instrumentos del "Sistema Tipo de Evaluación del Desempeño establecido por la Comisión Nacional del Servicio Civil" y del "Procedimiento de Evaluación del Desempeño Laboral de Servidores de Carrera" establecido en la SDG tanto por el evaluador como el evaluado.</t>
  </si>
  <si>
    <t>Posibilidad de afectación reputacional por impedir el derecho al acceso de beneficios a los servidores públicos.</t>
  </si>
  <si>
    <t>El evaluador y el evaluado, cada vez que vayan a realizar una actividad inmersa en el proceso de "Evaluación del Desempeño Laboral de Servidores de Carrera Administrativa" aplican los criterios e instrumentos institucionales y legales establecidos, consultando el Procedimiento de Evaluación del Desempeño Laboral de Servidores de Carrera Administrativa de la SDG y la Comisión Nacional del Servicio Civil. En caso de tener controversia o diferencia de criterios en alguna de las actividades los involucrados acudirán a las instancias de orden legal definidas, dando cumplimiento a lo establecido en el GCO-GTH-P007, como evidencia de la ejecución del control queda el original de las evaluaciones parciales y/o evaluaciones definitivas realizadas y remitidas por el evaluador a la DGTH.</t>
  </si>
  <si>
    <t>Debilidades en la etapa de planeación, que permitan conocer las necesidades de los servidores públicos en los diferentes temas de bienestar y capacitación.</t>
  </si>
  <si>
    <t>Dificultad para el acceso y conocimiento de los planes de bienestar, capacitación e incentivos por parte de los servidores públicos.</t>
  </si>
  <si>
    <t>Falta de apoyo por parte de los jefes en cada una de las dependencias que impiden la participación de los servidores públicos a su cargo.</t>
  </si>
  <si>
    <t>Desconocimiento de los planes de bienestar, capacitación y estímulos por parte de los servidores públicos.</t>
  </si>
  <si>
    <t>Debilidades en la etapa de formulación y planeación de los Planes Institucionales de Bienestar y Capacitación, que puedan desconocer las necesidades de los servidores públicos en los diferentes temas de bienestar y capacitación y desconocimiento de los mismo por parte de los servidores de la SDG</t>
  </si>
  <si>
    <t>Posibilidad de afectación reputacional por baja participación por parte de los servidores públicos en las actividades de los planes institucionales de bienestar, capacitación y estímulos programados  por la DGTH.</t>
  </si>
  <si>
    <t>El/La Directora/a de Gestión de Talento Humano y los Profesionales o responsables asignados cada vez que formule  planes,  programas y la   medición de Clima y Cultura Organizacional,  dirigidos al desarrollo integral del talento humano de la SDG, tendrá  en cuenta los diagnósticos adelantados en las anteriores vigencias y el diseño e implementación de la Encuesta de necesidades de Bienestar y Capacitación para estructurar el Plan de Bienestar, Capacitación y Estímulos para cada vigencia, incluyendo estrategias que fomenten la participación activa de los servidores públicos. 
En caso de que se evidencie baja participación por parte de los servidores públicos la DGTH ajustará las estrategias estableciendo mecanismos que controlen esta situación. Como evidencia de la ejecución del control quedan los  planes formulados y los actos administrativos correspondientes publicados y socializados.</t>
  </si>
  <si>
    <t>Desconocimiento del funcionamiento del aplicativo de la nómina por parte de los servidores que manejan la nómina.</t>
  </si>
  <si>
    <t>Reporte de novedades de la nómina de manera extemporánea, las cuales no queden incluidas en la nómina.</t>
  </si>
  <si>
    <t>Errores humanos en liquidación, aplicación de la norma y causación de la nómina.</t>
  </si>
  <si>
    <t>Falta de verificación de los diferentes pagos a realizar.</t>
  </si>
  <si>
    <t>Posibilidad de afectación reputacional por liquidación de la nómina con errores</t>
  </si>
  <si>
    <t>El profesional especializado responsable de la liquidación de nómina de la DGTH, los demás responsables y los integrantes del grupo de revisión mensualmente,  verifican y proceden a  realizar la liquidación de la nómina de acuerdo a las Instrucciones para la liquidación de Nómina y Aportes Patronales  GCO-GTH-IN003, revisando los soportes de las novedades enviadas por los funcionarios en  los tiempos establecidos.  Se remite la nómina a la Subsecretaria de Gestión Institucional  para el proceso pertinente. 
Por su parte el profesional de la SGI revisa y verifica la liquidación de la nómina de acuerdo a las instrucciones. En caso de que dentro de la verificación se requieran ajustes a la liquidación de la nómina la SGI envía las observaciones respectivas para el ajuste de la liquidación de la nómina por parte de la DGTH, como evidencia de la ejecución de este control quedan: el aplicativo de liquidación de la nómina establecido para tal fin, los reportes, comunicaciones y soportes anexos del proceso de liquidación de la nómina descritos en el instructivo GCO-GTH-IN003.</t>
  </si>
  <si>
    <t>Mantenimiento inoportuno y/o falta de soporte técnico del aplicativo establecido para la liquidación de la nómina SIAP</t>
  </si>
  <si>
    <t xml:space="preserve"> En la DTI los ajustes técnicos y de lenguaje al aplicativo de la nómina están a cargo de una sola persona.</t>
  </si>
  <si>
    <t xml:space="preserve">Falta de verificación del envio de los respectivos reportes  a la Dirección Financiera.  </t>
  </si>
  <si>
    <t>El profesional especializado responsable de la liquidación de nómina de la DGTH, mensualmente verifica la remisión al profesional responsable de la Dirección Financiera de los respectivos soportes de la nómina de acuerdo a lo establecido en las Instrucciones para la liquidación de Nómina y Aportes Patronales GCO-GTH-IN003. 
En caso de encontrarse inconsistencias o información faltante se hará la devolución a través de comunicación oficial para que se subsane la situación., como evidencia de la ejecución del control quedan: las comunicaciones oficiales realizadas y los aplicativos de la Secretaria Distrital de Hacienda.</t>
  </si>
  <si>
    <t xml:space="preserve">Desconocimiento en los procedimientos para la gestión adecuada de los residuos, por parte del proveedor. </t>
  </si>
  <si>
    <t xml:space="preserve">Ausencia de inclusión de criterios de sostenibilidad o cumplimiento normativo en el proceso contractual. </t>
  </si>
  <si>
    <t>Debilidad en la ejecución de las actividades de seguimiento al  tratamiento y/o disposición final de los residuos generados en el desarrollo de las actividades del proceso contractual.</t>
  </si>
  <si>
    <t>Posibilidad de afectación ambiental negativa por la gestión inadecuada de residuos sólidos: convencionales (aprovechables y no aprovechables) , peligrosos, hospitalarios y similares    (Biosanitarios, anatomopatológicos y cortopunzantes),  por parte de los proveedores de los servicios  integrales técnicos, operativos y logísticos para la realización de las actividades de bienestar y realización de exámenes periódicos ocupacionales.</t>
  </si>
  <si>
    <t>Leve</t>
  </si>
  <si>
    <t>El profesional ambiental realizará inspecciones ambientales anuales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para tomar las medidas pertinentes en el incumplimiento, como evidencia de la ejecución del control queda el  registro de la inspección ambiental anual  realizada en el formato  PLE-PIN-F010.</t>
  </si>
  <si>
    <t>Algunas de las actividades de las funciones propias del cargo no le permiten el trabajar en casa</t>
  </si>
  <si>
    <t>No existen las herramientas tecnológicas suficientes en casa</t>
  </si>
  <si>
    <t>No se concertó previamente con el líder o director del área los compromisos de trabajo en casa.</t>
  </si>
  <si>
    <t>Falta de competencias digitales</t>
  </si>
  <si>
    <t>El directivo del área no realiza el seguimiento respectivo</t>
  </si>
  <si>
    <t>Incumplimiento a lo establecido en los lineamientos emitidos para la estrategia de Teletrabajo en la SDG</t>
  </si>
  <si>
    <t>Posibilidad de afectación reputacional por incumplimiento de las funciones por parte de los servidores de la entidad en el desarrollo del Teletrabajo</t>
  </si>
  <si>
    <t>El Jefe de la oficina o Director, concertará las actividades y hará seguimiento y evaluación a través del formato seguimiento de acuerdo al teletrabajo, con el propósito de verificar que se cumple con las funciones acordadas, dando cumplimento a lo establecido en la Resolución 468 de 2021 parcialmente modificada por la Resolución 1104 de 2021. esta información será consolidada y enviada de forma trimestral a la Dirección de Gestión del Talento Humano para su revisión, en caso de que la información no sea enviada, el Director de Gestión del Talento Humano hará el requerimiento, como evidencia de la ejecución del control se dejará el correo enviado y los formatos debidamente diligenciados.</t>
  </si>
  <si>
    <t>Falta de capacitación en la norma de manejo de datos sensibles</t>
  </si>
  <si>
    <t>Manipulación de documentos físicos fuera de la entidad.</t>
  </si>
  <si>
    <t>Poco control en el manejo de los documentos físicos de la norma</t>
  </si>
  <si>
    <t>Indebida manipulación de documentos físicos fuera de la entidad.</t>
  </si>
  <si>
    <t>Posibilidad de afectación reputacional por inadecuado manejo de información sensible de los servidores públicos, en temas como hojas de vida, incapacidades, temas médicos, datos personales y aquellos relacionados con la nómina de la entidad.</t>
  </si>
  <si>
    <t>Posibilidad de afectación reputacional por inoportunidad en los reportes de nómina en relación con el cronograma establecido.</t>
  </si>
  <si>
    <t>El/La Directora/a de Gestión de Talento Humano y el Profesional o responsable asignado de la dependencia autorizará a los funcionarios, cada vez que se requiera o se solicite retirar expedientes y/ o documentos, con el fin de desarrollar trabajo en casa, deberá diligenciar un acta donde se discrimine la cantidad de folios y su estado natural, esto con el fin de garantizar la correcta custodia y el cuidado necesario de los documentos, frente a su estructura e información confidencial. en el acta quedara escrito el compromiso del funcionario frente a lo estipulado en la normatividad vigente (Ley Estatutaria 1581 de 2012 "Por la cual se dictan disposiciones generales para la protección de datos personales").  En caso de difusión de la información inadecuadamente, perdida o deterioro del expediente o documento el funcionario quien lo retira deberá informar a las entidades de control e iniciar el proceso de reconstrucción y se dejará como evidencia la denuncia respectiva o el correo informando de la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</si>
</sst>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8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1" borderId="81"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7" xfId="0" applyFont="1" applyFill="1" applyBorder="1" applyAlignment="1">
      <alignment horizontal="center" vertical="center" wrapText="1"/>
    </xf>
    <xf numFmtId="0" fontId="78" fillId="0" borderId="87" xfId="0" applyFont="1" applyBorder="1" applyAlignment="1">
      <alignment horizontal="center" vertical="center" wrapText="1"/>
    </xf>
    <xf numFmtId="0" fontId="79" fillId="22" borderId="86" xfId="0" applyFont="1" applyFill="1" applyBorder="1" applyAlignment="1">
      <alignment horizontal="center" vertical="center" wrapText="1"/>
    </xf>
    <xf numFmtId="0" fontId="78" fillId="0" borderId="86" xfId="0" applyFont="1" applyBorder="1" applyAlignment="1">
      <alignment horizontal="center" vertical="center" wrapText="1"/>
    </xf>
    <xf numFmtId="0" fontId="37" fillId="0" borderId="86" xfId="0" applyFont="1" applyBorder="1" applyAlignment="1">
      <alignment vertical="center" wrapText="1"/>
    </xf>
    <xf numFmtId="0" fontId="37" fillId="0" borderId="86" xfId="0" applyFont="1" applyBorder="1" applyAlignment="1">
      <alignment horizontal="center" vertical="center" wrapText="1"/>
    </xf>
    <xf numFmtId="0" fontId="79" fillId="22" borderId="90" xfId="0" applyFont="1" applyFill="1" applyBorder="1" applyAlignment="1">
      <alignment horizontal="center" vertical="center" wrapText="1"/>
    </xf>
    <xf numFmtId="0" fontId="78"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0" xfId="0" applyFont="1" applyFill="1" applyAlignment="1">
      <alignment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Border="1" applyAlignment="1">
      <alignment horizontal="center" vertical="center" wrapText="1"/>
    </xf>
    <xf numFmtId="0" fontId="37" fillId="23" borderId="33" xfId="0" applyFont="1" applyFill="1" applyBorder="1" applyAlignment="1">
      <alignment vertical="center"/>
    </xf>
    <xf numFmtId="0" fontId="78" fillId="0" borderId="91"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74" fillId="20" borderId="0" xfId="0" applyFont="1" applyFill="1" applyBorder="1" applyAlignment="1" applyProtection="1">
      <alignment horizontal="center" vertical="center" wrapText="1"/>
      <protection locked="0"/>
    </xf>
    <xf numFmtId="0" fontId="70" fillId="0" borderId="0" xfId="0" applyFont="1" applyFill="1" applyAlignment="1" applyProtection="1">
      <alignment vertical="center" wrapText="1"/>
      <protection locked="0"/>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79" fillId="22" borderId="89" xfId="0" applyFont="1" applyFill="1" applyBorder="1" applyAlignment="1">
      <alignment horizontal="center" vertical="center" wrapText="1"/>
    </xf>
    <xf numFmtId="0" fontId="79" fillId="22" borderId="84" xfId="0" applyFont="1" applyFill="1" applyBorder="1" applyAlignment="1">
      <alignment horizontal="center" vertical="center" wrapText="1"/>
    </xf>
    <xf numFmtId="0" fontId="78" fillId="0" borderId="89" xfId="0" applyFont="1" applyBorder="1" applyAlignment="1">
      <alignment horizontal="center" vertical="center" wrapText="1"/>
    </xf>
    <xf numFmtId="0" fontId="78" fillId="0" borderId="84" xfId="0" applyFont="1" applyBorder="1" applyAlignment="1">
      <alignment horizontal="center" vertical="center" wrapText="1"/>
    </xf>
    <xf numFmtId="0" fontId="79" fillId="21" borderId="88" xfId="0" applyFont="1" applyFill="1" applyBorder="1" applyAlignment="1">
      <alignment horizontal="center" vertical="center" wrapText="1"/>
    </xf>
    <xf numFmtId="0" fontId="79" fillId="21" borderId="83"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1" fillId="0" borderId="75" xfId="0" applyFont="1" applyBorder="1" applyAlignment="1">
      <alignment horizontal="left" vertical="center" wrapText="1"/>
    </xf>
    <xf numFmtId="0" fontId="61" fillId="0" borderId="34" xfId="0" applyFont="1" applyBorder="1" applyAlignment="1">
      <alignment horizontal="left" vertical="center" wrapText="1"/>
    </xf>
    <xf numFmtId="0" fontId="61" fillId="0" borderId="33" xfId="0" applyFont="1" applyBorder="1" applyAlignment="1">
      <alignment horizontal="left" vertical="center" wrapText="1"/>
    </xf>
    <xf numFmtId="0" fontId="61" fillId="0" borderId="38" xfId="0" applyFont="1" applyBorder="1" applyAlignment="1">
      <alignment horizontal="left" vertical="center" wrapText="1"/>
    </xf>
    <xf numFmtId="0" fontId="2" fillId="19" borderId="33" xfId="0" applyFont="1" applyFill="1" applyBorder="1" applyAlignment="1" applyProtection="1">
      <alignment horizontal="center" vertical="center" wrapText="1"/>
      <protection locked="0"/>
    </xf>
    <xf numFmtId="14" fontId="2" fillId="19" borderId="33" xfId="0" applyNumberFormat="1" applyFont="1" applyFill="1" applyBorder="1" applyAlignment="1" applyProtection="1">
      <alignment horizontal="center" vertical="center" wrapText="1"/>
      <protection locked="0"/>
    </xf>
    <xf numFmtId="0" fontId="2" fillId="19" borderId="78" xfId="0" applyFont="1" applyFill="1" applyBorder="1" applyAlignment="1" applyProtection="1">
      <alignment horizontal="left" vertical="center" wrapText="1"/>
      <protection locked="0"/>
    </xf>
    <xf numFmtId="0" fontId="2" fillId="19" borderId="79" xfId="0" applyFont="1" applyFill="1" applyBorder="1" applyAlignment="1" applyProtection="1">
      <alignment horizontal="left" vertical="center" wrapText="1"/>
      <protection locked="0"/>
    </xf>
    <xf numFmtId="0" fontId="2" fillId="19" borderId="8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center" vertical="center" wrapText="1"/>
      <protection locked="0"/>
    </xf>
    <xf numFmtId="14" fontId="2" fillId="0" borderId="33" xfId="0" applyNumberFormat="1" applyFont="1" applyFill="1" applyBorder="1" applyAlignment="1" applyProtection="1">
      <alignment horizontal="center" vertical="center" wrapText="1"/>
      <protection locked="0"/>
    </xf>
    <xf numFmtId="0" fontId="2" fillId="0" borderId="78" xfId="0" applyFont="1" applyFill="1" applyBorder="1" applyAlignment="1" applyProtection="1">
      <alignment horizontal="left" vertical="center" wrapText="1"/>
      <protection locked="0"/>
    </xf>
    <xf numFmtId="0" fontId="2" fillId="0" borderId="79" xfId="0" applyFont="1" applyFill="1" applyBorder="1" applyAlignment="1" applyProtection="1">
      <alignment horizontal="left" vertical="center" wrapText="1"/>
      <protection locked="0"/>
    </xf>
    <xf numFmtId="0" fontId="2" fillId="0" borderId="80" xfId="0" applyFont="1" applyFill="1" applyBorder="1" applyAlignment="1" applyProtection="1">
      <alignment horizontal="left"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164" fontId="1" fillId="9" borderId="2" xfId="1" applyNumberFormat="1" applyFont="1" applyFill="1" applyBorder="1" applyAlignment="1">
      <alignment horizontal="center" vertical="center"/>
    </xf>
    <xf numFmtId="0" fontId="1" fillId="0" borderId="2" xfId="0" applyFont="1" applyBorder="1" applyAlignment="1">
      <alignment horizontal="left" vertical="center" wrapText="1"/>
    </xf>
    <xf numFmtId="0" fontId="6" fillId="0" borderId="8"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protection hidden="1"/>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0">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14</xdr:row>
      <xdr:rowOff>0</xdr:rowOff>
    </xdr:from>
    <xdr:to>
      <xdr:col>16</xdr:col>
      <xdr:colOff>320675</xdr:colOff>
      <xdr:row>15</xdr:row>
      <xdr:rowOff>69056</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69056</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69056</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69056</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52532</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1183192</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1092994</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9" name="AutoShape 38" descr="Resultado de imagen para boton agregar icono">
          <a:extLst>
            <a:ext uri="{FF2B5EF4-FFF2-40B4-BE49-F238E27FC236}">
              <a16:creationId xmlns:a16="http://schemas.microsoft.com/office/drawing/2014/main" id="{56A52ACF-EEE5-45AB-A1B2-1B5FB8C4D5C0}"/>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0" name="AutoShape 39" descr="Resultado de imagen para boton agregar icono">
          <a:extLst>
            <a:ext uri="{FF2B5EF4-FFF2-40B4-BE49-F238E27FC236}">
              <a16:creationId xmlns:a16="http://schemas.microsoft.com/office/drawing/2014/main" id="{11774C26-099A-4CA5-80E9-6A7DB5594775}"/>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1" name="AutoShape 40" descr="Resultado de imagen para boton agregar icono">
          <a:extLst>
            <a:ext uri="{FF2B5EF4-FFF2-40B4-BE49-F238E27FC236}">
              <a16:creationId xmlns:a16="http://schemas.microsoft.com/office/drawing/2014/main" id="{12C3AFEB-8960-48E1-BD94-9C013CD1C5BD}"/>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2" name="AutoShape 42" descr="Z">
          <a:extLst>
            <a:ext uri="{FF2B5EF4-FFF2-40B4-BE49-F238E27FC236}">
              <a16:creationId xmlns:a16="http://schemas.microsoft.com/office/drawing/2014/main" id="{96523EB4-0BE0-49A1-8684-CA69F009B0B7}"/>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52532</xdr:rowOff>
    </xdr:to>
    <xdr:sp macro="" textlink="">
      <xdr:nvSpPr>
        <xdr:cNvPr id="13" name="Rectangle 53">
          <a:extLst>
            <a:ext uri="{FF2B5EF4-FFF2-40B4-BE49-F238E27FC236}">
              <a16:creationId xmlns:a16="http://schemas.microsoft.com/office/drawing/2014/main" id="{45594D03-C4BC-4A66-97CA-1171F01C7711}"/>
            </a:ext>
          </a:extLst>
        </xdr:cNvPr>
        <xdr:cNvSpPr>
          <a:spLocks noChangeArrowheads="1"/>
        </xdr:cNvSpPr>
      </xdr:nvSpPr>
      <xdr:spPr bwMode="auto">
        <a:xfrm>
          <a:off x="2426652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4" name="AutoShape 38" descr="Resultado de imagen para boton agregar icono">
          <a:extLst>
            <a:ext uri="{FF2B5EF4-FFF2-40B4-BE49-F238E27FC236}">
              <a16:creationId xmlns:a16="http://schemas.microsoft.com/office/drawing/2014/main" id="{B87D2715-A174-4AF1-97AE-FDADC9AFA116}"/>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5" name="AutoShape 39" descr="Resultado de imagen para boton agregar icono">
          <a:extLst>
            <a:ext uri="{FF2B5EF4-FFF2-40B4-BE49-F238E27FC236}">
              <a16:creationId xmlns:a16="http://schemas.microsoft.com/office/drawing/2014/main" id="{20A6CDB8-CF54-45C3-8890-27F717C85987}"/>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6" name="AutoShape 40" descr="Resultado de imagen para boton agregar icono">
          <a:extLst>
            <a:ext uri="{FF2B5EF4-FFF2-40B4-BE49-F238E27FC236}">
              <a16:creationId xmlns:a16="http://schemas.microsoft.com/office/drawing/2014/main" id="{E33812D7-20E4-4038-BD81-BB7D9E23061D}"/>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309562</xdr:rowOff>
    </xdr:to>
    <xdr:sp macro="" textlink="">
      <xdr:nvSpPr>
        <xdr:cNvPr id="17" name="AutoShape 42" descr="Z">
          <a:extLst>
            <a:ext uri="{FF2B5EF4-FFF2-40B4-BE49-F238E27FC236}">
              <a16:creationId xmlns:a16="http://schemas.microsoft.com/office/drawing/2014/main" id="{B69FC23A-6C40-4F75-95C7-0FFB86A6A97E}"/>
            </a:ext>
          </a:extLst>
        </xdr:cNvPr>
        <xdr:cNvSpPr>
          <a:spLocks noChangeAspect="1" noChangeArrowheads="1"/>
        </xdr:cNvSpPr>
      </xdr:nvSpPr>
      <xdr:spPr bwMode="auto">
        <a:xfrm>
          <a:off x="24266525" y="59721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52532</xdr:rowOff>
    </xdr:to>
    <xdr:sp macro="" textlink="">
      <xdr:nvSpPr>
        <xdr:cNvPr id="18" name="Rectangle 53">
          <a:extLst>
            <a:ext uri="{FF2B5EF4-FFF2-40B4-BE49-F238E27FC236}">
              <a16:creationId xmlns:a16="http://schemas.microsoft.com/office/drawing/2014/main" id="{4514E5F7-251F-48B4-BCFF-C473D20B9224}"/>
            </a:ext>
          </a:extLst>
        </xdr:cNvPr>
        <xdr:cNvSpPr>
          <a:spLocks noChangeArrowheads="1"/>
        </xdr:cNvSpPr>
      </xdr:nvSpPr>
      <xdr:spPr bwMode="auto">
        <a:xfrm>
          <a:off x="2426652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9</xdr:row>
      <xdr:rowOff>127000</xdr:rowOff>
    </xdr:from>
    <xdr:ext cx="0" cy="277957"/>
    <xdr:sp macro="" textlink="">
      <xdr:nvSpPr>
        <xdr:cNvPr id="19" name="Rectangle 53">
          <a:extLst>
            <a:ext uri="{FF2B5EF4-FFF2-40B4-BE49-F238E27FC236}">
              <a16:creationId xmlns:a16="http://schemas.microsoft.com/office/drawing/2014/main" id="{07598933-54ED-41C1-BD4A-3D9DFEEB0180}"/>
            </a:ext>
          </a:extLst>
        </xdr:cNvPr>
        <xdr:cNvSpPr>
          <a:spLocks noChangeArrowheads="1"/>
        </xdr:cNvSpPr>
      </xdr:nvSpPr>
      <xdr:spPr bwMode="auto">
        <a:xfrm>
          <a:off x="24266525" y="2698750"/>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7957"/>
    <xdr:sp macro="" textlink="">
      <xdr:nvSpPr>
        <xdr:cNvPr id="20" name="Rectangle 53">
          <a:extLst>
            <a:ext uri="{FF2B5EF4-FFF2-40B4-BE49-F238E27FC236}">
              <a16:creationId xmlns:a16="http://schemas.microsoft.com/office/drawing/2014/main" id="{02A1156B-3FF3-45FF-8D66-8AA152F2350F}"/>
            </a:ext>
          </a:extLst>
        </xdr:cNvPr>
        <xdr:cNvSpPr>
          <a:spLocks noChangeArrowheads="1"/>
        </xdr:cNvSpPr>
      </xdr:nvSpPr>
      <xdr:spPr bwMode="auto">
        <a:xfrm>
          <a:off x="24266525" y="609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7957"/>
    <xdr:sp macro="" textlink="">
      <xdr:nvSpPr>
        <xdr:cNvPr id="21" name="Rectangle 53">
          <a:extLst>
            <a:ext uri="{FF2B5EF4-FFF2-40B4-BE49-F238E27FC236}">
              <a16:creationId xmlns:a16="http://schemas.microsoft.com/office/drawing/2014/main" id="{3DEAB5DC-34B9-4666-947F-35A35B107539}"/>
            </a:ext>
          </a:extLst>
        </xdr:cNvPr>
        <xdr:cNvSpPr>
          <a:spLocks noChangeArrowheads="1"/>
        </xdr:cNvSpPr>
      </xdr:nvSpPr>
      <xdr:spPr bwMode="auto">
        <a:xfrm>
          <a:off x="24266525" y="3365500"/>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7957"/>
    <xdr:sp macro="" textlink="">
      <xdr:nvSpPr>
        <xdr:cNvPr id="22" name="Rectangle 53">
          <a:extLst>
            <a:ext uri="{FF2B5EF4-FFF2-40B4-BE49-F238E27FC236}">
              <a16:creationId xmlns:a16="http://schemas.microsoft.com/office/drawing/2014/main" id="{22C3AE22-9AB4-4BAF-AF52-675DB2EB9980}"/>
            </a:ext>
          </a:extLst>
        </xdr:cNvPr>
        <xdr:cNvSpPr>
          <a:spLocks noChangeArrowheads="1"/>
        </xdr:cNvSpPr>
      </xdr:nvSpPr>
      <xdr:spPr bwMode="auto">
        <a:xfrm>
          <a:off x="24266525" y="4356100"/>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7957"/>
    <xdr:sp macro="" textlink="">
      <xdr:nvSpPr>
        <xdr:cNvPr id="23" name="Rectangle 53">
          <a:extLst>
            <a:ext uri="{FF2B5EF4-FFF2-40B4-BE49-F238E27FC236}">
              <a16:creationId xmlns:a16="http://schemas.microsoft.com/office/drawing/2014/main" id="{3DAD45F5-8A08-45D6-AE07-24522B132F6F}"/>
            </a:ext>
          </a:extLst>
        </xdr:cNvPr>
        <xdr:cNvSpPr>
          <a:spLocks noChangeArrowheads="1"/>
        </xdr:cNvSpPr>
      </xdr:nvSpPr>
      <xdr:spPr bwMode="auto">
        <a:xfrm>
          <a:off x="24266525" y="51085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7957"/>
    <xdr:sp macro="" textlink="">
      <xdr:nvSpPr>
        <xdr:cNvPr id="24" name="Rectangle 53">
          <a:extLst>
            <a:ext uri="{FF2B5EF4-FFF2-40B4-BE49-F238E27FC236}">
              <a16:creationId xmlns:a16="http://schemas.microsoft.com/office/drawing/2014/main" id="{35CB5FBC-AE70-4E29-8D91-4F4D480AB8D3}"/>
            </a:ext>
          </a:extLst>
        </xdr:cNvPr>
        <xdr:cNvSpPr>
          <a:spLocks noChangeArrowheads="1"/>
        </xdr:cNvSpPr>
      </xdr:nvSpPr>
      <xdr:spPr bwMode="auto">
        <a:xfrm>
          <a:off x="24266525" y="51085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7957"/>
    <xdr:sp macro="" textlink="">
      <xdr:nvSpPr>
        <xdr:cNvPr id="25" name="Rectangle 53">
          <a:extLst>
            <a:ext uri="{FF2B5EF4-FFF2-40B4-BE49-F238E27FC236}">
              <a16:creationId xmlns:a16="http://schemas.microsoft.com/office/drawing/2014/main" id="{3F776A60-3E10-42AD-B9A7-E3C7179C8B78}"/>
            </a:ext>
          </a:extLst>
        </xdr:cNvPr>
        <xdr:cNvSpPr>
          <a:spLocks noChangeArrowheads="1"/>
        </xdr:cNvSpPr>
      </xdr:nvSpPr>
      <xdr:spPr bwMode="auto">
        <a:xfrm>
          <a:off x="24266525" y="609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29" dataDxfId="228">
  <autoFilter ref="B209:C219" xr:uid="{00000000-0009-0000-0100-000001000000}"/>
  <tableColumns count="2">
    <tableColumn id="1" xr3:uid="{00000000-0010-0000-0000-000001000000}" name="Criterios" dataDxfId="227"/>
    <tableColumn id="2" xr3:uid="{00000000-0010-0000-0000-000002000000}" name="Subcriterios" dataDxfId="22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178" t="s">
        <v>0</v>
      </c>
      <c r="C12" s="179"/>
      <c r="D12" s="179"/>
      <c r="E12" s="179"/>
      <c r="F12" s="179"/>
      <c r="G12" s="179"/>
      <c r="H12" s="180"/>
    </row>
    <row r="13" spans="2:8" ht="11.1" customHeight="1" x14ac:dyDescent="0.25">
      <c r="B13" s="84"/>
      <c r="C13" s="85"/>
      <c r="D13" s="85"/>
      <c r="E13" s="85"/>
      <c r="F13" s="85"/>
      <c r="G13" s="85"/>
      <c r="H13" s="86"/>
    </row>
    <row r="14" spans="2:8" ht="29.1" hidden="1" customHeight="1" x14ac:dyDescent="0.25">
      <c r="B14" s="181" t="s">
        <v>210</v>
      </c>
      <c r="C14" s="182"/>
      <c r="D14" s="182"/>
      <c r="E14" s="182"/>
      <c r="F14" s="182"/>
      <c r="G14" s="182"/>
      <c r="H14" s="183"/>
    </row>
    <row r="15" spans="2:8" ht="63" hidden="1" customHeight="1" x14ac:dyDescent="0.25">
      <c r="B15" s="184"/>
      <c r="C15" s="185"/>
      <c r="D15" s="185"/>
      <c r="E15" s="185"/>
      <c r="F15" s="185"/>
      <c r="G15" s="185"/>
      <c r="H15" s="186"/>
    </row>
    <row r="16" spans="2:8" ht="16.5" x14ac:dyDescent="0.25">
      <c r="B16" s="187" t="s">
        <v>1</v>
      </c>
      <c r="C16" s="188"/>
      <c r="D16" s="188"/>
      <c r="E16" s="188"/>
      <c r="F16" s="188"/>
      <c r="G16" s="188"/>
      <c r="H16" s="189"/>
    </row>
    <row r="17" spans="2:8" ht="95.25" customHeight="1" x14ac:dyDescent="0.25">
      <c r="B17" s="197" t="s">
        <v>2</v>
      </c>
      <c r="C17" s="198"/>
      <c r="D17" s="198"/>
      <c r="E17" s="198"/>
      <c r="F17" s="198"/>
      <c r="G17" s="198"/>
      <c r="H17" s="199"/>
    </row>
    <row r="18" spans="2:8" ht="16.5" x14ac:dyDescent="0.25">
      <c r="B18" s="120"/>
      <c r="C18" s="121"/>
      <c r="D18" s="121"/>
      <c r="E18" s="121"/>
      <c r="F18" s="121"/>
      <c r="G18" s="121"/>
      <c r="H18" s="122"/>
    </row>
    <row r="19" spans="2:8" ht="16.5" customHeight="1" x14ac:dyDescent="0.25">
      <c r="B19" s="190" t="s">
        <v>218</v>
      </c>
      <c r="C19" s="191"/>
      <c r="D19" s="191"/>
      <c r="E19" s="191"/>
      <c r="F19" s="191"/>
      <c r="G19" s="191"/>
      <c r="H19" s="192"/>
    </row>
    <row r="20" spans="2:8" ht="44.25" customHeight="1" x14ac:dyDescent="0.25">
      <c r="B20" s="190"/>
      <c r="C20" s="191"/>
      <c r="D20" s="191"/>
      <c r="E20" s="191"/>
      <c r="F20" s="191"/>
      <c r="G20" s="191"/>
      <c r="H20" s="192"/>
    </row>
    <row r="21" spans="2:8" ht="15.75" thickBot="1" x14ac:dyDescent="0.3">
      <c r="B21" s="109"/>
      <c r="C21" s="112"/>
      <c r="D21" s="117"/>
      <c r="E21" s="118"/>
      <c r="F21" s="118"/>
      <c r="G21" s="119"/>
      <c r="H21" s="113"/>
    </row>
    <row r="22" spans="2:8" ht="15.75" thickTop="1" x14ac:dyDescent="0.25">
      <c r="B22" s="109"/>
      <c r="C22" s="193" t="s">
        <v>3</v>
      </c>
      <c r="D22" s="194"/>
      <c r="E22" s="195" t="s">
        <v>4</v>
      </c>
      <c r="F22" s="196"/>
      <c r="G22" s="112"/>
      <c r="H22" s="113"/>
    </row>
    <row r="23" spans="2:8" ht="35.25" customHeight="1" x14ac:dyDescent="0.25">
      <c r="B23" s="109"/>
      <c r="C23" s="200" t="s">
        <v>5</v>
      </c>
      <c r="D23" s="201"/>
      <c r="E23" s="202" t="s">
        <v>6</v>
      </c>
      <c r="F23" s="203"/>
      <c r="G23" s="112"/>
      <c r="H23" s="113"/>
    </row>
    <row r="24" spans="2:8" ht="17.25" customHeight="1" x14ac:dyDescent="0.25">
      <c r="B24" s="109"/>
      <c r="C24" s="200" t="s">
        <v>7</v>
      </c>
      <c r="D24" s="201"/>
      <c r="E24" s="202" t="s">
        <v>8</v>
      </c>
      <c r="F24" s="203"/>
      <c r="G24" s="112"/>
      <c r="H24" s="113"/>
    </row>
    <row r="25" spans="2:8" ht="19.5" customHeight="1" x14ac:dyDescent="0.25">
      <c r="B25" s="109"/>
      <c r="C25" s="200" t="s">
        <v>9</v>
      </c>
      <c r="D25" s="201"/>
      <c r="E25" s="202" t="s">
        <v>10</v>
      </c>
      <c r="F25" s="203"/>
      <c r="G25" s="112"/>
      <c r="H25" s="113"/>
    </row>
    <row r="26" spans="2:8" ht="69.75" customHeight="1" x14ac:dyDescent="0.25">
      <c r="B26" s="109"/>
      <c r="C26" s="200" t="s">
        <v>11</v>
      </c>
      <c r="D26" s="201"/>
      <c r="E26" s="202" t="s">
        <v>12</v>
      </c>
      <c r="F26" s="203"/>
      <c r="G26" s="112"/>
      <c r="H26" s="113"/>
    </row>
    <row r="27" spans="2:8" ht="34.5" customHeight="1" x14ac:dyDescent="0.25">
      <c r="B27" s="109"/>
      <c r="C27" s="204" t="s">
        <v>13</v>
      </c>
      <c r="D27" s="205"/>
      <c r="E27" s="206" t="s">
        <v>14</v>
      </c>
      <c r="F27" s="207"/>
      <c r="G27" s="112"/>
      <c r="H27" s="113"/>
    </row>
    <row r="28" spans="2:8" ht="27.75" customHeight="1" x14ac:dyDescent="0.25">
      <c r="B28" s="109"/>
      <c r="C28" s="204" t="s">
        <v>15</v>
      </c>
      <c r="D28" s="205"/>
      <c r="E28" s="206" t="s">
        <v>16</v>
      </c>
      <c r="F28" s="207"/>
      <c r="G28" s="112"/>
      <c r="H28" s="113"/>
    </row>
    <row r="29" spans="2:8" ht="28.5" customHeight="1" x14ac:dyDescent="0.25">
      <c r="B29" s="109"/>
      <c r="C29" s="204" t="s">
        <v>17</v>
      </c>
      <c r="D29" s="205"/>
      <c r="E29" s="206" t="s">
        <v>18</v>
      </c>
      <c r="F29" s="207"/>
      <c r="G29" s="112"/>
      <c r="H29" s="113"/>
    </row>
    <row r="30" spans="2:8" ht="72.75" customHeight="1" x14ac:dyDescent="0.25">
      <c r="B30" s="109"/>
      <c r="C30" s="204" t="s">
        <v>19</v>
      </c>
      <c r="D30" s="205"/>
      <c r="E30" s="206" t="s">
        <v>20</v>
      </c>
      <c r="F30" s="207"/>
      <c r="G30" s="112"/>
      <c r="H30" s="113"/>
    </row>
    <row r="31" spans="2:8" ht="64.5" customHeight="1" x14ac:dyDescent="0.25">
      <c r="B31" s="109"/>
      <c r="C31" s="204" t="s">
        <v>21</v>
      </c>
      <c r="D31" s="205"/>
      <c r="E31" s="206" t="s">
        <v>22</v>
      </c>
      <c r="F31" s="207"/>
      <c r="G31" s="112"/>
      <c r="H31" s="113"/>
    </row>
    <row r="32" spans="2:8" ht="71.25" customHeight="1" x14ac:dyDescent="0.25">
      <c r="B32" s="109"/>
      <c r="C32" s="204" t="s">
        <v>23</v>
      </c>
      <c r="D32" s="205"/>
      <c r="E32" s="206" t="s">
        <v>24</v>
      </c>
      <c r="F32" s="207"/>
      <c r="G32" s="112"/>
      <c r="H32" s="113"/>
    </row>
    <row r="33" spans="2:8" ht="55.5" customHeight="1" x14ac:dyDescent="0.25">
      <c r="B33" s="109"/>
      <c r="C33" s="211" t="s">
        <v>25</v>
      </c>
      <c r="D33" s="212"/>
      <c r="E33" s="206" t="s">
        <v>26</v>
      </c>
      <c r="F33" s="207"/>
      <c r="G33" s="112"/>
      <c r="H33" s="113"/>
    </row>
    <row r="34" spans="2:8" ht="42" customHeight="1" x14ac:dyDescent="0.25">
      <c r="B34" s="109"/>
      <c r="C34" s="211" t="s">
        <v>27</v>
      </c>
      <c r="D34" s="212"/>
      <c r="E34" s="206" t="s">
        <v>28</v>
      </c>
      <c r="F34" s="207"/>
      <c r="G34" s="112"/>
      <c r="H34" s="113"/>
    </row>
    <row r="35" spans="2:8" ht="59.25" customHeight="1" x14ac:dyDescent="0.25">
      <c r="B35" s="109"/>
      <c r="C35" s="211" t="s">
        <v>29</v>
      </c>
      <c r="D35" s="212"/>
      <c r="E35" s="206" t="s">
        <v>30</v>
      </c>
      <c r="F35" s="207"/>
      <c r="G35" s="112"/>
      <c r="H35" s="113"/>
    </row>
    <row r="36" spans="2:8" ht="23.25" customHeight="1" x14ac:dyDescent="0.25">
      <c r="B36" s="109"/>
      <c r="C36" s="211" t="s">
        <v>31</v>
      </c>
      <c r="D36" s="212"/>
      <c r="E36" s="206" t="s">
        <v>32</v>
      </c>
      <c r="F36" s="207"/>
      <c r="G36" s="112"/>
      <c r="H36" s="113"/>
    </row>
    <row r="37" spans="2:8" ht="30.75" customHeight="1" x14ac:dyDescent="0.25">
      <c r="B37" s="109"/>
      <c r="C37" s="211" t="s">
        <v>33</v>
      </c>
      <c r="D37" s="212"/>
      <c r="E37" s="206" t="s">
        <v>34</v>
      </c>
      <c r="F37" s="207"/>
      <c r="G37" s="112"/>
      <c r="H37" s="113"/>
    </row>
    <row r="38" spans="2:8" ht="35.25" customHeight="1" x14ac:dyDescent="0.25">
      <c r="B38" s="109"/>
      <c r="C38" s="211" t="s">
        <v>35</v>
      </c>
      <c r="D38" s="212"/>
      <c r="E38" s="206" t="s">
        <v>36</v>
      </c>
      <c r="F38" s="207"/>
      <c r="G38" s="112"/>
      <c r="H38" s="113"/>
    </row>
    <row r="39" spans="2:8" ht="33" customHeight="1" x14ac:dyDescent="0.25">
      <c r="B39" s="109"/>
      <c r="C39" s="211" t="s">
        <v>35</v>
      </c>
      <c r="D39" s="212"/>
      <c r="E39" s="206" t="s">
        <v>36</v>
      </c>
      <c r="F39" s="207"/>
      <c r="G39" s="112"/>
      <c r="H39" s="113"/>
    </row>
    <row r="40" spans="2:8" ht="30" customHeight="1" x14ac:dyDescent="0.25">
      <c r="B40" s="109"/>
      <c r="C40" s="211" t="s">
        <v>37</v>
      </c>
      <c r="D40" s="212"/>
      <c r="E40" s="206" t="s">
        <v>38</v>
      </c>
      <c r="F40" s="207"/>
      <c r="G40" s="112"/>
      <c r="H40" s="113"/>
    </row>
    <row r="41" spans="2:8" ht="35.25" customHeight="1" x14ac:dyDescent="0.25">
      <c r="B41" s="109"/>
      <c r="C41" s="211" t="s">
        <v>39</v>
      </c>
      <c r="D41" s="212"/>
      <c r="E41" s="206" t="s">
        <v>40</v>
      </c>
      <c r="F41" s="207"/>
      <c r="G41" s="112"/>
      <c r="H41" s="113"/>
    </row>
    <row r="42" spans="2:8" ht="31.5" customHeight="1" x14ac:dyDescent="0.25">
      <c r="B42" s="109"/>
      <c r="C42" s="211" t="s">
        <v>41</v>
      </c>
      <c r="D42" s="212"/>
      <c r="E42" s="206" t="s">
        <v>42</v>
      </c>
      <c r="F42" s="207"/>
      <c r="G42" s="112"/>
      <c r="H42" s="113"/>
    </row>
    <row r="43" spans="2:8" ht="35.25" customHeight="1" x14ac:dyDescent="0.25">
      <c r="B43" s="109"/>
      <c r="C43" s="211" t="s">
        <v>43</v>
      </c>
      <c r="D43" s="212"/>
      <c r="E43" s="206" t="s">
        <v>44</v>
      </c>
      <c r="F43" s="207"/>
      <c r="G43" s="112"/>
      <c r="H43" s="113"/>
    </row>
    <row r="44" spans="2:8" ht="59.25" customHeight="1" x14ac:dyDescent="0.25">
      <c r="B44" s="109"/>
      <c r="C44" s="211" t="s">
        <v>45</v>
      </c>
      <c r="D44" s="212"/>
      <c r="E44" s="206" t="s">
        <v>46</v>
      </c>
      <c r="F44" s="207"/>
      <c r="G44" s="112"/>
      <c r="H44" s="113"/>
    </row>
    <row r="45" spans="2:8" ht="29.25" customHeight="1" x14ac:dyDescent="0.25">
      <c r="B45" s="109"/>
      <c r="C45" s="211" t="s">
        <v>47</v>
      </c>
      <c r="D45" s="212"/>
      <c r="E45" s="206" t="s">
        <v>48</v>
      </c>
      <c r="F45" s="207"/>
      <c r="G45" s="112"/>
      <c r="H45" s="113"/>
    </row>
    <row r="46" spans="2:8" ht="82.5" customHeight="1" x14ac:dyDescent="0.25">
      <c r="B46" s="109"/>
      <c r="C46" s="211" t="s">
        <v>49</v>
      </c>
      <c r="D46" s="212"/>
      <c r="E46" s="206" t="s">
        <v>50</v>
      </c>
      <c r="F46" s="207"/>
      <c r="G46" s="112"/>
      <c r="H46" s="113"/>
    </row>
    <row r="47" spans="2:8" ht="46.5" customHeight="1" x14ac:dyDescent="0.25">
      <c r="B47" s="109"/>
      <c r="C47" s="211" t="s">
        <v>51</v>
      </c>
      <c r="D47" s="212"/>
      <c r="E47" s="206" t="s">
        <v>52</v>
      </c>
      <c r="F47" s="207"/>
      <c r="G47" s="112"/>
      <c r="H47" s="113"/>
    </row>
    <row r="48" spans="2:8" ht="6.75" customHeight="1" thickBot="1" x14ac:dyDescent="0.3">
      <c r="B48" s="109"/>
      <c r="C48" s="213"/>
      <c r="D48" s="214"/>
      <c r="E48" s="215"/>
      <c r="F48" s="216"/>
      <c r="G48" s="112"/>
      <c r="H48" s="113"/>
    </row>
    <row r="49" spans="2:8" ht="15.75" thickTop="1" x14ac:dyDescent="0.25">
      <c r="B49" s="109"/>
      <c r="C49" s="110"/>
      <c r="D49" s="110"/>
      <c r="E49" s="111"/>
      <c r="F49" s="111"/>
      <c r="G49" s="112"/>
      <c r="H49" s="113"/>
    </row>
    <row r="50" spans="2:8" ht="21" customHeight="1" x14ac:dyDescent="0.25">
      <c r="B50" s="208" t="s">
        <v>53</v>
      </c>
      <c r="C50" s="209"/>
      <c r="D50" s="209"/>
      <c r="E50" s="209"/>
      <c r="F50" s="209"/>
      <c r="G50" s="209"/>
      <c r="H50" s="210"/>
    </row>
    <row r="51" spans="2:8" ht="20.25" customHeight="1" x14ac:dyDescent="0.25">
      <c r="B51" s="208" t="s">
        <v>54</v>
      </c>
      <c r="C51" s="209"/>
      <c r="D51" s="209"/>
      <c r="E51" s="209"/>
      <c r="F51" s="209"/>
      <c r="G51" s="209"/>
      <c r="H51" s="210"/>
    </row>
    <row r="52" spans="2:8" ht="20.25" customHeight="1" x14ac:dyDescent="0.25">
      <c r="B52" s="208" t="s">
        <v>55</v>
      </c>
      <c r="C52" s="209"/>
      <c r="D52" s="209"/>
      <c r="E52" s="209"/>
      <c r="F52" s="209"/>
      <c r="G52" s="209"/>
      <c r="H52" s="210"/>
    </row>
    <row r="53" spans="2:8" ht="20.25" customHeight="1" x14ac:dyDescent="0.25">
      <c r="B53" s="208" t="s">
        <v>56</v>
      </c>
      <c r="C53" s="209"/>
      <c r="D53" s="209"/>
      <c r="E53" s="209"/>
      <c r="F53" s="209"/>
      <c r="G53" s="209"/>
      <c r="H53" s="210"/>
    </row>
    <row r="54" spans="2:8" x14ac:dyDescent="0.25">
      <c r="B54" s="208" t="s">
        <v>57</v>
      </c>
      <c r="C54" s="209"/>
      <c r="D54" s="209"/>
      <c r="E54" s="209"/>
      <c r="F54" s="209"/>
      <c r="G54" s="209"/>
      <c r="H54" s="210"/>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440" t="s">
        <v>159</v>
      </c>
      <c r="C1" s="441"/>
      <c r="D1" s="441"/>
      <c r="E1" s="441"/>
      <c r="F1" s="442"/>
    </row>
    <row r="2" spans="2:6" ht="16.5" thickBot="1" x14ac:dyDescent="0.3">
      <c r="B2" s="89"/>
      <c r="C2" s="89"/>
      <c r="D2" s="89"/>
      <c r="E2" s="89"/>
      <c r="F2" s="89"/>
    </row>
    <row r="3" spans="2:6" ht="16.5" thickBot="1" x14ac:dyDescent="0.25">
      <c r="B3" s="444" t="s">
        <v>160</v>
      </c>
      <c r="C3" s="445"/>
      <c r="D3" s="445"/>
      <c r="E3" s="101" t="s">
        <v>161</v>
      </c>
      <c r="F3" s="102" t="s">
        <v>162</v>
      </c>
    </row>
    <row r="4" spans="2:6" ht="31.5" x14ac:dyDescent="0.2">
      <c r="B4" s="446" t="s">
        <v>163</v>
      </c>
      <c r="C4" s="448" t="s">
        <v>83</v>
      </c>
      <c r="D4" s="90" t="s">
        <v>164</v>
      </c>
      <c r="E4" s="91" t="s">
        <v>165</v>
      </c>
      <c r="F4" s="92">
        <v>0.25</v>
      </c>
    </row>
    <row r="5" spans="2:6" ht="47.25" x14ac:dyDescent="0.2">
      <c r="B5" s="447"/>
      <c r="C5" s="449"/>
      <c r="D5" s="93" t="s">
        <v>166</v>
      </c>
      <c r="E5" s="94" t="s">
        <v>167</v>
      </c>
      <c r="F5" s="95">
        <v>0.15</v>
      </c>
    </row>
    <row r="6" spans="2:6" ht="47.25" x14ac:dyDescent="0.2">
      <c r="B6" s="447"/>
      <c r="C6" s="449"/>
      <c r="D6" s="93" t="s">
        <v>168</v>
      </c>
      <c r="E6" s="94" t="s">
        <v>169</v>
      </c>
      <c r="F6" s="95">
        <v>0.1</v>
      </c>
    </row>
    <row r="7" spans="2:6" ht="63" x14ac:dyDescent="0.2">
      <c r="B7" s="447"/>
      <c r="C7" s="449" t="s">
        <v>84</v>
      </c>
      <c r="D7" s="93" t="s">
        <v>170</v>
      </c>
      <c r="E7" s="94" t="s">
        <v>171</v>
      </c>
      <c r="F7" s="95">
        <v>0.25</v>
      </c>
    </row>
    <row r="8" spans="2:6" ht="31.5" x14ac:dyDescent="0.2">
      <c r="B8" s="447"/>
      <c r="C8" s="449"/>
      <c r="D8" s="93" t="s">
        <v>172</v>
      </c>
      <c r="E8" s="94" t="s">
        <v>173</v>
      </c>
      <c r="F8" s="95">
        <v>0.15</v>
      </c>
    </row>
    <row r="9" spans="2:6" ht="47.25" x14ac:dyDescent="0.2">
      <c r="B9" s="447" t="s">
        <v>174</v>
      </c>
      <c r="C9" s="449" t="s">
        <v>86</v>
      </c>
      <c r="D9" s="93" t="s">
        <v>175</v>
      </c>
      <c r="E9" s="94" t="s">
        <v>176</v>
      </c>
      <c r="F9" s="96" t="s">
        <v>177</v>
      </c>
    </row>
    <row r="10" spans="2:6" ht="63" x14ac:dyDescent="0.2">
      <c r="B10" s="447"/>
      <c r="C10" s="449"/>
      <c r="D10" s="93" t="s">
        <v>178</v>
      </c>
      <c r="E10" s="94" t="s">
        <v>179</v>
      </c>
      <c r="F10" s="96" t="s">
        <v>177</v>
      </c>
    </row>
    <row r="11" spans="2:6" ht="47.25" x14ac:dyDescent="0.2">
      <c r="B11" s="447"/>
      <c r="C11" s="449" t="s">
        <v>87</v>
      </c>
      <c r="D11" s="93" t="s">
        <v>180</v>
      </c>
      <c r="E11" s="94" t="s">
        <v>181</v>
      </c>
      <c r="F11" s="96" t="s">
        <v>177</v>
      </c>
    </row>
    <row r="12" spans="2:6" ht="47.25" x14ac:dyDescent="0.2">
      <c r="B12" s="447"/>
      <c r="C12" s="449"/>
      <c r="D12" s="93" t="s">
        <v>182</v>
      </c>
      <c r="E12" s="94" t="s">
        <v>183</v>
      </c>
      <c r="F12" s="96" t="s">
        <v>177</v>
      </c>
    </row>
    <row r="13" spans="2:6" ht="31.5" x14ac:dyDescent="0.2">
      <c r="B13" s="447"/>
      <c r="C13" s="449" t="s">
        <v>88</v>
      </c>
      <c r="D13" s="93" t="s">
        <v>184</v>
      </c>
      <c r="E13" s="94" t="s">
        <v>185</v>
      </c>
      <c r="F13" s="96" t="s">
        <v>177</v>
      </c>
    </row>
    <row r="14" spans="2:6" ht="32.25" thickBot="1" x14ac:dyDescent="0.25">
      <c r="B14" s="450"/>
      <c r="C14" s="451"/>
      <c r="D14" s="97" t="s">
        <v>186</v>
      </c>
      <c r="E14" s="98" t="s">
        <v>187</v>
      </c>
      <c r="F14" s="99" t="s">
        <v>177</v>
      </c>
    </row>
    <row r="15" spans="2:6" ht="49.5" customHeight="1" x14ac:dyDescent="0.2">
      <c r="B15" s="443" t="s">
        <v>188</v>
      </c>
      <c r="C15" s="443"/>
      <c r="D15" s="443"/>
      <c r="E15" s="443"/>
      <c r="F15" s="443"/>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17"/>
  <sheetViews>
    <sheetView showGridLines="0" topLeftCell="A4" workbookViewId="0">
      <selection activeCell="C10" sqref="C10"/>
    </sheetView>
  </sheetViews>
  <sheetFormatPr baseColWidth="10" defaultRowHeight="15" x14ac:dyDescent="0.25"/>
  <cols>
    <col min="3" max="3" width="46.42578125" customWidth="1"/>
    <col min="4" max="4" width="58" customWidth="1"/>
  </cols>
  <sheetData>
    <row r="4" spans="2:4" ht="52.5" customHeight="1" x14ac:dyDescent="0.25">
      <c r="B4" s="217" t="s">
        <v>211</v>
      </c>
      <c r="C4" s="217"/>
      <c r="D4" s="217"/>
    </row>
    <row r="5" spans="2:4" ht="6.75" customHeight="1" x14ac:dyDescent="0.25">
      <c r="D5" s="123"/>
    </row>
    <row r="6" spans="2:4" ht="15" customHeight="1" x14ac:dyDescent="0.25">
      <c r="B6" s="218" t="s">
        <v>212</v>
      </c>
      <c r="C6" s="124" t="s">
        <v>213</v>
      </c>
      <c r="D6" s="124" t="s">
        <v>214</v>
      </c>
    </row>
    <row r="7" spans="2:4" ht="20.25" x14ac:dyDescent="0.25">
      <c r="B7" s="219"/>
      <c r="C7" s="454" t="s">
        <v>289</v>
      </c>
      <c r="D7" s="455" t="s">
        <v>290</v>
      </c>
    </row>
    <row r="8" spans="2:4" ht="20.25" x14ac:dyDescent="0.25">
      <c r="B8" s="219"/>
      <c r="C8" s="454" t="s">
        <v>291</v>
      </c>
      <c r="D8" s="455" t="s">
        <v>292</v>
      </c>
    </row>
    <row r="9" spans="2:4" ht="40.5" x14ac:dyDescent="0.25">
      <c r="B9" s="219"/>
      <c r="C9" s="454" t="s">
        <v>293</v>
      </c>
      <c r="D9" s="455" t="s">
        <v>294</v>
      </c>
    </row>
    <row r="10" spans="2:4" ht="40.5" x14ac:dyDescent="0.25">
      <c r="B10" s="219"/>
      <c r="C10" s="454" t="s">
        <v>295</v>
      </c>
      <c r="D10" s="455" t="s">
        <v>296</v>
      </c>
    </row>
    <row r="11" spans="2:4" ht="15.75" customHeight="1" x14ac:dyDescent="0.25">
      <c r="B11" s="218" t="s">
        <v>215</v>
      </c>
      <c r="C11" s="124" t="s">
        <v>216</v>
      </c>
      <c r="D11" s="124" t="s">
        <v>217</v>
      </c>
    </row>
    <row r="12" spans="2:4" ht="40.5" x14ac:dyDescent="0.25">
      <c r="B12" s="219"/>
      <c r="C12" s="454" t="s">
        <v>297</v>
      </c>
      <c r="D12" s="455" t="s">
        <v>298</v>
      </c>
    </row>
    <row r="13" spans="2:4" ht="40.5" x14ac:dyDescent="0.25">
      <c r="B13" s="219"/>
      <c r="C13" s="454" t="s">
        <v>299</v>
      </c>
      <c r="D13" s="455" t="s">
        <v>300</v>
      </c>
    </row>
    <row r="14" spans="2:4" ht="40.5" x14ac:dyDescent="0.25">
      <c r="B14" s="219"/>
      <c r="C14" s="454" t="s">
        <v>301</v>
      </c>
      <c r="D14" s="455" t="s">
        <v>302</v>
      </c>
    </row>
    <row r="15" spans="2:4" ht="40.5" x14ac:dyDescent="0.25">
      <c r="B15" s="219"/>
      <c r="C15" s="454" t="s">
        <v>303</v>
      </c>
      <c r="D15" s="455" t="s">
        <v>304</v>
      </c>
    </row>
    <row r="16" spans="2:4" ht="40.5" customHeight="1" x14ac:dyDescent="0.25">
      <c r="B16" s="219"/>
      <c r="C16" s="452" t="s">
        <v>305</v>
      </c>
      <c r="D16" s="455" t="s">
        <v>306</v>
      </c>
    </row>
    <row r="17" spans="2:4" ht="40.5" x14ac:dyDescent="0.25">
      <c r="B17" s="220"/>
      <c r="C17" s="453"/>
      <c r="D17" s="455" t="s">
        <v>307</v>
      </c>
    </row>
  </sheetData>
  <mergeCells count="4">
    <mergeCell ref="B4:D4"/>
    <mergeCell ref="B6:B10"/>
    <mergeCell ref="B11:B17"/>
    <mergeCell ref="C16:C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52"/>
  <sheetViews>
    <sheetView showGridLines="0" tabSelected="1" topLeftCell="A17" zoomScale="80" zoomScaleNormal="80" workbookViewId="0">
      <selection activeCell="C19" sqref="C19:N19"/>
    </sheetView>
  </sheetViews>
  <sheetFormatPr baseColWidth="10" defaultColWidth="11.42578125" defaultRowHeight="16.5" x14ac:dyDescent="0.3"/>
  <cols>
    <col min="1" max="1" width="4" style="2" bestFit="1" customWidth="1"/>
    <col min="2" max="2" width="14.140625" style="2" customWidth="1"/>
    <col min="3" max="3" width="27.85546875" style="2" customWidth="1"/>
    <col min="4" max="4" width="33.42578125" style="2" customWidth="1"/>
    <col min="5" max="5" width="42.710937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75.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221" t="s">
        <v>229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127" t="s">
        <v>219</v>
      </c>
      <c r="AG1" s="132" t="s">
        <v>220</v>
      </c>
      <c r="AH1" s="156"/>
      <c r="AI1" s="156"/>
      <c r="AJ1" s="156"/>
      <c r="AK1" s="156"/>
      <c r="AL1" s="125"/>
      <c r="AM1" s="125"/>
      <c r="AN1" s="125"/>
      <c r="AO1" s="125"/>
      <c r="AP1" s="126"/>
      <c r="AQ1" s="126"/>
      <c r="AR1" s="126"/>
      <c r="AS1" s="126"/>
      <c r="AT1" s="126"/>
      <c r="AU1" s="126"/>
      <c r="AV1" s="126"/>
      <c r="AW1" s="126"/>
      <c r="AX1" s="126"/>
      <c r="AY1" s="126"/>
      <c r="AZ1" s="126"/>
    </row>
    <row r="2" spans="1:68" x14ac:dyDescent="0.3">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127" t="s">
        <v>221</v>
      </c>
      <c r="AG2" s="132">
        <v>6</v>
      </c>
      <c r="AH2" s="128"/>
      <c r="AI2" s="129"/>
      <c r="AJ2" s="129"/>
      <c r="AK2" s="130"/>
      <c r="AL2" s="129"/>
      <c r="AM2" s="129"/>
      <c r="AN2" s="126"/>
      <c r="AO2" s="131"/>
      <c r="AP2" s="126"/>
      <c r="AQ2" s="126"/>
      <c r="AR2" s="126"/>
      <c r="AS2" s="126"/>
      <c r="AT2" s="126"/>
      <c r="AU2" s="126"/>
      <c r="AV2" s="126"/>
      <c r="AW2" s="126"/>
      <c r="AX2" s="126"/>
      <c r="AY2" s="126"/>
      <c r="AZ2" s="126"/>
    </row>
    <row r="3" spans="1:68" x14ac:dyDescent="0.3">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127" t="s">
        <v>222</v>
      </c>
      <c r="AG3" s="134" t="s">
        <v>288</v>
      </c>
      <c r="AH3" s="128"/>
      <c r="AI3" s="129"/>
      <c r="AJ3" s="129"/>
      <c r="AK3" s="130"/>
      <c r="AL3" s="129"/>
      <c r="AM3" s="129"/>
      <c r="AN3" s="126"/>
      <c r="AO3" s="131"/>
      <c r="AP3" s="126"/>
      <c r="AQ3" s="126"/>
      <c r="AR3" s="126"/>
      <c r="AS3" s="126"/>
      <c r="AT3" s="126"/>
      <c r="AU3" s="126"/>
      <c r="AV3" s="126"/>
      <c r="AW3" s="126"/>
      <c r="AX3" s="126"/>
      <c r="AY3" s="126"/>
      <c r="AZ3" s="126"/>
    </row>
    <row r="4" spans="1:68" ht="15.95" customHeight="1" x14ac:dyDescent="0.3">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136" t="s">
        <v>223</v>
      </c>
      <c r="AG4" s="177">
        <v>241903</v>
      </c>
      <c r="AH4" s="128"/>
      <c r="AI4" s="129"/>
      <c r="AJ4" s="129"/>
      <c r="AK4" s="130"/>
      <c r="AL4" s="129"/>
      <c r="AM4" s="129"/>
      <c r="AN4" s="126"/>
      <c r="AO4" s="131"/>
      <c r="AP4" s="126"/>
      <c r="AQ4" s="126"/>
      <c r="AR4" s="126"/>
      <c r="AS4" s="126"/>
      <c r="AT4" s="126"/>
      <c r="AU4" s="126"/>
      <c r="AV4" s="126"/>
      <c r="AW4" s="126"/>
      <c r="AX4" s="126"/>
      <c r="AY4" s="126"/>
      <c r="AZ4" s="126"/>
    </row>
    <row r="5" spans="1:68" ht="24" customHeight="1" x14ac:dyDescent="0.3">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H5" s="128"/>
      <c r="AI5" s="129"/>
      <c r="AJ5" s="129"/>
      <c r="AK5" s="130"/>
      <c r="AL5" s="129"/>
      <c r="AM5" s="129"/>
      <c r="AN5" s="126"/>
      <c r="AO5" s="131"/>
      <c r="AP5" s="126"/>
      <c r="AQ5" s="126"/>
      <c r="AR5" s="126"/>
      <c r="AS5" s="126"/>
      <c r="AT5" s="126"/>
      <c r="AU5" s="126"/>
      <c r="AV5" s="126"/>
      <c r="AW5" s="126"/>
      <c r="AX5" s="126"/>
      <c r="AY5" s="126"/>
      <c r="AZ5" s="126"/>
    </row>
    <row r="6" spans="1:68" x14ac:dyDescent="0.3">
      <c r="A6" s="133"/>
      <c r="B6" s="133"/>
      <c r="C6" s="155"/>
      <c r="D6" s="153"/>
      <c r="E6" s="153"/>
      <c r="F6" s="153"/>
      <c r="G6" s="153"/>
      <c r="H6" s="153"/>
      <c r="I6" s="153"/>
      <c r="J6" s="153"/>
      <c r="K6" s="152"/>
      <c r="L6" s="135"/>
      <c r="M6" s="126"/>
      <c r="N6" s="126"/>
      <c r="O6" s="126"/>
      <c r="P6" s="135"/>
      <c r="Q6" s="133"/>
      <c r="R6" s="133"/>
      <c r="S6" s="133"/>
      <c r="T6" s="137"/>
      <c r="U6" s="137"/>
      <c r="V6" s="137"/>
      <c r="W6" s="137"/>
      <c r="X6" s="137"/>
      <c r="Y6" s="137"/>
      <c r="Z6" s="137"/>
      <c r="AA6" s="138"/>
      <c r="AB6" s="138"/>
      <c r="AC6" s="138"/>
      <c r="AD6" s="138"/>
      <c r="AE6" s="138"/>
      <c r="AH6" s="139"/>
      <c r="AI6" s="140"/>
      <c r="AJ6" s="140"/>
      <c r="AK6" s="140"/>
      <c r="AL6" s="140"/>
      <c r="AM6" s="140"/>
      <c r="AN6" s="141"/>
      <c r="AO6" s="141"/>
      <c r="AP6" s="141"/>
      <c r="AQ6" s="141"/>
      <c r="AR6" s="138"/>
      <c r="AS6" s="138"/>
      <c r="AT6" s="138"/>
      <c r="AU6" s="138"/>
      <c r="AV6" s="138"/>
      <c r="AW6" s="138"/>
      <c r="AX6" s="138"/>
      <c r="AY6" s="138"/>
      <c r="AZ6" s="138"/>
    </row>
    <row r="7" spans="1:68" ht="27.95" customHeight="1" x14ac:dyDescent="0.3">
      <c r="A7" s="145"/>
      <c r="B7" s="145"/>
      <c r="C7" s="126"/>
      <c r="D7" s="126"/>
      <c r="E7" s="126"/>
      <c r="F7" s="126"/>
      <c r="G7" s="126"/>
      <c r="H7" s="126"/>
      <c r="I7" s="126"/>
      <c r="J7" s="126"/>
      <c r="L7" s="126"/>
      <c r="M7" s="126"/>
      <c r="N7" s="224" t="s">
        <v>224</v>
      </c>
      <c r="O7" s="224"/>
      <c r="P7" s="224"/>
      <c r="Q7" s="224"/>
      <c r="R7" s="224"/>
      <c r="S7" s="224"/>
      <c r="T7" s="127"/>
      <c r="U7" s="127"/>
      <c r="V7" s="127"/>
      <c r="W7" s="127"/>
      <c r="X7" s="127"/>
      <c r="Y7" s="127"/>
      <c r="Z7" s="127"/>
      <c r="AA7" s="142"/>
      <c r="AB7" s="142"/>
      <c r="AC7" s="142"/>
      <c r="AD7" s="142"/>
      <c r="AE7" s="142"/>
      <c r="AF7" s="142"/>
      <c r="AG7" s="142"/>
      <c r="AH7" s="128"/>
      <c r="AI7" s="129"/>
      <c r="AJ7" s="129"/>
      <c r="AK7" s="129"/>
      <c r="AL7" s="129"/>
      <c r="AM7" s="129"/>
      <c r="AN7" s="143">
        <v>0</v>
      </c>
      <c r="AO7" s="144"/>
      <c r="AP7" s="143"/>
      <c r="AQ7" s="143"/>
      <c r="AR7" s="126"/>
      <c r="AS7" s="126"/>
      <c r="AT7" s="126"/>
      <c r="AU7" s="126"/>
      <c r="AV7" s="126"/>
      <c r="AW7" s="126"/>
      <c r="AX7" s="126"/>
      <c r="AY7" s="126"/>
      <c r="AZ7" s="126"/>
    </row>
    <row r="8" spans="1:68" ht="16.5" customHeight="1" x14ac:dyDescent="0.3">
      <c r="A8" s="145"/>
      <c r="B8" s="145"/>
      <c r="C8" s="126"/>
      <c r="D8" s="126"/>
      <c r="E8" s="126"/>
      <c r="F8" s="126"/>
      <c r="G8" s="126"/>
      <c r="H8" s="126"/>
      <c r="I8" s="126"/>
      <c r="J8" s="126"/>
      <c r="L8" s="126"/>
      <c r="M8" s="126"/>
      <c r="N8" s="154" t="s">
        <v>225</v>
      </c>
      <c r="O8" s="154" t="s">
        <v>226</v>
      </c>
      <c r="P8" s="226" t="s">
        <v>227</v>
      </c>
      <c r="Q8" s="227"/>
      <c r="R8" s="227"/>
      <c r="S8" s="228"/>
      <c r="T8" s="127"/>
      <c r="U8" s="127"/>
      <c r="V8" s="127"/>
      <c r="W8" s="127"/>
      <c r="X8" s="127"/>
      <c r="Y8" s="127"/>
      <c r="Z8" s="127"/>
      <c r="AA8" s="142"/>
      <c r="AB8" s="142"/>
      <c r="AC8" s="142"/>
      <c r="AD8" s="142"/>
      <c r="AE8" s="142"/>
      <c r="AF8" s="142"/>
      <c r="AG8" s="142"/>
      <c r="AH8" s="128"/>
      <c r="AI8" s="129"/>
      <c r="AJ8" s="129"/>
      <c r="AK8" s="129"/>
      <c r="AL8" s="129"/>
      <c r="AM8" s="129"/>
      <c r="AN8" s="143">
        <v>0</v>
      </c>
      <c r="AO8" s="144"/>
      <c r="AP8" s="143"/>
      <c r="AQ8" s="143"/>
      <c r="AR8" s="126"/>
      <c r="AS8" s="126"/>
      <c r="AT8" s="126"/>
      <c r="AU8" s="126"/>
      <c r="AV8" s="126"/>
      <c r="AW8" s="126"/>
      <c r="AX8" s="126"/>
      <c r="AY8" s="126"/>
      <c r="AZ8" s="126"/>
    </row>
    <row r="9" spans="1:68" ht="28.5" customHeight="1" x14ac:dyDescent="0.3">
      <c r="A9" s="145"/>
      <c r="B9" s="145"/>
      <c r="C9" s="126"/>
      <c r="D9" s="126"/>
      <c r="E9" s="126"/>
      <c r="F9" s="126"/>
      <c r="G9" s="126"/>
      <c r="H9" s="126"/>
      <c r="I9" s="126"/>
      <c r="J9" s="126"/>
      <c r="L9" s="126"/>
      <c r="M9" s="126"/>
      <c r="N9" s="456">
        <v>4</v>
      </c>
      <c r="O9" s="457">
        <v>41570</v>
      </c>
      <c r="P9" s="458" t="s">
        <v>308</v>
      </c>
      <c r="Q9" s="459"/>
      <c r="R9" s="459"/>
      <c r="S9" s="460"/>
      <c r="T9" s="127"/>
      <c r="U9" s="127"/>
      <c r="V9" s="127"/>
      <c r="W9" s="225"/>
      <c r="X9" s="225"/>
      <c r="Y9" s="225"/>
      <c r="Z9" s="225"/>
      <c r="AA9" s="225"/>
      <c r="AB9" s="225"/>
      <c r="AC9" s="149"/>
      <c r="AD9" s="149"/>
      <c r="AE9" s="149"/>
      <c r="AF9" s="126"/>
      <c r="AG9" s="126"/>
      <c r="AH9" s="128"/>
      <c r="AI9" s="129"/>
      <c r="AJ9" s="129"/>
      <c r="AK9" s="129"/>
      <c r="AL9" s="129"/>
      <c r="AM9" s="129"/>
      <c r="AN9" s="143">
        <v>0</v>
      </c>
      <c r="AO9" s="144"/>
      <c r="AP9" s="143"/>
      <c r="AQ9" s="143"/>
      <c r="AR9" s="126"/>
      <c r="AS9" s="126"/>
      <c r="AT9" s="126"/>
      <c r="AU9" s="126"/>
      <c r="AV9" s="126"/>
      <c r="AW9" s="126"/>
      <c r="AX9" s="126"/>
      <c r="AY9" s="126"/>
      <c r="AZ9" s="126"/>
    </row>
    <row r="10" spans="1:68" ht="62.25" customHeight="1" x14ac:dyDescent="0.3">
      <c r="A10" s="145"/>
      <c r="B10" s="145"/>
      <c r="C10" s="126"/>
      <c r="D10" s="126"/>
      <c r="E10" s="126"/>
      <c r="F10" s="126"/>
      <c r="G10" s="126"/>
      <c r="H10" s="126"/>
      <c r="I10" s="126"/>
      <c r="J10" s="126"/>
      <c r="L10" s="126"/>
      <c r="M10" s="126"/>
      <c r="N10" s="456">
        <v>1</v>
      </c>
      <c r="O10" s="457">
        <v>43034</v>
      </c>
      <c r="P10" s="458" t="s">
        <v>309</v>
      </c>
      <c r="Q10" s="459"/>
      <c r="R10" s="459"/>
      <c r="S10" s="460"/>
      <c r="T10" s="127"/>
      <c r="U10" s="127"/>
      <c r="V10" s="127"/>
      <c r="W10" s="176"/>
      <c r="X10" s="176"/>
      <c r="Y10" s="176"/>
      <c r="Z10" s="176"/>
      <c r="AA10" s="176"/>
      <c r="AB10" s="176"/>
      <c r="AC10" s="176"/>
      <c r="AD10" s="176"/>
      <c r="AE10" s="176"/>
      <c r="AF10" s="126"/>
      <c r="AG10" s="126"/>
      <c r="AH10" s="128"/>
      <c r="AI10" s="129"/>
      <c r="AJ10" s="129"/>
      <c r="AK10" s="129"/>
      <c r="AL10" s="129"/>
      <c r="AM10" s="129"/>
      <c r="AN10" s="143"/>
      <c r="AO10" s="144"/>
      <c r="AP10" s="143"/>
      <c r="AQ10" s="143"/>
      <c r="AR10" s="126"/>
      <c r="AS10" s="126"/>
      <c r="AT10" s="126"/>
      <c r="AU10" s="126"/>
      <c r="AV10" s="126"/>
      <c r="AW10" s="126"/>
      <c r="AX10" s="126"/>
      <c r="AY10" s="126"/>
      <c r="AZ10" s="126"/>
    </row>
    <row r="11" spans="1:68" ht="87" customHeight="1" x14ac:dyDescent="0.3">
      <c r="A11" s="145"/>
      <c r="B11" s="145"/>
      <c r="C11" s="126"/>
      <c r="D11" s="126"/>
      <c r="E11" s="126"/>
      <c r="F11" s="126"/>
      <c r="G11" s="126"/>
      <c r="H11" s="126"/>
      <c r="I11" s="126"/>
      <c r="J11" s="126"/>
      <c r="L11" s="126"/>
      <c r="M11" s="126"/>
      <c r="N11" s="456">
        <v>2</v>
      </c>
      <c r="O11" s="457">
        <v>43761</v>
      </c>
      <c r="P11" s="458" t="s">
        <v>310</v>
      </c>
      <c r="Q11" s="459"/>
      <c r="R11" s="459"/>
      <c r="S11" s="460"/>
      <c r="T11" s="127"/>
      <c r="U11" s="127"/>
      <c r="V11" s="127"/>
      <c r="W11" s="176"/>
      <c r="X11" s="176"/>
      <c r="Y11" s="176"/>
      <c r="Z11" s="176"/>
      <c r="AA11" s="176"/>
      <c r="AB11" s="176"/>
      <c r="AC11" s="176"/>
      <c r="AD11" s="176"/>
      <c r="AE11" s="176"/>
      <c r="AF11" s="126"/>
      <c r="AG11" s="126"/>
      <c r="AH11" s="128"/>
      <c r="AI11" s="129"/>
      <c r="AJ11" s="129"/>
      <c r="AK11" s="129"/>
      <c r="AL11" s="129"/>
      <c r="AM11" s="129"/>
      <c r="AN11" s="143"/>
      <c r="AO11" s="144"/>
      <c r="AP11" s="143"/>
      <c r="AQ11" s="143"/>
      <c r="AR11" s="126"/>
      <c r="AS11" s="126"/>
      <c r="AT11" s="126"/>
      <c r="AU11" s="126"/>
      <c r="AV11" s="126"/>
      <c r="AW11" s="126"/>
      <c r="AX11" s="126"/>
      <c r="AY11" s="126"/>
      <c r="AZ11" s="126"/>
    </row>
    <row r="12" spans="1:68" ht="93.75" customHeight="1" x14ac:dyDescent="0.3">
      <c r="A12" s="145"/>
      <c r="B12" s="145"/>
      <c r="C12" s="126"/>
      <c r="D12" s="126"/>
      <c r="E12" s="126"/>
      <c r="F12" s="126"/>
      <c r="G12" s="126"/>
      <c r="H12" s="126"/>
      <c r="I12" s="126"/>
      <c r="J12" s="126"/>
      <c r="L12" s="126"/>
      <c r="M12" s="126"/>
      <c r="N12" s="456">
        <v>3</v>
      </c>
      <c r="O12" s="457">
        <v>43980</v>
      </c>
      <c r="P12" s="458" t="s">
        <v>311</v>
      </c>
      <c r="Q12" s="459"/>
      <c r="R12" s="459"/>
      <c r="S12" s="460"/>
      <c r="T12" s="127"/>
      <c r="U12" s="127"/>
      <c r="V12" s="127"/>
      <c r="W12" s="176"/>
      <c r="X12" s="176"/>
      <c r="Y12" s="176"/>
      <c r="Z12" s="176"/>
      <c r="AA12" s="176"/>
      <c r="AB12" s="176"/>
      <c r="AC12" s="176"/>
      <c r="AD12" s="176"/>
      <c r="AE12" s="176"/>
      <c r="AF12" s="126"/>
      <c r="AG12" s="126"/>
      <c r="AH12" s="128"/>
      <c r="AI12" s="129"/>
      <c r="AJ12" s="129"/>
      <c r="AK12" s="129"/>
      <c r="AL12" s="129"/>
      <c r="AM12" s="129"/>
      <c r="AN12" s="143"/>
      <c r="AO12" s="144"/>
      <c r="AP12" s="143"/>
      <c r="AQ12" s="143"/>
      <c r="AR12" s="126"/>
      <c r="AS12" s="126"/>
      <c r="AT12" s="126"/>
      <c r="AU12" s="126"/>
      <c r="AV12" s="126"/>
      <c r="AW12" s="126"/>
      <c r="AX12" s="126"/>
      <c r="AY12" s="126"/>
      <c r="AZ12" s="126"/>
    </row>
    <row r="13" spans="1:68" ht="96.75" customHeight="1" x14ac:dyDescent="0.3">
      <c r="A13" s="145"/>
      <c r="B13" s="145"/>
      <c r="C13" s="126"/>
      <c r="D13" s="126"/>
      <c r="E13" s="126"/>
      <c r="F13" s="126"/>
      <c r="G13" s="126"/>
      <c r="H13" s="126"/>
      <c r="I13" s="126"/>
      <c r="J13" s="126"/>
      <c r="L13" s="126"/>
      <c r="M13" s="126"/>
      <c r="N13" s="456">
        <v>4</v>
      </c>
      <c r="O13" s="457">
        <v>44165</v>
      </c>
      <c r="P13" s="458" t="s">
        <v>312</v>
      </c>
      <c r="Q13" s="459"/>
      <c r="R13" s="459"/>
      <c r="S13" s="460"/>
      <c r="T13" s="127"/>
      <c r="U13" s="127"/>
      <c r="V13" s="127"/>
      <c r="W13" s="176"/>
      <c r="X13" s="176"/>
      <c r="Y13" s="176"/>
      <c r="Z13" s="176"/>
      <c r="AA13" s="176"/>
      <c r="AB13" s="176"/>
      <c r="AC13" s="176"/>
      <c r="AD13" s="176"/>
      <c r="AE13" s="176"/>
      <c r="AF13" s="126"/>
      <c r="AG13" s="126"/>
      <c r="AH13" s="128"/>
      <c r="AI13" s="129"/>
      <c r="AJ13" s="129"/>
      <c r="AK13" s="129"/>
      <c r="AL13" s="129"/>
      <c r="AM13" s="129"/>
      <c r="AN13" s="143"/>
      <c r="AO13" s="144"/>
      <c r="AP13" s="143"/>
      <c r="AQ13" s="143"/>
      <c r="AR13" s="126"/>
      <c r="AS13" s="126"/>
      <c r="AT13" s="126"/>
      <c r="AU13" s="126"/>
      <c r="AV13" s="126"/>
      <c r="AW13" s="126"/>
      <c r="AX13" s="126"/>
      <c r="AY13" s="126"/>
      <c r="AZ13" s="126"/>
    </row>
    <row r="14" spans="1:68" ht="75" customHeight="1" x14ac:dyDescent="0.3">
      <c r="A14" s="145"/>
      <c r="B14" s="145"/>
      <c r="C14" s="126"/>
      <c r="D14" s="126"/>
      <c r="E14" s="126"/>
      <c r="F14" s="126"/>
      <c r="G14" s="126"/>
      <c r="H14" s="126"/>
      <c r="I14" s="126"/>
      <c r="J14" s="126"/>
      <c r="L14" s="127"/>
      <c r="M14" s="127"/>
      <c r="N14" s="461">
        <v>5</v>
      </c>
      <c r="O14" s="462">
        <v>44680</v>
      </c>
      <c r="P14" s="463" t="s">
        <v>313</v>
      </c>
      <c r="Q14" s="464"/>
      <c r="R14" s="464"/>
      <c r="S14" s="465"/>
      <c r="T14" s="127"/>
      <c r="U14" s="127"/>
      <c r="V14" s="127"/>
      <c r="W14" s="222"/>
      <c r="X14" s="222"/>
      <c r="Y14" s="222"/>
      <c r="Z14" s="222"/>
      <c r="AA14" s="222"/>
      <c r="AB14" s="222"/>
      <c r="AC14" s="150"/>
      <c r="AD14" s="150"/>
      <c r="AE14" s="151"/>
      <c r="AF14" s="126"/>
      <c r="AG14" s="126"/>
      <c r="AH14" s="128"/>
      <c r="AI14" s="129"/>
      <c r="AJ14" s="129"/>
      <c r="AK14" s="129"/>
      <c r="AL14" s="129"/>
      <c r="AM14" s="129"/>
      <c r="AN14" s="143">
        <v>0</v>
      </c>
      <c r="AO14" s="144"/>
      <c r="AP14" s="143"/>
      <c r="AQ14" s="143"/>
      <c r="AR14" s="126"/>
      <c r="AS14" s="126"/>
      <c r="AT14" s="126"/>
      <c r="AU14" s="126"/>
      <c r="AV14" s="126"/>
      <c r="AW14" s="126"/>
      <c r="AX14" s="126"/>
      <c r="AY14" s="126"/>
      <c r="AZ14" s="126"/>
    </row>
    <row r="15" spans="1:68" ht="18.75" x14ac:dyDescent="0.3">
      <c r="A15" s="223" t="s">
        <v>228</v>
      </c>
      <c r="B15" s="223"/>
      <c r="C15" s="223"/>
      <c r="D15" s="223"/>
      <c r="E15" s="223"/>
      <c r="F15" s="223"/>
      <c r="G15" s="223"/>
      <c r="H15" s="223"/>
      <c r="I15" s="223"/>
      <c r="J15" s="223"/>
      <c r="K15" s="127"/>
      <c r="L15" s="127"/>
      <c r="M15" s="127"/>
      <c r="N15" s="127"/>
      <c r="O15" s="146"/>
      <c r="P15" s="127"/>
      <c r="Q15" s="127"/>
      <c r="R15" s="127"/>
      <c r="S15" s="127"/>
      <c r="T15" s="127"/>
      <c r="U15" s="127"/>
      <c r="V15" s="127"/>
      <c r="W15" s="142"/>
      <c r="X15" s="142"/>
      <c r="Y15" s="142"/>
      <c r="Z15" s="142"/>
      <c r="AA15" s="142"/>
      <c r="AB15" s="147"/>
      <c r="AC15" s="147"/>
      <c r="AD15" s="147"/>
      <c r="AE15" s="147"/>
      <c r="AF15" s="148"/>
      <c r="AG15" s="148"/>
      <c r="AH15" s="129"/>
      <c r="AI15" s="129"/>
      <c r="AJ15" s="129"/>
      <c r="AK15" s="129"/>
      <c r="AL15" s="129"/>
      <c r="AM15" s="130"/>
      <c r="AN15" s="143"/>
      <c r="AO15" s="143"/>
      <c r="AP15" s="126"/>
      <c r="AQ15" s="126"/>
      <c r="AR15" s="126"/>
      <c r="AS15" s="126"/>
      <c r="AT15" s="126"/>
      <c r="AU15" s="126"/>
      <c r="AV15" s="126"/>
      <c r="AW15" s="126"/>
      <c r="AX15" s="126"/>
      <c r="AY15" s="126"/>
      <c r="AZ15" s="126"/>
    </row>
    <row r="16" spans="1:68" ht="16.5" customHeight="1" x14ac:dyDescent="0.3">
      <c r="A16" s="271"/>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3"/>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24" customHeight="1" x14ac:dyDescent="0.3">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x14ac:dyDescent="0.3">
      <c r="A18" s="28"/>
      <c r="B18" s="29"/>
      <c r="C18" s="28"/>
      <c r="D18" s="28"/>
      <c r="E18" s="8"/>
      <c r="F18" s="2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26.25" customHeight="1" x14ac:dyDescent="0.3">
      <c r="A19" s="241" t="s">
        <v>58</v>
      </c>
      <c r="B19" s="242"/>
      <c r="C19" s="269" t="s">
        <v>314</v>
      </c>
      <c r="D19" s="249"/>
      <c r="E19" s="249"/>
      <c r="F19" s="249"/>
      <c r="G19" s="249"/>
      <c r="H19" s="249"/>
      <c r="I19" s="249"/>
      <c r="J19" s="249"/>
      <c r="K19" s="249"/>
      <c r="L19" s="249"/>
      <c r="M19" s="249"/>
      <c r="N19" s="250"/>
      <c r="O19" s="270"/>
      <c r="P19" s="270"/>
      <c r="Q19" s="270"/>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49.5" customHeight="1" x14ac:dyDescent="0.3">
      <c r="A20" s="241" t="s">
        <v>59</v>
      </c>
      <c r="B20" s="242"/>
      <c r="C20" s="248" t="s">
        <v>315</v>
      </c>
      <c r="D20" s="251"/>
      <c r="E20" s="251"/>
      <c r="F20" s="251"/>
      <c r="G20" s="251"/>
      <c r="H20" s="251"/>
      <c r="I20" s="251"/>
      <c r="J20" s="251"/>
      <c r="K20" s="251"/>
      <c r="L20" s="251"/>
      <c r="M20" s="251"/>
      <c r="N20" s="252"/>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49.5" customHeight="1" x14ac:dyDescent="0.3">
      <c r="A21" s="241" t="s">
        <v>60</v>
      </c>
      <c r="B21" s="242"/>
      <c r="C21" s="248" t="s">
        <v>316</v>
      </c>
      <c r="D21" s="251"/>
      <c r="E21" s="251"/>
      <c r="F21" s="251"/>
      <c r="G21" s="251"/>
      <c r="H21" s="251"/>
      <c r="I21" s="251"/>
      <c r="J21" s="251"/>
      <c r="K21" s="251"/>
      <c r="L21" s="251"/>
      <c r="M21" s="251"/>
      <c r="N21" s="252"/>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x14ac:dyDescent="0.3">
      <c r="A22" s="277" t="s">
        <v>61</v>
      </c>
      <c r="B22" s="278"/>
      <c r="C22" s="278"/>
      <c r="D22" s="278"/>
      <c r="E22" s="278"/>
      <c r="F22" s="278"/>
      <c r="G22" s="279"/>
      <c r="H22" s="277" t="s">
        <v>62</v>
      </c>
      <c r="I22" s="278"/>
      <c r="J22" s="278"/>
      <c r="K22" s="278"/>
      <c r="L22" s="278"/>
      <c r="M22" s="278"/>
      <c r="N22" s="279"/>
      <c r="O22" s="277" t="s">
        <v>63</v>
      </c>
      <c r="P22" s="278"/>
      <c r="Q22" s="278"/>
      <c r="R22" s="278"/>
      <c r="S22" s="278"/>
      <c r="T22" s="278"/>
      <c r="U22" s="278"/>
      <c r="V22" s="278"/>
      <c r="W22" s="279"/>
      <c r="X22" s="277" t="s">
        <v>64</v>
      </c>
      <c r="Y22" s="278"/>
      <c r="Z22" s="278"/>
      <c r="AA22" s="278"/>
      <c r="AB22" s="278"/>
      <c r="AC22" s="278"/>
      <c r="AD22" s="279"/>
      <c r="AE22" s="277" t="s">
        <v>65</v>
      </c>
      <c r="AF22" s="278"/>
      <c r="AG22" s="278"/>
      <c r="AH22" s="278"/>
      <c r="AI22" s="278"/>
      <c r="AJ22" s="279"/>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6.5" customHeight="1" x14ac:dyDescent="0.3">
      <c r="A23" s="243" t="s">
        <v>66</v>
      </c>
      <c r="B23" s="239" t="s">
        <v>13</v>
      </c>
      <c r="C23" s="233" t="s">
        <v>15</v>
      </c>
      <c r="D23" s="233" t="s">
        <v>17</v>
      </c>
      <c r="E23" s="245" t="s">
        <v>19</v>
      </c>
      <c r="F23" s="240" t="s">
        <v>21</v>
      </c>
      <c r="G23" s="233" t="s">
        <v>67</v>
      </c>
      <c r="H23" s="235" t="s">
        <v>68</v>
      </c>
      <c r="I23" s="236" t="s">
        <v>69</v>
      </c>
      <c r="J23" s="240" t="s">
        <v>70</v>
      </c>
      <c r="K23" s="240" t="s">
        <v>71</v>
      </c>
      <c r="L23" s="238" t="s">
        <v>72</v>
      </c>
      <c r="M23" s="236" t="s">
        <v>69</v>
      </c>
      <c r="N23" s="233" t="s">
        <v>27</v>
      </c>
      <c r="O23" s="246" t="s">
        <v>73</v>
      </c>
      <c r="P23" s="234" t="s">
        <v>29</v>
      </c>
      <c r="Q23" s="240" t="s">
        <v>31</v>
      </c>
      <c r="R23" s="234" t="s">
        <v>74</v>
      </c>
      <c r="S23" s="234"/>
      <c r="T23" s="234"/>
      <c r="U23" s="234"/>
      <c r="V23" s="234"/>
      <c r="W23" s="234"/>
      <c r="X23" s="232" t="s">
        <v>75</v>
      </c>
      <c r="Y23" s="232" t="s">
        <v>76</v>
      </c>
      <c r="Z23" s="232" t="s">
        <v>69</v>
      </c>
      <c r="AA23" s="232" t="s">
        <v>77</v>
      </c>
      <c r="AB23" s="232" t="s">
        <v>69</v>
      </c>
      <c r="AC23" s="232" t="s">
        <v>78</v>
      </c>
      <c r="AD23" s="246" t="s">
        <v>47</v>
      </c>
      <c r="AE23" s="234" t="s">
        <v>65</v>
      </c>
      <c r="AF23" s="234" t="s">
        <v>79</v>
      </c>
      <c r="AG23" s="234" t="s">
        <v>80</v>
      </c>
      <c r="AH23" s="234" t="s">
        <v>81</v>
      </c>
      <c r="AI23" s="234" t="s">
        <v>82</v>
      </c>
      <c r="AJ23" s="234" t="s">
        <v>51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s="4" customFormat="1" ht="94.5" customHeight="1" x14ac:dyDescent="0.25">
      <c r="A24" s="244"/>
      <c r="B24" s="239"/>
      <c r="C24" s="234"/>
      <c r="D24" s="234"/>
      <c r="E24" s="239"/>
      <c r="F24" s="233"/>
      <c r="G24" s="234"/>
      <c r="H24" s="233"/>
      <c r="I24" s="237"/>
      <c r="J24" s="233"/>
      <c r="K24" s="233"/>
      <c r="L24" s="237"/>
      <c r="M24" s="237"/>
      <c r="N24" s="234"/>
      <c r="O24" s="247"/>
      <c r="P24" s="234"/>
      <c r="Q24" s="233"/>
      <c r="R24" s="7" t="s">
        <v>83</v>
      </c>
      <c r="S24" s="7" t="s">
        <v>84</v>
      </c>
      <c r="T24" s="7" t="s">
        <v>85</v>
      </c>
      <c r="U24" s="7" t="s">
        <v>86</v>
      </c>
      <c r="V24" s="7" t="s">
        <v>87</v>
      </c>
      <c r="W24" s="7" t="s">
        <v>88</v>
      </c>
      <c r="X24" s="232"/>
      <c r="Y24" s="232"/>
      <c r="Z24" s="232"/>
      <c r="AA24" s="232"/>
      <c r="AB24" s="232"/>
      <c r="AC24" s="232"/>
      <c r="AD24" s="247"/>
      <c r="AE24" s="234"/>
      <c r="AF24" s="234"/>
      <c r="AG24" s="234"/>
      <c r="AH24" s="234"/>
      <c r="AI24" s="234"/>
      <c r="AJ24" s="234"/>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row>
    <row r="25" spans="1:68" s="3" customFormat="1" ht="141.75" customHeight="1" x14ac:dyDescent="0.25">
      <c r="A25" s="229">
        <v>1</v>
      </c>
      <c r="B25" s="259" t="s">
        <v>192</v>
      </c>
      <c r="C25" s="475" t="s">
        <v>317</v>
      </c>
      <c r="D25" s="261" t="s">
        <v>319</v>
      </c>
      <c r="E25" s="263" t="s">
        <v>320</v>
      </c>
      <c r="F25" s="259" t="s">
        <v>232</v>
      </c>
      <c r="G25" s="267">
        <v>500</v>
      </c>
      <c r="H25" s="257" t="str">
        <f>IF(G25&lt;=0,"",IF(G25&lt;=2,"Muy Baja",IF(G25&lt;=24,"Baja",IF(G25&lt;=500,"Media",IF(G25&lt;=5000,"Alta","Muy Alta")))))</f>
        <v>Media</v>
      </c>
      <c r="I25" s="255">
        <f>IF(H25="","",IF(H25="Muy Baja",0.2,IF(H25="Baja",0.4,IF(H25="Media",0.6,IF(H25="Alta",0.8,IF(H25="Muy Alta",1,))))))</f>
        <v>0.6</v>
      </c>
      <c r="J25" s="253" t="s">
        <v>148</v>
      </c>
      <c r="K25" s="255" t="str">
        <f>IF(NOT(ISERROR(MATCH(J25,'Tabla Impacto'!$B$221:$B$223,0))),'Tabla Impacto'!$F$228&amp;"Por favor no seleccionar los criterios de impacto(Afectación Económica o presupuestal y Pérdida Reputacional)",J25)</f>
        <v xml:space="preserve">     El riesgo afecta la imagen de la entidad con algunos usuarios de relevancia frente al logro de los objetivos</v>
      </c>
      <c r="L25" s="257" t="str">
        <f>IF(OR(K25='Tabla Impacto'!$C$11,K25='Tabla Impacto'!$D$11),"Leve",IF(OR(K25='Tabla Impacto'!$C$12,K25='Tabla Impacto'!$D$12),"Menor",IF(OR(K25='Tabla Impacto'!$C$13,K25='Tabla Impacto'!$D$13),"Moderado",IF(OR(K25='Tabla Impacto'!$C$14,K25='Tabla Impacto'!$D$14),"Mayor",IF(OR(K25='Tabla Impacto'!$C$15,K25='Tabla Impacto'!$D$15),"Catastrófico","")))))</f>
        <v>Moderado</v>
      </c>
      <c r="M25" s="255">
        <f>IF(L25="","",IF(L25="Leve",0.2,IF(L25="Menor",0.4,IF(L25="Moderado",0.6,IF(L25="Mayor",0.8,IF(L25="Catastrófico",1,))))))</f>
        <v>0.6</v>
      </c>
      <c r="N25" s="265"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Moderado</v>
      </c>
      <c r="O25" s="6">
        <v>1</v>
      </c>
      <c r="P25" s="466" t="s">
        <v>321</v>
      </c>
      <c r="Q25" s="467" t="str">
        <f>IF(OR(R25="Preventivo",R25="Detectivo"),"Probabilidad",IF(R25="Correctivo","Impacto",""))</f>
        <v>Probabilidad</v>
      </c>
      <c r="R25" s="468" t="s">
        <v>164</v>
      </c>
      <c r="S25" s="468" t="s">
        <v>172</v>
      </c>
      <c r="T25" s="469" t="str">
        <f>IF(AND(R25="Preventivo",S25="Automático"),"50%",IF(AND(R25="Preventivo",S25="Manual"),"40%",IF(AND(R25="Detectivo",S25="Automático"),"40%",IF(AND(R25="Detectivo",S25="Manual"),"30%",IF(AND(R25="Correctivo",S25="Automático"),"35%",IF(AND(R25="Correctivo",S25="Manual"),"25%",""))))))</f>
        <v>40%</v>
      </c>
      <c r="U25" s="468" t="s">
        <v>175</v>
      </c>
      <c r="V25" s="468" t="s">
        <v>180</v>
      </c>
      <c r="W25" s="468" t="s">
        <v>184</v>
      </c>
      <c r="X25" s="168">
        <f>IFERROR(IF(Q25="Probabilidad",(I25-(+I25*T25)),IF(Q25="Impacto",I25,"")),"")</f>
        <v>0.36</v>
      </c>
      <c r="Y25" s="470" t="str">
        <f>IFERROR(IF(X25="","",IF(X25&lt;=0.2,"Muy Baja",IF(X25&lt;=0.4,"Baja",IF(X25&lt;=0.6,"Media",IF(X25&lt;=0.8,"Alta","Muy Alta"))))),"")</f>
        <v>Baja</v>
      </c>
      <c r="Z25" s="175">
        <f>+X25</f>
        <v>0.36</v>
      </c>
      <c r="AA25" s="470" t="str">
        <f>IFERROR(IF(AB25="","",IF(AB25&lt;=0.2,"Leve",IF(AB25&lt;=0.4,"Menor",IF(AB25&lt;=0.6,"Moderado",IF(AB25&lt;=0.8,"Mayor","Catastrófico"))))),"")</f>
        <v>Moderado</v>
      </c>
      <c r="AB25" s="175">
        <f>IFERROR(IF(Q25="Impacto",(M25-(+M25*T25)),IF(Q25="Probabilidad",M25,"")),"")</f>
        <v>0.6</v>
      </c>
      <c r="AC25" s="47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287" t="s">
        <v>189</v>
      </c>
      <c r="AE25" s="259"/>
      <c r="AF25" s="259"/>
      <c r="AG25" s="259"/>
      <c r="AH25" s="259"/>
      <c r="AI25" s="259"/>
      <c r="AJ25" s="259"/>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row>
    <row r="26" spans="1:68" ht="133.5" customHeight="1" x14ac:dyDescent="0.3">
      <c r="A26" s="230"/>
      <c r="B26" s="260"/>
      <c r="C26" s="475" t="s">
        <v>318</v>
      </c>
      <c r="D26" s="262"/>
      <c r="E26" s="264"/>
      <c r="F26" s="260"/>
      <c r="G26" s="268"/>
      <c r="H26" s="258"/>
      <c r="I26" s="256"/>
      <c r="J26" s="254"/>
      <c r="K26" s="256">
        <f>IF(NOT(ISERROR(MATCH(J26,_xlfn.ANCHORARRAY(E29),0))),I31&amp;"Por favor no seleccionar los criterios de impacto",J26)</f>
        <v>0</v>
      </c>
      <c r="L26" s="258"/>
      <c r="M26" s="256"/>
      <c r="N26" s="266"/>
      <c r="O26" s="6">
        <v>2</v>
      </c>
      <c r="P26" s="466" t="s">
        <v>322</v>
      </c>
      <c r="Q26" s="467" t="str">
        <f>IF(OR(R26="Preventivo",R26="Detectivo"),"Probabilidad",IF(R26="Correctivo","Impacto",""))</f>
        <v>Probabilidad</v>
      </c>
      <c r="R26" s="468" t="s">
        <v>164</v>
      </c>
      <c r="S26" s="468" t="s">
        <v>172</v>
      </c>
      <c r="T26" s="469" t="str">
        <f t="shared" ref="T26" si="0">IF(AND(R26="Preventivo",S26="Automático"),"50%",IF(AND(R26="Preventivo",S26="Manual"),"40%",IF(AND(R26="Detectivo",S26="Automático"),"40%",IF(AND(R26="Detectivo",S26="Manual"),"30%",IF(AND(R26="Correctivo",S26="Automático"),"35%",IF(AND(R26="Correctivo",S26="Manual"),"25%",""))))))</f>
        <v>40%</v>
      </c>
      <c r="U26" s="468" t="s">
        <v>175</v>
      </c>
      <c r="V26" s="468" t="s">
        <v>180</v>
      </c>
      <c r="W26" s="468" t="s">
        <v>184</v>
      </c>
      <c r="X26" s="168">
        <f>IFERROR(IF(AND(Q25="Probabilidad",Q26="Probabilidad"),(Z25-(+Z25*T26)),IF(Q26="Probabilidad",(I25-(+I25*T26)),IF(Q26="Impacto",Z25,""))),"")</f>
        <v>0.216</v>
      </c>
      <c r="Y26" s="470" t="str">
        <f t="shared" ref="Y26" si="1">IFERROR(IF(X26="","",IF(X26&lt;=0.2,"Muy Baja",IF(X26&lt;=0.4,"Baja",IF(X26&lt;=0.6,"Media",IF(X26&lt;=0.8,"Alta","Muy Alta"))))),"")</f>
        <v>Baja</v>
      </c>
      <c r="Z26" s="175">
        <f t="shared" ref="Z26" si="2">+X26</f>
        <v>0.216</v>
      </c>
      <c r="AA26" s="470" t="str">
        <f t="shared" ref="AA26" si="3">IFERROR(IF(AB26="","",IF(AB26&lt;=0.2,"Leve",IF(AB26&lt;=0.4,"Menor",IF(AB26&lt;=0.6,"Moderado",IF(AB26&lt;=0.8,"Mayor","Catastrófico"))))),"")</f>
        <v>Moderado</v>
      </c>
      <c r="AB26" s="175">
        <f>IFERROR(IF(AND(Q25="Impacto",Q26="Impacto"),(AB25-(+AB25*T26)),IF(Q26="Impacto",(M25-(+M25*T26)),IF(Q26="Probabilidad",AB25,""))),"")</f>
        <v>0.6</v>
      </c>
      <c r="AC26" s="471" t="str">
        <f t="shared" ref="AC26" si="4">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288"/>
      <c r="AE26" s="472"/>
      <c r="AF26" s="472"/>
      <c r="AG26" s="472"/>
      <c r="AH26" s="472"/>
      <c r="AI26" s="472"/>
      <c r="AJ26" s="47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02" customHeight="1" x14ac:dyDescent="0.3">
      <c r="A27" s="229">
        <v>2</v>
      </c>
      <c r="B27" s="259" t="s">
        <v>192</v>
      </c>
      <c r="C27" s="475" t="s">
        <v>323</v>
      </c>
      <c r="D27" s="261" t="s">
        <v>325</v>
      </c>
      <c r="E27" s="263" t="s">
        <v>326</v>
      </c>
      <c r="F27" s="259" t="s">
        <v>232</v>
      </c>
      <c r="G27" s="267">
        <v>3000</v>
      </c>
      <c r="H27" s="257" t="str">
        <f>IF(G27&lt;=0,"",IF(G27&lt;=2,"Muy Baja",IF(G27&lt;=24,"Baja",IF(G27&lt;=500,"Media",IF(G27&lt;=5000,"Alta","Muy Alta")))))</f>
        <v>Alta</v>
      </c>
      <c r="I27" s="255">
        <f>IF(H27="","",IF(H27="Muy Baja",0.2,IF(H27="Baja",0.4,IF(H27="Media",0.6,IF(H27="Alta",0.8,IF(H27="Muy Alta",1,))))))</f>
        <v>0.8</v>
      </c>
      <c r="J27" s="253" t="s">
        <v>146</v>
      </c>
      <c r="K27" s="255" t="str">
        <f>IF(NOT(ISERROR(MATCH(J27,'Tabla Impacto'!$B$221:$B$223,0))),'Tabla Impacto'!$F$228&amp;"Por favor no seleccionar los criterios de impacto(Afectación Económica o presupuestal y Pérdida Reputacional)",J27)</f>
        <v xml:space="preserve">     El riesgo afecta la imagen de la entidad internamente, de conocimiento general, nivel interno, de junta dircetiva y accionistas y/o de provedores</v>
      </c>
      <c r="L27" s="257" t="str">
        <f>IF(OR(K27='Tabla Impacto'!$C$11,K27='Tabla Impacto'!$D$11),"Leve",IF(OR(K27='Tabla Impacto'!$C$12,K27='Tabla Impacto'!$D$12),"Menor",IF(OR(K27='Tabla Impacto'!$C$13,K27='Tabla Impacto'!$D$13),"Moderado",IF(OR(K27='Tabla Impacto'!$C$14,K27='Tabla Impacto'!$D$14),"Mayor",IF(OR(K27='Tabla Impacto'!$C$15,K27='Tabla Impacto'!$D$15),"Catastrófico","")))))</f>
        <v>Menor</v>
      </c>
      <c r="M27" s="255">
        <f>IF(L27="","",IF(L27="Leve",0.2,IF(L27="Menor",0.4,IF(L27="Moderado",0.6,IF(L27="Mayor",0.8,IF(L27="Catastrófico",1,))))))</f>
        <v>0.4</v>
      </c>
      <c r="N27" s="265"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Moderado</v>
      </c>
      <c r="O27" s="229">
        <v>1</v>
      </c>
      <c r="P27" s="283" t="s">
        <v>327</v>
      </c>
      <c r="Q27" s="285" t="str">
        <f>IF(OR(R27="Preventivo",R27="Detectivo"),"Probabilidad",IF(R27="Correctivo","Impacto",""))</f>
        <v>Probabilidad</v>
      </c>
      <c r="R27" s="287" t="s">
        <v>164</v>
      </c>
      <c r="S27" s="287" t="s">
        <v>170</v>
      </c>
      <c r="T27" s="289" t="str">
        <f>IF(AND(R27="Preventivo",S27="Automático"),"50%",IF(AND(R27="Preventivo",S27="Manual"),"40%",IF(AND(R27="Detectivo",S27="Automático"),"40%",IF(AND(R27="Detectivo",S27="Manual"),"30%",IF(AND(R27="Correctivo",S27="Automático"),"35%",IF(AND(R27="Correctivo",S27="Manual"),"25%",""))))))</f>
        <v>50%</v>
      </c>
      <c r="U27" s="287" t="s">
        <v>175</v>
      </c>
      <c r="V27" s="287" t="s">
        <v>180</v>
      </c>
      <c r="W27" s="287" t="s">
        <v>184</v>
      </c>
      <c r="X27" s="168">
        <f>IFERROR(IF(Q27="Probabilidad",(I27-(+I27*T27)),IF(Q27="Impacto",I27,"")),"")</f>
        <v>0.4</v>
      </c>
      <c r="Y27" s="291" t="str">
        <f>IFERROR(IF(X27="","",IF(X27&lt;=0.2,"Muy Baja",IF(X27&lt;=0.4,"Baja",IF(X27&lt;=0.6,"Media",IF(X27&lt;=0.8,"Alta","Muy Alta"))))),"")</f>
        <v>Baja</v>
      </c>
      <c r="Z27" s="289">
        <f>+X27</f>
        <v>0.4</v>
      </c>
      <c r="AA27" s="291" t="str">
        <f>IFERROR(IF(AB27="","",IF(AB27&lt;=0.2,"Leve",IF(AB27&lt;=0.4,"Menor",IF(AB27&lt;=0.6,"Moderado",IF(AB27&lt;=0.8,"Mayor","Catastrófico"))))),"")</f>
        <v>Menor</v>
      </c>
      <c r="AB27" s="289">
        <f>IFERROR(IF(Q27="Impacto",(M27-(+M27*T27)),IF(Q27="Probabilidad",M27,"")),"")</f>
        <v>0.4</v>
      </c>
      <c r="AC27" s="29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Moderado</v>
      </c>
      <c r="AD27" s="287" t="s">
        <v>189</v>
      </c>
      <c r="AE27" s="259"/>
      <c r="AF27" s="259"/>
      <c r="AG27" s="259"/>
      <c r="AH27" s="259"/>
      <c r="AI27" s="259"/>
      <c r="AJ27" s="259"/>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48.75" customHeight="1" x14ac:dyDescent="0.3">
      <c r="A28" s="230"/>
      <c r="B28" s="260"/>
      <c r="C28" s="475" t="s">
        <v>324</v>
      </c>
      <c r="D28" s="262"/>
      <c r="E28" s="264"/>
      <c r="F28" s="260"/>
      <c r="G28" s="268"/>
      <c r="H28" s="258"/>
      <c r="I28" s="256"/>
      <c r="J28" s="254"/>
      <c r="K28" s="256">
        <f>IF(NOT(ISERROR(MATCH(J28,_xlfn.ANCHORARRAY(E33),0))),I35&amp;"Por favor no seleccionar los criterios de impacto",J28)</f>
        <v>0</v>
      </c>
      <c r="L28" s="258"/>
      <c r="M28" s="256"/>
      <c r="N28" s="266"/>
      <c r="O28" s="231"/>
      <c r="P28" s="284"/>
      <c r="Q28" s="286"/>
      <c r="R28" s="288"/>
      <c r="S28" s="288"/>
      <c r="T28" s="290"/>
      <c r="U28" s="288"/>
      <c r="V28" s="288"/>
      <c r="W28" s="288"/>
      <c r="X28" s="168" t="str">
        <f>IFERROR(IF(AND(Q27="Probabilidad",Q28="Probabilidad"),(Z27-(+Z27*T28)),IF(Q28="Probabilidad",(I27-(+I27*T28)),IF(Q28="Impacto",Z27,""))),"")</f>
        <v/>
      </c>
      <c r="Y28" s="292"/>
      <c r="Z28" s="290"/>
      <c r="AA28" s="292"/>
      <c r="AB28" s="290"/>
      <c r="AC28" s="294"/>
      <c r="AD28" s="288"/>
      <c r="AE28" s="472"/>
      <c r="AF28" s="472"/>
      <c r="AG28" s="472"/>
      <c r="AH28" s="472"/>
      <c r="AI28" s="472"/>
      <c r="AJ28" s="47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96" customHeight="1" x14ac:dyDescent="0.3">
      <c r="A29" s="229">
        <v>3</v>
      </c>
      <c r="B29" s="259" t="s">
        <v>192</v>
      </c>
      <c r="C29" s="475" t="s">
        <v>328</v>
      </c>
      <c r="D29" s="261" t="s">
        <v>332</v>
      </c>
      <c r="E29" s="263" t="s">
        <v>333</v>
      </c>
      <c r="F29" s="259" t="s">
        <v>232</v>
      </c>
      <c r="G29" s="267">
        <v>2</v>
      </c>
      <c r="H29" s="257" t="str">
        <f>IF(G29&lt;=0,"",IF(G29&lt;=2,"Muy Baja",IF(G29&lt;=24,"Baja",IF(G29&lt;=500,"Media",IF(G29&lt;=5000,"Alta","Muy Alta")))))</f>
        <v>Muy Baja</v>
      </c>
      <c r="I29" s="255">
        <f>IF(H29="","",IF(H29="Muy Baja",0.2,IF(H29="Baja",0.4,IF(H29="Media",0.6,IF(H29="Alta",0.8,IF(H29="Muy Alta",1,))))))</f>
        <v>0.2</v>
      </c>
      <c r="J29" s="253" t="s">
        <v>146</v>
      </c>
      <c r="K29" s="255" t="str">
        <f>IF(NOT(ISERROR(MATCH(J29,'Tabla Impacto'!$B$221:$B$223,0))),'Tabla Impacto'!$F$228&amp;"Por favor no seleccionar los criterios de impacto(Afectación Económica o presupuestal y Pérdida Reputacional)",J29)</f>
        <v xml:space="preserve">     El riesgo afecta la imagen de la entidad internamente, de conocimiento general, nivel interno, de junta dircetiva y accionistas y/o de provedores</v>
      </c>
      <c r="L29" s="257" t="str">
        <f>IF(OR(K29='Tabla Impacto'!$C$11,K29='Tabla Impacto'!$D$11),"Leve",IF(OR(K29='Tabla Impacto'!$C$12,K29='Tabla Impacto'!$D$12),"Menor",IF(OR(K29='Tabla Impacto'!$C$13,K29='Tabla Impacto'!$D$13),"Moderado",IF(OR(K29='Tabla Impacto'!$C$14,K29='Tabla Impacto'!$D$14),"Mayor",IF(OR(K29='Tabla Impacto'!$C$15,K29='Tabla Impacto'!$D$15),"Catastrófico","")))))</f>
        <v>Menor</v>
      </c>
      <c r="M29" s="255">
        <f>IF(L29="","",IF(L29="Leve",0.2,IF(L29="Menor",0.4,IF(L29="Moderado",0.6,IF(L29="Mayor",0.8,IF(L29="Catastrófico",1,))))))</f>
        <v>0.4</v>
      </c>
      <c r="N29" s="265"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Bajo</v>
      </c>
      <c r="O29" s="229">
        <v>1</v>
      </c>
      <c r="P29" s="283" t="s">
        <v>334</v>
      </c>
      <c r="Q29" s="285" t="str">
        <f>IF(OR(R29="Preventivo",R29="Detectivo"),"Probabilidad",IF(R29="Correctivo","Impacto",""))</f>
        <v>Probabilidad</v>
      </c>
      <c r="R29" s="287" t="s">
        <v>164</v>
      </c>
      <c r="S29" s="287" t="s">
        <v>172</v>
      </c>
      <c r="T29" s="289" t="str">
        <f>IF(AND(R29="Preventivo",S29="Automático"),"50%",IF(AND(R29="Preventivo",S29="Manual"),"40%",IF(AND(R29="Detectivo",S29="Automático"),"40%",IF(AND(R29="Detectivo",S29="Manual"),"30%",IF(AND(R29="Correctivo",S29="Automático"),"35%",IF(AND(R29="Correctivo",S29="Manual"),"25%",""))))))</f>
        <v>40%</v>
      </c>
      <c r="U29" s="287" t="s">
        <v>175</v>
      </c>
      <c r="V29" s="287" t="s">
        <v>180</v>
      </c>
      <c r="W29" s="287" t="s">
        <v>184</v>
      </c>
      <c r="X29" s="168">
        <f>IFERROR(IF(Q29="Probabilidad",(I29-(+I29*T29)),IF(Q29="Impacto",I29,"")),"")</f>
        <v>0.12</v>
      </c>
      <c r="Y29" s="291" t="str">
        <f>IFERROR(IF(X29="","",IF(X29&lt;=0.2,"Muy Baja",IF(X29&lt;=0.4,"Baja",IF(X29&lt;=0.6,"Media",IF(X29&lt;=0.8,"Alta","Muy Alta"))))),"")</f>
        <v>Muy Baja</v>
      </c>
      <c r="Z29" s="289">
        <f>+X29</f>
        <v>0.12</v>
      </c>
      <c r="AA29" s="291" t="str">
        <f>IFERROR(IF(AB29="","",IF(AB29&lt;=0.2,"Leve",IF(AB29&lt;=0.4,"Menor",IF(AB29&lt;=0.6,"Moderado",IF(AB29&lt;=0.8,"Mayor","Catastrófico"))))),"")</f>
        <v>Menor</v>
      </c>
      <c r="AB29" s="289">
        <f>IFERROR(IF(Q29="Impacto",(M29-(+M29*T29)),IF(Q29="Probabilidad",M29,"")),"")</f>
        <v>0.4</v>
      </c>
      <c r="AC29" s="29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287" t="s">
        <v>189</v>
      </c>
      <c r="AE29" s="259"/>
      <c r="AF29" s="259"/>
      <c r="AG29" s="259"/>
      <c r="AH29" s="259"/>
      <c r="AI29" s="259"/>
      <c r="AJ29" s="259"/>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78" customHeight="1" x14ac:dyDescent="0.3">
      <c r="A30" s="230"/>
      <c r="B30" s="260"/>
      <c r="C30" s="475" t="s">
        <v>329</v>
      </c>
      <c r="D30" s="262"/>
      <c r="E30" s="264"/>
      <c r="F30" s="260"/>
      <c r="G30" s="268"/>
      <c r="H30" s="258"/>
      <c r="I30" s="256"/>
      <c r="J30" s="254"/>
      <c r="K30" s="256">
        <f>IF(NOT(ISERROR(MATCH(J30,_xlfn.ANCHORARRAY(E37),0))),I39&amp;"Por favor no seleccionar los criterios de impacto",J30)</f>
        <v>0</v>
      </c>
      <c r="L30" s="258"/>
      <c r="M30" s="256"/>
      <c r="N30" s="266"/>
      <c r="O30" s="230"/>
      <c r="P30" s="476"/>
      <c r="Q30" s="477"/>
      <c r="R30" s="478"/>
      <c r="S30" s="478"/>
      <c r="T30" s="479"/>
      <c r="U30" s="478"/>
      <c r="V30" s="478"/>
      <c r="W30" s="478"/>
      <c r="X30" s="474" t="str">
        <f>IFERROR(IF(AND(Q29="Probabilidad",Q30="Probabilidad"),(Z29-(+Z29*T30)),IF(Q30="Probabilidad",(I29-(+I29*T30)),IF(Q30="Impacto",Z29,""))),"")</f>
        <v/>
      </c>
      <c r="Y30" s="480"/>
      <c r="Z30" s="479"/>
      <c r="AA30" s="480"/>
      <c r="AB30" s="479"/>
      <c r="AC30" s="481"/>
      <c r="AD30" s="478"/>
      <c r="AE30" s="260"/>
      <c r="AF30" s="260"/>
      <c r="AG30" s="260"/>
      <c r="AH30" s="260"/>
      <c r="AI30" s="260"/>
      <c r="AJ30" s="260"/>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83.25" customHeight="1" x14ac:dyDescent="0.3">
      <c r="A31" s="230"/>
      <c r="B31" s="260"/>
      <c r="C31" s="475" t="s">
        <v>330</v>
      </c>
      <c r="D31" s="262"/>
      <c r="E31" s="264"/>
      <c r="F31" s="260"/>
      <c r="G31" s="268"/>
      <c r="H31" s="258"/>
      <c r="I31" s="256"/>
      <c r="J31" s="254"/>
      <c r="K31" s="256">
        <f>IF(NOT(ISERROR(MATCH(J31,_xlfn.ANCHORARRAY(E38),0))),#REF!&amp;"Por favor no seleccionar los criterios de impacto",J31)</f>
        <v>0</v>
      </c>
      <c r="L31" s="258"/>
      <c r="M31" s="256"/>
      <c r="N31" s="266"/>
      <c r="O31" s="230"/>
      <c r="P31" s="476"/>
      <c r="Q31" s="477"/>
      <c r="R31" s="478"/>
      <c r="S31" s="478"/>
      <c r="T31" s="479"/>
      <c r="U31" s="478"/>
      <c r="V31" s="478"/>
      <c r="W31" s="478"/>
      <c r="X31" s="168" t="str">
        <f>IFERROR(IF(AND(Q30="Probabilidad",Q31="Probabilidad"),(Z30-(+Z30*T31)),IF(AND(Q30="Impacto",Q31="Probabilidad"),(Z29-(+Z29*T31)),IF(Q31="Impacto",Z30,""))),"")</f>
        <v/>
      </c>
      <c r="Y31" s="480"/>
      <c r="Z31" s="479"/>
      <c r="AA31" s="480"/>
      <c r="AB31" s="479"/>
      <c r="AC31" s="481"/>
      <c r="AD31" s="478"/>
      <c r="AE31" s="260"/>
      <c r="AF31" s="260"/>
      <c r="AG31" s="260"/>
      <c r="AH31" s="260"/>
      <c r="AI31" s="260"/>
      <c r="AJ31" s="260"/>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69" customHeight="1" x14ac:dyDescent="0.3">
      <c r="A32" s="230"/>
      <c r="B32" s="260"/>
      <c r="C32" s="475" t="s">
        <v>331</v>
      </c>
      <c r="D32" s="262"/>
      <c r="E32" s="264"/>
      <c r="F32" s="260"/>
      <c r="G32" s="268"/>
      <c r="H32" s="258"/>
      <c r="I32" s="256"/>
      <c r="J32" s="254"/>
      <c r="K32" s="256">
        <f>IF(NOT(ISERROR(MATCH(J32,_xlfn.ANCHORARRAY(E39),0))),#REF!&amp;"Por favor no seleccionar los criterios de impacto",J32)</f>
        <v>0</v>
      </c>
      <c r="L32" s="258"/>
      <c r="M32" s="256"/>
      <c r="N32" s="266"/>
      <c r="O32" s="231"/>
      <c r="P32" s="284"/>
      <c r="Q32" s="286"/>
      <c r="R32" s="288"/>
      <c r="S32" s="288"/>
      <c r="T32" s="290"/>
      <c r="U32" s="288"/>
      <c r="V32" s="288"/>
      <c r="W32" s="288"/>
      <c r="X32" s="168" t="str">
        <f t="shared" ref="X32" si="5">IFERROR(IF(AND(Q31="Probabilidad",Q32="Probabilidad"),(Z31-(+Z31*T32)),IF(AND(Q31="Impacto",Q32="Probabilidad"),(Z30-(+Z30*T32)),IF(Q32="Impacto",Z31,""))),"")</f>
        <v/>
      </c>
      <c r="Y32" s="292"/>
      <c r="Z32" s="290"/>
      <c r="AA32" s="292"/>
      <c r="AB32" s="290"/>
      <c r="AC32" s="294"/>
      <c r="AD32" s="288"/>
      <c r="AE32" s="472"/>
      <c r="AF32" s="472"/>
      <c r="AG32" s="472"/>
      <c r="AH32" s="472"/>
      <c r="AI32" s="472"/>
      <c r="AJ32" s="472"/>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92.25" customHeight="1" x14ac:dyDescent="0.3">
      <c r="A33" s="229">
        <v>4</v>
      </c>
      <c r="B33" s="259" t="s">
        <v>192</v>
      </c>
      <c r="C33" s="475" t="s">
        <v>335</v>
      </c>
      <c r="D33" s="261" t="s">
        <v>338</v>
      </c>
      <c r="E33" s="263" t="s">
        <v>339</v>
      </c>
      <c r="F33" s="259" t="s">
        <v>232</v>
      </c>
      <c r="G33" s="267">
        <v>12</v>
      </c>
      <c r="H33" s="257" t="str">
        <f>IF(G33&lt;=0,"",IF(G33&lt;=2,"Muy Baja",IF(G33&lt;=24,"Baja",IF(G33&lt;=500,"Media",IF(G33&lt;=5000,"Alta","Muy Alta")))))</f>
        <v>Baja</v>
      </c>
      <c r="I33" s="255">
        <f>IF(H33="","",IF(H33="Muy Baja",0.2,IF(H33="Baja",0.4,IF(H33="Media",0.6,IF(H33="Alta",0.8,IF(H33="Muy Alta",1,))))))</f>
        <v>0.4</v>
      </c>
      <c r="J33" s="253" t="s">
        <v>146</v>
      </c>
      <c r="K33" s="255" t="str">
        <f>IF(NOT(ISERROR(MATCH(J33,'Tabla Impacto'!$B$221:$B$223,0))),'Tabla Impacto'!$F$228&amp;"Por favor no seleccionar los criterios de impacto(Afectación Económica o presupuestal y Pérdida Reputacional)",J33)</f>
        <v xml:space="preserve">     El riesgo afecta la imagen de la entidad internamente, de conocimiento general, nivel interno, de junta dircetiva y accionistas y/o de provedores</v>
      </c>
      <c r="L33" s="257" t="str">
        <f>IF(OR(K33='Tabla Impacto'!$C$11,K33='Tabla Impacto'!$D$11),"Leve",IF(OR(K33='Tabla Impacto'!$C$12,K33='Tabla Impacto'!$D$12),"Menor",IF(OR(K33='Tabla Impacto'!$C$13,K33='Tabla Impacto'!$D$13),"Moderado",IF(OR(K33='Tabla Impacto'!$C$14,K33='Tabla Impacto'!$D$14),"Mayor",IF(OR(K33='Tabla Impacto'!$C$15,K33='Tabla Impacto'!$D$15),"Catastrófico","")))))</f>
        <v>Menor</v>
      </c>
      <c r="M33" s="255">
        <f>IF(L33="","",IF(L33="Leve",0.2,IF(L33="Menor",0.4,IF(L33="Moderado",0.6,IF(L33="Mayor",0.8,IF(L33="Catastrófico",1,))))))</f>
        <v>0.4</v>
      </c>
      <c r="N33" s="265"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Moderado</v>
      </c>
      <c r="O33" s="229">
        <v>1</v>
      </c>
      <c r="P33" s="283" t="s">
        <v>340</v>
      </c>
      <c r="Q33" s="285" t="str">
        <f>IF(OR(R33="Preventivo",R33="Detectivo"),"Probabilidad",IF(R33="Correctivo","Impacto",""))</f>
        <v>Probabilidad</v>
      </c>
      <c r="R33" s="287" t="s">
        <v>164</v>
      </c>
      <c r="S33" s="287" t="s">
        <v>172</v>
      </c>
      <c r="T33" s="289" t="str">
        <f>IF(AND(R33="Preventivo",S33="Automático"),"50%",IF(AND(R33="Preventivo",S33="Manual"),"40%",IF(AND(R33="Detectivo",S33="Automático"),"40%",IF(AND(R33="Detectivo",S33="Manual"),"30%",IF(AND(R33="Correctivo",S33="Automático"),"35%",IF(AND(R33="Correctivo",S33="Manual"),"25%",""))))))</f>
        <v>40%</v>
      </c>
      <c r="U33" s="287" t="s">
        <v>175</v>
      </c>
      <c r="V33" s="287" t="s">
        <v>180</v>
      </c>
      <c r="W33" s="287" t="s">
        <v>184</v>
      </c>
      <c r="X33" s="168">
        <f>IFERROR(IF(Q33="Probabilidad",(I33-(+I33*T33)),IF(Q33="Impacto",I33,"")),"")</f>
        <v>0.24</v>
      </c>
      <c r="Y33" s="291" t="str">
        <f>IFERROR(IF(X33="","",IF(X33&lt;=0.2,"Muy Baja",IF(X33&lt;=0.4,"Baja",IF(X33&lt;=0.6,"Media",IF(X33&lt;=0.8,"Alta","Muy Alta"))))),"")</f>
        <v>Baja</v>
      </c>
      <c r="Z33" s="289">
        <f>+X33</f>
        <v>0.24</v>
      </c>
      <c r="AA33" s="291" t="str">
        <f>IFERROR(IF(AB33="","",IF(AB33&lt;=0.2,"Leve",IF(AB33&lt;=0.4,"Menor",IF(AB33&lt;=0.6,"Moderado",IF(AB33&lt;=0.8,"Mayor","Catastrófico"))))),"")</f>
        <v>Menor</v>
      </c>
      <c r="AB33" s="289">
        <f>IFERROR(IF(Q33="Impacto",(M33-(+M33*T33)),IF(Q33="Probabilidad",M33,"")),"")</f>
        <v>0.4</v>
      </c>
      <c r="AC33" s="29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287" t="s">
        <v>189</v>
      </c>
      <c r="AE33" s="259"/>
      <c r="AF33" s="267"/>
      <c r="AG33" s="259"/>
      <c r="AH33" s="259"/>
      <c r="AI33" s="259"/>
      <c r="AJ33" s="259"/>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81" customHeight="1" x14ac:dyDescent="0.3">
      <c r="A34" s="230"/>
      <c r="B34" s="260"/>
      <c r="C34" s="475" t="s">
        <v>336</v>
      </c>
      <c r="D34" s="262"/>
      <c r="E34" s="264"/>
      <c r="F34" s="260"/>
      <c r="G34" s="268"/>
      <c r="H34" s="258"/>
      <c r="I34" s="256"/>
      <c r="J34" s="254"/>
      <c r="K34" s="256">
        <f>IF(NOT(ISERROR(MATCH(J34,_xlfn.ANCHORARRAY(E40),0))),#REF!&amp;"Por favor no seleccionar los criterios de impacto",J34)</f>
        <v>0</v>
      </c>
      <c r="L34" s="258"/>
      <c r="M34" s="256"/>
      <c r="N34" s="266"/>
      <c r="O34" s="230"/>
      <c r="P34" s="476"/>
      <c r="Q34" s="477"/>
      <c r="R34" s="478"/>
      <c r="S34" s="478"/>
      <c r="T34" s="479"/>
      <c r="U34" s="478"/>
      <c r="V34" s="478"/>
      <c r="W34" s="478"/>
      <c r="X34" s="168" t="str">
        <f>IFERROR(IF(AND(Q33="Probabilidad",Q34="Probabilidad"),(Z33-(+Z33*T34)),IF(Q34="Probabilidad",(I33-(+I33*T34)),IF(Q34="Impacto",Z33,""))),"")</f>
        <v/>
      </c>
      <c r="Y34" s="480"/>
      <c r="Z34" s="479"/>
      <c r="AA34" s="480"/>
      <c r="AB34" s="479"/>
      <c r="AC34" s="481"/>
      <c r="AD34" s="478"/>
      <c r="AE34" s="260"/>
      <c r="AF34" s="268"/>
      <c r="AG34" s="260"/>
      <c r="AH34" s="260"/>
      <c r="AI34" s="260"/>
      <c r="AJ34" s="260"/>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63.75" customHeight="1" x14ac:dyDescent="0.3">
      <c r="A35" s="230"/>
      <c r="B35" s="260"/>
      <c r="C35" s="475" t="s">
        <v>337</v>
      </c>
      <c r="D35" s="262"/>
      <c r="E35" s="264"/>
      <c r="F35" s="260"/>
      <c r="G35" s="268"/>
      <c r="H35" s="258"/>
      <c r="I35" s="256"/>
      <c r="J35" s="254"/>
      <c r="K35" s="256">
        <f>IF(NOT(ISERROR(MATCH(J35,_xlfn.ANCHORARRAY(E41),0))),#REF!&amp;"Por favor no seleccionar los criterios de impacto",J35)</f>
        <v>0</v>
      </c>
      <c r="L35" s="258"/>
      <c r="M35" s="256"/>
      <c r="N35" s="266"/>
      <c r="O35" s="230"/>
      <c r="P35" s="476"/>
      <c r="Q35" s="477"/>
      <c r="R35" s="478"/>
      <c r="S35" s="478"/>
      <c r="T35" s="479"/>
      <c r="U35" s="478"/>
      <c r="V35" s="478"/>
      <c r="W35" s="478"/>
      <c r="X35" s="168" t="str">
        <f>IFERROR(IF(AND(Q34="Probabilidad",Q35="Probabilidad"),(Z34-(+Z34*T35)),IF(AND(Q34="Impacto",Q35="Probabilidad"),(Z33-(+Z33*T35)),IF(Q35="Impacto",Z34,""))),"")</f>
        <v/>
      </c>
      <c r="Y35" s="480"/>
      <c r="Z35" s="479"/>
      <c r="AA35" s="480"/>
      <c r="AB35" s="479"/>
      <c r="AC35" s="481"/>
      <c r="AD35" s="478"/>
      <c r="AE35" s="260"/>
      <c r="AF35" s="268"/>
      <c r="AG35" s="260"/>
      <c r="AH35" s="260"/>
      <c r="AI35" s="260"/>
      <c r="AJ35" s="260"/>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50.25" customHeight="1" x14ac:dyDescent="0.3">
      <c r="A36" s="230"/>
      <c r="B36" s="260"/>
      <c r="C36" s="475" t="s">
        <v>338</v>
      </c>
      <c r="D36" s="262"/>
      <c r="E36" s="264"/>
      <c r="F36" s="260"/>
      <c r="G36" s="268"/>
      <c r="H36" s="258"/>
      <c r="I36" s="256"/>
      <c r="J36" s="254"/>
      <c r="K36" s="256">
        <f>IF(NOT(ISERROR(MATCH(J36,_xlfn.ANCHORARRAY(#REF!),0))),#REF!&amp;"Por favor no seleccionar los criterios de impacto",J36)</f>
        <v>0</v>
      </c>
      <c r="L36" s="258"/>
      <c r="M36" s="256"/>
      <c r="N36" s="266"/>
      <c r="O36" s="231"/>
      <c r="P36" s="284"/>
      <c r="Q36" s="286"/>
      <c r="R36" s="288"/>
      <c r="S36" s="288"/>
      <c r="T36" s="290"/>
      <c r="U36" s="288"/>
      <c r="V36" s="288"/>
      <c r="W36" s="288"/>
      <c r="X36" s="168" t="str">
        <f t="shared" ref="X36" si="6">IFERROR(IF(AND(Q35="Probabilidad",Q36="Probabilidad"),(Z35-(+Z35*T36)),IF(AND(Q35="Impacto",Q36="Probabilidad"),(Z34-(+Z34*T36)),IF(Q36="Impacto",Z35,""))),"")</f>
        <v/>
      </c>
      <c r="Y36" s="292"/>
      <c r="Z36" s="290"/>
      <c r="AA36" s="292"/>
      <c r="AB36" s="290"/>
      <c r="AC36" s="294"/>
      <c r="AD36" s="288"/>
      <c r="AE36" s="472"/>
      <c r="AF36" s="473"/>
      <c r="AG36" s="472"/>
      <c r="AH36" s="472"/>
      <c r="AI36" s="472"/>
      <c r="AJ36" s="47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78" customHeight="1" x14ac:dyDescent="0.3">
      <c r="A37" s="229">
        <v>5</v>
      </c>
      <c r="B37" s="259" t="s">
        <v>192</v>
      </c>
      <c r="C37" s="475" t="s">
        <v>341</v>
      </c>
      <c r="D37" s="261" t="s">
        <v>343</v>
      </c>
      <c r="E37" s="263" t="s">
        <v>364</v>
      </c>
      <c r="F37" s="259" t="s">
        <v>232</v>
      </c>
      <c r="G37" s="267">
        <v>12</v>
      </c>
      <c r="H37" s="257" t="str">
        <f>IF(G37&lt;=0,"",IF(G37&lt;=2,"Muy Baja",IF(G37&lt;=24,"Baja",IF(G37&lt;=500,"Media",IF(G37&lt;=5000,"Alta","Muy Alta")))))</f>
        <v>Baja</v>
      </c>
      <c r="I37" s="255">
        <f>IF(H37="","",IF(H37="Muy Baja",0.2,IF(H37="Baja",0.4,IF(H37="Media",0.6,IF(H37="Alta",0.8,IF(H37="Muy Alta",1,))))))</f>
        <v>0.4</v>
      </c>
      <c r="J37" s="253" t="s">
        <v>146</v>
      </c>
      <c r="K37" s="255" t="str">
        <f>IF(NOT(ISERROR(MATCH(J37,'Tabla Impacto'!$B$221:$B$223,0))),'Tabla Impacto'!$F$228&amp;"Por favor no seleccionar los criterios de impacto(Afectación Económica o presupuestal y Pérdida Reputacional)",J37)</f>
        <v xml:space="preserve">     El riesgo afecta la imagen de la entidad internamente, de conocimiento general, nivel interno, de junta dircetiva y accionistas y/o de provedores</v>
      </c>
      <c r="L37" s="257" t="str">
        <f>IF(OR(K37='Tabla Impacto'!$C$11,K37='Tabla Impacto'!$D$11),"Leve",IF(OR(K37='Tabla Impacto'!$C$12,K37='Tabla Impacto'!$D$12),"Menor",IF(OR(K37='Tabla Impacto'!$C$13,K37='Tabla Impacto'!$D$13),"Moderado",IF(OR(K37='Tabla Impacto'!$C$14,K37='Tabla Impacto'!$D$14),"Mayor",IF(OR(K37='Tabla Impacto'!$C$15,K37='Tabla Impacto'!$D$15),"Catastrófico","")))))</f>
        <v>Menor</v>
      </c>
      <c r="M37" s="255">
        <f>IF(L37="","",IF(L37="Leve",0.2,IF(L37="Menor",0.4,IF(L37="Moderado",0.6,IF(L37="Mayor",0.8,IF(L37="Catastrófico",1,))))))</f>
        <v>0.4</v>
      </c>
      <c r="N37" s="265"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229">
        <v>1</v>
      </c>
      <c r="P37" s="283" t="s">
        <v>344</v>
      </c>
      <c r="Q37" s="285" t="str">
        <f>IF(OR(R37="Preventivo",R37="Detectivo"),"Probabilidad",IF(R37="Correctivo","Impacto",""))</f>
        <v>Probabilidad</v>
      </c>
      <c r="R37" s="287" t="s">
        <v>164</v>
      </c>
      <c r="S37" s="287" t="s">
        <v>170</v>
      </c>
      <c r="T37" s="289" t="str">
        <f>IF(AND(R37="Preventivo",S37="Automático"),"50%",IF(AND(R37="Preventivo",S37="Manual"),"40%",IF(AND(R37="Detectivo",S37="Automático"),"40%",IF(AND(R37="Detectivo",S37="Manual"),"30%",IF(AND(R37="Correctivo",S37="Automático"),"35%",IF(AND(R37="Correctivo",S37="Manual"),"25%",""))))))</f>
        <v>50%</v>
      </c>
      <c r="U37" s="287" t="s">
        <v>175</v>
      </c>
      <c r="V37" s="287" t="s">
        <v>180</v>
      </c>
      <c r="W37" s="287" t="s">
        <v>184</v>
      </c>
      <c r="X37" s="168">
        <f>IFERROR(IF(Q37="Probabilidad",(I37-(+I37*T37)),IF(Q37="Impacto",I37,"")),"")</f>
        <v>0.2</v>
      </c>
      <c r="Y37" s="291" t="str">
        <f>IFERROR(IF(X37="","",IF(X37&lt;=0.2,"Muy Baja",IF(X37&lt;=0.4,"Baja",IF(X37&lt;=0.6,"Media",IF(X37&lt;=0.8,"Alta","Muy Alta"))))),"")</f>
        <v>Muy Baja</v>
      </c>
      <c r="Z37" s="289">
        <f>+X37</f>
        <v>0.2</v>
      </c>
      <c r="AA37" s="291" t="str">
        <f>IFERROR(IF(AB37="","",IF(AB37&lt;=0.2,"Leve",IF(AB37&lt;=0.4,"Menor",IF(AB37&lt;=0.6,"Moderado",IF(AB37&lt;=0.8,"Mayor","Catastrófico"))))),"")</f>
        <v>Menor</v>
      </c>
      <c r="AB37" s="289">
        <f>IFERROR(IF(Q37="Impacto",(M37-(+M37*T37)),IF(Q37="Probabilidad",M37,"")),"")</f>
        <v>0.4</v>
      </c>
      <c r="AC37" s="29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Bajo</v>
      </c>
      <c r="AD37" s="287" t="s">
        <v>189</v>
      </c>
      <c r="AE37" s="259"/>
      <c r="AF37" s="259"/>
      <c r="AG37" s="259"/>
      <c r="AH37" s="259"/>
      <c r="AI37" s="259"/>
      <c r="AJ37" s="259"/>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72.75" customHeight="1" x14ac:dyDescent="0.3">
      <c r="A38" s="230"/>
      <c r="B38" s="260"/>
      <c r="C38" s="475" t="s">
        <v>342</v>
      </c>
      <c r="D38" s="262"/>
      <c r="E38" s="264"/>
      <c r="F38" s="260"/>
      <c r="G38" s="268"/>
      <c r="H38" s="258"/>
      <c r="I38" s="256"/>
      <c r="J38" s="254"/>
      <c r="K38" s="256">
        <f>IF(NOT(ISERROR(MATCH(J38,_xlfn.ANCHORARRAY(E42),0))),#REF!&amp;"Por favor no seleccionar los criterios de impacto",J38)</f>
        <v>0</v>
      </c>
      <c r="L38" s="258"/>
      <c r="M38" s="256"/>
      <c r="N38" s="266"/>
      <c r="O38" s="230"/>
      <c r="P38" s="476"/>
      <c r="Q38" s="477"/>
      <c r="R38" s="478"/>
      <c r="S38" s="478"/>
      <c r="T38" s="479"/>
      <c r="U38" s="478"/>
      <c r="V38" s="478"/>
      <c r="W38" s="478"/>
      <c r="X38" s="168" t="str">
        <f>IFERROR(IF(AND(Q37="Probabilidad",Q38="Probabilidad"),(Z37-(+Z37*T38)),IF(Q38="Probabilidad",(I37-(+I37*T38)),IF(Q38="Impacto",Z37,""))),"")</f>
        <v/>
      </c>
      <c r="Y38" s="480"/>
      <c r="Z38" s="479"/>
      <c r="AA38" s="480"/>
      <c r="AB38" s="479"/>
      <c r="AC38" s="481"/>
      <c r="AD38" s="478"/>
      <c r="AE38" s="260"/>
      <c r="AF38" s="260"/>
      <c r="AG38" s="260"/>
      <c r="AH38" s="260"/>
      <c r="AI38" s="260"/>
      <c r="AJ38" s="260"/>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61.5" customHeight="1" x14ac:dyDescent="0.3">
      <c r="A39" s="230"/>
      <c r="B39" s="260"/>
      <c r="C39" s="475" t="s">
        <v>343</v>
      </c>
      <c r="D39" s="262"/>
      <c r="E39" s="264"/>
      <c r="F39" s="260"/>
      <c r="G39" s="268"/>
      <c r="H39" s="258"/>
      <c r="I39" s="256"/>
      <c r="J39" s="254"/>
      <c r="K39" s="256">
        <f>IF(NOT(ISERROR(MATCH(J39,_xlfn.ANCHORARRAY(#REF!),0))),#REF!&amp;"Por favor no seleccionar los criterios de impacto",J39)</f>
        <v>0</v>
      </c>
      <c r="L39" s="258"/>
      <c r="M39" s="256"/>
      <c r="N39" s="266"/>
      <c r="O39" s="231"/>
      <c r="P39" s="284"/>
      <c r="Q39" s="286"/>
      <c r="R39" s="288"/>
      <c r="S39" s="288"/>
      <c r="T39" s="290"/>
      <c r="U39" s="288"/>
      <c r="V39" s="288"/>
      <c r="W39" s="288"/>
      <c r="X39" s="168" t="str">
        <f>IFERROR(IF(AND(Q38="Probabilidad",Q39="Probabilidad"),(Z38-(+Z38*T39)),IF(AND(Q38="Impacto",Q39="Probabilidad"),(Z37-(+Z37*T39)),IF(Q39="Impacto",Z38,""))),"")</f>
        <v/>
      </c>
      <c r="Y39" s="292"/>
      <c r="Z39" s="290"/>
      <c r="AA39" s="292"/>
      <c r="AB39" s="290"/>
      <c r="AC39" s="294"/>
      <c r="AD39" s="288"/>
      <c r="AE39" s="472"/>
      <c r="AF39" s="472"/>
      <c r="AG39" s="472"/>
      <c r="AH39" s="472"/>
      <c r="AI39" s="472"/>
      <c r="AJ39" s="472"/>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93.75" customHeight="1" x14ac:dyDescent="0.3">
      <c r="A40" s="229">
        <v>6</v>
      </c>
      <c r="B40" s="259" t="s">
        <v>230</v>
      </c>
      <c r="C40" s="475" t="s">
        <v>345</v>
      </c>
      <c r="D40" s="261" t="s">
        <v>347</v>
      </c>
      <c r="E40" s="263" t="s">
        <v>348</v>
      </c>
      <c r="F40" s="259" t="s">
        <v>235</v>
      </c>
      <c r="G40" s="267">
        <v>313</v>
      </c>
      <c r="H40" s="257" t="str">
        <f>IF(G40&lt;=0,"",IF(G40&lt;=2,"Muy Baja",IF(G40&lt;=24,"Baja",IF(G40&lt;=500,"Media",IF(G40&lt;=5000,"Alta","Muy Alta")))))</f>
        <v>Media</v>
      </c>
      <c r="I40" s="255">
        <f>IF(H40="","",IF(H40="Muy Baja",0.2,IF(H40="Baja",0.4,IF(H40="Media",0.6,IF(H40="Alta",0.8,IF(H40="Muy Alta",1,))))))</f>
        <v>0.6</v>
      </c>
      <c r="J40" s="253" t="s">
        <v>237</v>
      </c>
      <c r="K40" s="255" t="str">
        <f>IF(NOT(ISERROR(MATCH(J40,'Tabla Impacto'!$B$221:$B$223,0))),'Tabla Impacto'!$F$228&amp;"Por favor no seleccionar los criterios de impacto(Afectación Económica o presupuestal y Pérdida Reputacional)",J40)</f>
        <v>Entre 1-12.500</v>
      </c>
      <c r="L40" s="257" t="s">
        <v>349</v>
      </c>
      <c r="M40" s="255">
        <f>IF(L40="","",IF(L40="Leve",0.2,IF(L40="Menor",0.4,IF(L40="Moderado",0.6,IF(L40="Mayor",0.8,IF(L40="Catastrófico",1,))))))</f>
        <v>0.2</v>
      </c>
      <c r="N40" s="265"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229">
        <v>1</v>
      </c>
      <c r="P40" s="283" t="s">
        <v>350</v>
      </c>
      <c r="Q40" s="285" t="str">
        <f>IF(OR(R40="Preventivo",R40="Detectivo"),"Probabilidad",IF(R40="Correctivo","Impacto",""))</f>
        <v>Probabilidad</v>
      </c>
      <c r="R40" s="287" t="s">
        <v>166</v>
      </c>
      <c r="S40" s="287" t="s">
        <v>172</v>
      </c>
      <c r="T40" s="289" t="str">
        <f>IF(AND(R40="Preventivo",S40="Automático"),"50%",IF(AND(R40="Preventivo",S40="Manual"),"40%",IF(AND(R40="Detectivo",S40="Automático"),"40%",IF(AND(R40="Detectivo",S40="Manual"),"30%",IF(AND(R40="Correctivo",S40="Automático"),"35%",IF(AND(R40="Correctivo",S40="Manual"),"25%",""))))))</f>
        <v>30%</v>
      </c>
      <c r="U40" s="287" t="s">
        <v>175</v>
      </c>
      <c r="V40" s="287" t="s">
        <v>180</v>
      </c>
      <c r="W40" s="287" t="s">
        <v>184</v>
      </c>
      <c r="X40" s="168">
        <f>IFERROR(IF(Q40="Probabilidad",(I40-(+I40*T40)),IF(Q40="Impacto",I40,"")),"")</f>
        <v>0.42</v>
      </c>
      <c r="Y40" s="291" t="str">
        <f>IFERROR(IF(X40="","",IF(X40&lt;=0.2,"Muy Baja",IF(X40&lt;=0.4,"Baja",IF(X40&lt;=0.6,"Media",IF(X40&lt;=0.8,"Alta","Muy Alta"))))),"")</f>
        <v>Media</v>
      </c>
      <c r="Z40" s="289">
        <f>+X40</f>
        <v>0.42</v>
      </c>
      <c r="AA40" s="291" t="str">
        <f>IFERROR(IF(AB40="","",IF(AB40&lt;=0.2,"Leve",IF(AB40&lt;=0.4,"Menor",IF(AB40&lt;=0.6,"Moderado",IF(AB40&lt;=0.8,"Mayor","Catastrófico"))))),"")</f>
        <v>Leve</v>
      </c>
      <c r="AB40" s="289">
        <f>IFERROR(IF(Q40="Impacto",(M40-(+M40*T40)),IF(Q40="Probabilidad",M40,"")),"")</f>
        <v>0.2</v>
      </c>
      <c r="AC40" s="29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287" t="s">
        <v>189</v>
      </c>
      <c r="AE40" s="259"/>
      <c r="AF40" s="259"/>
      <c r="AG40" s="259"/>
      <c r="AH40" s="259"/>
      <c r="AI40" s="259"/>
      <c r="AJ40" s="259"/>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07.25" customHeight="1" x14ac:dyDescent="0.3">
      <c r="A41" s="230"/>
      <c r="B41" s="260"/>
      <c r="C41" s="475" t="s">
        <v>346</v>
      </c>
      <c r="D41" s="262"/>
      <c r="E41" s="264"/>
      <c r="F41" s="260"/>
      <c r="G41" s="268"/>
      <c r="H41" s="258"/>
      <c r="I41" s="256"/>
      <c r="J41" s="254"/>
      <c r="K41" s="256">
        <f>IF(NOT(ISERROR(MATCH(J41,_xlfn.ANCHORARRAY(E47),0))),I49&amp;"Por favor no seleccionar los criterios de impacto",J41)</f>
        <v>0</v>
      </c>
      <c r="L41" s="258"/>
      <c r="M41" s="256"/>
      <c r="N41" s="266"/>
      <c r="O41" s="231"/>
      <c r="P41" s="284"/>
      <c r="Q41" s="286"/>
      <c r="R41" s="288"/>
      <c r="S41" s="288"/>
      <c r="T41" s="290"/>
      <c r="U41" s="288"/>
      <c r="V41" s="288"/>
      <c r="W41" s="288"/>
      <c r="X41" s="168" t="str">
        <f>IFERROR(IF(AND(Q40="Probabilidad",Q41="Probabilidad"),(Z40-(+Z40*T41)),IF(Q41="Probabilidad",(I40-(+I40*T41)),IF(Q41="Impacto",Z40,""))),"")</f>
        <v/>
      </c>
      <c r="Y41" s="292"/>
      <c r="Z41" s="290"/>
      <c r="AA41" s="292"/>
      <c r="AB41" s="290"/>
      <c r="AC41" s="294"/>
      <c r="AD41" s="288"/>
      <c r="AE41" s="472"/>
      <c r="AF41" s="472"/>
      <c r="AG41" s="472"/>
      <c r="AH41" s="472"/>
      <c r="AI41" s="472"/>
      <c r="AJ41" s="472"/>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63.75" customHeight="1" x14ac:dyDescent="0.3">
      <c r="A42" s="229">
        <v>7</v>
      </c>
      <c r="B42" s="259" t="s">
        <v>192</v>
      </c>
      <c r="C42" s="475" t="s">
        <v>351</v>
      </c>
      <c r="D42" s="261" t="s">
        <v>356</v>
      </c>
      <c r="E42" s="263" t="s">
        <v>357</v>
      </c>
      <c r="F42" s="259" t="s">
        <v>232</v>
      </c>
      <c r="G42" s="267">
        <v>72</v>
      </c>
      <c r="H42" s="257" t="str">
        <f>IF(G42&lt;=0,"",IF(G42&lt;=2,"Muy Baja",IF(G42&lt;=24,"Baja",IF(G42&lt;=500,"Media",IF(G42&lt;=5000,"Alta","Muy Alta")))))</f>
        <v>Media</v>
      </c>
      <c r="I42" s="255">
        <f>IF(H42="","",IF(H42="Muy Baja",0.2,IF(H42="Baja",0.4,IF(H42="Media",0.6,IF(H42="Alta",0.8,IF(H42="Muy Alta",1,))))))</f>
        <v>0.6</v>
      </c>
      <c r="J42" s="253" t="s">
        <v>143</v>
      </c>
      <c r="K42" s="255" t="str">
        <f>IF(NOT(ISERROR(MATCH(J42,'Tabla Impacto'!$B$221:$B$223,0))),'Tabla Impacto'!$F$228&amp;"Por favor no seleccionar los criterios de impacto(Afectación Económica o presupuestal y Pérdida Reputacional)",J42)</f>
        <v xml:space="preserve">     El riesgo afecta la imagen de alguna área de la organización</v>
      </c>
      <c r="L42" s="257" t="s">
        <v>349</v>
      </c>
      <c r="M42" s="255">
        <f>IF(L42="","",IF(L42="Leve",0.2,IF(L42="Menor",0.4,IF(L42="Moderado",0.6,IF(L42="Mayor",0.8,IF(L42="Catastrófico",1,))))))</f>
        <v>0.2</v>
      </c>
      <c r="N42" s="265"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Moderado</v>
      </c>
      <c r="O42" s="229">
        <v>1</v>
      </c>
      <c r="P42" s="283" t="s">
        <v>358</v>
      </c>
      <c r="Q42" s="285" t="str">
        <f>IF(OR(R42="Preventivo",R42="Detectivo"),"Probabilidad",IF(R42="Correctivo","Impacto",""))</f>
        <v>Probabilidad</v>
      </c>
      <c r="R42" s="287" t="s">
        <v>164</v>
      </c>
      <c r="S42" s="287" t="s">
        <v>172</v>
      </c>
      <c r="T42" s="289" t="str">
        <f>IF(AND(R42="Preventivo",S42="Automático"),"50%",IF(AND(R42="Preventivo",S42="Manual"),"40%",IF(AND(R42="Detectivo",S42="Automático"),"40%",IF(AND(R42="Detectivo",S42="Manual"),"30%",IF(AND(R42="Correctivo",S42="Automático"),"35%",IF(AND(R42="Correctivo",S42="Manual"),"25%",""))))))</f>
        <v>40%</v>
      </c>
      <c r="U42" s="287" t="s">
        <v>175</v>
      </c>
      <c r="V42" s="287" t="s">
        <v>180</v>
      </c>
      <c r="W42" s="287" t="s">
        <v>184</v>
      </c>
      <c r="X42" s="168">
        <f>IFERROR(IF(Q42="Probabilidad",(I42-(+I42*T42)),IF(Q42="Impacto",I42,"")),"")</f>
        <v>0.36</v>
      </c>
      <c r="Y42" s="291" t="str">
        <f>IFERROR(IF(X42="","",IF(X42&lt;=0.2,"Muy Baja",IF(X42&lt;=0.4,"Baja",IF(X42&lt;=0.6,"Media",IF(X42&lt;=0.8,"Alta","Muy Alta"))))),"")</f>
        <v>Baja</v>
      </c>
      <c r="Z42" s="289">
        <f>+X42</f>
        <v>0.36</v>
      </c>
      <c r="AA42" s="291" t="str">
        <f>IFERROR(IF(AB42="","",IF(AB42&lt;=0.2,"Leve",IF(AB42&lt;=0.4,"Menor",IF(AB42&lt;=0.6,"Moderado",IF(AB42&lt;=0.8,"Mayor","Catastrófico"))))),"")</f>
        <v>Leve</v>
      </c>
      <c r="AB42" s="289">
        <f>IFERROR(IF(Q42="Impacto",(M42-(+M42*T42)),IF(Q42="Probabilidad",M42,"")),"")</f>
        <v>0.2</v>
      </c>
      <c r="AC42" s="29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Bajo</v>
      </c>
      <c r="AD42" s="287" t="s">
        <v>189</v>
      </c>
      <c r="AE42" s="259"/>
      <c r="AF42" s="259"/>
      <c r="AG42" s="259"/>
      <c r="AH42" s="259"/>
      <c r="AI42" s="259"/>
      <c r="AJ42" s="259"/>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63.75" customHeight="1" x14ac:dyDescent="0.3">
      <c r="A43" s="230"/>
      <c r="B43" s="260"/>
      <c r="C43" s="475" t="s">
        <v>352</v>
      </c>
      <c r="D43" s="262"/>
      <c r="E43" s="264"/>
      <c r="F43" s="260"/>
      <c r="G43" s="268"/>
      <c r="H43" s="258"/>
      <c r="I43" s="256"/>
      <c r="J43" s="254"/>
      <c r="K43" s="256"/>
      <c r="L43" s="258"/>
      <c r="M43" s="256"/>
      <c r="N43" s="266"/>
      <c r="O43" s="230"/>
      <c r="P43" s="476"/>
      <c r="Q43" s="477"/>
      <c r="R43" s="478"/>
      <c r="S43" s="478"/>
      <c r="T43" s="479"/>
      <c r="U43" s="478"/>
      <c r="V43" s="478"/>
      <c r="W43" s="478"/>
      <c r="X43" s="168"/>
      <c r="Y43" s="480"/>
      <c r="Z43" s="479"/>
      <c r="AA43" s="480"/>
      <c r="AB43" s="479"/>
      <c r="AC43" s="481"/>
      <c r="AD43" s="478"/>
      <c r="AE43" s="260"/>
      <c r="AF43" s="260"/>
      <c r="AG43" s="260"/>
      <c r="AH43" s="260"/>
      <c r="AI43" s="260"/>
      <c r="AJ43" s="260"/>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63.75" customHeight="1" x14ac:dyDescent="0.3">
      <c r="A44" s="230"/>
      <c r="B44" s="260"/>
      <c r="C44" s="475" t="s">
        <v>353</v>
      </c>
      <c r="D44" s="262"/>
      <c r="E44" s="264"/>
      <c r="F44" s="260"/>
      <c r="G44" s="268"/>
      <c r="H44" s="258"/>
      <c r="I44" s="256"/>
      <c r="J44" s="254"/>
      <c r="K44" s="256"/>
      <c r="L44" s="258"/>
      <c r="M44" s="256"/>
      <c r="N44" s="266"/>
      <c r="O44" s="230"/>
      <c r="P44" s="476"/>
      <c r="Q44" s="477"/>
      <c r="R44" s="478"/>
      <c r="S44" s="478"/>
      <c r="T44" s="479"/>
      <c r="U44" s="478"/>
      <c r="V44" s="478"/>
      <c r="W44" s="478"/>
      <c r="X44" s="168"/>
      <c r="Y44" s="480"/>
      <c r="Z44" s="479"/>
      <c r="AA44" s="480"/>
      <c r="AB44" s="479"/>
      <c r="AC44" s="481"/>
      <c r="AD44" s="478"/>
      <c r="AE44" s="260"/>
      <c r="AF44" s="260"/>
      <c r="AG44" s="260"/>
      <c r="AH44" s="260"/>
      <c r="AI44" s="260"/>
      <c r="AJ44" s="260"/>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30"/>
      <c r="B45" s="260"/>
      <c r="C45" s="475" t="s">
        <v>354</v>
      </c>
      <c r="D45" s="262"/>
      <c r="E45" s="264"/>
      <c r="F45" s="260"/>
      <c r="G45" s="268"/>
      <c r="H45" s="258"/>
      <c r="I45" s="256"/>
      <c r="J45" s="254"/>
      <c r="K45" s="256"/>
      <c r="L45" s="258"/>
      <c r="M45" s="256"/>
      <c r="N45" s="266"/>
      <c r="O45" s="230"/>
      <c r="P45" s="476"/>
      <c r="Q45" s="477"/>
      <c r="R45" s="478"/>
      <c r="S45" s="478"/>
      <c r="T45" s="479"/>
      <c r="U45" s="478"/>
      <c r="V45" s="478"/>
      <c r="W45" s="478"/>
      <c r="X45" s="168"/>
      <c r="Y45" s="480"/>
      <c r="Z45" s="479"/>
      <c r="AA45" s="480"/>
      <c r="AB45" s="479"/>
      <c r="AC45" s="481"/>
      <c r="AD45" s="478"/>
      <c r="AE45" s="260"/>
      <c r="AF45" s="260"/>
      <c r="AG45" s="260"/>
      <c r="AH45" s="260"/>
      <c r="AI45" s="260"/>
      <c r="AJ45" s="26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63.75" customHeight="1" x14ac:dyDescent="0.3">
      <c r="A46" s="230"/>
      <c r="B46" s="260"/>
      <c r="C46" s="475" t="s">
        <v>355</v>
      </c>
      <c r="D46" s="262"/>
      <c r="E46" s="264"/>
      <c r="F46" s="260"/>
      <c r="G46" s="268"/>
      <c r="H46" s="258"/>
      <c r="I46" s="256"/>
      <c r="J46" s="254"/>
      <c r="K46" s="256"/>
      <c r="L46" s="258"/>
      <c r="M46" s="256"/>
      <c r="N46" s="266"/>
      <c r="O46" s="230"/>
      <c r="P46" s="476"/>
      <c r="Q46" s="477"/>
      <c r="R46" s="478"/>
      <c r="S46" s="478"/>
      <c r="T46" s="479"/>
      <c r="U46" s="478"/>
      <c r="V46" s="478"/>
      <c r="W46" s="478"/>
      <c r="X46" s="168"/>
      <c r="Y46" s="480"/>
      <c r="Z46" s="479"/>
      <c r="AA46" s="480"/>
      <c r="AB46" s="479"/>
      <c r="AC46" s="481"/>
      <c r="AD46" s="478"/>
      <c r="AE46" s="260"/>
      <c r="AF46" s="260"/>
      <c r="AG46" s="260"/>
      <c r="AH46" s="260"/>
      <c r="AI46" s="260"/>
      <c r="AJ46" s="260"/>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41.25" customHeight="1" x14ac:dyDescent="0.3">
      <c r="A47" s="229">
        <v>8</v>
      </c>
      <c r="B47" s="259" t="s">
        <v>192</v>
      </c>
      <c r="C47" s="475" t="s">
        <v>359</v>
      </c>
      <c r="D47" s="261" t="s">
        <v>362</v>
      </c>
      <c r="E47" s="263" t="s">
        <v>363</v>
      </c>
      <c r="F47" s="259" t="s">
        <v>232</v>
      </c>
      <c r="G47" s="267">
        <v>171</v>
      </c>
      <c r="H47" s="257" t="str">
        <f>IF(G47&lt;=0,"",IF(G47&lt;=2,"Muy Baja",IF(G47&lt;=24,"Baja",IF(G47&lt;=500,"Media",IF(G47&lt;=5000,"Alta","Muy Alta")))))</f>
        <v>Media</v>
      </c>
      <c r="I47" s="255">
        <f>IF(H47="","",IF(H47="Muy Baja",0.2,IF(H47="Baja",0.4,IF(H47="Media",0.6,IF(H47="Alta",0.8,IF(H47="Muy Alta",1,))))))</f>
        <v>0.6</v>
      </c>
      <c r="J47" s="253" t="s">
        <v>148</v>
      </c>
      <c r="K47" s="255" t="str">
        <f>IF(NOT(ISERROR(MATCH(J47,'Tabla Impacto'!$B$221:$B$223,0))),'Tabla Impacto'!$F$228&amp;"Por favor no seleccionar los criterios de impacto(Afectación Económica o presupuestal y Pérdida Reputacional)",J47)</f>
        <v xml:space="preserve">     El riesgo afecta la imagen de la entidad con algunos usuarios de relevancia frente al logro de los objetivos</v>
      </c>
      <c r="L47" s="257" t="str">
        <f>IF(OR(K47='Tabla Impacto'!$C$11,K47='Tabla Impacto'!$D$11),"Leve",IF(OR(K47='Tabla Impacto'!$C$12,K47='Tabla Impacto'!$D$12),"Menor",IF(OR(K47='Tabla Impacto'!$C$13,K47='Tabla Impacto'!$D$13),"Moderado",IF(OR(K47='Tabla Impacto'!$C$14,K47='Tabla Impacto'!$D$14),"Mayor",IF(OR(K47='Tabla Impacto'!$C$15,K47='Tabla Impacto'!$D$15),"Catastrófico","")))))</f>
        <v>Moderado</v>
      </c>
      <c r="M47" s="255">
        <f>IF(L47="","",IF(L47="Leve",0.2,IF(L47="Menor",0.4,IF(L47="Moderado",0.6,IF(L47="Mayor",0.8,IF(L47="Catastrófico",1,))))))</f>
        <v>0.6</v>
      </c>
      <c r="N47" s="265"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Moderado</v>
      </c>
      <c r="O47" s="229">
        <v>1</v>
      </c>
      <c r="P47" s="283" t="s">
        <v>365</v>
      </c>
      <c r="Q47" s="285" t="str">
        <f>IF(OR(R47="Preventivo",R47="Detectivo"),"Probabilidad",IF(R47="Correctivo","Impacto",""))</f>
        <v>Probabilidad</v>
      </c>
      <c r="R47" s="287" t="s">
        <v>164</v>
      </c>
      <c r="S47" s="287" t="s">
        <v>172</v>
      </c>
      <c r="T47" s="289" t="str">
        <f>IF(AND(R47="Preventivo",S47="Automático"),"50%",IF(AND(R47="Preventivo",S47="Manual"),"40%",IF(AND(R47="Detectivo",S47="Automático"),"40%",IF(AND(R47="Detectivo",S47="Manual"),"30%",IF(AND(R47="Correctivo",S47="Automático"),"35%",IF(AND(R47="Correctivo",S47="Manual"),"25%",""))))))</f>
        <v>40%</v>
      </c>
      <c r="U47" s="287" t="s">
        <v>175</v>
      </c>
      <c r="V47" s="287" t="s">
        <v>180</v>
      </c>
      <c r="W47" s="287" t="s">
        <v>184</v>
      </c>
      <c r="X47" s="168">
        <f>IFERROR(IF(Q47="Probabilidad",(I47-(+I47*T47)),IF(Q47="Impacto",I47,"")),"")</f>
        <v>0.36</v>
      </c>
      <c r="Y47" s="291" t="str">
        <f>IFERROR(IF(X47="","",IF(X47&lt;=0.2,"Muy Baja",IF(X47&lt;=0.4,"Baja",IF(X47&lt;=0.6,"Media",IF(X47&lt;=0.8,"Alta","Muy Alta"))))),"")</f>
        <v>Baja</v>
      </c>
      <c r="Z47" s="289">
        <f>+X47</f>
        <v>0.36</v>
      </c>
      <c r="AA47" s="291" t="str">
        <f>IFERROR(IF(AB47="","",IF(AB47&lt;=0.2,"Leve",IF(AB47&lt;=0.4,"Menor",IF(AB47&lt;=0.6,"Moderado",IF(AB47&lt;=0.8,"Mayor","Catastrófico"))))),"")</f>
        <v>Moderado</v>
      </c>
      <c r="AB47" s="289">
        <f>IFERROR(IF(Q47="Impacto",(M47-(+M47*T47)),IF(Q47="Probabilidad",M47,"")),"")</f>
        <v>0.6</v>
      </c>
      <c r="AC47" s="29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Moderado</v>
      </c>
      <c r="AD47" s="287" t="s">
        <v>189</v>
      </c>
      <c r="AE47" s="259"/>
      <c r="AF47" s="259"/>
      <c r="AG47" s="259"/>
      <c r="AH47" s="259"/>
      <c r="AI47" s="259"/>
      <c r="AJ47" s="259"/>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60.75" customHeight="1" x14ac:dyDescent="0.3">
      <c r="A48" s="230"/>
      <c r="B48" s="260"/>
      <c r="C48" s="475" t="s">
        <v>360</v>
      </c>
      <c r="D48" s="262"/>
      <c r="E48" s="264"/>
      <c r="F48" s="260"/>
      <c r="G48" s="268"/>
      <c r="H48" s="258"/>
      <c r="I48" s="256"/>
      <c r="J48" s="254"/>
      <c r="K48" s="256">
        <f>IF(NOT(ISERROR(MATCH(J48,_xlfn.ANCHORARRAY(#REF!),0))),#REF!&amp;"Por favor no seleccionar los criterios de impacto",J48)</f>
        <v>0</v>
      </c>
      <c r="L48" s="258"/>
      <c r="M48" s="256"/>
      <c r="N48" s="266"/>
      <c r="O48" s="230"/>
      <c r="P48" s="476"/>
      <c r="Q48" s="477"/>
      <c r="R48" s="478"/>
      <c r="S48" s="478"/>
      <c r="T48" s="479"/>
      <c r="U48" s="478"/>
      <c r="V48" s="478"/>
      <c r="W48" s="478"/>
      <c r="X48" s="168" t="str">
        <f>IFERROR(IF(AND(Q47="Probabilidad",Q48="Probabilidad"),(Z47-(+Z47*T48)),IF(Q48="Probabilidad",(I47-(+I47*T48)),IF(Q48="Impacto",Z47,""))),"")</f>
        <v/>
      </c>
      <c r="Y48" s="480"/>
      <c r="Z48" s="479"/>
      <c r="AA48" s="480"/>
      <c r="AB48" s="479"/>
      <c r="AC48" s="481"/>
      <c r="AD48" s="478"/>
      <c r="AE48" s="260"/>
      <c r="AF48" s="260"/>
      <c r="AG48" s="260"/>
      <c r="AH48" s="260"/>
      <c r="AI48" s="260"/>
      <c r="AJ48" s="260"/>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58.5" customHeight="1" x14ac:dyDescent="0.3">
      <c r="A49" s="230"/>
      <c r="B49" s="260"/>
      <c r="C49" s="475" t="s">
        <v>361</v>
      </c>
      <c r="D49" s="262"/>
      <c r="E49" s="264"/>
      <c r="F49" s="260"/>
      <c r="G49" s="268"/>
      <c r="H49" s="258"/>
      <c r="I49" s="256"/>
      <c r="J49" s="254"/>
      <c r="K49" s="256">
        <f>IF(NOT(ISERROR(MATCH(J49,_xlfn.ANCHORARRAY(#REF!),0))),#REF!&amp;"Por favor no seleccionar los criterios de impacto",J49)</f>
        <v>0</v>
      </c>
      <c r="L49" s="258"/>
      <c r="M49" s="256"/>
      <c r="N49" s="266"/>
      <c r="O49" s="231"/>
      <c r="P49" s="284"/>
      <c r="Q49" s="286"/>
      <c r="R49" s="288"/>
      <c r="S49" s="288"/>
      <c r="T49" s="290"/>
      <c r="U49" s="288"/>
      <c r="V49" s="288"/>
      <c r="W49" s="288"/>
      <c r="X49" s="168" t="str">
        <f>IFERROR(IF(AND(Q48="Probabilidad",Q49="Probabilidad"),(Z48-(+Z48*T49)),IF(AND(Q48="Impacto",Q49="Probabilidad"),(Z47-(+Z47*T49)),IF(Q49="Impacto",Z48,""))),"")</f>
        <v/>
      </c>
      <c r="Y49" s="292"/>
      <c r="Z49" s="290"/>
      <c r="AA49" s="292"/>
      <c r="AB49" s="290"/>
      <c r="AC49" s="294"/>
      <c r="AD49" s="288"/>
      <c r="AE49" s="472"/>
      <c r="AF49" s="472"/>
      <c r="AG49" s="472"/>
      <c r="AH49" s="472"/>
      <c r="AI49" s="472"/>
      <c r="AJ49" s="472"/>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49.5" customHeight="1" x14ac:dyDescent="0.3">
      <c r="A50" s="6"/>
      <c r="B50" s="280" t="s">
        <v>89</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2"/>
    </row>
    <row r="52" spans="1:68" x14ac:dyDescent="0.3">
      <c r="A52" s="1"/>
      <c r="B52" s="24"/>
      <c r="C52" s="1"/>
      <c r="D52" s="1"/>
      <c r="F52" s="1"/>
    </row>
  </sheetData>
  <dataConsolidate/>
  <mergeCells count="315">
    <mergeCell ref="AH47:AH49"/>
    <mergeCell ref="AI47:AI49"/>
    <mergeCell ref="AJ47:AJ49"/>
    <mergeCell ref="Y47:Y49"/>
    <mergeCell ref="Z47:Z49"/>
    <mergeCell ref="AA47:AA49"/>
    <mergeCell ref="AB47:AB49"/>
    <mergeCell ref="AC47:AC49"/>
    <mergeCell ref="AD47:AD49"/>
    <mergeCell ref="AE47:AE49"/>
    <mergeCell ref="AF47:AF49"/>
    <mergeCell ref="AG47:AG49"/>
    <mergeCell ref="P47:P49"/>
    <mergeCell ref="O47:O49"/>
    <mergeCell ref="Q47:Q49"/>
    <mergeCell ref="R47:R49"/>
    <mergeCell ref="S47:S49"/>
    <mergeCell ref="T47:T49"/>
    <mergeCell ref="U47:U49"/>
    <mergeCell ref="V47:V49"/>
    <mergeCell ref="W47:W49"/>
    <mergeCell ref="AH37:AH39"/>
    <mergeCell ref="AI37:AI39"/>
    <mergeCell ref="AJ37:AJ39"/>
    <mergeCell ref="P40:P41"/>
    <mergeCell ref="O40:O41"/>
    <mergeCell ref="Q40:Q41"/>
    <mergeCell ref="R40:R41"/>
    <mergeCell ref="S40:S41"/>
    <mergeCell ref="T40:T41"/>
    <mergeCell ref="U40:U41"/>
    <mergeCell ref="V40:V41"/>
    <mergeCell ref="W40:W41"/>
    <mergeCell ref="Y40:Y41"/>
    <mergeCell ref="Z40:Z41"/>
    <mergeCell ref="AA40:AA41"/>
    <mergeCell ref="AB40:AB41"/>
    <mergeCell ref="AC40:AC41"/>
    <mergeCell ref="AD40:AD41"/>
    <mergeCell ref="AE40:AE41"/>
    <mergeCell ref="AF40:AF41"/>
    <mergeCell ref="AG40:AG41"/>
    <mergeCell ref="AH40:AH41"/>
    <mergeCell ref="AI40:AI41"/>
    <mergeCell ref="AJ40:AJ41"/>
    <mergeCell ref="Y37:Y39"/>
    <mergeCell ref="Z37:Z39"/>
    <mergeCell ref="AA37:AA39"/>
    <mergeCell ref="AB37:AB39"/>
    <mergeCell ref="AC37:AC39"/>
    <mergeCell ref="AD37:AD39"/>
    <mergeCell ref="AE37:AE39"/>
    <mergeCell ref="AF37:AF39"/>
    <mergeCell ref="AG37:AG39"/>
    <mergeCell ref="P37:P39"/>
    <mergeCell ref="O37:O39"/>
    <mergeCell ref="Q37:Q39"/>
    <mergeCell ref="R37:R39"/>
    <mergeCell ref="S37:S39"/>
    <mergeCell ref="T37:T39"/>
    <mergeCell ref="U37:U39"/>
    <mergeCell ref="V37:V39"/>
    <mergeCell ref="W37:W39"/>
    <mergeCell ref="AJ29:AJ32"/>
    <mergeCell ref="P33:P36"/>
    <mergeCell ref="O33:O36"/>
    <mergeCell ref="Q33:Q36"/>
    <mergeCell ref="R33:R36"/>
    <mergeCell ref="S33:S36"/>
    <mergeCell ref="T33:T36"/>
    <mergeCell ref="U33:U36"/>
    <mergeCell ref="V33:V36"/>
    <mergeCell ref="W33:W36"/>
    <mergeCell ref="Y33:Y36"/>
    <mergeCell ref="Z33:Z36"/>
    <mergeCell ref="AA33:AA36"/>
    <mergeCell ref="AB33:AB36"/>
    <mergeCell ref="AC33:AC36"/>
    <mergeCell ref="AD33:AD36"/>
    <mergeCell ref="AE33:AE36"/>
    <mergeCell ref="AF33:AF36"/>
    <mergeCell ref="AG33:AG36"/>
    <mergeCell ref="AH33:AH36"/>
    <mergeCell ref="AI33:AI36"/>
    <mergeCell ref="AJ33:AJ36"/>
    <mergeCell ref="AG27:AG28"/>
    <mergeCell ref="AH27:AH28"/>
    <mergeCell ref="AI27:AI28"/>
    <mergeCell ref="AJ27:AJ28"/>
    <mergeCell ref="P29:P32"/>
    <mergeCell ref="O29:O32"/>
    <mergeCell ref="Q29:Q32"/>
    <mergeCell ref="R29:R32"/>
    <mergeCell ref="S29:S32"/>
    <mergeCell ref="T29:T32"/>
    <mergeCell ref="U29:U32"/>
    <mergeCell ref="V29:V32"/>
    <mergeCell ref="W29:W32"/>
    <mergeCell ref="Y29:Y32"/>
    <mergeCell ref="Z29:Z32"/>
    <mergeCell ref="AA29:AA32"/>
    <mergeCell ref="AB29:AB32"/>
    <mergeCell ref="AC29:AC32"/>
    <mergeCell ref="AD29:AD32"/>
    <mergeCell ref="AE29:AE32"/>
    <mergeCell ref="AF29:AF32"/>
    <mergeCell ref="AG29:AG32"/>
    <mergeCell ref="AH29:AH32"/>
    <mergeCell ref="AI29:AI32"/>
    <mergeCell ref="AD25:AD26"/>
    <mergeCell ref="AE25:AE26"/>
    <mergeCell ref="AF25:AF26"/>
    <mergeCell ref="AG25:AG26"/>
    <mergeCell ref="AH25:AH26"/>
    <mergeCell ref="AI25:AI26"/>
    <mergeCell ref="AJ25:AJ26"/>
    <mergeCell ref="P27:P28"/>
    <mergeCell ref="O27:O28"/>
    <mergeCell ref="Q27:Q28"/>
    <mergeCell ref="R27:R28"/>
    <mergeCell ref="S27:S28"/>
    <mergeCell ref="T27:T28"/>
    <mergeCell ref="U27:U28"/>
    <mergeCell ref="V27:V28"/>
    <mergeCell ref="W27:W28"/>
    <mergeCell ref="Y27:Y28"/>
    <mergeCell ref="Z27:Z28"/>
    <mergeCell ref="AA27:AA28"/>
    <mergeCell ref="AB27:AB28"/>
    <mergeCell ref="AC27:AC28"/>
    <mergeCell ref="AD27:AD28"/>
    <mergeCell ref="AE27:AE28"/>
    <mergeCell ref="AF27:AF28"/>
    <mergeCell ref="AH42:AH46"/>
    <mergeCell ref="AI42:AI46"/>
    <mergeCell ref="AJ42:AJ46"/>
    <mergeCell ref="Y42:Y46"/>
    <mergeCell ref="Z42:Z46"/>
    <mergeCell ref="AA42:AA46"/>
    <mergeCell ref="AB42:AB46"/>
    <mergeCell ref="AC42:AC46"/>
    <mergeCell ref="AD42:AD46"/>
    <mergeCell ref="AE42:AE46"/>
    <mergeCell ref="AF42:AF46"/>
    <mergeCell ref="AG42:AG46"/>
    <mergeCell ref="O42:O46"/>
    <mergeCell ref="P42:P46"/>
    <mergeCell ref="Q42:Q46"/>
    <mergeCell ref="R42:R46"/>
    <mergeCell ref="S42:S46"/>
    <mergeCell ref="T42:T46"/>
    <mergeCell ref="U42:U46"/>
    <mergeCell ref="V42:V46"/>
    <mergeCell ref="W42:W46"/>
    <mergeCell ref="C19:N19"/>
    <mergeCell ref="O19:Q19"/>
    <mergeCell ref="A16:AJ17"/>
    <mergeCell ref="A22:G22"/>
    <mergeCell ref="H22:N22"/>
    <mergeCell ref="O22:W22"/>
    <mergeCell ref="X22:AD22"/>
    <mergeCell ref="AE22:AJ22"/>
    <mergeCell ref="B50:AJ50"/>
    <mergeCell ref="M42:M46"/>
    <mergeCell ref="N42:N46"/>
    <mergeCell ref="F47:F49"/>
    <mergeCell ref="G47:G49"/>
    <mergeCell ref="H47:H49"/>
    <mergeCell ref="I47:I49"/>
    <mergeCell ref="J47:J49"/>
    <mergeCell ref="F42:F46"/>
    <mergeCell ref="G42:G46"/>
    <mergeCell ref="H42:H46"/>
    <mergeCell ref="I42:I46"/>
    <mergeCell ref="K47:K49"/>
    <mergeCell ref="L47:L49"/>
    <mergeCell ref="M47:M49"/>
    <mergeCell ref="N47:N49"/>
    <mergeCell ref="I37:I39"/>
    <mergeCell ref="J37:J39"/>
    <mergeCell ref="G40:G41"/>
    <mergeCell ref="H40:H41"/>
    <mergeCell ref="I40:I41"/>
    <mergeCell ref="K37:K39"/>
    <mergeCell ref="L37:L39"/>
    <mergeCell ref="A47:A49"/>
    <mergeCell ref="B47:B49"/>
    <mergeCell ref="D47:D49"/>
    <mergeCell ref="E47:E49"/>
    <mergeCell ref="A42:A46"/>
    <mergeCell ref="B42:B46"/>
    <mergeCell ref="D42:D46"/>
    <mergeCell ref="E42:E46"/>
    <mergeCell ref="M37:M39"/>
    <mergeCell ref="N37:N39"/>
    <mergeCell ref="M40:M41"/>
    <mergeCell ref="N40:N41"/>
    <mergeCell ref="J42:J46"/>
    <mergeCell ref="K42:K46"/>
    <mergeCell ref="L42:L46"/>
    <mergeCell ref="A37:A39"/>
    <mergeCell ref="B37:B39"/>
    <mergeCell ref="A40:A41"/>
    <mergeCell ref="B40:B41"/>
    <mergeCell ref="D40:D41"/>
    <mergeCell ref="E40:E41"/>
    <mergeCell ref="F40:F41"/>
    <mergeCell ref="D37:D39"/>
    <mergeCell ref="E37:E39"/>
    <mergeCell ref="J40:J41"/>
    <mergeCell ref="K40:K41"/>
    <mergeCell ref="L40:L41"/>
    <mergeCell ref="F37:F39"/>
    <mergeCell ref="G37:G39"/>
    <mergeCell ref="H37:H39"/>
    <mergeCell ref="M29:M32"/>
    <mergeCell ref="N29:N32"/>
    <mergeCell ref="A33:A36"/>
    <mergeCell ref="B33:B36"/>
    <mergeCell ref="D33:D36"/>
    <mergeCell ref="E33:E36"/>
    <mergeCell ref="F33:F36"/>
    <mergeCell ref="G33:G36"/>
    <mergeCell ref="H33:H36"/>
    <mergeCell ref="I33:I36"/>
    <mergeCell ref="J33:J36"/>
    <mergeCell ref="K33:K36"/>
    <mergeCell ref="L33:L36"/>
    <mergeCell ref="M33:M36"/>
    <mergeCell ref="N33:N36"/>
    <mergeCell ref="K27:K28"/>
    <mergeCell ref="L27:L28"/>
    <mergeCell ref="M27:M28"/>
    <mergeCell ref="N27:N28"/>
    <mergeCell ref="A29:A32"/>
    <mergeCell ref="B29:B32"/>
    <mergeCell ref="D29:D32"/>
    <mergeCell ref="E29:E32"/>
    <mergeCell ref="F29:F32"/>
    <mergeCell ref="G29:G32"/>
    <mergeCell ref="H29:H32"/>
    <mergeCell ref="I29:I32"/>
    <mergeCell ref="J29:J32"/>
    <mergeCell ref="K29:K32"/>
    <mergeCell ref="L29:L32"/>
    <mergeCell ref="F27:F28"/>
    <mergeCell ref="G27:G28"/>
    <mergeCell ref="H27:H28"/>
    <mergeCell ref="I27:I28"/>
    <mergeCell ref="J27:J28"/>
    <mergeCell ref="A27:A28"/>
    <mergeCell ref="B27:B28"/>
    <mergeCell ref="D27:D28"/>
    <mergeCell ref="E27:E28"/>
    <mergeCell ref="AE23:AE24"/>
    <mergeCell ref="AJ23:AJ24"/>
    <mergeCell ref="AI23:AI24"/>
    <mergeCell ref="AH23:AH24"/>
    <mergeCell ref="AG23:AG24"/>
    <mergeCell ref="AF23:AF24"/>
    <mergeCell ref="A19:B19"/>
    <mergeCell ref="A20:B20"/>
    <mergeCell ref="A21:B21"/>
    <mergeCell ref="A23:A24"/>
    <mergeCell ref="F23:F24"/>
    <mergeCell ref="E23:E24"/>
    <mergeCell ref="D23:D24"/>
    <mergeCell ref="C23:C24"/>
    <mergeCell ref="AD23:AD24"/>
    <mergeCell ref="C20:N20"/>
    <mergeCell ref="C21:N21"/>
    <mergeCell ref="O23:O24"/>
    <mergeCell ref="AC23:AC24"/>
    <mergeCell ref="AB23:AB24"/>
    <mergeCell ref="X23:X24"/>
    <mergeCell ref="P23:P24"/>
    <mergeCell ref="AA23:AA24"/>
    <mergeCell ref="Y23:Y24"/>
    <mergeCell ref="Z23:Z24"/>
    <mergeCell ref="G23:G24"/>
    <mergeCell ref="H23:H24"/>
    <mergeCell ref="I23:I24"/>
    <mergeCell ref="L23:L24"/>
    <mergeCell ref="M23:M24"/>
    <mergeCell ref="B23:B24"/>
    <mergeCell ref="N23:N24"/>
    <mergeCell ref="J23:J24"/>
    <mergeCell ref="K23:K24"/>
    <mergeCell ref="Q23:Q24"/>
    <mergeCell ref="R23:W23"/>
    <mergeCell ref="F25:F26"/>
    <mergeCell ref="G25:G26"/>
    <mergeCell ref="H25:H26"/>
    <mergeCell ref="A25:A26"/>
    <mergeCell ref="B25:B26"/>
    <mergeCell ref="D25:D26"/>
    <mergeCell ref="E25:E26"/>
    <mergeCell ref="N25:N26"/>
    <mergeCell ref="I25:I26"/>
    <mergeCell ref="J25:J26"/>
    <mergeCell ref="K25:K26"/>
    <mergeCell ref="L25:L26"/>
    <mergeCell ref="M25:M26"/>
    <mergeCell ref="A1:AE5"/>
    <mergeCell ref="W14:AB14"/>
    <mergeCell ref="A15:J15"/>
    <mergeCell ref="N7:S7"/>
    <mergeCell ref="W9:AB9"/>
    <mergeCell ref="P8:S8"/>
    <mergeCell ref="P9:S9"/>
    <mergeCell ref="P14:S14"/>
    <mergeCell ref="P10:S10"/>
    <mergeCell ref="P11:S11"/>
    <mergeCell ref="P12:S12"/>
    <mergeCell ref="P13:S13"/>
  </mergeCells>
  <conditionalFormatting sqref="H25 H27 Y25:Y26">
    <cfRule type="cellIs" dxfId="225" priority="333" operator="equal">
      <formula>"Muy Alta"</formula>
    </cfRule>
    <cfRule type="cellIs" dxfId="224" priority="334" operator="equal">
      <formula>"Alta"</formula>
    </cfRule>
    <cfRule type="cellIs" dxfId="223" priority="335" operator="equal">
      <formula>"Media"</formula>
    </cfRule>
    <cfRule type="cellIs" dxfId="222" priority="336" operator="equal">
      <formula>"Baja"</formula>
    </cfRule>
    <cfRule type="cellIs" dxfId="221" priority="337" operator="equal">
      <formula>"Muy Baja"</formula>
    </cfRule>
  </conditionalFormatting>
  <conditionalFormatting sqref="L27 L29 L33 L37 L40 L42:L47 AA25:AA26">
    <cfRule type="cellIs" dxfId="220" priority="328" operator="equal">
      <formula>"Catastrófico"</formula>
    </cfRule>
    <cfRule type="cellIs" dxfId="219" priority="329" operator="equal">
      <formula>"Mayor"</formula>
    </cfRule>
    <cfRule type="cellIs" dxfId="218" priority="330" operator="equal">
      <formula>"Moderado"</formula>
    </cfRule>
    <cfRule type="cellIs" dxfId="217" priority="331" operator="equal">
      <formula>"Menor"</formula>
    </cfRule>
    <cfRule type="cellIs" dxfId="216" priority="332" operator="equal">
      <formula>"Leve"</formula>
    </cfRule>
  </conditionalFormatting>
  <conditionalFormatting sqref="AC25:AC26">
    <cfRule type="cellIs" dxfId="215" priority="310" operator="equal">
      <formula>"Extremo"</formula>
    </cfRule>
    <cfRule type="cellIs" dxfId="214" priority="311" operator="equal">
      <formula>"Alto"</formula>
    </cfRule>
    <cfRule type="cellIs" dxfId="213" priority="312" operator="equal">
      <formula>"Moderado"</formula>
    </cfRule>
    <cfRule type="cellIs" dxfId="212" priority="313" operator="equal">
      <formula>"Bajo"</formula>
    </cfRule>
  </conditionalFormatting>
  <conditionalFormatting sqref="N27">
    <cfRule type="cellIs" dxfId="206" priority="254" operator="equal">
      <formula>"Extremo"</formula>
    </cfRule>
    <cfRule type="cellIs" dxfId="205" priority="255" operator="equal">
      <formula>"Alto"</formula>
    </cfRule>
    <cfRule type="cellIs" dxfId="204" priority="256" operator="equal">
      <formula>"Moderado"</formula>
    </cfRule>
    <cfRule type="cellIs" dxfId="203" priority="257" operator="equal">
      <formula>"Bajo"</formula>
    </cfRule>
  </conditionalFormatting>
  <conditionalFormatting sqref="Y27">
    <cfRule type="cellIs" dxfId="202" priority="249" operator="equal">
      <formula>"Muy Alta"</formula>
    </cfRule>
    <cfRule type="cellIs" dxfId="201" priority="250" operator="equal">
      <formula>"Alta"</formula>
    </cfRule>
    <cfRule type="cellIs" dxfId="200" priority="251" operator="equal">
      <formula>"Media"</formula>
    </cfRule>
    <cfRule type="cellIs" dxfId="199" priority="252" operator="equal">
      <formula>"Baja"</formula>
    </cfRule>
    <cfRule type="cellIs" dxfId="198" priority="253" operator="equal">
      <formula>"Muy Baja"</formula>
    </cfRule>
  </conditionalFormatting>
  <conditionalFormatting sqref="AA27">
    <cfRule type="cellIs" dxfId="197" priority="244" operator="equal">
      <formula>"Catastrófico"</formula>
    </cfRule>
    <cfRule type="cellIs" dxfId="196" priority="245" operator="equal">
      <formula>"Mayor"</formula>
    </cfRule>
    <cfRule type="cellIs" dxfId="195" priority="246" operator="equal">
      <formula>"Moderado"</formula>
    </cfRule>
    <cfRule type="cellIs" dxfId="194" priority="247" operator="equal">
      <formula>"Menor"</formula>
    </cfRule>
    <cfRule type="cellIs" dxfId="193" priority="248" operator="equal">
      <formula>"Leve"</formula>
    </cfRule>
  </conditionalFormatting>
  <conditionalFormatting sqref="AC27">
    <cfRule type="cellIs" dxfId="192" priority="240" operator="equal">
      <formula>"Extremo"</formula>
    </cfRule>
    <cfRule type="cellIs" dxfId="191" priority="241" operator="equal">
      <formula>"Alto"</formula>
    </cfRule>
    <cfRule type="cellIs" dxfId="190" priority="242" operator="equal">
      <formula>"Moderado"</formula>
    </cfRule>
    <cfRule type="cellIs" dxfId="189" priority="243" operator="equal">
      <formula>"Bajo"</formula>
    </cfRule>
  </conditionalFormatting>
  <conditionalFormatting sqref="H29">
    <cfRule type="cellIs" dxfId="188" priority="235" operator="equal">
      <formula>"Muy Alta"</formula>
    </cfRule>
    <cfRule type="cellIs" dxfId="187" priority="236" operator="equal">
      <formula>"Alta"</formula>
    </cfRule>
    <cfRule type="cellIs" dxfId="186" priority="237" operator="equal">
      <formula>"Media"</formula>
    </cfRule>
    <cfRule type="cellIs" dxfId="185" priority="238" operator="equal">
      <formula>"Baja"</formula>
    </cfRule>
    <cfRule type="cellIs" dxfId="184" priority="239" operator="equal">
      <formula>"Muy Baja"</formula>
    </cfRule>
  </conditionalFormatting>
  <conditionalFormatting sqref="N29">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Y29">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AA29">
    <cfRule type="cellIs" dxfId="174" priority="216" operator="equal">
      <formula>"Catastrófico"</formula>
    </cfRule>
    <cfRule type="cellIs" dxfId="173" priority="217" operator="equal">
      <formula>"Mayor"</formula>
    </cfRule>
    <cfRule type="cellIs" dxfId="172" priority="218" operator="equal">
      <formula>"Moderado"</formula>
    </cfRule>
    <cfRule type="cellIs" dxfId="171" priority="219" operator="equal">
      <formula>"Menor"</formula>
    </cfRule>
    <cfRule type="cellIs" dxfId="170" priority="220" operator="equal">
      <formula>"Leve"</formula>
    </cfRule>
  </conditionalFormatting>
  <conditionalFormatting sqref="AC29">
    <cfRule type="cellIs" dxfId="169" priority="212" operator="equal">
      <formula>"Extremo"</formula>
    </cfRule>
    <cfRule type="cellIs" dxfId="168" priority="213" operator="equal">
      <formula>"Alto"</formula>
    </cfRule>
    <cfRule type="cellIs" dxfId="167" priority="214" operator="equal">
      <formula>"Moderado"</formula>
    </cfRule>
    <cfRule type="cellIs" dxfId="166" priority="215" operator="equal">
      <formula>"Bajo"</formula>
    </cfRule>
  </conditionalFormatting>
  <conditionalFormatting sqref="H33">
    <cfRule type="cellIs" dxfId="165" priority="207" operator="equal">
      <formula>"Muy Alta"</formula>
    </cfRule>
    <cfRule type="cellIs" dxfId="164" priority="208" operator="equal">
      <formula>"Alta"</formula>
    </cfRule>
    <cfRule type="cellIs" dxfId="163" priority="209" operator="equal">
      <formula>"Media"</formula>
    </cfRule>
    <cfRule type="cellIs" dxfId="162" priority="210" operator="equal">
      <formula>"Baja"</formula>
    </cfRule>
    <cfRule type="cellIs" dxfId="161" priority="211" operator="equal">
      <formula>"Muy Baja"</formula>
    </cfRule>
  </conditionalFormatting>
  <conditionalFormatting sqref="N33">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Y33">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AA33">
    <cfRule type="cellIs" dxfId="151" priority="188" operator="equal">
      <formula>"Catastrófico"</formula>
    </cfRule>
    <cfRule type="cellIs" dxfId="150" priority="189" operator="equal">
      <formula>"Mayor"</formula>
    </cfRule>
    <cfRule type="cellIs" dxfId="149" priority="190" operator="equal">
      <formula>"Moderado"</formula>
    </cfRule>
    <cfRule type="cellIs" dxfId="148" priority="191" operator="equal">
      <formula>"Menor"</formula>
    </cfRule>
    <cfRule type="cellIs" dxfId="147" priority="192" operator="equal">
      <formula>"Leve"</formula>
    </cfRule>
  </conditionalFormatting>
  <conditionalFormatting sqref="AC33">
    <cfRule type="cellIs" dxfId="146" priority="184" operator="equal">
      <formula>"Extremo"</formula>
    </cfRule>
    <cfRule type="cellIs" dxfId="145" priority="185" operator="equal">
      <formula>"Alto"</formula>
    </cfRule>
    <cfRule type="cellIs" dxfId="144" priority="186" operator="equal">
      <formula>"Moderado"</formula>
    </cfRule>
    <cfRule type="cellIs" dxfId="143" priority="187" operator="equal">
      <formula>"Bajo"</formula>
    </cfRule>
  </conditionalFormatting>
  <conditionalFormatting sqref="H37">
    <cfRule type="cellIs" dxfId="142" priority="179" operator="equal">
      <formula>"Muy Alta"</formula>
    </cfRule>
    <cfRule type="cellIs" dxfId="141" priority="180" operator="equal">
      <formula>"Alta"</formula>
    </cfRule>
    <cfRule type="cellIs" dxfId="140" priority="181" operator="equal">
      <formula>"Media"</formula>
    </cfRule>
    <cfRule type="cellIs" dxfId="139" priority="182" operator="equal">
      <formula>"Baja"</formula>
    </cfRule>
    <cfRule type="cellIs" dxfId="138" priority="183" operator="equal">
      <formula>"Muy Baja"</formula>
    </cfRule>
  </conditionalFormatting>
  <conditionalFormatting sqref="N37">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Y37">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AA37">
    <cfRule type="cellIs" dxfId="128" priority="160" operator="equal">
      <formula>"Catastrófico"</formula>
    </cfRule>
    <cfRule type="cellIs" dxfId="127" priority="161" operator="equal">
      <formula>"Mayor"</formula>
    </cfRule>
    <cfRule type="cellIs" dxfId="126" priority="162" operator="equal">
      <formula>"Moderado"</formula>
    </cfRule>
    <cfRule type="cellIs" dxfId="125" priority="163" operator="equal">
      <formula>"Menor"</formula>
    </cfRule>
    <cfRule type="cellIs" dxfId="124" priority="164" operator="equal">
      <formula>"Leve"</formula>
    </cfRule>
  </conditionalFormatting>
  <conditionalFormatting sqref="AC37">
    <cfRule type="cellIs" dxfId="123" priority="156" operator="equal">
      <formula>"Extremo"</formula>
    </cfRule>
    <cfRule type="cellIs" dxfId="122" priority="157" operator="equal">
      <formula>"Alto"</formula>
    </cfRule>
    <cfRule type="cellIs" dxfId="121" priority="158" operator="equal">
      <formula>"Moderado"</formula>
    </cfRule>
    <cfRule type="cellIs" dxfId="120" priority="159" operator="equal">
      <formula>"Bajo"</formula>
    </cfRule>
  </conditionalFormatting>
  <conditionalFormatting sqref="H40">
    <cfRule type="cellIs" dxfId="119" priority="151" operator="equal">
      <formula>"Muy Alta"</formula>
    </cfRule>
    <cfRule type="cellIs" dxfId="118" priority="152" operator="equal">
      <formula>"Alta"</formula>
    </cfRule>
    <cfRule type="cellIs" dxfId="117" priority="153" operator="equal">
      <formula>"Media"</formula>
    </cfRule>
    <cfRule type="cellIs" dxfId="116" priority="154" operator="equal">
      <formula>"Baja"</formula>
    </cfRule>
    <cfRule type="cellIs" dxfId="115" priority="155" operator="equal">
      <formula>"Muy Baja"</formula>
    </cfRule>
  </conditionalFormatting>
  <conditionalFormatting sqref="N40">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Y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AA40">
    <cfRule type="cellIs" dxfId="105" priority="132" operator="equal">
      <formula>"Catastrófico"</formula>
    </cfRule>
    <cfRule type="cellIs" dxfId="104" priority="133" operator="equal">
      <formula>"Mayor"</formula>
    </cfRule>
    <cfRule type="cellIs" dxfId="103" priority="134" operator="equal">
      <formula>"Moderado"</formula>
    </cfRule>
    <cfRule type="cellIs" dxfId="102" priority="135" operator="equal">
      <formula>"Menor"</formula>
    </cfRule>
    <cfRule type="cellIs" dxfId="101" priority="136" operator="equal">
      <formula>"Leve"</formula>
    </cfRule>
  </conditionalFormatting>
  <conditionalFormatting sqref="AC40">
    <cfRule type="cellIs" dxfId="100" priority="128" operator="equal">
      <formula>"Extremo"</formula>
    </cfRule>
    <cfRule type="cellIs" dxfId="99" priority="129" operator="equal">
      <formula>"Alto"</formula>
    </cfRule>
    <cfRule type="cellIs" dxfId="98" priority="130" operator="equal">
      <formula>"Moderado"</formula>
    </cfRule>
    <cfRule type="cellIs" dxfId="97" priority="131" operator="equal">
      <formula>"Bajo"</formula>
    </cfRule>
  </conditionalFormatting>
  <conditionalFormatting sqref="H42:H46">
    <cfRule type="cellIs" dxfId="96" priority="123" operator="equal">
      <formula>"Muy Alta"</formula>
    </cfRule>
    <cfRule type="cellIs" dxfId="95" priority="124" operator="equal">
      <formula>"Alta"</formula>
    </cfRule>
    <cfRule type="cellIs" dxfId="94" priority="125" operator="equal">
      <formula>"Media"</formula>
    </cfRule>
    <cfRule type="cellIs" dxfId="93" priority="126" operator="equal">
      <formula>"Baja"</formula>
    </cfRule>
    <cfRule type="cellIs" dxfId="92" priority="127" operator="equal">
      <formula>"Muy Baja"</formula>
    </cfRule>
  </conditionalFormatting>
  <conditionalFormatting sqref="N42:N46">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Y42:Y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AA42:AA46">
    <cfRule type="cellIs" dxfId="82" priority="104" operator="equal">
      <formula>"Catastrófico"</formula>
    </cfRule>
    <cfRule type="cellIs" dxfId="81" priority="105" operator="equal">
      <formula>"Mayor"</formula>
    </cfRule>
    <cfRule type="cellIs" dxfId="80" priority="106" operator="equal">
      <formula>"Moderado"</formula>
    </cfRule>
    <cfRule type="cellIs" dxfId="79" priority="107" operator="equal">
      <formula>"Menor"</formula>
    </cfRule>
    <cfRule type="cellIs" dxfId="78" priority="108" operator="equal">
      <formula>"Leve"</formula>
    </cfRule>
  </conditionalFormatting>
  <conditionalFormatting sqref="AC42:AC46">
    <cfRule type="cellIs" dxfId="77" priority="100" operator="equal">
      <formula>"Extremo"</formula>
    </cfRule>
    <cfRule type="cellIs" dxfId="76" priority="101" operator="equal">
      <formula>"Alto"</formula>
    </cfRule>
    <cfRule type="cellIs" dxfId="75" priority="102" operator="equal">
      <formula>"Moderado"</formula>
    </cfRule>
    <cfRule type="cellIs" dxfId="74" priority="103" operator="equal">
      <formula>"Bajo"</formula>
    </cfRule>
  </conditionalFormatting>
  <conditionalFormatting sqref="H47">
    <cfRule type="cellIs" dxfId="73" priority="95" operator="equal">
      <formula>"Muy Alta"</formula>
    </cfRule>
    <cfRule type="cellIs" dxfId="72" priority="96" operator="equal">
      <formula>"Alta"</formula>
    </cfRule>
    <cfRule type="cellIs" dxfId="71" priority="97" operator="equal">
      <formula>"Media"</formula>
    </cfRule>
    <cfRule type="cellIs" dxfId="70" priority="98" operator="equal">
      <formula>"Baja"</formula>
    </cfRule>
    <cfRule type="cellIs" dxfId="69" priority="99" operator="equal">
      <formula>"Muy Baja"</formula>
    </cfRule>
  </conditionalFormatting>
  <conditionalFormatting sqref="N47">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Y47">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AA47">
    <cfRule type="cellIs" dxfId="59" priority="76" operator="equal">
      <formula>"Catastrófico"</formula>
    </cfRule>
    <cfRule type="cellIs" dxfId="58" priority="77" operator="equal">
      <formula>"Mayor"</formula>
    </cfRule>
    <cfRule type="cellIs" dxfId="57" priority="78" operator="equal">
      <formula>"Moderado"</formula>
    </cfRule>
    <cfRule type="cellIs" dxfId="56" priority="79" operator="equal">
      <formula>"Menor"</formula>
    </cfRule>
    <cfRule type="cellIs" dxfId="55" priority="80" operator="equal">
      <formula>"Leve"</formula>
    </cfRule>
  </conditionalFormatting>
  <conditionalFormatting sqref="AC47">
    <cfRule type="cellIs" dxfId="54" priority="72" operator="equal">
      <formula>"Extremo"</formula>
    </cfRule>
    <cfRule type="cellIs" dxfId="53" priority="73" operator="equal">
      <formula>"Alto"</formula>
    </cfRule>
    <cfRule type="cellIs" dxfId="52" priority="74" operator="equal">
      <formula>"Moderado"</formula>
    </cfRule>
    <cfRule type="cellIs" dxfId="51" priority="75" operator="equal">
      <formula>"Bajo"</formula>
    </cfRule>
  </conditionalFormatting>
  <conditionalFormatting sqref="K25:K49">
    <cfRule type="containsText" dxfId="9" priority="15" operator="containsText" text="❌">
      <formula>NOT(ISERROR(SEARCH("❌",K25)))</formula>
    </cfRule>
  </conditionalFormatting>
  <conditionalFormatting sqref="L2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N2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ignoredErrors>
    <ignoredError sqref="AB26"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AJ25:AJ30 AJ32:AJ34 AJ36:AJ38 AJ40:AJ48</xm:sqref>
        </x14:dataValidation>
        <x14:dataValidation type="list" allowBlank="1" showInputMessage="1" showErrorMessage="1" xr:uid="{00000000-0002-0000-0100-000000000000}">
          <x14:formula1>
            <xm:f>'Tabla Valoración controles'!$D$4:$D$6</xm:f>
          </x14:formula1>
          <xm:sqref>R25:R27 R29 R33 R37 R40 R42:R47</xm:sqref>
        </x14:dataValidation>
        <x14:dataValidation type="list" allowBlank="1" showInputMessage="1" showErrorMessage="1" xr:uid="{00000000-0002-0000-0100-000001000000}">
          <x14:formula1>
            <xm:f>'Tabla Valoración controles'!$D$7:$D$8</xm:f>
          </x14:formula1>
          <xm:sqref>S25:S27 S29 S33 S37 S40 S42:S47</xm:sqref>
        </x14:dataValidation>
        <x14:dataValidation type="list" allowBlank="1" showInputMessage="1" showErrorMessage="1" xr:uid="{00000000-0002-0000-0100-000002000000}">
          <x14:formula1>
            <xm:f>'Tabla Valoración controles'!$D$9:$D$10</xm:f>
          </x14:formula1>
          <xm:sqref>U25:U27 U29 U33 U37 U40 U42:U47</xm:sqref>
        </x14:dataValidation>
        <x14:dataValidation type="list" allowBlank="1" showInputMessage="1" showErrorMessage="1" xr:uid="{00000000-0002-0000-0100-000003000000}">
          <x14:formula1>
            <xm:f>'Tabla Valoración controles'!$D$11:$D$12</xm:f>
          </x14:formula1>
          <xm:sqref>V25:V27 V29 V33 V37 V40 V42:V47</xm:sqref>
        </x14:dataValidation>
        <x14:dataValidation type="list" allowBlank="1" showInputMessage="1" showErrorMessage="1" xr:uid="{00000000-0002-0000-0100-000005000000}">
          <x14:formula1>
            <xm:f>'Tabla Valoración controles'!$D$13:$D$14</xm:f>
          </x14:formula1>
          <xm:sqref>W25:W27 W29 W33 W37 W40 W42:W47</xm:sqref>
        </x14:dataValidation>
        <x14:dataValidation type="list" allowBlank="1" showInputMessage="1" showErrorMessage="1" xr:uid="{00000000-0002-0000-0100-000008000000}">
          <x14:formula1>
            <xm:f>'Opciones Tratamiento'!$B$2:$B$5</xm:f>
          </x14:formula1>
          <xm:sqref>AD25 AD27 AD29 AD33 AD37 AD40 AD42:AD47</xm:sqref>
        </x14:dataValidation>
        <x14:dataValidation type="custom" allowBlank="1" showInputMessage="1" showErrorMessage="1" error="Recuerde que las acciones se generan bajo la medida de mitigar el riesgo" xr:uid="{00000000-0002-0000-0100-00000A000000}">
          <x14:formula1>
            <xm:f>IF(OR(AD25='Opciones Tratamiento'!$B$2,AD25='Opciones Tratamiento'!$B$3,AD25='Opciones Tratamiento'!$B$4),ISBLANK(AD25),ISTEXT(AD25))</xm:f>
          </x14:formula1>
          <xm:sqref>AE25 AE27 AE29 AE33 AE37 AE40 AE42:AE47</xm:sqref>
        </x14:dataValidation>
        <x14:dataValidation type="custom" allowBlank="1" showInputMessage="1" showErrorMessage="1" error="Recuerde que las acciones se generan bajo la medida de mitigar el riesgo" xr:uid="{00000000-0002-0000-0100-00000B000000}">
          <x14:formula1>
            <xm:f>IF(OR(AD25='Opciones Tratamiento'!$B$2,AD25='Opciones Tratamiento'!$B$3,AD25='Opciones Tratamiento'!$B$4),ISBLANK(AD25),ISTEXT(AD25))</xm:f>
          </x14:formula1>
          <xm:sqref>AF25:AF33 AF37:AF49</xm:sqref>
        </x14:dataValidation>
        <x14:dataValidation type="list" allowBlank="1" showInputMessage="1" showErrorMessage="1" xr:uid="{5B4BFEDF-535D-4676-A2D9-BF1564B5BA44}">
          <x14:formula1>
            <xm:f>'Impacto-clasificacion'!$D$3:$D$10</xm:f>
          </x14:formula1>
          <xm:sqref>F25:F49</xm:sqref>
        </x14:dataValidation>
        <x14:dataValidation type="list" allowBlank="1" showInputMessage="1" showErrorMessage="1" xr:uid="{A08F2382-C520-458D-822B-27E981004C95}">
          <x14:formula1>
            <xm:f>'Impacto-clasificacion'!$A$3:$A$6</xm:f>
          </x14:formula1>
          <xm:sqref>B25:B49</xm:sqref>
        </x14:dataValidation>
        <x14:dataValidation type="list" allowBlank="1" showInputMessage="1" showErrorMessage="1" xr:uid="{8DAD2BC1-1BDC-471A-A521-4F3A16793D70}">
          <x14:formula1>
            <xm:f>'Tabla Impacto'!$F$210:$F$227</xm:f>
          </x14:formula1>
          <xm:sqref>J25:J49</xm:sqref>
        </x14:dataValidation>
        <x14:dataValidation type="custom" allowBlank="1" showInputMessage="1" showErrorMessage="1" error="Recuerde que las acciones se generan bajo la medida de mitigar el riesgo" xr:uid="{00000000-0002-0000-0100-00000C000000}">
          <x14:formula1>
            <xm:f>IF(OR(AD25='Opciones Tratamiento'!$B$2,AD25='Opciones Tratamiento'!$B$3,AD25='Opciones Tratamiento'!$B$4),ISBLANK(AD25),ISTEXT(AD25))</xm:f>
          </x14:formula1>
          <xm:sqref>AG25:AG49</xm:sqref>
        </x14:dataValidation>
        <x14:dataValidation type="custom" allowBlank="1" showInputMessage="1" showErrorMessage="1" error="Recuerde que las acciones se generan bajo la medida de mitigar el riesgo" xr:uid="{00000000-0002-0000-0100-00000D000000}">
          <x14:formula1>
            <xm:f>IF(OR(AD25='Opciones Tratamiento'!$B$2,AD25='Opciones Tratamiento'!$B$3,AD25='Opciones Tratamiento'!$B$4),ISBLANK(AD25),ISTEXT(AD25))</xm:f>
          </x14:formula1>
          <xm:sqref>AH25:AH49</xm:sqref>
        </x14:dataValidation>
        <x14:dataValidation type="custom" allowBlank="1" showInputMessage="1" showErrorMessage="1" error="Recuerde que las acciones se generan bajo la medida de mitigar el riesgo" xr:uid="{00000000-0002-0000-0100-00000E000000}">
          <x14:formula1>
            <xm:f>IF(OR(AD25='Opciones Tratamiento'!$B$2,AD25='Opciones Tratamiento'!$B$3,AD25='Opciones Tratamiento'!$B$4),ISBLANK(AD25),ISTEXT(AD25))</xm:f>
          </x14:formula1>
          <xm:sqref>AI25:AI49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95" t="s">
        <v>90</v>
      </c>
      <c r="C2" s="295"/>
      <c r="D2" s="295"/>
      <c r="E2" s="295"/>
      <c r="F2" s="295"/>
      <c r="G2" s="295"/>
      <c r="H2" s="295"/>
      <c r="I2" s="295"/>
      <c r="J2" s="332" t="s">
        <v>13</v>
      </c>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95"/>
      <c r="C3" s="295"/>
      <c r="D3" s="295"/>
      <c r="E3" s="295"/>
      <c r="F3" s="295"/>
      <c r="G3" s="295"/>
      <c r="H3" s="295"/>
      <c r="I3" s="295"/>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95"/>
      <c r="C4" s="295"/>
      <c r="D4" s="295"/>
      <c r="E4" s="295"/>
      <c r="F4" s="295"/>
      <c r="G4" s="295"/>
      <c r="H4" s="295"/>
      <c r="I4" s="295"/>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43" t="s">
        <v>91</v>
      </c>
      <c r="C6" s="343"/>
      <c r="D6" s="344"/>
      <c r="E6" s="333" t="s">
        <v>92</v>
      </c>
      <c r="F6" s="334"/>
      <c r="G6" s="334"/>
      <c r="H6" s="334"/>
      <c r="I6" s="335"/>
      <c r="J6" s="329" t="str">
        <f>IF(AND('Mapa final'!$H$25="Muy Alta",'Mapa final'!$L$25="Leve"),CONCATENATE("R",'Mapa final'!$A$25),"")</f>
        <v/>
      </c>
      <c r="K6" s="330"/>
      <c r="L6" s="330" t="str">
        <f>IF(AND('Mapa final'!$H$27="Muy Alta",'Mapa final'!$L$27="Leve"),CONCATENATE("R",'Mapa final'!$A$27),"")</f>
        <v/>
      </c>
      <c r="M6" s="330"/>
      <c r="N6" s="330" t="str">
        <f>IF(AND('Mapa final'!$H$29="Muy Alta",'Mapa final'!$L$29="Leve"),CONCATENATE("R",'Mapa final'!$A$29),"")</f>
        <v/>
      </c>
      <c r="O6" s="331"/>
      <c r="P6" s="329" t="str">
        <f>IF(AND('Mapa final'!$H$25="Muy Alta",'Mapa final'!$L$25="Menor"),CONCATENATE("R",'Mapa final'!$A$25),"")</f>
        <v/>
      </c>
      <c r="Q6" s="330"/>
      <c r="R6" s="330" t="str">
        <f>IF(AND('Mapa final'!$H$27="Muy Alta",'Mapa final'!$L$27="Menor"),CONCATENATE("R",'Mapa final'!$A$27),"")</f>
        <v/>
      </c>
      <c r="S6" s="330"/>
      <c r="T6" s="330" t="str">
        <f>IF(AND('Mapa final'!$H$29="Muy Alta",'Mapa final'!$L$29="Menor"),CONCATENATE("R",'Mapa final'!$A$29),"")</f>
        <v/>
      </c>
      <c r="U6" s="331"/>
      <c r="V6" s="329" t="str">
        <f>IF(AND('Mapa final'!$H$25="Muy Alta",'Mapa final'!$L$25="Moderado"),CONCATENATE("R",'Mapa final'!$A$25),"")</f>
        <v/>
      </c>
      <c r="W6" s="330"/>
      <c r="X6" s="330" t="str">
        <f>IF(AND('Mapa final'!$H$27="Muy Alta",'Mapa final'!$L$27="Moderado"),CONCATENATE("R",'Mapa final'!$A$27),"")</f>
        <v/>
      </c>
      <c r="Y6" s="330"/>
      <c r="Z6" s="330" t="str">
        <f>IF(AND('Mapa final'!$H$29="Muy Alta",'Mapa final'!$L$29="Moderado"),CONCATENATE("R",'Mapa final'!$A$29),"")</f>
        <v/>
      </c>
      <c r="AA6" s="331"/>
      <c r="AB6" s="329" t="str">
        <f>IF(AND('Mapa final'!$H$25="Muy Alta",'Mapa final'!$L$25="Mayor"),CONCATENATE("R",'Mapa final'!$A$25),"")</f>
        <v/>
      </c>
      <c r="AC6" s="330"/>
      <c r="AD6" s="330" t="str">
        <f>IF(AND('Mapa final'!$H$27="Muy Alta",'Mapa final'!$L$27="Mayor"),CONCATENATE("R",'Mapa final'!$A$27),"")</f>
        <v/>
      </c>
      <c r="AE6" s="330"/>
      <c r="AF6" s="330" t="str">
        <f>IF(AND('Mapa final'!$H$29="Muy Alta",'Mapa final'!$L$29="Mayor"),CONCATENATE("R",'Mapa final'!$A$29),"")</f>
        <v/>
      </c>
      <c r="AG6" s="331"/>
      <c r="AH6" s="320" t="str">
        <f>IF(AND('Mapa final'!$H$25="Muy Alta",'Mapa final'!$L$25="Catastrófico"),CONCATENATE("R",'Mapa final'!$A$25),"")</f>
        <v/>
      </c>
      <c r="AI6" s="321"/>
      <c r="AJ6" s="321" t="str">
        <f>IF(AND('Mapa final'!$H$27="Muy Alta",'Mapa final'!$L$27="Catastrófico"),CONCATENATE("R",'Mapa final'!$A$27),"")</f>
        <v/>
      </c>
      <c r="AK6" s="321"/>
      <c r="AL6" s="321" t="str">
        <f>IF(AND('Mapa final'!$H$29="Muy Alta",'Mapa final'!$L$29="Catastrófico"),CONCATENATE("R",'Mapa final'!$A$29),"")</f>
        <v/>
      </c>
      <c r="AM6" s="322"/>
      <c r="AO6" s="345" t="s">
        <v>93</v>
      </c>
      <c r="AP6" s="346"/>
      <c r="AQ6" s="346"/>
      <c r="AR6" s="346"/>
      <c r="AS6" s="346"/>
      <c r="AT6" s="3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43"/>
      <c r="C7" s="343"/>
      <c r="D7" s="344"/>
      <c r="E7" s="336"/>
      <c r="F7" s="337"/>
      <c r="G7" s="337"/>
      <c r="H7" s="337"/>
      <c r="I7" s="338"/>
      <c r="J7" s="323"/>
      <c r="K7" s="324"/>
      <c r="L7" s="324"/>
      <c r="M7" s="324"/>
      <c r="N7" s="324"/>
      <c r="O7" s="325"/>
      <c r="P7" s="323"/>
      <c r="Q7" s="324"/>
      <c r="R7" s="324"/>
      <c r="S7" s="324"/>
      <c r="T7" s="324"/>
      <c r="U7" s="325"/>
      <c r="V7" s="323"/>
      <c r="W7" s="324"/>
      <c r="X7" s="324"/>
      <c r="Y7" s="324"/>
      <c r="Z7" s="324"/>
      <c r="AA7" s="325"/>
      <c r="AB7" s="323"/>
      <c r="AC7" s="324"/>
      <c r="AD7" s="324"/>
      <c r="AE7" s="324"/>
      <c r="AF7" s="324"/>
      <c r="AG7" s="325"/>
      <c r="AH7" s="314"/>
      <c r="AI7" s="315"/>
      <c r="AJ7" s="315"/>
      <c r="AK7" s="315"/>
      <c r="AL7" s="315"/>
      <c r="AM7" s="316"/>
      <c r="AN7" s="83"/>
      <c r="AO7" s="348"/>
      <c r="AP7" s="349"/>
      <c r="AQ7" s="349"/>
      <c r="AR7" s="349"/>
      <c r="AS7" s="349"/>
      <c r="AT7" s="3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43"/>
      <c r="C8" s="343"/>
      <c r="D8" s="344"/>
      <c r="E8" s="336"/>
      <c r="F8" s="337"/>
      <c r="G8" s="337"/>
      <c r="H8" s="337"/>
      <c r="I8" s="338"/>
      <c r="J8" s="323" t="str">
        <f>IF(AND('Mapa final'!$H$33="Muy Alta",'Mapa final'!$L$33="Leve"),CONCATENATE("R",'Mapa final'!$A$33),"")</f>
        <v/>
      </c>
      <c r="K8" s="324"/>
      <c r="L8" s="324" t="str">
        <f>IF(AND('Mapa final'!$H$37="Muy Alta",'Mapa final'!$L$37="Leve"),CONCATENATE("R",'Mapa final'!$A$37),"")</f>
        <v/>
      </c>
      <c r="M8" s="324"/>
      <c r="N8" s="324" t="str">
        <f>IF(AND('Mapa final'!$H$40="Muy Alta",'Mapa final'!$L$40="Leve"),CONCATENATE("R",'Mapa final'!$A$40),"")</f>
        <v/>
      </c>
      <c r="O8" s="325"/>
      <c r="P8" s="323" t="str">
        <f>IF(AND('Mapa final'!$H$33="Muy Alta",'Mapa final'!$L$33="Menor"),CONCATENATE("R",'Mapa final'!$A$33),"")</f>
        <v/>
      </c>
      <c r="Q8" s="324"/>
      <c r="R8" s="324" t="str">
        <f>IF(AND('Mapa final'!$H$37="Muy Alta",'Mapa final'!$L$37="Menor"),CONCATENATE("R",'Mapa final'!$A$37),"")</f>
        <v/>
      </c>
      <c r="S8" s="324"/>
      <c r="T8" s="324" t="str">
        <f>IF(AND('Mapa final'!$H$40="Muy Alta",'Mapa final'!$L$40="Menor"),CONCATENATE("R",'Mapa final'!$A$40),"")</f>
        <v/>
      </c>
      <c r="U8" s="325"/>
      <c r="V8" s="323" t="str">
        <f>IF(AND('Mapa final'!$H$33="Muy Alta",'Mapa final'!$L$33="Moderado"),CONCATENATE("R",'Mapa final'!$A$33),"")</f>
        <v/>
      </c>
      <c r="W8" s="324"/>
      <c r="X8" s="324" t="str">
        <f>IF(AND('Mapa final'!$H$37="Muy Alta",'Mapa final'!$L$37="Moderado"),CONCATENATE("R",'Mapa final'!$A$37),"")</f>
        <v/>
      </c>
      <c r="Y8" s="324"/>
      <c r="Z8" s="324" t="str">
        <f>IF(AND('Mapa final'!$H$40="Muy Alta",'Mapa final'!$L$40="Moderado"),CONCATENATE("R",'Mapa final'!$A$40),"")</f>
        <v/>
      </c>
      <c r="AA8" s="325"/>
      <c r="AB8" s="323" t="str">
        <f>IF(AND('Mapa final'!$H$33="Muy Alta",'Mapa final'!$L$33="Mayor"),CONCATENATE("R",'Mapa final'!$A$33),"")</f>
        <v/>
      </c>
      <c r="AC8" s="324"/>
      <c r="AD8" s="324" t="str">
        <f>IF(AND('Mapa final'!$H$37="Muy Alta",'Mapa final'!$L$37="Mayor"),CONCATENATE("R",'Mapa final'!$A$37),"")</f>
        <v/>
      </c>
      <c r="AE8" s="324"/>
      <c r="AF8" s="324" t="str">
        <f>IF(AND('Mapa final'!$H$40="Muy Alta",'Mapa final'!$L$40="Mayor"),CONCATENATE("R",'Mapa final'!$A$40),"")</f>
        <v/>
      </c>
      <c r="AG8" s="325"/>
      <c r="AH8" s="314" t="str">
        <f>IF(AND('Mapa final'!$H$33="Muy Alta",'Mapa final'!$L$33="Catastrófico"),CONCATENATE("R",'Mapa final'!$A$33),"")</f>
        <v/>
      </c>
      <c r="AI8" s="315"/>
      <c r="AJ8" s="315" t="str">
        <f>IF(AND('Mapa final'!$H$37="Muy Alta",'Mapa final'!$L$37="Catastrófico"),CONCATENATE("R",'Mapa final'!$A$37),"")</f>
        <v/>
      </c>
      <c r="AK8" s="315"/>
      <c r="AL8" s="315" t="str">
        <f>IF(AND('Mapa final'!$H$40="Muy Alta",'Mapa final'!$L$40="Catastrófico"),CONCATENATE("R",'Mapa final'!$A$40),"")</f>
        <v/>
      </c>
      <c r="AM8" s="316"/>
      <c r="AN8" s="83"/>
      <c r="AO8" s="348"/>
      <c r="AP8" s="349"/>
      <c r="AQ8" s="349"/>
      <c r="AR8" s="349"/>
      <c r="AS8" s="349"/>
      <c r="AT8" s="3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43"/>
      <c r="C9" s="343"/>
      <c r="D9" s="344"/>
      <c r="E9" s="336"/>
      <c r="F9" s="337"/>
      <c r="G9" s="337"/>
      <c r="H9" s="337"/>
      <c r="I9" s="338"/>
      <c r="J9" s="323"/>
      <c r="K9" s="324"/>
      <c r="L9" s="324"/>
      <c r="M9" s="324"/>
      <c r="N9" s="324"/>
      <c r="O9" s="325"/>
      <c r="P9" s="323"/>
      <c r="Q9" s="324"/>
      <c r="R9" s="324"/>
      <c r="S9" s="324"/>
      <c r="T9" s="324"/>
      <c r="U9" s="325"/>
      <c r="V9" s="323"/>
      <c r="W9" s="324"/>
      <c r="X9" s="324"/>
      <c r="Y9" s="324"/>
      <c r="Z9" s="324"/>
      <c r="AA9" s="325"/>
      <c r="AB9" s="323"/>
      <c r="AC9" s="324"/>
      <c r="AD9" s="324"/>
      <c r="AE9" s="324"/>
      <c r="AF9" s="324"/>
      <c r="AG9" s="325"/>
      <c r="AH9" s="314"/>
      <c r="AI9" s="315"/>
      <c r="AJ9" s="315"/>
      <c r="AK9" s="315"/>
      <c r="AL9" s="315"/>
      <c r="AM9" s="316"/>
      <c r="AN9" s="83"/>
      <c r="AO9" s="348"/>
      <c r="AP9" s="349"/>
      <c r="AQ9" s="349"/>
      <c r="AR9" s="349"/>
      <c r="AS9" s="349"/>
      <c r="AT9" s="3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43"/>
      <c r="C10" s="343"/>
      <c r="D10" s="344"/>
      <c r="E10" s="336"/>
      <c r="F10" s="337"/>
      <c r="G10" s="337"/>
      <c r="H10" s="337"/>
      <c r="I10" s="338"/>
      <c r="J10" s="323" t="str">
        <f>IF(AND('Mapa final'!$H$42="Muy Alta",'Mapa final'!$L$42="Leve"),CONCATENATE("R",'Mapa final'!$A$42),"")</f>
        <v/>
      </c>
      <c r="K10" s="324"/>
      <c r="L10" s="324" t="str">
        <f>IF(AND('Mapa final'!$H$47="Muy Alta",'Mapa final'!$L$47="Leve"),CONCATENATE("R",'Mapa final'!$A$47),"")</f>
        <v/>
      </c>
      <c r="M10" s="324"/>
      <c r="N10" s="324" t="e">
        <f>IF(AND('Mapa final'!#REF!="Muy Alta",'Mapa final'!#REF!="Leve"),CONCATENATE("R",'Mapa final'!#REF!),"")</f>
        <v>#REF!</v>
      </c>
      <c r="O10" s="325"/>
      <c r="P10" s="323" t="str">
        <f>IF(AND('Mapa final'!$H$42="Muy Alta",'Mapa final'!$L$42="Menor"),CONCATENATE("R",'Mapa final'!$A$42),"")</f>
        <v/>
      </c>
      <c r="Q10" s="324"/>
      <c r="R10" s="324" t="str">
        <f>IF(AND('Mapa final'!$H$47="Muy Alta",'Mapa final'!$L$47="Menor"),CONCATENATE("R",'Mapa final'!$A$47),"")</f>
        <v/>
      </c>
      <c r="S10" s="324"/>
      <c r="T10" s="324" t="e">
        <f>IF(AND('Mapa final'!#REF!="Muy Alta",'Mapa final'!#REF!="Menor"),CONCATENATE("R",'Mapa final'!#REF!),"")</f>
        <v>#REF!</v>
      </c>
      <c r="U10" s="325"/>
      <c r="V10" s="323" t="str">
        <f>IF(AND('Mapa final'!$H$42="Muy Alta",'Mapa final'!$L$42="Moderado"),CONCATENATE("R",'Mapa final'!$A$42),"")</f>
        <v/>
      </c>
      <c r="W10" s="324"/>
      <c r="X10" s="324" t="str">
        <f>IF(AND('Mapa final'!$H$47="Muy Alta",'Mapa final'!$L$47="Moderado"),CONCATENATE("R",'Mapa final'!$A$47),"")</f>
        <v/>
      </c>
      <c r="Y10" s="324"/>
      <c r="Z10" s="324" t="e">
        <f>IF(AND('Mapa final'!#REF!="Muy Alta",'Mapa final'!#REF!="Moderado"),CONCATENATE("R",'Mapa final'!#REF!),"")</f>
        <v>#REF!</v>
      </c>
      <c r="AA10" s="325"/>
      <c r="AB10" s="323" t="str">
        <f>IF(AND('Mapa final'!$H$42="Muy Alta",'Mapa final'!$L$42="Mayor"),CONCATENATE("R",'Mapa final'!$A$42),"")</f>
        <v/>
      </c>
      <c r="AC10" s="324"/>
      <c r="AD10" s="324" t="str">
        <f>IF(AND('Mapa final'!$H$47="Muy Alta",'Mapa final'!$L$47="Mayor"),CONCATENATE("R",'Mapa final'!$A$47),"")</f>
        <v/>
      </c>
      <c r="AE10" s="324"/>
      <c r="AF10" s="324" t="e">
        <f>IF(AND('Mapa final'!#REF!="Muy Alta",'Mapa final'!#REF!="Mayor"),CONCATENATE("R",'Mapa final'!#REF!),"")</f>
        <v>#REF!</v>
      </c>
      <c r="AG10" s="325"/>
      <c r="AH10" s="314" t="str">
        <f>IF(AND('Mapa final'!$H$42="Muy Alta",'Mapa final'!$L$42="Catastrófico"),CONCATENATE("R",'Mapa final'!$A$42),"")</f>
        <v/>
      </c>
      <c r="AI10" s="315"/>
      <c r="AJ10" s="315" t="str">
        <f>IF(AND('Mapa final'!$H$47="Muy Alta",'Mapa final'!$L$47="Catastrófico"),CONCATENATE("R",'Mapa final'!$A$47),"")</f>
        <v/>
      </c>
      <c r="AK10" s="315"/>
      <c r="AL10" s="315" t="e">
        <f>IF(AND('Mapa final'!#REF!="Muy Alta",'Mapa final'!#REF!="Catastrófico"),CONCATENATE("R",'Mapa final'!#REF!),"")</f>
        <v>#REF!</v>
      </c>
      <c r="AM10" s="316"/>
      <c r="AN10" s="83"/>
      <c r="AO10" s="348"/>
      <c r="AP10" s="349"/>
      <c r="AQ10" s="349"/>
      <c r="AR10" s="349"/>
      <c r="AS10" s="349"/>
      <c r="AT10" s="3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43"/>
      <c r="C11" s="343"/>
      <c r="D11" s="344"/>
      <c r="E11" s="336"/>
      <c r="F11" s="337"/>
      <c r="G11" s="337"/>
      <c r="H11" s="337"/>
      <c r="I11" s="338"/>
      <c r="J11" s="323"/>
      <c r="K11" s="324"/>
      <c r="L11" s="324"/>
      <c r="M11" s="324"/>
      <c r="N11" s="324"/>
      <c r="O11" s="325"/>
      <c r="P11" s="323"/>
      <c r="Q11" s="324"/>
      <c r="R11" s="324"/>
      <c r="S11" s="324"/>
      <c r="T11" s="324"/>
      <c r="U11" s="325"/>
      <c r="V11" s="323"/>
      <c r="W11" s="324"/>
      <c r="X11" s="324"/>
      <c r="Y11" s="324"/>
      <c r="Z11" s="324"/>
      <c r="AA11" s="325"/>
      <c r="AB11" s="323"/>
      <c r="AC11" s="324"/>
      <c r="AD11" s="324"/>
      <c r="AE11" s="324"/>
      <c r="AF11" s="324"/>
      <c r="AG11" s="325"/>
      <c r="AH11" s="314"/>
      <c r="AI11" s="315"/>
      <c r="AJ11" s="315"/>
      <c r="AK11" s="315"/>
      <c r="AL11" s="315"/>
      <c r="AM11" s="316"/>
      <c r="AN11" s="83"/>
      <c r="AO11" s="348"/>
      <c r="AP11" s="349"/>
      <c r="AQ11" s="349"/>
      <c r="AR11" s="349"/>
      <c r="AS11" s="349"/>
      <c r="AT11" s="3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43"/>
      <c r="C12" s="343"/>
      <c r="D12" s="344"/>
      <c r="E12" s="336"/>
      <c r="F12" s="337"/>
      <c r="G12" s="337"/>
      <c r="H12" s="337"/>
      <c r="I12" s="338"/>
      <c r="J12" s="323" t="e">
        <f>IF(AND('Mapa final'!#REF!="Muy Alta",'Mapa final'!#REF!="Leve"),CONCATENATE("R",'Mapa final'!#REF!),"")</f>
        <v>#REF!</v>
      </c>
      <c r="K12" s="324"/>
      <c r="L12" s="324" t="str">
        <f>IF(AND('Mapa final'!$H$50="Muy Alta",'Mapa final'!$L$50="Leve"),CONCATENATE("R",'Mapa final'!$A$50),"")</f>
        <v/>
      </c>
      <c r="M12" s="324"/>
      <c r="N12" s="324" t="str">
        <f>IF(AND('Mapa final'!$H$56="Muy Alta",'Mapa final'!$L$56="Leve"),CONCATENATE("R",'Mapa final'!$A$56),"")</f>
        <v/>
      </c>
      <c r="O12" s="325"/>
      <c r="P12" s="323" t="e">
        <f>IF(AND('Mapa final'!#REF!="Muy Alta",'Mapa final'!#REF!="Menor"),CONCATENATE("R",'Mapa final'!#REF!),"")</f>
        <v>#REF!</v>
      </c>
      <c r="Q12" s="324"/>
      <c r="R12" s="324" t="str">
        <f>IF(AND('Mapa final'!$H$50="Muy Alta",'Mapa final'!$L$50="Menor"),CONCATENATE("R",'Mapa final'!$A$50),"")</f>
        <v/>
      </c>
      <c r="S12" s="324"/>
      <c r="T12" s="324" t="str">
        <f>IF(AND('Mapa final'!$H$56="Muy Alta",'Mapa final'!$L$56="Menor"),CONCATENATE("R",'Mapa final'!$A$56),"")</f>
        <v/>
      </c>
      <c r="U12" s="325"/>
      <c r="V12" s="323" t="e">
        <f>IF(AND('Mapa final'!#REF!="Muy Alta",'Mapa final'!#REF!="Moderado"),CONCATENATE("R",'Mapa final'!#REF!),"")</f>
        <v>#REF!</v>
      </c>
      <c r="W12" s="324"/>
      <c r="X12" s="324" t="str">
        <f>IF(AND('Mapa final'!$H$50="Muy Alta",'Mapa final'!$L$50="Moderado"),CONCATENATE("R",'Mapa final'!$A$50),"")</f>
        <v/>
      </c>
      <c r="Y12" s="324"/>
      <c r="Z12" s="324" t="str">
        <f>IF(AND('Mapa final'!$H$56="Muy Alta",'Mapa final'!$L$56="Moderado"),CONCATENATE("R",'Mapa final'!$A$56),"")</f>
        <v/>
      </c>
      <c r="AA12" s="325"/>
      <c r="AB12" s="323" t="e">
        <f>IF(AND('Mapa final'!#REF!="Muy Alta",'Mapa final'!#REF!="Mayor"),CONCATENATE("R",'Mapa final'!#REF!),"")</f>
        <v>#REF!</v>
      </c>
      <c r="AC12" s="324"/>
      <c r="AD12" s="324" t="str">
        <f>IF(AND('Mapa final'!$H$50="Muy Alta",'Mapa final'!$L$50="Mayor"),CONCATENATE("R",'Mapa final'!$A$50),"")</f>
        <v/>
      </c>
      <c r="AE12" s="324"/>
      <c r="AF12" s="324" t="str">
        <f>IF(AND('Mapa final'!$H$56="Muy Alta",'Mapa final'!$L$56="Mayor"),CONCATENATE("R",'Mapa final'!$A$56),"")</f>
        <v/>
      </c>
      <c r="AG12" s="325"/>
      <c r="AH12" s="314" t="e">
        <f>IF(AND('Mapa final'!#REF!="Muy Alta",'Mapa final'!#REF!="Catastrófico"),CONCATENATE("R",'Mapa final'!#REF!),"")</f>
        <v>#REF!</v>
      </c>
      <c r="AI12" s="315"/>
      <c r="AJ12" s="315" t="str">
        <f>IF(AND('Mapa final'!$H$50="Muy Alta",'Mapa final'!$L$50="Catastrófico"),CONCATENATE("R",'Mapa final'!$A$50),"")</f>
        <v/>
      </c>
      <c r="AK12" s="315"/>
      <c r="AL12" s="315" t="str">
        <f>IF(AND('Mapa final'!$H$56="Muy Alta",'Mapa final'!$L$56="Catastrófico"),CONCATENATE("R",'Mapa final'!$A$56),"")</f>
        <v/>
      </c>
      <c r="AM12" s="316"/>
      <c r="AN12" s="83"/>
      <c r="AO12" s="348"/>
      <c r="AP12" s="349"/>
      <c r="AQ12" s="349"/>
      <c r="AR12" s="349"/>
      <c r="AS12" s="349"/>
      <c r="AT12" s="3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43"/>
      <c r="C13" s="343"/>
      <c r="D13" s="344"/>
      <c r="E13" s="339"/>
      <c r="F13" s="340"/>
      <c r="G13" s="340"/>
      <c r="H13" s="340"/>
      <c r="I13" s="341"/>
      <c r="J13" s="323"/>
      <c r="K13" s="324"/>
      <c r="L13" s="324"/>
      <c r="M13" s="324"/>
      <c r="N13" s="324"/>
      <c r="O13" s="325"/>
      <c r="P13" s="323"/>
      <c r="Q13" s="324"/>
      <c r="R13" s="324"/>
      <c r="S13" s="324"/>
      <c r="T13" s="324"/>
      <c r="U13" s="325"/>
      <c r="V13" s="323"/>
      <c r="W13" s="324"/>
      <c r="X13" s="324"/>
      <c r="Y13" s="324"/>
      <c r="Z13" s="324"/>
      <c r="AA13" s="325"/>
      <c r="AB13" s="323"/>
      <c r="AC13" s="324"/>
      <c r="AD13" s="324"/>
      <c r="AE13" s="324"/>
      <c r="AF13" s="324"/>
      <c r="AG13" s="325"/>
      <c r="AH13" s="317"/>
      <c r="AI13" s="318"/>
      <c r="AJ13" s="318"/>
      <c r="AK13" s="318"/>
      <c r="AL13" s="318"/>
      <c r="AM13" s="319"/>
      <c r="AN13" s="83"/>
      <c r="AO13" s="351"/>
      <c r="AP13" s="352"/>
      <c r="AQ13" s="352"/>
      <c r="AR13" s="352"/>
      <c r="AS13" s="352"/>
      <c r="AT13" s="3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43"/>
      <c r="C14" s="343"/>
      <c r="D14" s="344"/>
      <c r="E14" s="333" t="s">
        <v>94</v>
      </c>
      <c r="F14" s="334"/>
      <c r="G14" s="334"/>
      <c r="H14" s="334"/>
      <c r="I14" s="334"/>
      <c r="J14" s="311" t="str">
        <f>IF(AND('Mapa final'!$H$25="Alta",'Mapa final'!$L$25="Leve"),CONCATENATE("R",'Mapa final'!$A$25),"")</f>
        <v/>
      </c>
      <c r="K14" s="312"/>
      <c r="L14" s="312" t="str">
        <f>IF(AND('Mapa final'!$H$27="Alta",'Mapa final'!$L$27="Leve"),CONCATENATE("R",'Mapa final'!$A$27),"")</f>
        <v/>
      </c>
      <c r="M14" s="312"/>
      <c r="N14" s="312" t="str">
        <f>IF(AND('Mapa final'!$H$29="Alta",'Mapa final'!$L$29="Leve"),CONCATENATE("R",'Mapa final'!$A$29),"")</f>
        <v/>
      </c>
      <c r="O14" s="313"/>
      <c r="P14" s="311" t="str">
        <f>IF(AND('Mapa final'!$H$25="Alta",'Mapa final'!$L$25="Menor"),CONCATENATE("R",'Mapa final'!$A$25),"")</f>
        <v/>
      </c>
      <c r="Q14" s="312"/>
      <c r="R14" s="312" t="str">
        <f>IF(AND('Mapa final'!$H$27="Alta",'Mapa final'!$L$27="Menor"),CONCATENATE("R",'Mapa final'!$A$27),"")</f>
        <v>R2</v>
      </c>
      <c r="S14" s="312"/>
      <c r="T14" s="312" t="str">
        <f>IF(AND('Mapa final'!$H$29="Alta",'Mapa final'!$L$29="Menor"),CONCATENATE("R",'Mapa final'!$A$29),"")</f>
        <v/>
      </c>
      <c r="U14" s="313"/>
      <c r="V14" s="329" t="str">
        <f>IF(AND('Mapa final'!$H$25="Alta",'Mapa final'!$L$25="Moderado"),CONCATENATE("R",'Mapa final'!$A$25),"")</f>
        <v/>
      </c>
      <c r="W14" s="330"/>
      <c r="X14" s="330" t="str">
        <f>IF(AND('Mapa final'!$H$27="Alta",'Mapa final'!$L$27="Moderado"),CONCATENATE("R",'Mapa final'!$A$27),"")</f>
        <v/>
      </c>
      <c r="Y14" s="330"/>
      <c r="Z14" s="330" t="str">
        <f>IF(AND('Mapa final'!$H$29="Alta",'Mapa final'!$L$29="Moderado"),CONCATENATE("R",'Mapa final'!$A$29),"")</f>
        <v/>
      </c>
      <c r="AA14" s="331"/>
      <c r="AB14" s="329" t="str">
        <f>IF(AND('Mapa final'!$H$25="Alta",'Mapa final'!$L$25="Mayor"),CONCATENATE("R",'Mapa final'!$A$25),"")</f>
        <v/>
      </c>
      <c r="AC14" s="330"/>
      <c r="AD14" s="330" t="str">
        <f>IF(AND('Mapa final'!$H$27="Alta",'Mapa final'!$L$27="Mayor"),CONCATENATE("R",'Mapa final'!$A$27),"")</f>
        <v/>
      </c>
      <c r="AE14" s="330"/>
      <c r="AF14" s="330" t="str">
        <f>IF(AND('Mapa final'!$H$29="Alta",'Mapa final'!$L$29="Mayor"),CONCATENATE("R",'Mapa final'!$A$29),"")</f>
        <v/>
      </c>
      <c r="AG14" s="331"/>
      <c r="AH14" s="320" t="str">
        <f>IF(AND('Mapa final'!$H$25="Alta",'Mapa final'!$L$25="Catastrófico"),CONCATENATE("R",'Mapa final'!$A$25),"")</f>
        <v/>
      </c>
      <c r="AI14" s="321"/>
      <c r="AJ14" s="321" t="str">
        <f>IF(AND('Mapa final'!$H$27="Alta",'Mapa final'!$L$27="Catastrófico"),CONCATENATE("R",'Mapa final'!$A$27),"")</f>
        <v/>
      </c>
      <c r="AK14" s="321"/>
      <c r="AL14" s="321" t="str">
        <f>IF(AND('Mapa final'!$H$29="Alta",'Mapa final'!$L$29="Catastrófico"),CONCATENATE("R",'Mapa final'!$A$29),"")</f>
        <v/>
      </c>
      <c r="AM14" s="322"/>
      <c r="AN14" s="83"/>
      <c r="AO14" s="354" t="s">
        <v>95</v>
      </c>
      <c r="AP14" s="355"/>
      <c r="AQ14" s="355"/>
      <c r="AR14" s="355"/>
      <c r="AS14" s="355"/>
      <c r="AT14" s="3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43"/>
      <c r="C15" s="343"/>
      <c r="D15" s="344"/>
      <c r="E15" s="336"/>
      <c r="F15" s="337"/>
      <c r="G15" s="337"/>
      <c r="H15" s="337"/>
      <c r="I15" s="337"/>
      <c r="J15" s="305"/>
      <c r="K15" s="306"/>
      <c r="L15" s="306"/>
      <c r="M15" s="306"/>
      <c r="N15" s="306"/>
      <c r="O15" s="307"/>
      <c r="P15" s="305"/>
      <c r="Q15" s="306"/>
      <c r="R15" s="306"/>
      <c r="S15" s="306"/>
      <c r="T15" s="306"/>
      <c r="U15" s="307"/>
      <c r="V15" s="323"/>
      <c r="W15" s="324"/>
      <c r="X15" s="324"/>
      <c r="Y15" s="324"/>
      <c r="Z15" s="324"/>
      <c r="AA15" s="325"/>
      <c r="AB15" s="323"/>
      <c r="AC15" s="324"/>
      <c r="AD15" s="324"/>
      <c r="AE15" s="324"/>
      <c r="AF15" s="324"/>
      <c r="AG15" s="325"/>
      <c r="AH15" s="314"/>
      <c r="AI15" s="315"/>
      <c r="AJ15" s="315"/>
      <c r="AK15" s="315"/>
      <c r="AL15" s="315"/>
      <c r="AM15" s="316"/>
      <c r="AN15" s="83"/>
      <c r="AO15" s="357"/>
      <c r="AP15" s="358"/>
      <c r="AQ15" s="358"/>
      <c r="AR15" s="358"/>
      <c r="AS15" s="358"/>
      <c r="AT15" s="3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43"/>
      <c r="C16" s="343"/>
      <c r="D16" s="344"/>
      <c r="E16" s="336"/>
      <c r="F16" s="337"/>
      <c r="G16" s="337"/>
      <c r="H16" s="337"/>
      <c r="I16" s="337"/>
      <c r="J16" s="305" t="str">
        <f>IF(AND('Mapa final'!$H$33="Alta",'Mapa final'!$L$33="Leve"),CONCATENATE("R",'Mapa final'!$A$33),"")</f>
        <v/>
      </c>
      <c r="K16" s="306"/>
      <c r="L16" s="306" t="str">
        <f>IF(AND('Mapa final'!$H$37="Alta",'Mapa final'!$L$37="Leve"),CONCATENATE("R",'Mapa final'!$A$37),"")</f>
        <v/>
      </c>
      <c r="M16" s="306"/>
      <c r="N16" s="306" t="str">
        <f>IF(AND('Mapa final'!$H$40="Alta",'Mapa final'!$L$40="Leve"),CONCATENATE("R",'Mapa final'!$A$40),"")</f>
        <v/>
      </c>
      <c r="O16" s="307"/>
      <c r="P16" s="305" t="str">
        <f>IF(AND('Mapa final'!$H$33="Alta",'Mapa final'!$L$33="Menor"),CONCATENATE("R",'Mapa final'!$A$33),"")</f>
        <v/>
      </c>
      <c r="Q16" s="306"/>
      <c r="R16" s="306" t="str">
        <f>IF(AND('Mapa final'!$H$37="Alta",'Mapa final'!$L$37="Menor"),CONCATENATE("R",'Mapa final'!$A$37),"")</f>
        <v/>
      </c>
      <c r="S16" s="306"/>
      <c r="T16" s="306" t="str">
        <f>IF(AND('Mapa final'!$H$40="Alta",'Mapa final'!$L$40="Menor"),CONCATENATE("R",'Mapa final'!$A$40),"")</f>
        <v/>
      </c>
      <c r="U16" s="307"/>
      <c r="V16" s="323" t="str">
        <f>IF(AND('Mapa final'!$H$33="Alta",'Mapa final'!$L$33="Moderado"),CONCATENATE("R",'Mapa final'!$A$33),"")</f>
        <v/>
      </c>
      <c r="W16" s="324"/>
      <c r="X16" s="324" t="str">
        <f>IF(AND('Mapa final'!$H$37="Alta",'Mapa final'!$L$37="Moderado"),CONCATENATE("R",'Mapa final'!$A$37),"")</f>
        <v/>
      </c>
      <c r="Y16" s="324"/>
      <c r="Z16" s="324" t="str">
        <f>IF(AND('Mapa final'!$H$40="Alta",'Mapa final'!$L$40="Moderado"),CONCATENATE("R",'Mapa final'!$A$40),"")</f>
        <v/>
      </c>
      <c r="AA16" s="325"/>
      <c r="AB16" s="323" t="str">
        <f>IF(AND('Mapa final'!$H$33="Alta",'Mapa final'!$L$33="Mayor"),CONCATENATE("R",'Mapa final'!$A$33),"")</f>
        <v/>
      </c>
      <c r="AC16" s="324"/>
      <c r="AD16" s="324" t="str">
        <f>IF(AND('Mapa final'!$H$37="Alta",'Mapa final'!$L$37="Mayor"),CONCATENATE("R",'Mapa final'!$A$37),"")</f>
        <v/>
      </c>
      <c r="AE16" s="324"/>
      <c r="AF16" s="324" t="str">
        <f>IF(AND('Mapa final'!$H$40="Alta",'Mapa final'!$L$40="Mayor"),CONCATENATE("R",'Mapa final'!$A$40),"")</f>
        <v/>
      </c>
      <c r="AG16" s="325"/>
      <c r="AH16" s="314" t="str">
        <f>IF(AND('Mapa final'!$H$33="Alta",'Mapa final'!$L$33="Catastrófico"),CONCATENATE("R",'Mapa final'!$A$33),"")</f>
        <v/>
      </c>
      <c r="AI16" s="315"/>
      <c r="AJ16" s="315" t="str">
        <f>IF(AND('Mapa final'!$H$37="Alta",'Mapa final'!$L$37="Catastrófico"),CONCATENATE("R",'Mapa final'!$A$37),"")</f>
        <v/>
      </c>
      <c r="AK16" s="315"/>
      <c r="AL16" s="315" t="str">
        <f>IF(AND('Mapa final'!$H$40="Alta",'Mapa final'!$L$40="Catastrófico"),CONCATENATE("R",'Mapa final'!$A$40),"")</f>
        <v/>
      </c>
      <c r="AM16" s="316"/>
      <c r="AN16" s="83"/>
      <c r="AO16" s="357"/>
      <c r="AP16" s="358"/>
      <c r="AQ16" s="358"/>
      <c r="AR16" s="358"/>
      <c r="AS16" s="358"/>
      <c r="AT16" s="35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43"/>
      <c r="C17" s="343"/>
      <c r="D17" s="344"/>
      <c r="E17" s="336"/>
      <c r="F17" s="337"/>
      <c r="G17" s="337"/>
      <c r="H17" s="337"/>
      <c r="I17" s="337"/>
      <c r="J17" s="305"/>
      <c r="K17" s="306"/>
      <c r="L17" s="306"/>
      <c r="M17" s="306"/>
      <c r="N17" s="306"/>
      <c r="O17" s="307"/>
      <c r="P17" s="305"/>
      <c r="Q17" s="306"/>
      <c r="R17" s="306"/>
      <c r="S17" s="306"/>
      <c r="T17" s="306"/>
      <c r="U17" s="307"/>
      <c r="V17" s="323"/>
      <c r="W17" s="324"/>
      <c r="X17" s="324"/>
      <c r="Y17" s="324"/>
      <c r="Z17" s="324"/>
      <c r="AA17" s="325"/>
      <c r="AB17" s="323"/>
      <c r="AC17" s="324"/>
      <c r="AD17" s="324"/>
      <c r="AE17" s="324"/>
      <c r="AF17" s="324"/>
      <c r="AG17" s="325"/>
      <c r="AH17" s="314"/>
      <c r="AI17" s="315"/>
      <c r="AJ17" s="315"/>
      <c r="AK17" s="315"/>
      <c r="AL17" s="315"/>
      <c r="AM17" s="316"/>
      <c r="AN17" s="83"/>
      <c r="AO17" s="357"/>
      <c r="AP17" s="358"/>
      <c r="AQ17" s="358"/>
      <c r="AR17" s="358"/>
      <c r="AS17" s="358"/>
      <c r="AT17" s="35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43"/>
      <c r="C18" s="343"/>
      <c r="D18" s="344"/>
      <c r="E18" s="336"/>
      <c r="F18" s="337"/>
      <c r="G18" s="337"/>
      <c r="H18" s="337"/>
      <c r="I18" s="337"/>
      <c r="J18" s="305" t="str">
        <f>IF(AND('Mapa final'!$H$42="Alta",'Mapa final'!$L$42="Leve"),CONCATENATE("R",'Mapa final'!$A$42),"")</f>
        <v/>
      </c>
      <c r="K18" s="306"/>
      <c r="L18" s="306" t="str">
        <f>IF(AND('Mapa final'!$H$47="Alta",'Mapa final'!$L$47="Leve"),CONCATENATE("R",'Mapa final'!$A$47),"")</f>
        <v/>
      </c>
      <c r="M18" s="306"/>
      <c r="N18" s="306" t="e">
        <f>IF(AND('Mapa final'!#REF!="Alta",'Mapa final'!#REF!="Leve"),CONCATENATE("R",'Mapa final'!#REF!),"")</f>
        <v>#REF!</v>
      </c>
      <c r="O18" s="307"/>
      <c r="P18" s="305" t="str">
        <f>IF(AND('Mapa final'!$H$42="Alta",'Mapa final'!$L$42="Menor"),CONCATENATE("R",'Mapa final'!$A$42),"")</f>
        <v/>
      </c>
      <c r="Q18" s="306"/>
      <c r="R18" s="306" t="str">
        <f>IF(AND('Mapa final'!$H$47="Alta",'Mapa final'!$L$47="Menor"),CONCATENATE("R",'Mapa final'!$A$47),"")</f>
        <v/>
      </c>
      <c r="S18" s="306"/>
      <c r="T18" s="306" t="e">
        <f>IF(AND('Mapa final'!#REF!="Alta",'Mapa final'!#REF!="Menor"),CONCATENATE("R",'Mapa final'!#REF!),"")</f>
        <v>#REF!</v>
      </c>
      <c r="U18" s="307"/>
      <c r="V18" s="323" t="str">
        <f>IF(AND('Mapa final'!$H$42="Alta",'Mapa final'!$L$42="Moderado"),CONCATENATE("R",'Mapa final'!$A$42),"")</f>
        <v/>
      </c>
      <c r="W18" s="324"/>
      <c r="X18" s="324" t="str">
        <f>IF(AND('Mapa final'!$H$47="Alta",'Mapa final'!$L$47="Moderado"),CONCATENATE("R",'Mapa final'!$A$47),"")</f>
        <v/>
      </c>
      <c r="Y18" s="324"/>
      <c r="Z18" s="324" t="e">
        <f>IF(AND('Mapa final'!#REF!="Alta",'Mapa final'!#REF!="Moderado"),CONCATENATE("R",'Mapa final'!#REF!),"")</f>
        <v>#REF!</v>
      </c>
      <c r="AA18" s="325"/>
      <c r="AB18" s="323" t="str">
        <f>IF(AND('Mapa final'!$H$42="Alta",'Mapa final'!$L$42="Mayor"),CONCATENATE("R",'Mapa final'!$A$42),"")</f>
        <v/>
      </c>
      <c r="AC18" s="324"/>
      <c r="AD18" s="324" t="str">
        <f>IF(AND('Mapa final'!$H$47="Alta",'Mapa final'!$L$47="Mayor"),CONCATENATE("R",'Mapa final'!$A$47),"")</f>
        <v/>
      </c>
      <c r="AE18" s="324"/>
      <c r="AF18" s="324" t="e">
        <f>IF(AND('Mapa final'!#REF!="Alta",'Mapa final'!#REF!="Mayor"),CONCATENATE("R",'Mapa final'!#REF!),"")</f>
        <v>#REF!</v>
      </c>
      <c r="AG18" s="325"/>
      <c r="AH18" s="314" t="str">
        <f>IF(AND('Mapa final'!$H$42="Alta",'Mapa final'!$L$42="Catastrófico"),CONCATENATE("R",'Mapa final'!$A$42),"")</f>
        <v/>
      </c>
      <c r="AI18" s="315"/>
      <c r="AJ18" s="315" t="str">
        <f>IF(AND('Mapa final'!$H$47="Alta",'Mapa final'!$L$47="Catastrófico"),CONCATENATE("R",'Mapa final'!$A$47),"")</f>
        <v/>
      </c>
      <c r="AK18" s="315"/>
      <c r="AL18" s="315" t="e">
        <f>IF(AND('Mapa final'!#REF!="Alta",'Mapa final'!#REF!="Catastrófico"),CONCATENATE("R",'Mapa final'!#REF!),"")</f>
        <v>#REF!</v>
      </c>
      <c r="AM18" s="316"/>
      <c r="AN18" s="83"/>
      <c r="AO18" s="357"/>
      <c r="AP18" s="358"/>
      <c r="AQ18" s="358"/>
      <c r="AR18" s="358"/>
      <c r="AS18" s="358"/>
      <c r="AT18" s="35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43"/>
      <c r="C19" s="343"/>
      <c r="D19" s="344"/>
      <c r="E19" s="336"/>
      <c r="F19" s="337"/>
      <c r="G19" s="337"/>
      <c r="H19" s="337"/>
      <c r="I19" s="337"/>
      <c r="J19" s="305"/>
      <c r="K19" s="306"/>
      <c r="L19" s="306"/>
      <c r="M19" s="306"/>
      <c r="N19" s="306"/>
      <c r="O19" s="307"/>
      <c r="P19" s="305"/>
      <c r="Q19" s="306"/>
      <c r="R19" s="306"/>
      <c r="S19" s="306"/>
      <c r="T19" s="306"/>
      <c r="U19" s="307"/>
      <c r="V19" s="323"/>
      <c r="W19" s="324"/>
      <c r="X19" s="324"/>
      <c r="Y19" s="324"/>
      <c r="Z19" s="324"/>
      <c r="AA19" s="325"/>
      <c r="AB19" s="323"/>
      <c r="AC19" s="324"/>
      <c r="AD19" s="324"/>
      <c r="AE19" s="324"/>
      <c r="AF19" s="324"/>
      <c r="AG19" s="325"/>
      <c r="AH19" s="314"/>
      <c r="AI19" s="315"/>
      <c r="AJ19" s="315"/>
      <c r="AK19" s="315"/>
      <c r="AL19" s="315"/>
      <c r="AM19" s="316"/>
      <c r="AN19" s="83"/>
      <c r="AO19" s="357"/>
      <c r="AP19" s="358"/>
      <c r="AQ19" s="358"/>
      <c r="AR19" s="358"/>
      <c r="AS19" s="358"/>
      <c r="AT19" s="35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43"/>
      <c r="C20" s="343"/>
      <c r="D20" s="344"/>
      <c r="E20" s="336"/>
      <c r="F20" s="337"/>
      <c r="G20" s="337"/>
      <c r="H20" s="337"/>
      <c r="I20" s="337"/>
      <c r="J20" s="305" t="e">
        <f>IF(AND('Mapa final'!#REF!="Alta",'Mapa final'!#REF!="Leve"),CONCATENATE("R",'Mapa final'!#REF!),"")</f>
        <v>#REF!</v>
      </c>
      <c r="K20" s="306"/>
      <c r="L20" s="306" t="str">
        <f>IF(AND('Mapa final'!$H$50="Alta",'Mapa final'!$L$50="Leve"),CONCATENATE("R",'Mapa final'!$A$50),"")</f>
        <v/>
      </c>
      <c r="M20" s="306"/>
      <c r="N20" s="306" t="str">
        <f>IF(AND('Mapa final'!$H$56="Alta",'Mapa final'!$L$56="Leve"),CONCATENATE("R",'Mapa final'!$A$56),"")</f>
        <v/>
      </c>
      <c r="O20" s="307"/>
      <c r="P20" s="305" t="e">
        <f>IF(AND('Mapa final'!#REF!="Alta",'Mapa final'!#REF!="Menor"),CONCATENATE("R",'Mapa final'!#REF!),"")</f>
        <v>#REF!</v>
      </c>
      <c r="Q20" s="306"/>
      <c r="R20" s="306" t="str">
        <f>IF(AND('Mapa final'!$H$50="Alta",'Mapa final'!$L$50="Menor"),CONCATENATE("R",'Mapa final'!$A$50),"")</f>
        <v/>
      </c>
      <c r="S20" s="306"/>
      <c r="T20" s="306" t="str">
        <f>IF(AND('Mapa final'!$H$56="Alta",'Mapa final'!$L$56="Menor"),CONCATENATE("R",'Mapa final'!$A$56),"")</f>
        <v/>
      </c>
      <c r="U20" s="307"/>
      <c r="V20" s="323" t="e">
        <f>IF(AND('Mapa final'!#REF!="Alta",'Mapa final'!#REF!="Moderado"),CONCATENATE("R",'Mapa final'!#REF!),"")</f>
        <v>#REF!</v>
      </c>
      <c r="W20" s="324"/>
      <c r="X20" s="324" t="str">
        <f>IF(AND('Mapa final'!$H$50="Alta",'Mapa final'!$L$50="Moderado"),CONCATENATE("R",'Mapa final'!$A$50),"")</f>
        <v/>
      </c>
      <c r="Y20" s="324"/>
      <c r="Z20" s="324" t="str">
        <f>IF(AND('Mapa final'!$H$56="Alta",'Mapa final'!$L$56="Moderado"),CONCATENATE("R",'Mapa final'!$A$56),"")</f>
        <v/>
      </c>
      <c r="AA20" s="325"/>
      <c r="AB20" s="323" t="e">
        <f>IF(AND('Mapa final'!#REF!="Alta",'Mapa final'!#REF!="Mayor"),CONCATENATE("R",'Mapa final'!#REF!),"")</f>
        <v>#REF!</v>
      </c>
      <c r="AC20" s="324"/>
      <c r="AD20" s="324" t="str">
        <f>IF(AND('Mapa final'!$H$50="Alta",'Mapa final'!$L$50="Mayor"),CONCATENATE("R",'Mapa final'!$A$50),"")</f>
        <v/>
      </c>
      <c r="AE20" s="324"/>
      <c r="AF20" s="324" t="str">
        <f>IF(AND('Mapa final'!$H$56="Alta",'Mapa final'!$L$56="Mayor"),CONCATENATE("R",'Mapa final'!$A$56),"")</f>
        <v/>
      </c>
      <c r="AG20" s="325"/>
      <c r="AH20" s="314" t="e">
        <f>IF(AND('Mapa final'!#REF!="Alta",'Mapa final'!#REF!="Catastrófico"),CONCATENATE("R",'Mapa final'!#REF!),"")</f>
        <v>#REF!</v>
      </c>
      <c r="AI20" s="315"/>
      <c r="AJ20" s="315" t="str">
        <f>IF(AND('Mapa final'!$H$50="Alta",'Mapa final'!$L$50="Catastrófico"),CONCATENATE("R",'Mapa final'!$A$50),"")</f>
        <v/>
      </c>
      <c r="AK20" s="315"/>
      <c r="AL20" s="315" t="str">
        <f>IF(AND('Mapa final'!$H$56="Alta",'Mapa final'!$L$56="Catastrófico"),CONCATENATE("R",'Mapa final'!$A$56),"")</f>
        <v/>
      </c>
      <c r="AM20" s="316"/>
      <c r="AN20" s="83"/>
      <c r="AO20" s="357"/>
      <c r="AP20" s="358"/>
      <c r="AQ20" s="358"/>
      <c r="AR20" s="358"/>
      <c r="AS20" s="358"/>
      <c r="AT20" s="35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43"/>
      <c r="C21" s="343"/>
      <c r="D21" s="344"/>
      <c r="E21" s="339"/>
      <c r="F21" s="340"/>
      <c r="G21" s="340"/>
      <c r="H21" s="340"/>
      <c r="I21" s="340"/>
      <c r="J21" s="308"/>
      <c r="K21" s="309"/>
      <c r="L21" s="309"/>
      <c r="M21" s="309"/>
      <c r="N21" s="309"/>
      <c r="O21" s="310"/>
      <c r="P21" s="308"/>
      <c r="Q21" s="309"/>
      <c r="R21" s="309"/>
      <c r="S21" s="309"/>
      <c r="T21" s="309"/>
      <c r="U21" s="310"/>
      <c r="V21" s="326"/>
      <c r="W21" s="327"/>
      <c r="X21" s="327"/>
      <c r="Y21" s="327"/>
      <c r="Z21" s="327"/>
      <c r="AA21" s="328"/>
      <c r="AB21" s="326"/>
      <c r="AC21" s="327"/>
      <c r="AD21" s="327"/>
      <c r="AE21" s="327"/>
      <c r="AF21" s="327"/>
      <c r="AG21" s="328"/>
      <c r="AH21" s="317"/>
      <c r="AI21" s="318"/>
      <c r="AJ21" s="318"/>
      <c r="AK21" s="318"/>
      <c r="AL21" s="318"/>
      <c r="AM21" s="319"/>
      <c r="AN21" s="83"/>
      <c r="AO21" s="360"/>
      <c r="AP21" s="361"/>
      <c r="AQ21" s="361"/>
      <c r="AR21" s="361"/>
      <c r="AS21" s="361"/>
      <c r="AT21" s="36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43"/>
      <c r="C22" s="343"/>
      <c r="D22" s="344"/>
      <c r="E22" s="333" t="s">
        <v>96</v>
      </c>
      <c r="F22" s="334"/>
      <c r="G22" s="334"/>
      <c r="H22" s="334"/>
      <c r="I22" s="335"/>
      <c r="J22" s="311" t="str">
        <f>IF(AND('Mapa final'!$H$25="Media",'Mapa final'!$L$25="Leve"),CONCATENATE("R",'Mapa final'!$A$25),"")</f>
        <v/>
      </c>
      <c r="K22" s="312"/>
      <c r="L22" s="312" t="str">
        <f>IF(AND('Mapa final'!$H$27="Media",'Mapa final'!$L$27="Leve"),CONCATENATE("R",'Mapa final'!$A$27),"")</f>
        <v/>
      </c>
      <c r="M22" s="312"/>
      <c r="N22" s="312" t="str">
        <f>IF(AND('Mapa final'!$H$29="Media",'Mapa final'!$L$29="Leve"),CONCATENATE("R",'Mapa final'!$A$29),"")</f>
        <v/>
      </c>
      <c r="O22" s="313"/>
      <c r="P22" s="311" t="str">
        <f>IF(AND('Mapa final'!$H$25="Media",'Mapa final'!$L$25="Menor"),CONCATENATE("R",'Mapa final'!$A$25),"")</f>
        <v/>
      </c>
      <c r="Q22" s="312"/>
      <c r="R22" s="312" t="str">
        <f>IF(AND('Mapa final'!$H$27="Media",'Mapa final'!$L$27="Menor"),CONCATENATE("R",'Mapa final'!$A$27),"")</f>
        <v/>
      </c>
      <c r="S22" s="312"/>
      <c r="T22" s="312" t="str">
        <f>IF(AND('Mapa final'!$H$29="Media",'Mapa final'!$L$29="Menor"),CONCATENATE("R",'Mapa final'!$A$29),"")</f>
        <v/>
      </c>
      <c r="U22" s="313"/>
      <c r="V22" s="311" t="str">
        <f>IF(AND('Mapa final'!$H$25="Media",'Mapa final'!$L$25="Moderado"),CONCATENATE("R",'Mapa final'!$A$25),"")</f>
        <v>R1</v>
      </c>
      <c r="W22" s="312"/>
      <c r="X22" s="312" t="str">
        <f>IF(AND('Mapa final'!$H$27="Media",'Mapa final'!$L$27="Moderado"),CONCATENATE("R",'Mapa final'!$A$27),"")</f>
        <v/>
      </c>
      <c r="Y22" s="312"/>
      <c r="Z22" s="312" t="str">
        <f>IF(AND('Mapa final'!$H$29="Media",'Mapa final'!$L$29="Moderado"),CONCATENATE("R",'Mapa final'!$A$29),"")</f>
        <v/>
      </c>
      <c r="AA22" s="313"/>
      <c r="AB22" s="329" t="str">
        <f>IF(AND('Mapa final'!$H$25="Media",'Mapa final'!$L$25="Mayor"),CONCATENATE("R",'Mapa final'!$A$25),"")</f>
        <v/>
      </c>
      <c r="AC22" s="330"/>
      <c r="AD22" s="330" t="str">
        <f>IF(AND('Mapa final'!$H$27="Media",'Mapa final'!$L$27="Mayor"),CONCATENATE("R",'Mapa final'!$A$27),"")</f>
        <v/>
      </c>
      <c r="AE22" s="330"/>
      <c r="AF22" s="330" t="str">
        <f>IF(AND('Mapa final'!$H$29="Media",'Mapa final'!$L$29="Mayor"),CONCATENATE("R",'Mapa final'!$A$29),"")</f>
        <v/>
      </c>
      <c r="AG22" s="331"/>
      <c r="AH22" s="320" t="str">
        <f>IF(AND('Mapa final'!$H$25="Media",'Mapa final'!$L$25="Catastrófico"),CONCATENATE("R",'Mapa final'!$A$25),"")</f>
        <v/>
      </c>
      <c r="AI22" s="321"/>
      <c r="AJ22" s="321" t="str">
        <f>IF(AND('Mapa final'!$H$27="Media",'Mapa final'!$L$27="Catastrófico"),CONCATENATE("R",'Mapa final'!$A$27),"")</f>
        <v/>
      </c>
      <c r="AK22" s="321"/>
      <c r="AL22" s="321" t="str">
        <f>IF(AND('Mapa final'!$H$29="Media",'Mapa final'!$L$29="Catastrófico"),CONCATENATE("R",'Mapa final'!$A$29),"")</f>
        <v/>
      </c>
      <c r="AM22" s="322"/>
      <c r="AN22" s="83"/>
      <c r="AO22" s="363" t="s">
        <v>97</v>
      </c>
      <c r="AP22" s="364"/>
      <c r="AQ22" s="364"/>
      <c r="AR22" s="364"/>
      <c r="AS22" s="364"/>
      <c r="AT22" s="36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43"/>
      <c r="C23" s="343"/>
      <c r="D23" s="344"/>
      <c r="E23" s="336"/>
      <c r="F23" s="337"/>
      <c r="G23" s="337"/>
      <c r="H23" s="337"/>
      <c r="I23" s="338"/>
      <c r="J23" s="305"/>
      <c r="K23" s="306"/>
      <c r="L23" s="306"/>
      <c r="M23" s="306"/>
      <c r="N23" s="306"/>
      <c r="O23" s="307"/>
      <c r="P23" s="305"/>
      <c r="Q23" s="306"/>
      <c r="R23" s="306"/>
      <c r="S23" s="306"/>
      <c r="T23" s="306"/>
      <c r="U23" s="307"/>
      <c r="V23" s="305"/>
      <c r="W23" s="306"/>
      <c r="X23" s="306"/>
      <c r="Y23" s="306"/>
      <c r="Z23" s="306"/>
      <c r="AA23" s="307"/>
      <c r="AB23" s="323"/>
      <c r="AC23" s="324"/>
      <c r="AD23" s="324"/>
      <c r="AE23" s="324"/>
      <c r="AF23" s="324"/>
      <c r="AG23" s="325"/>
      <c r="AH23" s="314"/>
      <c r="AI23" s="315"/>
      <c r="AJ23" s="315"/>
      <c r="AK23" s="315"/>
      <c r="AL23" s="315"/>
      <c r="AM23" s="316"/>
      <c r="AN23" s="83"/>
      <c r="AO23" s="366"/>
      <c r="AP23" s="367"/>
      <c r="AQ23" s="367"/>
      <c r="AR23" s="367"/>
      <c r="AS23" s="367"/>
      <c r="AT23" s="36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43"/>
      <c r="C24" s="343"/>
      <c r="D24" s="344"/>
      <c r="E24" s="336"/>
      <c r="F24" s="337"/>
      <c r="G24" s="337"/>
      <c r="H24" s="337"/>
      <c r="I24" s="338"/>
      <c r="J24" s="305" t="str">
        <f>IF(AND('Mapa final'!$H$33="Media",'Mapa final'!$L$33="Leve"),CONCATENATE("R",'Mapa final'!$A$33),"")</f>
        <v/>
      </c>
      <c r="K24" s="306"/>
      <c r="L24" s="306" t="str">
        <f>IF(AND('Mapa final'!$H$37="Media",'Mapa final'!$L$37="Leve"),CONCATENATE("R",'Mapa final'!$A$37),"")</f>
        <v/>
      </c>
      <c r="M24" s="306"/>
      <c r="N24" s="306" t="str">
        <f>IF(AND('Mapa final'!$H$40="Media",'Mapa final'!$L$40="Leve"),CONCATENATE("R",'Mapa final'!$A$40),"")</f>
        <v>R6</v>
      </c>
      <c r="O24" s="307"/>
      <c r="P24" s="305" t="str">
        <f>IF(AND('Mapa final'!$H$33="Media",'Mapa final'!$L$33="Menor"),CONCATENATE("R",'Mapa final'!$A$33),"")</f>
        <v/>
      </c>
      <c r="Q24" s="306"/>
      <c r="R24" s="306" t="str">
        <f>IF(AND('Mapa final'!$H$37="Media",'Mapa final'!$L$37="Menor"),CONCATENATE("R",'Mapa final'!$A$37),"")</f>
        <v/>
      </c>
      <c r="S24" s="306"/>
      <c r="T24" s="306" t="str">
        <f>IF(AND('Mapa final'!$H$40="Media",'Mapa final'!$L$40="Menor"),CONCATENATE("R",'Mapa final'!$A$40),"")</f>
        <v/>
      </c>
      <c r="U24" s="307"/>
      <c r="V24" s="305" t="str">
        <f>IF(AND('Mapa final'!$H$33="Media",'Mapa final'!$L$33="Moderado"),CONCATENATE("R",'Mapa final'!$A$33),"")</f>
        <v/>
      </c>
      <c r="W24" s="306"/>
      <c r="X24" s="306" t="str">
        <f>IF(AND('Mapa final'!$H$37="Media",'Mapa final'!$L$37="Moderado"),CONCATENATE("R",'Mapa final'!$A$37),"")</f>
        <v/>
      </c>
      <c r="Y24" s="306"/>
      <c r="Z24" s="306" t="str">
        <f>IF(AND('Mapa final'!$H$40="Media",'Mapa final'!$L$40="Moderado"),CONCATENATE("R",'Mapa final'!$A$40),"")</f>
        <v/>
      </c>
      <c r="AA24" s="307"/>
      <c r="AB24" s="323" t="str">
        <f>IF(AND('Mapa final'!$H$33="Media",'Mapa final'!$L$33="Mayor"),CONCATENATE("R",'Mapa final'!$A$33),"")</f>
        <v/>
      </c>
      <c r="AC24" s="324"/>
      <c r="AD24" s="324" t="str">
        <f>IF(AND('Mapa final'!$H$37="Media",'Mapa final'!$L$37="Mayor"),CONCATENATE("R",'Mapa final'!$A$37),"")</f>
        <v/>
      </c>
      <c r="AE24" s="324"/>
      <c r="AF24" s="324" t="str">
        <f>IF(AND('Mapa final'!$H$40="Media",'Mapa final'!$L$40="Mayor"),CONCATENATE("R",'Mapa final'!$A$40),"")</f>
        <v/>
      </c>
      <c r="AG24" s="325"/>
      <c r="AH24" s="314" t="str">
        <f>IF(AND('Mapa final'!$H$33="Media",'Mapa final'!$L$33="Catastrófico"),CONCATENATE("R",'Mapa final'!$A$33),"")</f>
        <v/>
      </c>
      <c r="AI24" s="315"/>
      <c r="AJ24" s="315" t="str">
        <f>IF(AND('Mapa final'!$H$37="Media",'Mapa final'!$L$37="Catastrófico"),CONCATENATE("R",'Mapa final'!$A$37),"")</f>
        <v/>
      </c>
      <c r="AK24" s="315"/>
      <c r="AL24" s="315" t="str">
        <f>IF(AND('Mapa final'!$H$40="Media",'Mapa final'!$L$40="Catastrófico"),CONCATENATE("R",'Mapa final'!$A$40),"")</f>
        <v/>
      </c>
      <c r="AM24" s="316"/>
      <c r="AN24" s="83"/>
      <c r="AO24" s="366"/>
      <c r="AP24" s="367"/>
      <c r="AQ24" s="367"/>
      <c r="AR24" s="367"/>
      <c r="AS24" s="367"/>
      <c r="AT24" s="36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43"/>
      <c r="C25" s="343"/>
      <c r="D25" s="344"/>
      <c r="E25" s="336"/>
      <c r="F25" s="337"/>
      <c r="G25" s="337"/>
      <c r="H25" s="337"/>
      <c r="I25" s="338"/>
      <c r="J25" s="305"/>
      <c r="K25" s="306"/>
      <c r="L25" s="306"/>
      <c r="M25" s="306"/>
      <c r="N25" s="306"/>
      <c r="O25" s="307"/>
      <c r="P25" s="305"/>
      <c r="Q25" s="306"/>
      <c r="R25" s="306"/>
      <c r="S25" s="306"/>
      <c r="T25" s="306"/>
      <c r="U25" s="307"/>
      <c r="V25" s="305"/>
      <c r="W25" s="306"/>
      <c r="X25" s="306"/>
      <c r="Y25" s="306"/>
      <c r="Z25" s="306"/>
      <c r="AA25" s="307"/>
      <c r="AB25" s="323"/>
      <c r="AC25" s="324"/>
      <c r="AD25" s="324"/>
      <c r="AE25" s="324"/>
      <c r="AF25" s="324"/>
      <c r="AG25" s="325"/>
      <c r="AH25" s="314"/>
      <c r="AI25" s="315"/>
      <c r="AJ25" s="315"/>
      <c r="AK25" s="315"/>
      <c r="AL25" s="315"/>
      <c r="AM25" s="316"/>
      <c r="AN25" s="83"/>
      <c r="AO25" s="366"/>
      <c r="AP25" s="367"/>
      <c r="AQ25" s="367"/>
      <c r="AR25" s="367"/>
      <c r="AS25" s="367"/>
      <c r="AT25" s="36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43"/>
      <c r="C26" s="343"/>
      <c r="D26" s="344"/>
      <c r="E26" s="336"/>
      <c r="F26" s="337"/>
      <c r="G26" s="337"/>
      <c r="H26" s="337"/>
      <c r="I26" s="338"/>
      <c r="J26" s="305" t="str">
        <f>IF(AND('Mapa final'!$H$42="Media",'Mapa final'!$L$42="Leve"),CONCATENATE("R",'Mapa final'!$A$42),"")</f>
        <v>R7</v>
      </c>
      <c r="K26" s="306"/>
      <c r="L26" s="306" t="str">
        <f>IF(AND('Mapa final'!$H$47="Media",'Mapa final'!$L$47="Leve"),CONCATENATE("R",'Mapa final'!$A$47),"")</f>
        <v/>
      </c>
      <c r="M26" s="306"/>
      <c r="N26" s="306" t="e">
        <f>IF(AND('Mapa final'!#REF!="Media",'Mapa final'!#REF!="Leve"),CONCATENATE("R",'Mapa final'!#REF!),"")</f>
        <v>#REF!</v>
      </c>
      <c r="O26" s="307"/>
      <c r="P26" s="305" t="str">
        <f>IF(AND('Mapa final'!$H$42="Media",'Mapa final'!$L$42="Menor"),CONCATENATE("R",'Mapa final'!$A$42),"")</f>
        <v/>
      </c>
      <c r="Q26" s="306"/>
      <c r="R26" s="306" t="str">
        <f>IF(AND('Mapa final'!$H$47="Media",'Mapa final'!$L$47="Menor"),CONCATENATE("R",'Mapa final'!$A$47),"")</f>
        <v/>
      </c>
      <c r="S26" s="306"/>
      <c r="T26" s="306" t="e">
        <f>IF(AND('Mapa final'!#REF!="Media",'Mapa final'!#REF!="Menor"),CONCATENATE("R",'Mapa final'!#REF!),"")</f>
        <v>#REF!</v>
      </c>
      <c r="U26" s="307"/>
      <c r="V26" s="305" t="str">
        <f>IF(AND('Mapa final'!$H$42="Media",'Mapa final'!$L$42="Moderado"),CONCATENATE("R",'Mapa final'!$A$42),"")</f>
        <v/>
      </c>
      <c r="W26" s="306"/>
      <c r="X26" s="306" t="str">
        <f>IF(AND('Mapa final'!$H$47="Media",'Mapa final'!$L$47="Moderado"),CONCATENATE("R",'Mapa final'!$A$47),"")</f>
        <v>R8</v>
      </c>
      <c r="Y26" s="306"/>
      <c r="Z26" s="306" t="e">
        <f>IF(AND('Mapa final'!#REF!="Media",'Mapa final'!#REF!="Moderado"),CONCATENATE("R",'Mapa final'!#REF!),"")</f>
        <v>#REF!</v>
      </c>
      <c r="AA26" s="307"/>
      <c r="AB26" s="323" t="str">
        <f>IF(AND('Mapa final'!$H$42="Media",'Mapa final'!$L$42="Mayor"),CONCATENATE("R",'Mapa final'!$A$42),"")</f>
        <v/>
      </c>
      <c r="AC26" s="324"/>
      <c r="AD26" s="324" t="str">
        <f>IF(AND('Mapa final'!$H$47="Media",'Mapa final'!$L$47="Mayor"),CONCATENATE("R",'Mapa final'!$A$47),"")</f>
        <v/>
      </c>
      <c r="AE26" s="324"/>
      <c r="AF26" s="324" t="e">
        <f>IF(AND('Mapa final'!#REF!="Media",'Mapa final'!#REF!="Mayor"),CONCATENATE("R",'Mapa final'!#REF!),"")</f>
        <v>#REF!</v>
      </c>
      <c r="AG26" s="325"/>
      <c r="AH26" s="314" t="str">
        <f>IF(AND('Mapa final'!$H$42="Media",'Mapa final'!$L$42="Catastrófico"),CONCATENATE("R",'Mapa final'!$A$42),"")</f>
        <v/>
      </c>
      <c r="AI26" s="315"/>
      <c r="AJ26" s="315" t="str">
        <f>IF(AND('Mapa final'!$H$47="Media",'Mapa final'!$L$47="Catastrófico"),CONCATENATE("R",'Mapa final'!$A$47),"")</f>
        <v/>
      </c>
      <c r="AK26" s="315"/>
      <c r="AL26" s="315" t="e">
        <f>IF(AND('Mapa final'!#REF!="Media",'Mapa final'!#REF!="Catastrófico"),CONCATENATE("R",'Mapa final'!#REF!),"")</f>
        <v>#REF!</v>
      </c>
      <c r="AM26" s="316"/>
      <c r="AN26" s="83"/>
      <c r="AO26" s="366"/>
      <c r="AP26" s="367"/>
      <c r="AQ26" s="367"/>
      <c r="AR26" s="367"/>
      <c r="AS26" s="367"/>
      <c r="AT26" s="36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43"/>
      <c r="C27" s="343"/>
      <c r="D27" s="344"/>
      <c r="E27" s="336"/>
      <c r="F27" s="337"/>
      <c r="G27" s="337"/>
      <c r="H27" s="337"/>
      <c r="I27" s="338"/>
      <c r="J27" s="305"/>
      <c r="K27" s="306"/>
      <c r="L27" s="306"/>
      <c r="M27" s="306"/>
      <c r="N27" s="306"/>
      <c r="O27" s="307"/>
      <c r="P27" s="305"/>
      <c r="Q27" s="306"/>
      <c r="R27" s="306"/>
      <c r="S27" s="306"/>
      <c r="T27" s="306"/>
      <c r="U27" s="307"/>
      <c r="V27" s="305"/>
      <c r="W27" s="306"/>
      <c r="X27" s="306"/>
      <c r="Y27" s="306"/>
      <c r="Z27" s="306"/>
      <c r="AA27" s="307"/>
      <c r="AB27" s="323"/>
      <c r="AC27" s="324"/>
      <c r="AD27" s="324"/>
      <c r="AE27" s="324"/>
      <c r="AF27" s="324"/>
      <c r="AG27" s="325"/>
      <c r="AH27" s="314"/>
      <c r="AI27" s="315"/>
      <c r="AJ27" s="315"/>
      <c r="AK27" s="315"/>
      <c r="AL27" s="315"/>
      <c r="AM27" s="316"/>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43"/>
      <c r="C28" s="343"/>
      <c r="D28" s="344"/>
      <c r="E28" s="336"/>
      <c r="F28" s="337"/>
      <c r="G28" s="337"/>
      <c r="H28" s="337"/>
      <c r="I28" s="338"/>
      <c r="J28" s="305" t="e">
        <f>IF(AND('Mapa final'!#REF!="Media",'Mapa final'!#REF!="Leve"),CONCATENATE("R",'Mapa final'!#REF!),"")</f>
        <v>#REF!</v>
      </c>
      <c r="K28" s="306"/>
      <c r="L28" s="306" t="str">
        <f>IF(AND('Mapa final'!$H$50="Media",'Mapa final'!$L$50="Leve"),CONCATENATE("R",'Mapa final'!$A$50),"")</f>
        <v/>
      </c>
      <c r="M28" s="306"/>
      <c r="N28" s="306" t="str">
        <f>IF(AND('Mapa final'!$H$56="Media",'Mapa final'!$L$56="Leve"),CONCATENATE("R",'Mapa final'!$A$56),"")</f>
        <v/>
      </c>
      <c r="O28" s="307"/>
      <c r="P28" s="305" t="e">
        <f>IF(AND('Mapa final'!#REF!="Media",'Mapa final'!#REF!="Menor"),CONCATENATE("R",'Mapa final'!#REF!),"")</f>
        <v>#REF!</v>
      </c>
      <c r="Q28" s="306"/>
      <c r="R28" s="306" t="str">
        <f>IF(AND('Mapa final'!$H$50="Media",'Mapa final'!$L$50="Menor"),CONCATENATE("R",'Mapa final'!$A$50),"")</f>
        <v/>
      </c>
      <c r="S28" s="306"/>
      <c r="T28" s="306" t="str">
        <f>IF(AND('Mapa final'!$H$56="Media",'Mapa final'!$L$56="Menor"),CONCATENATE("R",'Mapa final'!$A$56),"")</f>
        <v/>
      </c>
      <c r="U28" s="307"/>
      <c r="V28" s="305" t="e">
        <f>IF(AND('Mapa final'!#REF!="Media",'Mapa final'!#REF!="Moderado"),CONCATENATE("R",'Mapa final'!#REF!),"")</f>
        <v>#REF!</v>
      </c>
      <c r="W28" s="306"/>
      <c r="X28" s="306" t="str">
        <f>IF(AND('Mapa final'!$H$50="Media",'Mapa final'!$L$50="Moderado"),CONCATENATE("R",'Mapa final'!$A$50),"")</f>
        <v/>
      </c>
      <c r="Y28" s="306"/>
      <c r="Z28" s="306" t="str">
        <f>IF(AND('Mapa final'!$H$56="Media",'Mapa final'!$L$56="Moderado"),CONCATENATE("R",'Mapa final'!$A$56),"")</f>
        <v/>
      </c>
      <c r="AA28" s="307"/>
      <c r="AB28" s="323" t="e">
        <f>IF(AND('Mapa final'!#REF!="Media",'Mapa final'!#REF!="Mayor"),CONCATENATE("R",'Mapa final'!#REF!),"")</f>
        <v>#REF!</v>
      </c>
      <c r="AC28" s="324"/>
      <c r="AD28" s="324" t="str">
        <f>IF(AND('Mapa final'!$H$50="Media",'Mapa final'!$L$50="Mayor"),CONCATENATE("R",'Mapa final'!$A$50),"")</f>
        <v/>
      </c>
      <c r="AE28" s="324"/>
      <c r="AF28" s="324" t="str">
        <f>IF(AND('Mapa final'!$H$56="Media",'Mapa final'!$L$56="Mayor"),CONCATENATE("R",'Mapa final'!$A$56),"")</f>
        <v/>
      </c>
      <c r="AG28" s="325"/>
      <c r="AH28" s="314" t="e">
        <f>IF(AND('Mapa final'!#REF!="Media",'Mapa final'!#REF!="Catastrófico"),CONCATENATE("R",'Mapa final'!#REF!),"")</f>
        <v>#REF!</v>
      </c>
      <c r="AI28" s="315"/>
      <c r="AJ28" s="315" t="str">
        <f>IF(AND('Mapa final'!$H$50="Media",'Mapa final'!$L$50="Catastrófico"),CONCATENATE("R",'Mapa final'!$A$50),"")</f>
        <v/>
      </c>
      <c r="AK28" s="315"/>
      <c r="AL28" s="315" t="str">
        <f>IF(AND('Mapa final'!$H$56="Media",'Mapa final'!$L$56="Catastrófico"),CONCATENATE("R",'Mapa final'!$A$56),"")</f>
        <v/>
      </c>
      <c r="AM28" s="316"/>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43"/>
      <c r="C29" s="343"/>
      <c r="D29" s="344"/>
      <c r="E29" s="339"/>
      <c r="F29" s="340"/>
      <c r="G29" s="340"/>
      <c r="H29" s="340"/>
      <c r="I29" s="341"/>
      <c r="J29" s="305"/>
      <c r="K29" s="306"/>
      <c r="L29" s="306"/>
      <c r="M29" s="306"/>
      <c r="N29" s="306"/>
      <c r="O29" s="307"/>
      <c r="P29" s="308"/>
      <c r="Q29" s="309"/>
      <c r="R29" s="309"/>
      <c r="S29" s="309"/>
      <c r="T29" s="309"/>
      <c r="U29" s="310"/>
      <c r="V29" s="308"/>
      <c r="W29" s="309"/>
      <c r="X29" s="309"/>
      <c r="Y29" s="309"/>
      <c r="Z29" s="309"/>
      <c r="AA29" s="310"/>
      <c r="AB29" s="326"/>
      <c r="AC29" s="327"/>
      <c r="AD29" s="327"/>
      <c r="AE29" s="327"/>
      <c r="AF29" s="327"/>
      <c r="AG29" s="328"/>
      <c r="AH29" s="317"/>
      <c r="AI29" s="318"/>
      <c r="AJ29" s="318"/>
      <c r="AK29" s="318"/>
      <c r="AL29" s="318"/>
      <c r="AM29" s="319"/>
      <c r="AN29" s="83"/>
      <c r="AO29" s="369"/>
      <c r="AP29" s="370"/>
      <c r="AQ29" s="370"/>
      <c r="AR29" s="370"/>
      <c r="AS29" s="370"/>
      <c r="AT29" s="37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43"/>
      <c r="C30" s="343"/>
      <c r="D30" s="344"/>
      <c r="E30" s="333" t="s">
        <v>98</v>
      </c>
      <c r="F30" s="334"/>
      <c r="G30" s="334"/>
      <c r="H30" s="334"/>
      <c r="I30" s="334"/>
      <c r="J30" s="302" t="str">
        <f>IF(AND('Mapa final'!$H$25="Baja",'Mapa final'!$L$25="Leve"),CONCATENATE("R",'Mapa final'!$A$25),"")</f>
        <v/>
      </c>
      <c r="K30" s="303"/>
      <c r="L30" s="303" t="str">
        <f>IF(AND('Mapa final'!$H$27="Baja",'Mapa final'!$L$27="Leve"),CONCATENATE("R",'Mapa final'!$A$27),"")</f>
        <v/>
      </c>
      <c r="M30" s="303"/>
      <c r="N30" s="303" t="str">
        <f>IF(AND('Mapa final'!$H$29="Baja",'Mapa final'!$L$29="Leve"),CONCATENATE("R",'Mapa final'!$A$29),"")</f>
        <v/>
      </c>
      <c r="O30" s="304"/>
      <c r="P30" s="312" t="str">
        <f>IF(AND('Mapa final'!$H$25="Baja",'Mapa final'!$L$25="Menor"),CONCATENATE("R",'Mapa final'!$A$25),"")</f>
        <v/>
      </c>
      <c r="Q30" s="312"/>
      <c r="R30" s="312" t="str">
        <f>IF(AND('Mapa final'!$H$27="Baja",'Mapa final'!$L$27="Menor"),CONCATENATE("R",'Mapa final'!$A$27),"")</f>
        <v/>
      </c>
      <c r="S30" s="312"/>
      <c r="T30" s="312" t="str">
        <f>IF(AND('Mapa final'!$H$29="Baja",'Mapa final'!$L$29="Menor"),CONCATENATE("R",'Mapa final'!$A$29),"")</f>
        <v/>
      </c>
      <c r="U30" s="313"/>
      <c r="V30" s="311" t="str">
        <f>IF(AND('Mapa final'!$H$25="Baja",'Mapa final'!$L$25="Moderado"),CONCATENATE("R",'Mapa final'!$A$25),"")</f>
        <v/>
      </c>
      <c r="W30" s="312"/>
      <c r="X30" s="312" t="str">
        <f>IF(AND('Mapa final'!$H$27="Baja",'Mapa final'!$L$27="Moderado"),CONCATENATE("R",'Mapa final'!$A$27),"")</f>
        <v/>
      </c>
      <c r="Y30" s="312"/>
      <c r="Z30" s="312" t="str">
        <f>IF(AND('Mapa final'!$H$29="Baja",'Mapa final'!$L$29="Moderado"),CONCATENATE("R",'Mapa final'!$A$29),"")</f>
        <v/>
      </c>
      <c r="AA30" s="313"/>
      <c r="AB30" s="329" t="str">
        <f>IF(AND('Mapa final'!$H$25="Baja",'Mapa final'!$L$25="Mayor"),CONCATENATE("R",'Mapa final'!$A$25),"")</f>
        <v/>
      </c>
      <c r="AC30" s="330"/>
      <c r="AD30" s="330" t="str">
        <f>IF(AND('Mapa final'!$H$27="Baja",'Mapa final'!$L$27="Mayor"),CONCATENATE("R",'Mapa final'!$A$27),"")</f>
        <v/>
      </c>
      <c r="AE30" s="330"/>
      <c r="AF30" s="330" t="str">
        <f>IF(AND('Mapa final'!$H$29="Baja",'Mapa final'!$L$29="Mayor"),CONCATENATE("R",'Mapa final'!$A$29),"")</f>
        <v/>
      </c>
      <c r="AG30" s="331"/>
      <c r="AH30" s="320" t="str">
        <f>IF(AND('Mapa final'!$H$25="Baja",'Mapa final'!$L$25="Catastrófico"),CONCATENATE("R",'Mapa final'!$A$25),"")</f>
        <v/>
      </c>
      <c r="AI30" s="321"/>
      <c r="AJ30" s="321" t="str">
        <f>IF(AND('Mapa final'!$H$27="Baja",'Mapa final'!$L$27="Catastrófico"),CONCATENATE("R",'Mapa final'!$A$27),"")</f>
        <v/>
      </c>
      <c r="AK30" s="321"/>
      <c r="AL30" s="321" t="str">
        <f>IF(AND('Mapa final'!$H$29="Baja",'Mapa final'!$L$29="Catastrófico"),CONCATENATE("R",'Mapa final'!$A$29),"")</f>
        <v/>
      </c>
      <c r="AM30" s="322"/>
      <c r="AN30" s="83"/>
      <c r="AO30" s="372" t="s">
        <v>99</v>
      </c>
      <c r="AP30" s="373"/>
      <c r="AQ30" s="373"/>
      <c r="AR30" s="373"/>
      <c r="AS30" s="373"/>
      <c r="AT30" s="3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43"/>
      <c r="C31" s="343"/>
      <c r="D31" s="344"/>
      <c r="E31" s="336"/>
      <c r="F31" s="337"/>
      <c r="G31" s="337"/>
      <c r="H31" s="337"/>
      <c r="I31" s="337"/>
      <c r="J31" s="296"/>
      <c r="K31" s="297"/>
      <c r="L31" s="297"/>
      <c r="M31" s="297"/>
      <c r="N31" s="297"/>
      <c r="O31" s="298"/>
      <c r="P31" s="306"/>
      <c r="Q31" s="306"/>
      <c r="R31" s="306"/>
      <c r="S31" s="306"/>
      <c r="T31" s="306"/>
      <c r="U31" s="307"/>
      <c r="V31" s="305"/>
      <c r="W31" s="306"/>
      <c r="X31" s="306"/>
      <c r="Y31" s="306"/>
      <c r="Z31" s="306"/>
      <c r="AA31" s="307"/>
      <c r="AB31" s="323"/>
      <c r="AC31" s="324"/>
      <c r="AD31" s="324"/>
      <c r="AE31" s="324"/>
      <c r="AF31" s="324"/>
      <c r="AG31" s="325"/>
      <c r="AH31" s="314"/>
      <c r="AI31" s="315"/>
      <c r="AJ31" s="315"/>
      <c r="AK31" s="315"/>
      <c r="AL31" s="315"/>
      <c r="AM31" s="316"/>
      <c r="AN31" s="83"/>
      <c r="AO31" s="375"/>
      <c r="AP31" s="376"/>
      <c r="AQ31" s="376"/>
      <c r="AR31" s="376"/>
      <c r="AS31" s="376"/>
      <c r="AT31" s="37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43"/>
      <c r="C32" s="343"/>
      <c r="D32" s="344"/>
      <c r="E32" s="336"/>
      <c r="F32" s="337"/>
      <c r="G32" s="337"/>
      <c r="H32" s="337"/>
      <c r="I32" s="337"/>
      <c r="J32" s="296" t="str">
        <f>IF(AND('Mapa final'!$H$33="Baja",'Mapa final'!$L$33="Leve"),CONCATENATE("R",'Mapa final'!$A$33),"")</f>
        <v/>
      </c>
      <c r="K32" s="297"/>
      <c r="L32" s="297" t="str">
        <f>IF(AND('Mapa final'!$H$37="Baja",'Mapa final'!$L$37="Leve"),CONCATENATE("R",'Mapa final'!$A$37),"")</f>
        <v/>
      </c>
      <c r="M32" s="297"/>
      <c r="N32" s="297" t="str">
        <f>IF(AND('Mapa final'!$H$40="Baja",'Mapa final'!$L$40="Leve"),CONCATENATE("R",'Mapa final'!$A$40),"")</f>
        <v/>
      </c>
      <c r="O32" s="298"/>
      <c r="P32" s="306" t="str">
        <f>IF(AND('Mapa final'!$H$33="Baja",'Mapa final'!$L$33="Menor"),CONCATENATE("R",'Mapa final'!$A$33),"")</f>
        <v>R4</v>
      </c>
      <c r="Q32" s="306"/>
      <c r="R32" s="306" t="str">
        <f>IF(AND('Mapa final'!$H$37="Baja",'Mapa final'!$L$37="Menor"),CONCATENATE("R",'Mapa final'!$A$37),"")</f>
        <v>R5</v>
      </c>
      <c r="S32" s="306"/>
      <c r="T32" s="306" t="str">
        <f>IF(AND('Mapa final'!$H$40="Baja",'Mapa final'!$L$40="Menor"),CONCATENATE("R",'Mapa final'!$A$40),"")</f>
        <v/>
      </c>
      <c r="U32" s="307"/>
      <c r="V32" s="305" t="str">
        <f>IF(AND('Mapa final'!$H$33="Baja",'Mapa final'!$L$33="Moderado"),CONCATENATE("R",'Mapa final'!$A$33),"")</f>
        <v/>
      </c>
      <c r="W32" s="306"/>
      <c r="X32" s="306" t="str">
        <f>IF(AND('Mapa final'!$H$37="Baja",'Mapa final'!$L$37="Moderado"),CONCATENATE("R",'Mapa final'!$A$37),"")</f>
        <v/>
      </c>
      <c r="Y32" s="306"/>
      <c r="Z32" s="306" t="str">
        <f>IF(AND('Mapa final'!$H$40="Baja",'Mapa final'!$L$40="Moderado"),CONCATENATE("R",'Mapa final'!$A$40),"")</f>
        <v/>
      </c>
      <c r="AA32" s="307"/>
      <c r="AB32" s="323" t="str">
        <f>IF(AND('Mapa final'!$H$33="Baja",'Mapa final'!$L$33="Mayor"),CONCATENATE("R",'Mapa final'!$A$33),"")</f>
        <v/>
      </c>
      <c r="AC32" s="324"/>
      <c r="AD32" s="324" t="str">
        <f>IF(AND('Mapa final'!$H$37="Baja",'Mapa final'!$L$37="Mayor"),CONCATENATE("R",'Mapa final'!$A$37),"")</f>
        <v/>
      </c>
      <c r="AE32" s="324"/>
      <c r="AF32" s="324" t="str">
        <f>IF(AND('Mapa final'!$H$40="Baja",'Mapa final'!$L$40="Mayor"),CONCATENATE("R",'Mapa final'!$A$40),"")</f>
        <v/>
      </c>
      <c r="AG32" s="325"/>
      <c r="AH32" s="314" t="str">
        <f>IF(AND('Mapa final'!$H$33="Baja",'Mapa final'!$L$33="Catastrófico"),CONCATENATE("R",'Mapa final'!$A$33),"")</f>
        <v/>
      </c>
      <c r="AI32" s="315"/>
      <c r="AJ32" s="315" t="str">
        <f>IF(AND('Mapa final'!$H$37="Baja",'Mapa final'!$L$37="Catastrófico"),CONCATENATE("R",'Mapa final'!$A$37),"")</f>
        <v/>
      </c>
      <c r="AK32" s="315"/>
      <c r="AL32" s="315" t="str">
        <f>IF(AND('Mapa final'!$H$40="Baja",'Mapa final'!$L$40="Catastrófico"),CONCATENATE("R",'Mapa final'!$A$40),"")</f>
        <v/>
      </c>
      <c r="AM32" s="316"/>
      <c r="AN32" s="83"/>
      <c r="AO32" s="375"/>
      <c r="AP32" s="376"/>
      <c r="AQ32" s="376"/>
      <c r="AR32" s="376"/>
      <c r="AS32" s="376"/>
      <c r="AT32" s="37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43"/>
      <c r="C33" s="343"/>
      <c r="D33" s="344"/>
      <c r="E33" s="336"/>
      <c r="F33" s="337"/>
      <c r="G33" s="337"/>
      <c r="H33" s="337"/>
      <c r="I33" s="337"/>
      <c r="J33" s="296"/>
      <c r="K33" s="297"/>
      <c r="L33" s="297"/>
      <c r="M33" s="297"/>
      <c r="N33" s="297"/>
      <c r="O33" s="298"/>
      <c r="P33" s="306"/>
      <c r="Q33" s="306"/>
      <c r="R33" s="306"/>
      <c r="S33" s="306"/>
      <c r="T33" s="306"/>
      <c r="U33" s="307"/>
      <c r="V33" s="305"/>
      <c r="W33" s="306"/>
      <c r="X33" s="306"/>
      <c r="Y33" s="306"/>
      <c r="Z33" s="306"/>
      <c r="AA33" s="307"/>
      <c r="AB33" s="323"/>
      <c r="AC33" s="324"/>
      <c r="AD33" s="324"/>
      <c r="AE33" s="324"/>
      <c r="AF33" s="324"/>
      <c r="AG33" s="325"/>
      <c r="AH33" s="314"/>
      <c r="AI33" s="315"/>
      <c r="AJ33" s="315"/>
      <c r="AK33" s="315"/>
      <c r="AL33" s="315"/>
      <c r="AM33" s="316"/>
      <c r="AN33" s="83"/>
      <c r="AO33" s="375"/>
      <c r="AP33" s="376"/>
      <c r="AQ33" s="376"/>
      <c r="AR33" s="376"/>
      <c r="AS33" s="376"/>
      <c r="AT33" s="37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43"/>
      <c r="C34" s="343"/>
      <c r="D34" s="344"/>
      <c r="E34" s="336"/>
      <c r="F34" s="337"/>
      <c r="G34" s="337"/>
      <c r="H34" s="337"/>
      <c r="I34" s="337"/>
      <c r="J34" s="296" t="str">
        <f>IF(AND('Mapa final'!$H$42="Baja",'Mapa final'!$L$42="Leve"),CONCATENATE("R",'Mapa final'!$A$42),"")</f>
        <v/>
      </c>
      <c r="K34" s="297"/>
      <c r="L34" s="297" t="str">
        <f>IF(AND('Mapa final'!$H$47="Baja",'Mapa final'!$L$47="Leve"),CONCATENATE("R",'Mapa final'!$A$47),"")</f>
        <v/>
      </c>
      <c r="M34" s="297"/>
      <c r="N34" s="297" t="e">
        <f>IF(AND('Mapa final'!#REF!="Baja",'Mapa final'!#REF!="Leve"),CONCATENATE("R",'Mapa final'!#REF!),"")</f>
        <v>#REF!</v>
      </c>
      <c r="O34" s="298"/>
      <c r="P34" s="306" t="str">
        <f>IF(AND('Mapa final'!$H$42="Baja",'Mapa final'!$L$42="Menor"),CONCATENATE("R",'Mapa final'!$A$42),"")</f>
        <v/>
      </c>
      <c r="Q34" s="306"/>
      <c r="R34" s="306" t="str">
        <f>IF(AND('Mapa final'!$H$47="Baja",'Mapa final'!$L$47="Menor"),CONCATENATE("R",'Mapa final'!$A$47),"")</f>
        <v/>
      </c>
      <c r="S34" s="306"/>
      <c r="T34" s="306" t="e">
        <f>IF(AND('Mapa final'!#REF!="Baja",'Mapa final'!#REF!="Menor"),CONCATENATE("R",'Mapa final'!#REF!),"")</f>
        <v>#REF!</v>
      </c>
      <c r="U34" s="307"/>
      <c r="V34" s="305" t="str">
        <f>IF(AND('Mapa final'!$H$42="Baja",'Mapa final'!$L$42="Moderado"),CONCATENATE("R",'Mapa final'!$A$42),"")</f>
        <v/>
      </c>
      <c r="W34" s="306"/>
      <c r="X34" s="306" t="str">
        <f>IF(AND('Mapa final'!$H$47="Baja",'Mapa final'!$L$47="Moderado"),CONCATENATE("R",'Mapa final'!$A$47),"")</f>
        <v/>
      </c>
      <c r="Y34" s="306"/>
      <c r="Z34" s="306" t="e">
        <f>IF(AND('Mapa final'!#REF!="Baja",'Mapa final'!#REF!="Moderado"),CONCATENATE("R",'Mapa final'!#REF!),"")</f>
        <v>#REF!</v>
      </c>
      <c r="AA34" s="307"/>
      <c r="AB34" s="323" t="str">
        <f>IF(AND('Mapa final'!$H$42="Baja",'Mapa final'!$L$42="Mayor"),CONCATENATE("R",'Mapa final'!$A$42),"")</f>
        <v/>
      </c>
      <c r="AC34" s="324"/>
      <c r="AD34" s="324" t="str">
        <f>IF(AND('Mapa final'!$H$47="Baja",'Mapa final'!$L$47="Mayor"),CONCATENATE("R",'Mapa final'!$A$47),"")</f>
        <v/>
      </c>
      <c r="AE34" s="324"/>
      <c r="AF34" s="324" t="e">
        <f>IF(AND('Mapa final'!#REF!="Baja",'Mapa final'!#REF!="Mayor"),CONCATENATE("R",'Mapa final'!#REF!),"")</f>
        <v>#REF!</v>
      </c>
      <c r="AG34" s="325"/>
      <c r="AH34" s="314" t="str">
        <f>IF(AND('Mapa final'!$H$42="Baja",'Mapa final'!$L$42="Catastrófico"),CONCATENATE("R",'Mapa final'!$A$42),"")</f>
        <v/>
      </c>
      <c r="AI34" s="315"/>
      <c r="AJ34" s="315" t="str">
        <f>IF(AND('Mapa final'!$H$47="Baja",'Mapa final'!$L$47="Catastrófico"),CONCATENATE("R",'Mapa final'!$A$47),"")</f>
        <v/>
      </c>
      <c r="AK34" s="315"/>
      <c r="AL34" s="315" t="e">
        <f>IF(AND('Mapa final'!#REF!="Baja",'Mapa final'!#REF!="Catastrófico"),CONCATENATE("R",'Mapa final'!#REF!),"")</f>
        <v>#REF!</v>
      </c>
      <c r="AM34" s="316"/>
      <c r="AN34" s="83"/>
      <c r="AO34" s="375"/>
      <c r="AP34" s="376"/>
      <c r="AQ34" s="376"/>
      <c r="AR34" s="376"/>
      <c r="AS34" s="376"/>
      <c r="AT34" s="37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43"/>
      <c r="C35" s="343"/>
      <c r="D35" s="344"/>
      <c r="E35" s="336"/>
      <c r="F35" s="337"/>
      <c r="G35" s="337"/>
      <c r="H35" s="337"/>
      <c r="I35" s="337"/>
      <c r="J35" s="296"/>
      <c r="K35" s="297"/>
      <c r="L35" s="297"/>
      <c r="M35" s="297"/>
      <c r="N35" s="297"/>
      <c r="O35" s="298"/>
      <c r="P35" s="306"/>
      <c r="Q35" s="306"/>
      <c r="R35" s="306"/>
      <c r="S35" s="306"/>
      <c r="T35" s="306"/>
      <c r="U35" s="307"/>
      <c r="V35" s="305"/>
      <c r="W35" s="306"/>
      <c r="X35" s="306"/>
      <c r="Y35" s="306"/>
      <c r="Z35" s="306"/>
      <c r="AA35" s="307"/>
      <c r="AB35" s="323"/>
      <c r="AC35" s="324"/>
      <c r="AD35" s="324"/>
      <c r="AE35" s="324"/>
      <c r="AF35" s="324"/>
      <c r="AG35" s="325"/>
      <c r="AH35" s="314"/>
      <c r="AI35" s="315"/>
      <c r="AJ35" s="315"/>
      <c r="AK35" s="315"/>
      <c r="AL35" s="315"/>
      <c r="AM35" s="316"/>
      <c r="AN35" s="83"/>
      <c r="AO35" s="375"/>
      <c r="AP35" s="376"/>
      <c r="AQ35" s="376"/>
      <c r="AR35" s="376"/>
      <c r="AS35" s="376"/>
      <c r="AT35" s="3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43"/>
      <c r="C36" s="343"/>
      <c r="D36" s="344"/>
      <c r="E36" s="336"/>
      <c r="F36" s="337"/>
      <c r="G36" s="337"/>
      <c r="H36" s="337"/>
      <c r="I36" s="337"/>
      <c r="J36" s="296" t="e">
        <f>IF(AND('Mapa final'!#REF!="Baja",'Mapa final'!#REF!="Leve"),CONCATENATE("R",'Mapa final'!#REF!),"")</f>
        <v>#REF!</v>
      </c>
      <c r="K36" s="297"/>
      <c r="L36" s="297" t="str">
        <f>IF(AND('Mapa final'!$H$50="Baja",'Mapa final'!$L$50="Leve"),CONCATENATE("R",'Mapa final'!$A$50),"")</f>
        <v/>
      </c>
      <c r="M36" s="297"/>
      <c r="N36" s="297" t="str">
        <f>IF(AND('Mapa final'!$H$56="Baja",'Mapa final'!$L$56="Leve"),CONCATENATE("R",'Mapa final'!$A$56),"")</f>
        <v/>
      </c>
      <c r="O36" s="298"/>
      <c r="P36" s="306" t="e">
        <f>IF(AND('Mapa final'!#REF!="Baja",'Mapa final'!#REF!="Menor"),CONCATENATE("R",'Mapa final'!#REF!),"")</f>
        <v>#REF!</v>
      </c>
      <c r="Q36" s="306"/>
      <c r="R36" s="306" t="str">
        <f>IF(AND('Mapa final'!$H$50="Baja",'Mapa final'!$L$50="Menor"),CONCATENATE("R",'Mapa final'!$A$50),"")</f>
        <v/>
      </c>
      <c r="S36" s="306"/>
      <c r="T36" s="306" t="str">
        <f>IF(AND('Mapa final'!$H$56="Baja",'Mapa final'!$L$56="Menor"),CONCATENATE("R",'Mapa final'!$A$56),"")</f>
        <v/>
      </c>
      <c r="U36" s="307"/>
      <c r="V36" s="305" t="e">
        <f>IF(AND('Mapa final'!#REF!="Baja",'Mapa final'!#REF!="Moderado"),CONCATENATE("R",'Mapa final'!#REF!),"")</f>
        <v>#REF!</v>
      </c>
      <c r="W36" s="306"/>
      <c r="X36" s="306" t="str">
        <f>IF(AND('Mapa final'!$H$50="Baja",'Mapa final'!$L$50="Moderado"),CONCATENATE("R",'Mapa final'!$A$50),"")</f>
        <v/>
      </c>
      <c r="Y36" s="306"/>
      <c r="Z36" s="306" t="str">
        <f>IF(AND('Mapa final'!$H$56="Baja",'Mapa final'!$L$56="Moderado"),CONCATENATE("R",'Mapa final'!$A$56),"")</f>
        <v/>
      </c>
      <c r="AA36" s="307"/>
      <c r="AB36" s="323" t="e">
        <f>IF(AND('Mapa final'!#REF!="Baja",'Mapa final'!#REF!="Mayor"),CONCATENATE("R",'Mapa final'!#REF!),"")</f>
        <v>#REF!</v>
      </c>
      <c r="AC36" s="324"/>
      <c r="AD36" s="324" t="str">
        <f>IF(AND('Mapa final'!$H$50="Baja",'Mapa final'!$L$50="Mayor"),CONCATENATE("R",'Mapa final'!$A$50),"")</f>
        <v/>
      </c>
      <c r="AE36" s="324"/>
      <c r="AF36" s="324" t="str">
        <f>IF(AND('Mapa final'!$H$56="Baja",'Mapa final'!$L$56="Mayor"),CONCATENATE("R",'Mapa final'!$A$56),"")</f>
        <v/>
      </c>
      <c r="AG36" s="325"/>
      <c r="AH36" s="314" t="e">
        <f>IF(AND('Mapa final'!#REF!="Baja",'Mapa final'!#REF!="Catastrófico"),CONCATENATE("R",'Mapa final'!#REF!),"")</f>
        <v>#REF!</v>
      </c>
      <c r="AI36" s="315"/>
      <c r="AJ36" s="315" t="str">
        <f>IF(AND('Mapa final'!$H$50="Baja",'Mapa final'!$L$50="Catastrófico"),CONCATENATE("R",'Mapa final'!$A$50),"")</f>
        <v/>
      </c>
      <c r="AK36" s="315"/>
      <c r="AL36" s="315" t="str">
        <f>IF(AND('Mapa final'!$H$56="Baja",'Mapa final'!$L$56="Catastrófico"),CONCATENATE("R",'Mapa final'!$A$56),"")</f>
        <v/>
      </c>
      <c r="AM36" s="316"/>
      <c r="AN36" s="83"/>
      <c r="AO36" s="375"/>
      <c r="AP36" s="376"/>
      <c r="AQ36" s="376"/>
      <c r="AR36" s="376"/>
      <c r="AS36" s="376"/>
      <c r="AT36" s="37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43"/>
      <c r="C37" s="343"/>
      <c r="D37" s="344"/>
      <c r="E37" s="339"/>
      <c r="F37" s="340"/>
      <c r="G37" s="340"/>
      <c r="H37" s="340"/>
      <c r="I37" s="340"/>
      <c r="J37" s="299"/>
      <c r="K37" s="300"/>
      <c r="L37" s="300"/>
      <c r="M37" s="300"/>
      <c r="N37" s="300"/>
      <c r="O37" s="301"/>
      <c r="P37" s="309"/>
      <c r="Q37" s="309"/>
      <c r="R37" s="309"/>
      <c r="S37" s="309"/>
      <c r="T37" s="309"/>
      <c r="U37" s="310"/>
      <c r="V37" s="308"/>
      <c r="W37" s="309"/>
      <c r="X37" s="309"/>
      <c r="Y37" s="309"/>
      <c r="Z37" s="309"/>
      <c r="AA37" s="310"/>
      <c r="AB37" s="326"/>
      <c r="AC37" s="327"/>
      <c r="AD37" s="327"/>
      <c r="AE37" s="327"/>
      <c r="AF37" s="327"/>
      <c r="AG37" s="328"/>
      <c r="AH37" s="317"/>
      <c r="AI37" s="318"/>
      <c r="AJ37" s="318"/>
      <c r="AK37" s="318"/>
      <c r="AL37" s="318"/>
      <c r="AM37" s="319"/>
      <c r="AN37" s="83"/>
      <c r="AO37" s="378"/>
      <c r="AP37" s="379"/>
      <c r="AQ37" s="379"/>
      <c r="AR37" s="379"/>
      <c r="AS37" s="379"/>
      <c r="AT37" s="38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43"/>
      <c r="C38" s="343"/>
      <c r="D38" s="344"/>
      <c r="E38" s="333" t="s">
        <v>100</v>
      </c>
      <c r="F38" s="334"/>
      <c r="G38" s="334"/>
      <c r="H38" s="334"/>
      <c r="I38" s="335"/>
      <c r="J38" s="302" t="str">
        <f>IF(AND('Mapa final'!$H$25="Muy Baja",'Mapa final'!$L$25="Leve"),CONCATENATE("R",'Mapa final'!$A$25),"")</f>
        <v/>
      </c>
      <c r="K38" s="303"/>
      <c r="L38" s="303" t="str">
        <f>IF(AND('Mapa final'!$H$27="Muy Baja",'Mapa final'!$L$27="Leve"),CONCATENATE("R",'Mapa final'!$A$27),"")</f>
        <v/>
      </c>
      <c r="M38" s="303"/>
      <c r="N38" s="303" t="str">
        <f>IF(AND('Mapa final'!$H$29="Muy Baja",'Mapa final'!$L$29="Leve"),CONCATENATE("R",'Mapa final'!$A$29),"")</f>
        <v/>
      </c>
      <c r="O38" s="304"/>
      <c r="P38" s="302" t="str">
        <f>IF(AND('Mapa final'!$H$25="Muy Baja",'Mapa final'!$L$25="Menor"),CONCATENATE("R",'Mapa final'!$A$25),"")</f>
        <v/>
      </c>
      <c r="Q38" s="303"/>
      <c r="R38" s="303" t="str">
        <f>IF(AND('Mapa final'!$H$27="Muy Baja",'Mapa final'!$L$27="Menor"),CONCATENATE("R",'Mapa final'!$A$27),"")</f>
        <v/>
      </c>
      <c r="S38" s="303"/>
      <c r="T38" s="303" t="str">
        <f>IF(AND('Mapa final'!$H$29="Muy Baja",'Mapa final'!$L$29="Menor"),CONCATENATE("R",'Mapa final'!$A$29),"")</f>
        <v>R3</v>
      </c>
      <c r="U38" s="304"/>
      <c r="V38" s="311" t="str">
        <f>IF(AND('Mapa final'!$H$25="Muy Baja",'Mapa final'!$L$25="Moderado"),CONCATENATE("R",'Mapa final'!$A$25),"")</f>
        <v/>
      </c>
      <c r="W38" s="312"/>
      <c r="X38" s="312" t="str">
        <f>IF(AND('Mapa final'!$H$27="Muy Baja",'Mapa final'!$L$27="Moderado"),CONCATENATE("R",'Mapa final'!$A$27),"")</f>
        <v/>
      </c>
      <c r="Y38" s="312"/>
      <c r="Z38" s="312" t="str">
        <f>IF(AND('Mapa final'!$H$29="Muy Baja",'Mapa final'!$L$29="Moderado"),CONCATENATE("R",'Mapa final'!$A$29),"")</f>
        <v/>
      </c>
      <c r="AA38" s="313"/>
      <c r="AB38" s="329" t="str">
        <f>IF(AND('Mapa final'!$H$25="Muy Baja",'Mapa final'!$L$25="Mayor"),CONCATENATE("R",'Mapa final'!$A$25),"")</f>
        <v/>
      </c>
      <c r="AC38" s="330"/>
      <c r="AD38" s="330" t="str">
        <f>IF(AND('Mapa final'!$H$27="Muy Baja",'Mapa final'!$L$27="Mayor"),CONCATENATE("R",'Mapa final'!$A$27),"")</f>
        <v/>
      </c>
      <c r="AE38" s="330"/>
      <c r="AF38" s="330" t="str">
        <f>IF(AND('Mapa final'!$H$29="Muy Baja",'Mapa final'!$L$29="Mayor"),CONCATENATE("R",'Mapa final'!$A$29),"")</f>
        <v/>
      </c>
      <c r="AG38" s="331"/>
      <c r="AH38" s="320" t="str">
        <f>IF(AND('Mapa final'!$H$25="Muy Baja",'Mapa final'!$L$25="Catastrófico"),CONCATENATE("R",'Mapa final'!$A$25),"")</f>
        <v/>
      </c>
      <c r="AI38" s="321"/>
      <c r="AJ38" s="321" t="str">
        <f>IF(AND('Mapa final'!$H$27="Muy Baja",'Mapa final'!$L$27="Catastrófico"),CONCATENATE("R",'Mapa final'!$A$27),"")</f>
        <v/>
      </c>
      <c r="AK38" s="321"/>
      <c r="AL38" s="321" t="str">
        <f>IF(AND('Mapa final'!$H$29="Muy Baja",'Mapa final'!$L$29="Catastrófico"),CONCATENATE("R",'Mapa final'!$A$29),"")</f>
        <v/>
      </c>
      <c r="AM38" s="32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43"/>
      <c r="C39" s="343"/>
      <c r="D39" s="344"/>
      <c r="E39" s="336"/>
      <c r="F39" s="337"/>
      <c r="G39" s="337"/>
      <c r="H39" s="337"/>
      <c r="I39" s="338"/>
      <c r="J39" s="296"/>
      <c r="K39" s="297"/>
      <c r="L39" s="297"/>
      <c r="M39" s="297"/>
      <c r="N39" s="297"/>
      <c r="O39" s="298"/>
      <c r="P39" s="296"/>
      <c r="Q39" s="297"/>
      <c r="R39" s="297"/>
      <c r="S39" s="297"/>
      <c r="T39" s="297"/>
      <c r="U39" s="298"/>
      <c r="V39" s="305"/>
      <c r="W39" s="306"/>
      <c r="X39" s="306"/>
      <c r="Y39" s="306"/>
      <c r="Z39" s="306"/>
      <c r="AA39" s="307"/>
      <c r="AB39" s="323"/>
      <c r="AC39" s="324"/>
      <c r="AD39" s="324"/>
      <c r="AE39" s="324"/>
      <c r="AF39" s="324"/>
      <c r="AG39" s="325"/>
      <c r="AH39" s="314"/>
      <c r="AI39" s="315"/>
      <c r="AJ39" s="315"/>
      <c r="AK39" s="315"/>
      <c r="AL39" s="315"/>
      <c r="AM39" s="31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43"/>
      <c r="C40" s="343"/>
      <c r="D40" s="344"/>
      <c r="E40" s="336"/>
      <c r="F40" s="337"/>
      <c r="G40" s="337"/>
      <c r="H40" s="337"/>
      <c r="I40" s="338"/>
      <c r="J40" s="296" t="str">
        <f>IF(AND('Mapa final'!$H$33="Muy Baja",'Mapa final'!$L$33="Leve"),CONCATENATE("R",'Mapa final'!$A$33),"")</f>
        <v/>
      </c>
      <c r="K40" s="297"/>
      <c r="L40" s="297" t="str">
        <f>IF(AND('Mapa final'!$H$37="Muy Baja",'Mapa final'!$L$37="Leve"),CONCATENATE("R",'Mapa final'!$A$37),"")</f>
        <v/>
      </c>
      <c r="M40" s="297"/>
      <c r="N40" s="297" t="str">
        <f>IF(AND('Mapa final'!$H$40="Muy Baja",'Mapa final'!$L$40="Leve"),CONCATENATE("R",'Mapa final'!$A$40),"")</f>
        <v/>
      </c>
      <c r="O40" s="298"/>
      <c r="P40" s="296" t="str">
        <f>IF(AND('Mapa final'!$H$33="Muy Baja",'Mapa final'!$L$33="Menor"),CONCATENATE("R",'Mapa final'!$A$33),"")</f>
        <v/>
      </c>
      <c r="Q40" s="297"/>
      <c r="R40" s="297" t="str">
        <f>IF(AND('Mapa final'!$H$37="Muy Baja",'Mapa final'!$L$37="Menor"),CONCATENATE("R",'Mapa final'!$A$37),"")</f>
        <v/>
      </c>
      <c r="S40" s="297"/>
      <c r="T40" s="297" t="str">
        <f>IF(AND('Mapa final'!$H$40="Muy Baja",'Mapa final'!$L$40="Menor"),CONCATENATE("R",'Mapa final'!$A$40),"")</f>
        <v/>
      </c>
      <c r="U40" s="298"/>
      <c r="V40" s="305" t="str">
        <f>IF(AND('Mapa final'!$H$33="Muy Baja",'Mapa final'!$L$33="Moderado"),CONCATENATE("R",'Mapa final'!$A$33),"")</f>
        <v/>
      </c>
      <c r="W40" s="306"/>
      <c r="X40" s="306" t="str">
        <f>IF(AND('Mapa final'!$H$37="Muy Baja",'Mapa final'!$L$37="Moderado"),CONCATENATE("R",'Mapa final'!$A$37),"")</f>
        <v/>
      </c>
      <c r="Y40" s="306"/>
      <c r="Z40" s="306" t="str">
        <f>IF(AND('Mapa final'!$H$40="Muy Baja",'Mapa final'!$L$40="Moderado"),CONCATENATE("R",'Mapa final'!$A$40),"")</f>
        <v/>
      </c>
      <c r="AA40" s="307"/>
      <c r="AB40" s="323" t="str">
        <f>IF(AND('Mapa final'!$H$33="Muy Baja",'Mapa final'!$L$33="Mayor"),CONCATENATE("R",'Mapa final'!$A$33),"")</f>
        <v/>
      </c>
      <c r="AC40" s="324"/>
      <c r="AD40" s="324" t="str">
        <f>IF(AND('Mapa final'!$H$37="Muy Baja",'Mapa final'!$L$37="Mayor"),CONCATENATE("R",'Mapa final'!$A$37),"")</f>
        <v/>
      </c>
      <c r="AE40" s="324"/>
      <c r="AF40" s="324" t="str">
        <f>IF(AND('Mapa final'!$H$40="Muy Baja",'Mapa final'!$L$40="Mayor"),CONCATENATE("R",'Mapa final'!$A$40),"")</f>
        <v/>
      </c>
      <c r="AG40" s="325"/>
      <c r="AH40" s="314" t="str">
        <f>IF(AND('Mapa final'!$H$33="Muy Baja",'Mapa final'!$L$33="Catastrófico"),CONCATENATE("R",'Mapa final'!$A$33),"")</f>
        <v/>
      </c>
      <c r="AI40" s="315"/>
      <c r="AJ40" s="315" t="str">
        <f>IF(AND('Mapa final'!$H$37="Muy Baja",'Mapa final'!$L$37="Catastrófico"),CONCATENATE("R",'Mapa final'!$A$37),"")</f>
        <v/>
      </c>
      <c r="AK40" s="315"/>
      <c r="AL40" s="315" t="str">
        <f>IF(AND('Mapa final'!$H$40="Muy Baja",'Mapa final'!$L$40="Catastrófico"),CONCATENATE("R",'Mapa final'!$A$40),"")</f>
        <v/>
      </c>
      <c r="AM40" s="31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43"/>
      <c r="C41" s="343"/>
      <c r="D41" s="344"/>
      <c r="E41" s="336"/>
      <c r="F41" s="337"/>
      <c r="G41" s="337"/>
      <c r="H41" s="337"/>
      <c r="I41" s="338"/>
      <c r="J41" s="296"/>
      <c r="K41" s="297"/>
      <c r="L41" s="297"/>
      <c r="M41" s="297"/>
      <c r="N41" s="297"/>
      <c r="O41" s="298"/>
      <c r="P41" s="296"/>
      <c r="Q41" s="297"/>
      <c r="R41" s="297"/>
      <c r="S41" s="297"/>
      <c r="T41" s="297"/>
      <c r="U41" s="298"/>
      <c r="V41" s="305"/>
      <c r="W41" s="306"/>
      <c r="X41" s="306"/>
      <c r="Y41" s="306"/>
      <c r="Z41" s="306"/>
      <c r="AA41" s="307"/>
      <c r="AB41" s="323"/>
      <c r="AC41" s="324"/>
      <c r="AD41" s="324"/>
      <c r="AE41" s="324"/>
      <c r="AF41" s="324"/>
      <c r="AG41" s="325"/>
      <c r="AH41" s="314"/>
      <c r="AI41" s="315"/>
      <c r="AJ41" s="315"/>
      <c r="AK41" s="315"/>
      <c r="AL41" s="315"/>
      <c r="AM41" s="31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43"/>
      <c r="C42" s="343"/>
      <c r="D42" s="344"/>
      <c r="E42" s="336"/>
      <c r="F42" s="337"/>
      <c r="G42" s="337"/>
      <c r="H42" s="337"/>
      <c r="I42" s="338"/>
      <c r="J42" s="296" t="str">
        <f>IF(AND('Mapa final'!$H$42="Muy Baja",'Mapa final'!$L$42="Leve"),CONCATENATE("R",'Mapa final'!$A$42),"")</f>
        <v/>
      </c>
      <c r="K42" s="297"/>
      <c r="L42" s="297" t="str">
        <f>IF(AND('Mapa final'!$H$47="Muy Baja",'Mapa final'!$L$47="Leve"),CONCATENATE("R",'Mapa final'!$A$47),"")</f>
        <v/>
      </c>
      <c r="M42" s="297"/>
      <c r="N42" s="297" t="e">
        <f>IF(AND('Mapa final'!#REF!="Muy Baja",'Mapa final'!#REF!="Leve"),CONCATENATE("R",'Mapa final'!#REF!),"")</f>
        <v>#REF!</v>
      </c>
      <c r="O42" s="298"/>
      <c r="P42" s="296" t="str">
        <f>IF(AND('Mapa final'!$H$42="Muy Baja",'Mapa final'!$L$42="Menor"),CONCATENATE("R",'Mapa final'!$A$42),"")</f>
        <v/>
      </c>
      <c r="Q42" s="297"/>
      <c r="R42" s="297" t="str">
        <f>IF(AND('Mapa final'!$H$47="Muy Baja",'Mapa final'!$L$47="Menor"),CONCATENATE("R",'Mapa final'!$A$47),"")</f>
        <v/>
      </c>
      <c r="S42" s="297"/>
      <c r="T42" s="297" t="e">
        <f>IF(AND('Mapa final'!#REF!="Muy Baja",'Mapa final'!#REF!="Menor"),CONCATENATE("R",'Mapa final'!#REF!),"")</f>
        <v>#REF!</v>
      </c>
      <c r="U42" s="298"/>
      <c r="V42" s="305" t="str">
        <f>IF(AND('Mapa final'!$H$42="Muy Baja",'Mapa final'!$L$42="Moderado"),CONCATENATE("R",'Mapa final'!$A$42),"")</f>
        <v/>
      </c>
      <c r="W42" s="306"/>
      <c r="X42" s="306" t="str">
        <f>IF(AND('Mapa final'!$H$47="Muy Baja",'Mapa final'!$L$47="Moderado"),CONCATENATE("R",'Mapa final'!$A$47),"")</f>
        <v/>
      </c>
      <c r="Y42" s="306"/>
      <c r="Z42" s="306" t="e">
        <f>IF(AND('Mapa final'!#REF!="Muy Baja",'Mapa final'!#REF!="Moderado"),CONCATENATE("R",'Mapa final'!#REF!),"")</f>
        <v>#REF!</v>
      </c>
      <c r="AA42" s="307"/>
      <c r="AB42" s="323" t="str">
        <f>IF(AND('Mapa final'!$H$42="Muy Baja",'Mapa final'!$L$42="Mayor"),CONCATENATE("R",'Mapa final'!$A$42),"")</f>
        <v/>
      </c>
      <c r="AC42" s="324"/>
      <c r="AD42" s="324" t="str">
        <f>IF(AND('Mapa final'!$H$47="Muy Baja",'Mapa final'!$L$47="Mayor"),CONCATENATE("R",'Mapa final'!$A$47),"")</f>
        <v/>
      </c>
      <c r="AE42" s="324"/>
      <c r="AF42" s="324" t="e">
        <f>IF(AND('Mapa final'!#REF!="Muy Baja",'Mapa final'!#REF!="Mayor"),CONCATENATE("R",'Mapa final'!#REF!),"")</f>
        <v>#REF!</v>
      </c>
      <c r="AG42" s="325"/>
      <c r="AH42" s="314" t="str">
        <f>IF(AND('Mapa final'!$H$42="Muy Baja",'Mapa final'!$L$42="Catastrófico"),CONCATENATE("R",'Mapa final'!$A$42),"")</f>
        <v/>
      </c>
      <c r="AI42" s="315"/>
      <c r="AJ42" s="315" t="str">
        <f>IF(AND('Mapa final'!$H$47="Muy Baja",'Mapa final'!$L$47="Catastrófico"),CONCATENATE("R",'Mapa final'!$A$47),"")</f>
        <v/>
      </c>
      <c r="AK42" s="315"/>
      <c r="AL42" s="315" t="e">
        <f>IF(AND('Mapa final'!#REF!="Muy Baja",'Mapa final'!#REF!="Catastrófico"),CONCATENATE("R",'Mapa final'!#REF!),"")</f>
        <v>#REF!</v>
      </c>
      <c r="AM42" s="31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43"/>
      <c r="C43" s="343"/>
      <c r="D43" s="344"/>
      <c r="E43" s="336"/>
      <c r="F43" s="337"/>
      <c r="G43" s="337"/>
      <c r="H43" s="337"/>
      <c r="I43" s="338"/>
      <c r="J43" s="296"/>
      <c r="K43" s="297"/>
      <c r="L43" s="297"/>
      <c r="M43" s="297"/>
      <c r="N43" s="297"/>
      <c r="O43" s="298"/>
      <c r="P43" s="296"/>
      <c r="Q43" s="297"/>
      <c r="R43" s="297"/>
      <c r="S43" s="297"/>
      <c r="T43" s="297"/>
      <c r="U43" s="298"/>
      <c r="V43" s="305"/>
      <c r="W43" s="306"/>
      <c r="X43" s="306"/>
      <c r="Y43" s="306"/>
      <c r="Z43" s="306"/>
      <c r="AA43" s="307"/>
      <c r="AB43" s="323"/>
      <c r="AC43" s="324"/>
      <c r="AD43" s="324"/>
      <c r="AE43" s="324"/>
      <c r="AF43" s="324"/>
      <c r="AG43" s="325"/>
      <c r="AH43" s="314"/>
      <c r="AI43" s="315"/>
      <c r="AJ43" s="315"/>
      <c r="AK43" s="315"/>
      <c r="AL43" s="315"/>
      <c r="AM43" s="31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43"/>
      <c r="C44" s="343"/>
      <c r="D44" s="344"/>
      <c r="E44" s="336"/>
      <c r="F44" s="337"/>
      <c r="G44" s="337"/>
      <c r="H44" s="337"/>
      <c r="I44" s="338"/>
      <c r="J44" s="296" t="e">
        <f>IF(AND('Mapa final'!#REF!="Muy Baja",'Mapa final'!#REF!="Leve"),CONCATENATE("R",'Mapa final'!#REF!),"")</f>
        <v>#REF!</v>
      </c>
      <c r="K44" s="297"/>
      <c r="L44" s="297" t="str">
        <f>IF(AND('Mapa final'!$H$50="Muy Baja",'Mapa final'!$L$50="Leve"),CONCATENATE("R",'Mapa final'!$A$50),"")</f>
        <v/>
      </c>
      <c r="M44" s="297"/>
      <c r="N44" s="297" t="str">
        <f>IF(AND('Mapa final'!$H$56="Muy Baja",'Mapa final'!$L$56="Leve"),CONCATENATE("R",'Mapa final'!$A$56),"")</f>
        <v/>
      </c>
      <c r="O44" s="298"/>
      <c r="P44" s="296" t="e">
        <f>IF(AND('Mapa final'!#REF!="Muy Baja",'Mapa final'!#REF!="Menor"),CONCATENATE("R",'Mapa final'!#REF!),"")</f>
        <v>#REF!</v>
      </c>
      <c r="Q44" s="297"/>
      <c r="R44" s="297" t="str">
        <f>IF(AND('Mapa final'!$H$50="Muy Baja",'Mapa final'!$L$50="Menor"),CONCATENATE("R",'Mapa final'!$A$50),"")</f>
        <v/>
      </c>
      <c r="S44" s="297"/>
      <c r="T44" s="297" t="str">
        <f>IF(AND('Mapa final'!$H$56="Muy Baja",'Mapa final'!$L$56="Menor"),CONCATENATE("R",'Mapa final'!$A$56),"")</f>
        <v/>
      </c>
      <c r="U44" s="298"/>
      <c r="V44" s="305" t="e">
        <f>IF(AND('Mapa final'!#REF!="Muy Baja",'Mapa final'!#REF!="Moderado"),CONCATENATE("R",'Mapa final'!#REF!),"")</f>
        <v>#REF!</v>
      </c>
      <c r="W44" s="306"/>
      <c r="X44" s="306" t="str">
        <f>IF(AND('Mapa final'!$H$50="Muy Baja",'Mapa final'!$L$50="Moderado"),CONCATENATE("R",'Mapa final'!$A$50),"")</f>
        <v/>
      </c>
      <c r="Y44" s="306"/>
      <c r="Z44" s="306" t="str">
        <f>IF(AND('Mapa final'!$H$56="Muy Baja",'Mapa final'!$L$56="Moderado"),CONCATENATE("R",'Mapa final'!$A$56),"")</f>
        <v/>
      </c>
      <c r="AA44" s="307"/>
      <c r="AB44" s="323" t="e">
        <f>IF(AND('Mapa final'!#REF!="Muy Baja",'Mapa final'!#REF!="Mayor"),CONCATENATE("R",'Mapa final'!#REF!),"")</f>
        <v>#REF!</v>
      </c>
      <c r="AC44" s="324"/>
      <c r="AD44" s="324" t="str">
        <f>IF(AND('Mapa final'!$H$50="Muy Baja",'Mapa final'!$L$50="Mayor"),CONCATENATE("R",'Mapa final'!$A$50),"")</f>
        <v/>
      </c>
      <c r="AE44" s="324"/>
      <c r="AF44" s="324" t="str">
        <f>IF(AND('Mapa final'!$H$56="Muy Baja",'Mapa final'!$L$56="Mayor"),CONCATENATE("R",'Mapa final'!$A$56),"")</f>
        <v/>
      </c>
      <c r="AG44" s="325"/>
      <c r="AH44" s="314" t="e">
        <f>IF(AND('Mapa final'!#REF!="Muy Baja",'Mapa final'!#REF!="Catastrófico"),CONCATENATE("R",'Mapa final'!#REF!),"")</f>
        <v>#REF!</v>
      </c>
      <c r="AI44" s="315"/>
      <c r="AJ44" s="315" t="str">
        <f>IF(AND('Mapa final'!$H$50="Muy Baja",'Mapa final'!$L$50="Catastrófico"),CONCATENATE("R",'Mapa final'!$A$50),"")</f>
        <v/>
      </c>
      <c r="AK44" s="315"/>
      <c r="AL44" s="315" t="str">
        <f>IF(AND('Mapa final'!$H$56="Muy Baja",'Mapa final'!$L$56="Catastrófico"),CONCATENATE("R",'Mapa final'!$A$56),"")</f>
        <v/>
      </c>
      <c r="AM44" s="31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43"/>
      <c r="C45" s="343"/>
      <c r="D45" s="344"/>
      <c r="E45" s="339"/>
      <c r="F45" s="340"/>
      <c r="G45" s="340"/>
      <c r="H45" s="340"/>
      <c r="I45" s="341"/>
      <c r="J45" s="299"/>
      <c r="K45" s="300"/>
      <c r="L45" s="300"/>
      <c r="M45" s="300"/>
      <c r="N45" s="300"/>
      <c r="O45" s="301"/>
      <c r="P45" s="299"/>
      <c r="Q45" s="300"/>
      <c r="R45" s="300"/>
      <c r="S45" s="300"/>
      <c r="T45" s="300"/>
      <c r="U45" s="301"/>
      <c r="V45" s="308"/>
      <c r="W45" s="309"/>
      <c r="X45" s="309"/>
      <c r="Y45" s="309"/>
      <c r="Z45" s="309"/>
      <c r="AA45" s="310"/>
      <c r="AB45" s="326"/>
      <c r="AC45" s="327"/>
      <c r="AD45" s="327"/>
      <c r="AE45" s="327"/>
      <c r="AF45" s="327"/>
      <c r="AG45" s="328"/>
      <c r="AH45" s="317"/>
      <c r="AI45" s="318"/>
      <c r="AJ45" s="318"/>
      <c r="AK45" s="318"/>
      <c r="AL45" s="318"/>
      <c r="AM45" s="31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33" t="s">
        <v>101</v>
      </c>
      <c r="K46" s="334"/>
      <c r="L46" s="334"/>
      <c r="M46" s="334"/>
      <c r="N46" s="334"/>
      <c r="O46" s="335"/>
      <c r="P46" s="333" t="s">
        <v>102</v>
      </c>
      <c r="Q46" s="334"/>
      <c r="R46" s="334"/>
      <c r="S46" s="334"/>
      <c r="T46" s="334"/>
      <c r="U46" s="335"/>
      <c r="V46" s="333" t="s">
        <v>103</v>
      </c>
      <c r="W46" s="334"/>
      <c r="X46" s="334"/>
      <c r="Y46" s="334"/>
      <c r="Z46" s="334"/>
      <c r="AA46" s="335"/>
      <c r="AB46" s="333" t="s">
        <v>104</v>
      </c>
      <c r="AC46" s="342"/>
      <c r="AD46" s="334"/>
      <c r="AE46" s="334"/>
      <c r="AF46" s="334"/>
      <c r="AG46" s="335"/>
      <c r="AH46" s="333" t="s">
        <v>105</v>
      </c>
      <c r="AI46" s="334"/>
      <c r="AJ46" s="334"/>
      <c r="AK46" s="334"/>
      <c r="AL46" s="334"/>
      <c r="AM46" s="335"/>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336"/>
      <c r="K47" s="337"/>
      <c r="L47" s="337"/>
      <c r="M47" s="337"/>
      <c r="N47" s="337"/>
      <c r="O47" s="338"/>
      <c r="P47" s="336"/>
      <c r="Q47" s="337"/>
      <c r="R47" s="337"/>
      <c r="S47" s="337"/>
      <c r="T47" s="337"/>
      <c r="U47" s="338"/>
      <c r="V47" s="336"/>
      <c r="W47" s="337"/>
      <c r="X47" s="337"/>
      <c r="Y47" s="337"/>
      <c r="Z47" s="337"/>
      <c r="AA47" s="338"/>
      <c r="AB47" s="336"/>
      <c r="AC47" s="337"/>
      <c r="AD47" s="337"/>
      <c r="AE47" s="337"/>
      <c r="AF47" s="337"/>
      <c r="AG47" s="338"/>
      <c r="AH47" s="336"/>
      <c r="AI47" s="337"/>
      <c r="AJ47" s="337"/>
      <c r="AK47" s="337"/>
      <c r="AL47" s="337"/>
      <c r="AM47" s="338"/>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336"/>
      <c r="K48" s="337"/>
      <c r="L48" s="337"/>
      <c r="M48" s="337"/>
      <c r="N48" s="337"/>
      <c r="O48" s="338"/>
      <c r="P48" s="336"/>
      <c r="Q48" s="337"/>
      <c r="R48" s="337"/>
      <c r="S48" s="337"/>
      <c r="T48" s="337"/>
      <c r="U48" s="338"/>
      <c r="V48" s="336"/>
      <c r="W48" s="337"/>
      <c r="X48" s="337"/>
      <c r="Y48" s="337"/>
      <c r="Z48" s="337"/>
      <c r="AA48" s="338"/>
      <c r="AB48" s="336"/>
      <c r="AC48" s="337"/>
      <c r="AD48" s="337"/>
      <c r="AE48" s="337"/>
      <c r="AF48" s="337"/>
      <c r="AG48" s="338"/>
      <c r="AH48" s="336"/>
      <c r="AI48" s="337"/>
      <c r="AJ48" s="337"/>
      <c r="AK48" s="337"/>
      <c r="AL48" s="337"/>
      <c r="AM48" s="338"/>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336"/>
      <c r="K49" s="337"/>
      <c r="L49" s="337"/>
      <c r="M49" s="337"/>
      <c r="N49" s="337"/>
      <c r="O49" s="338"/>
      <c r="P49" s="336"/>
      <c r="Q49" s="337"/>
      <c r="R49" s="337"/>
      <c r="S49" s="337"/>
      <c r="T49" s="337"/>
      <c r="U49" s="338"/>
      <c r="V49" s="336"/>
      <c r="W49" s="337"/>
      <c r="X49" s="337"/>
      <c r="Y49" s="337"/>
      <c r="Z49" s="337"/>
      <c r="AA49" s="338"/>
      <c r="AB49" s="336"/>
      <c r="AC49" s="337"/>
      <c r="AD49" s="337"/>
      <c r="AE49" s="337"/>
      <c r="AF49" s="337"/>
      <c r="AG49" s="338"/>
      <c r="AH49" s="336"/>
      <c r="AI49" s="337"/>
      <c r="AJ49" s="337"/>
      <c r="AK49" s="337"/>
      <c r="AL49" s="337"/>
      <c r="AM49" s="338"/>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336"/>
      <c r="K50" s="337"/>
      <c r="L50" s="337"/>
      <c r="M50" s="337"/>
      <c r="N50" s="337"/>
      <c r="O50" s="338"/>
      <c r="P50" s="336"/>
      <c r="Q50" s="337"/>
      <c r="R50" s="337"/>
      <c r="S50" s="337"/>
      <c r="T50" s="337"/>
      <c r="U50" s="338"/>
      <c r="V50" s="336"/>
      <c r="W50" s="337"/>
      <c r="X50" s="337"/>
      <c r="Y50" s="337"/>
      <c r="Z50" s="337"/>
      <c r="AA50" s="338"/>
      <c r="AB50" s="336"/>
      <c r="AC50" s="337"/>
      <c r="AD50" s="337"/>
      <c r="AE50" s="337"/>
      <c r="AF50" s="337"/>
      <c r="AG50" s="338"/>
      <c r="AH50" s="336"/>
      <c r="AI50" s="337"/>
      <c r="AJ50" s="337"/>
      <c r="AK50" s="337"/>
      <c r="AL50" s="337"/>
      <c r="AM50" s="338"/>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339"/>
      <c r="K51" s="340"/>
      <c r="L51" s="340"/>
      <c r="M51" s="340"/>
      <c r="N51" s="340"/>
      <c r="O51" s="341"/>
      <c r="P51" s="339"/>
      <c r="Q51" s="340"/>
      <c r="R51" s="340"/>
      <c r="S51" s="340"/>
      <c r="T51" s="340"/>
      <c r="U51" s="341"/>
      <c r="V51" s="339"/>
      <c r="W51" s="340"/>
      <c r="X51" s="340"/>
      <c r="Y51" s="340"/>
      <c r="Z51" s="340"/>
      <c r="AA51" s="341"/>
      <c r="AB51" s="339"/>
      <c r="AC51" s="340"/>
      <c r="AD51" s="340"/>
      <c r="AE51" s="340"/>
      <c r="AF51" s="340"/>
      <c r="AG51" s="341"/>
      <c r="AH51" s="339"/>
      <c r="AI51" s="340"/>
      <c r="AJ51" s="340"/>
      <c r="AK51" s="340"/>
      <c r="AL51" s="340"/>
      <c r="AM51" s="34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10" t="s">
        <v>106</v>
      </c>
      <c r="C2" s="411"/>
      <c r="D2" s="411"/>
      <c r="E2" s="411"/>
      <c r="F2" s="411"/>
      <c r="G2" s="411"/>
      <c r="H2" s="411"/>
      <c r="I2" s="411"/>
      <c r="J2" s="332" t="s">
        <v>13</v>
      </c>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11"/>
      <c r="C3" s="411"/>
      <c r="D3" s="411"/>
      <c r="E3" s="411"/>
      <c r="F3" s="411"/>
      <c r="G3" s="411"/>
      <c r="H3" s="411"/>
      <c r="I3" s="411"/>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11"/>
      <c r="C4" s="411"/>
      <c r="D4" s="411"/>
      <c r="E4" s="411"/>
      <c r="F4" s="411"/>
      <c r="G4" s="411"/>
      <c r="H4" s="411"/>
      <c r="I4" s="411"/>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43" t="s">
        <v>91</v>
      </c>
      <c r="C6" s="343"/>
      <c r="D6" s="344"/>
      <c r="E6" s="381" t="s">
        <v>92</v>
      </c>
      <c r="F6" s="382"/>
      <c r="G6" s="382"/>
      <c r="H6" s="382"/>
      <c r="I6" s="383"/>
      <c r="J6" s="46" t="str">
        <f>IF(AND('Mapa final'!$Y$25="Muy Alta",'Mapa final'!$AA$25="Leve"),CONCATENATE("R1C",'Mapa final'!$O$25),"")</f>
        <v/>
      </c>
      <c r="K6" s="47" t="str">
        <f>IF(AND('Mapa final'!$Y$26="Muy Alta",'Mapa final'!$AA$26="Leve"),CONCATENATE("R1C",'Mapa final'!$O$26),"")</f>
        <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final'!$Y$25="Muy Alta",'Mapa final'!$AA$25="Menor"),CONCATENATE("R1C",'Mapa final'!$O$25),"")</f>
        <v/>
      </c>
      <c r="Q6" s="47" t="str">
        <f>IF(AND('Mapa final'!$Y$26="Muy Alta",'Mapa final'!$AA$26="Menor"),CONCATENATE("R1C",'Mapa final'!$O$26),"")</f>
        <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final'!$Y$25="Muy Alta",'Mapa final'!$AA$25="Moderado"),CONCATENATE("R1C",'Mapa final'!$O$25),"")</f>
        <v/>
      </c>
      <c r="W6" s="47" t="str">
        <f>IF(AND('Mapa final'!$Y$26="Muy Alta",'Mapa final'!$AA$26="Moderado"),CONCATENATE("R1C",'Mapa final'!$O$26),"")</f>
        <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final'!$Y$25="Muy Alta",'Mapa final'!$AA$25="Mayor"),CONCATENATE("R1C",'Mapa final'!$O$25),"")</f>
        <v/>
      </c>
      <c r="AC6" s="47" t="str">
        <f>IF(AND('Mapa final'!$Y$26="Muy Alta",'Mapa final'!$AA$26="Mayor"),CONCATENATE("R1C",'Mapa final'!$O$26),"")</f>
        <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final'!$Y$25="Muy Alta",'Mapa final'!$AA$25="Catastrófico"),CONCATENATE("R1C",'Mapa final'!$O$25),"")</f>
        <v/>
      </c>
      <c r="AI6" s="50" t="str">
        <f>IF(AND('Mapa final'!$Y$26="Muy Alta",'Mapa final'!$AA$26="Catastrófico"),CONCATENATE("R1C",'Mapa final'!$O$26),"")</f>
        <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3"/>
      <c r="AO6" s="401" t="s">
        <v>93</v>
      </c>
      <c r="AP6" s="402"/>
      <c r="AQ6" s="402"/>
      <c r="AR6" s="402"/>
      <c r="AS6" s="402"/>
      <c r="AT6" s="40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43"/>
      <c r="C7" s="343"/>
      <c r="D7" s="344"/>
      <c r="E7" s="384"/>
      <c r="F7" s="385"/>
      <c r="G7" s="385"/>
      <c r="H7" s="385"/>
      <c r="I7" s="386"/>
      <c r="J7" s="52" t="str">
        <f>IF(AND('Mapa final'!$Y$27="Muy Alta",'Mapa final'!$AA$27="Leve"),CONCATENATE("R2C",'Mapa final'!$O$27),"")</f>
        <v/>
      </c>
      <c r="K7" s="53" t="str">
        <f>IF(AND('Mapa final'!$Y$28="Muy Alta",'Mapa final'!$AA$28="Leve"),CONCATENATE("R2C",'Mapa final'!$O$28),"")</f>
        <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final'!$Y$27="Muy Alta",'Mapa final'!$AA$27="Menor"),CONCATENATE("R2C",'Mapa final'!$O$27),"")</f>
        <v/>
      </c>
      <c r="Q7" s="53" t="str">
        <f>IF(AND('Mapa final'!$Y$28="Muy Alta",'Mapa final'!$AA$28="Menor"),CONCATENATE("R2C",'Mapa final'!$O$28),"")</f>
        <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final'!$Y$27="Muy Alta",'Mapa final'!$AA$27="Moderado"),CONCATENATE("R2C",'Mapa final'!$O$27),"")</f>
        <v/>
      </c>
      <c r="W7" s="53" t="str">
        <f>IF(AND('Mapa final'!$Y$28="Muy Alta",'Mapa final'!$AA$28="Moderado"),CONCATENATE("R2C",'Mapa final'!$O$28),"")</f>
        <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final'!$Y$27="Muy Alta",'Mapa final'!$AA$27="Mayor"),CONCATENATE("R2C",'Mapa final'!$O$27),"")</f>
        <v/>
      </c>
      <c r="AC7" s="53" t="str">
        <f>IF(AND('Mapa final'!$Y$28="Muy Alta",'Mapa final'!$AA$28="Mayor"),CONCATENATE("R2C",'Mapa final'!$O$28),"")</f>
        <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final'!$Y$27="Muy Alta",'Mapa final'!$AA$27="Catastrófico"),CONCATENATE("R2C",'Mapa final'!$O$27),"")</f>
        <v/>
      </c>
      <c r="AI7" s="56" t="str">
        <f>IF(AND('Mapa final'!$Y$28="Muy Alta",'Mapa final'!$AA$28="Catastrófico"),CONCATENATE("R2C",'Mapa final'!$O$28),"")</f>
        <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404"/>
      <c r="AP7" s="405"/>
      <c r="AQ7" s="405"/>
      <c r="AR7" s="405"/>
      <c r="AS7" s="405"/>
      <c r="AT7" s="40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43"/>
      <c r="C8" s="343"/>
      <c r="D8" s="344"/>
      <c r="E8" s="384"/>
      <c r="F8" s="385"/>
      <c r="G8" s="385"/>
      <c r="H8" s="385"/>
      <c r="I8" s="386"/>
      <c r="J8" s="52" t="str">
        <f>IF(AND('Mapa final'!$Y$29="Muy Alta",'Mapa final'!$AA$29="Leve"),CONCATENATE("R3C",'Mapa final'!$O$29),"")</f>
        <v/>
      </c>
      <c r="K8" s="53" t="str">
        <f>IF(AND('Mapa final'!$Y$30="Muy Alta",'Mapa final'!$AA$30="Leve"),CONCATENATE("R3C",'Mapa final'!$O$30),"")</f>
        <v/>
      </c>
      <c r="L8" s="53" t="str">
        <f>IF(AND('Mapa final'!$Y$31="Muy Alta",'Mapa final'!$AA$31="Leve"),CONCATENATE("R3C",'Mapa final'!$O$31),"")</f>
        <v/>
      </c>
      <c r="M8" s="53" t="str">
        <f>IF(AND('Mapa final'!$Y$32="Muy Alta",'Mapa final'!$AA$32="Leve"),CONCATENATE("R3C",'Mapa final'!$O$32),"")</f>
        <v/>
      </c>
      <c r="N8" s="53" t="e">
        <f>IF(AND('Mapa final'!#REF!="Muy Alta",'Mapa final'!#REF!="Leve"),CONCATENATE("R3C",'Mapa final'!#REF!),"")</f>
        <v>#REF!</v>
      </c>
      <c r="O8" s="54" t="e">
        <f>IF(AND('Mapa final'!#REF!="Muy Alta",'Mapa final'!#REF!="Leve"),CONCATENATE("R3C",'Mapa final'!#REF!),"")</f>
        <v>#REF!</v>
      </c>
      <c r="P8" s="52" t="str">
        <f>IF(AND('Mapa final'!$Y$29="Muy Alta",'Mapa final'!$AA$29="Menor"),CONCATENATE("R3C",'Mapa final'!$O$29),"")</f>
        <v/>
      </c>
      <c r="Q8" s="53" t="str">
        <f>IF(AND('Mapa final'!$Y$30="Muy Alta",'Mapa final'!$AA$30="Menor"),CONCATENATE("R3C",'Mapa final'!$O$30),"")</f>
        <v/>
      </c>
      <c r="R8" s="53" t="str">
        <f>IF(AND('Mapa final'!$Y$31="Muy Alta",'Mapa final'!$AA$31="Menor"),CONCATENATE("R3C",'Mapa final'!$O$31),"")</f>
        <v/>
      </c>
      <c r="S8" s="53" t="str">
        <f>IF(AND('Mapa final'!$Y$32="Muy Alta",'Mapa final'!$AA$32="Menor"),CONCATENATE("R3C",'Mapa final'!$O$32),"")</f>
        <v/>
      </c>
      <c r="T8" s="53" t="e">
        <f>IF(AND('Mapa final'!#REF!="Muy Alta",'Mapa final'!#REF!="Menor"),CONCATENATE("R3C",'Mapa final'!#REF!),"")</f>
        <v>#REF!</v>
      </c>
      <c r="U8" s="54" t="e">
        <f>IF(AND('Mapa final'!#REF!="Muy Alta",'Mapa final'!#REF!="Menor"),CONCATENATE("R3C",'Mapa final'!#REF!),"")</f>
        <v>#REF!</v>
      </c>
      <c r="V8" s="52" t="str">
        <f>IF(AND('Mapa final'!$Y$29="Muy Alta",'Mapa final'!$AA$29="Moderado"),CONCATENATE("R3C",'Mapa final'!$O$29),"")</f>
        <v/>
      </c>
      <c r="W8" s="53" t="str">
        <f>IF(AND('Mapa final'!$Y$30="Muy Alta",'Mapa final'!$AA$30="Moderado"),CONCATENATE("R3C",'Mapa final'!$O$30),"")</f>
        <v/>
      </c>
      <c r="X8" s="53" t="str">
        <f>IF(AND('Mapa final'!$Y$31="Muy Alta",'Mapa final'!$AA$31="Moderado"),CONCATENATE("R3C",'Mapa final'!$O$31),"")</f>
        <v/>
      </c>
      <c r="Y8" s="53" t="str">
        <f>IF(AND('Mapa final'!$Y$32="Muy Alta",'Mapa final'!$AA$32="Moderado"),CONCATENATE("R3C",'Mapa final'!$O$32),"")</f>
        <v/>
      </c>
      <c r="Z8" s="53" t="e">
        <f>IF(AND('Mapa final'!#REF!="Muy Alta",'Mapa final'!#REF!="Moderado"),CONCATENATE("R3C",'Mapa final'!#REF!),"")</f>
        <v>#REF!</v>
      </c>
      <c r="AA8" s="54" t="e">
        <f>IF(AND('Mapa final'!#REF!="Muy Alta",'Mapa final'!#REF!="Moderado"),CONCATENATE("R3C",'Mapa final'!#REF!),"")</f>
        <v>#REF!</v>
      </c>
      <c r="AB8" s="52" t="str">
        <f>IF(AND('Mapa final'!$Y$29="Muy Alta",'Mapa final'!$AA$29="Mayor"),CONCATENATE("R3C",'Mapa final'!$O$29),"")</f>
        <v/>
      </c>
      <c r="AC8" s="53" t="str">
        <f>IF(AND('Mapa final'!$Y$30="Muy Alta",'Mapa final'!$AA$30="Mayor"),CONCATENATE("R3C",'Mapa final'!$O$30),"")</f>
        <v/>
      </c>
      <c r="AD8" s="53" t="str">
        <f>IF(AND('Mapa final'!$Y$31="Muy Alta",'Mapa final'!$AA$31="Mayor"),CONCATENATE("R3C",'Mapa final'!$O$31),"")</f>
        <v/>
      </c>
      <c r="AE8" s="53" t="str">
        <f>IF(AND('Mapa final'!$Y$32="Muy Alta",'Mapa final'!$AA$32="Mayor"),CONCATENATE("R3C",'Mapa final'!$O$32),"")</f>
        <v/>
      </c>
      <c r="AF8" s="53" t="e">
        <f>IF(AND('Mapa final'!#REF!="Muy Alta",'Mapa final'!#REF!="Mayor"),CONCATENATE("R3C",'Mapa final'!#REF!),"")</f>
        <v>#REF!</v>
      </c>
      <c r="AG8" s="54" t="e">
        <f>IF(AND('Mapa final'!#REF!="Muy Alta",'Mapa final'!#REF!="Mayor"),CONCATENATE("R3C",'Mapa final'!#REF!),"")</f>
        <v>#REF!</v>
      </c>
      <c r="AH8" s="55" t="str">
        <f>IF(AND('Mapa final'!$Y$29="Muy Alta",'Mapa final'!$AA$29="Catastrófico"),CONCATENATE("R3C",'Mapa final'!$O$29),"")</f>
        <v/>
      </c>
      <c r="AI8" s="56" t="str">
        <f>IF(AND('Mapa final'!$Y$30="Muy Alta",'Mapa final'!$AA$30="Catastrófico"),CONCATENATE("R3C",'Mapa final'!$O$30),"")</f>
        <v/>
      </c>
      <c r="AJ8" s="56" t="str">
        <f>IF(AND('Mapa final'!$Y$31="Muy Alta",'Mapa final'!$AA$31="Catastrófico"),CONCATENATE("R3C",'Mapa final'!$O$31),"")</f>
        <v/>
      </c>
      <c r="AK8" s="56" t="str">
        <f>IF(AND('Mapa final'!$Y$32="Muy Alta",'Mapa final'!$AA$32="Catastrófico"),CONCATENATE("R3C",'Mapa final'!$O$32),"")</f>
        <v/>
      </c>
      <c r="AL8" s="56" t="e">
        <f>IF(AND('Mapa final'!#REF!="Muy Alta",'Mapa final'!#REF!="Catastrófico"),CONCATENATE("R3C",'Mapa final'!#REF!),"")</f>
        <v>#REF!</v>
      </c>
      <c r="AM8" s="57" t="e">
        <f>IF(AND('Mapa final'!#REF!="Muy Alta",'Mapa final'!#REF!="Catastrófico"),CONCATENATE("R3C",'Mapa final'!#REF!),"")</f>
        <v>#REF!</v>
      </c>
      <c r="AN8" s="83"/>
      <c r="AO8" s="404"/>
      <c r="AP8" s="405"/>
      <c r="AQ8" s="405"/>
      <c r="AR8" s="405"/>
      <c r="AS8" s="405"/>
      <c r="AT8" s="40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43"/>
      <c r="C9" s="343"/>
      <c r="D9" s="344"/>
      <c r="E9" s="384"/>
      <c r="F9" s="385"/>
      <c r="G9" s="385"/>
      <c r="H9" s="385"/>
      <c r="I9" s="386"/>
      <c r="J9" s="52" t="str">
        <f>IF(AND('Mapa final'!$Y$33="Muy Alta",'Mapa final'!$AA$33="Leve"),CONCATENATE("R4C",'Mapa final'!$O$33),"")</f>
        <v/>
      </c>
      <c r="K9" s="53" t="str">
        <f>IF(AND('Mapa final'!$Y$34="Muy Alta",'Mapa final'!$AA$34="Leve"),CONCATENATE("R4C",'Mapa final'!$O$34),"")</f>
        <v/>
      </c>
      <c r="L9" s="53" t="str">
        <f>IF(AND('Mapa final'!$Y$35="Muy Alta",'Mapa final'!$AA$35="Leve"),CONCATENATE("R4C",'Mapa final'!$O$35),"")</f>
        <v/>
      </c>
      <c r="M9" s="53" t="str">
        <f>IF(AND('Mapa final'!$Y$36="Muy Alta",'Mapa final'!$AA$36="Leve"),CONCATENATE("R4C",'Mapa final'!$O$36),"")</f>
        <v/>
      </c>
      <c r="N9" s="53" t="e">
        <f>IF(AND('Mapa final'!#REF!="Muy Alta",'Mapa final'!#REF!="Leve"),CONCATENATE("R4C",'Mapa final'!#REF!),"")</f>
        <v>#REF!</v>
      </c>
      <c r="O9" s="54" t="e">
        <f>IF(AND('Mapa final'!#REF!="Muy Alta",'Mapa final'!#REF!="Leve"),CONCATENATE("R4C",'Mapa final'!#REF!),"")</f>
        <v>#REF!</v>
      </c>
      <c r="P9" s="52" t="str">
        <f>IF(AND('Mapa final'!$Y$33="Muy Alta",'Mapa final'!$AA$33="Menor"),CONCATENATE("R4C",'Mapa final'!$O$33),"")</f>
        <v/>
      </c>
      <c r="Q9" s="53" t="str">
        <f>IF(AND('Mapa final'!$Y$34="Muy Alta",'Mapa final'!$AA$34="Menor"),CONCATENATE("R4C",'Mapa final'!$O$34),"")</f>
        <v/>
      </c>
      <c r="R9" s="53" t="str">
        <f>IF(AND('Mapa final'!$Y$35="Muy Alta",'Mapa final'!$AA$35="Menor"),CONCATENATE("R4C",'Mapa final'!$O$35),"")</f>
        <v/>
      </c>
      <c r="S9" s="53" t="str">
        <f>IF(AND('Mapa final'!$Y$36="Muy Alta",'Mapa final'!$AA$36="Menor"),CONCATENATE("R4C",'Mapa final'!$O$36),"")</f>
        <v/>
      </c>
      <c r="T9" s="53" t="e">
        <f>IF(AND('Mapa final'!#REF!="Muy Alta",'Mapa final'!#REF!="Menor"),CONCATENATE("R4C",'Mapa final'!#REF!),"")</f>
        <v>#REF!</v>
      </c>
      <c r="U9" s="54" t="e">
        <f>IF(AND('Mapa final'!#REF!="Muy Alta",'Mapa final'!#REF!="Menor"),CONCATENATE("R4C",'Mapa final'!#REF!),"")</f>
        <v>#REF!</v>
      </c>
      <c r="V9" s="52" t="str">
        <f>IF(AND('Mapa final'!$Y$33="Muy Alta",'Mapa final'!$AA$33="Moderado"),CONCATENATE("R4C",'Mapa final'!$O$33),"")</f>
        <v/>
      </c>
      <c r="W9" s="53" t="str">
        <f>IF(AND('Mapa final'!$Y$34="Muy Alta",'Mapa final'!$AA$34="Moderado"),CONCATENATE("R4C",'Mapa final'!$O$34),"")</f>
        <v/>
      </c>
      <c r="X9" s="53" t="str">
        <f>IF(AND('Mapa final'!$Y$35="Muy Alta",'Mapa final'!$AA$35="Moderado"),CONCATENATE("R4C",'Mapa final'!$O$35),"")</f>
        <v/>
      </c>
      <c r="Y9" s="53" t="str">
        <f>IF(AND('Mapa final'!$Y$36="Muy Alta",'Mapa final'!$AA$36="Moderado"),CONCATENATE("R4C",'Mapa final'!$O$36),"")</f>
        <v/>
      </c>
      <c r="Z9" s="53" t="e">
        <f>IF(AND('Mapa final'!#REF!="Muy Alta",'Mapa final'!#REF!="Moderado"),CONCATENATE("R4C",'Mapa final'!#REF!),"")</f>
        <v>#REF!</v>
      </c>
      <c r="AA9" s="54" t="e">
        <f>IF(AND('Mapa final'!#REF!="Muy Alta",'Mapa final'!#REF!="Moderado"),CONCATENATE("R4C",'Mapa final'!#REF!),"")</f>
        <v>#REF!</v>
      </c>
      <c r="AB9" s="52" t="str">
        <f>IF(AND('Mapa final'!$Y$33="Muy Alta",'Mapa final'!$AA$33="Mayor"),CONCATENATE("R4C",'Mapa final'!$O$33),"")</f>
        <v/>
      </c>
      <c r="AC9" s="53" t="str">
        <f>IF(AND('Mapa final'!$Y$34="Muy Alta",'Mapa final'!$AA$34="Mayor"),CONCATENATE("R4C",'Mapa final'!$O$34),"")</f>
        <v/>
      </c>
      <c r="AD9" s="53" t="str">
        <f>IF(AND('Mapa final'!$Y$35="Muy Alta",'Mapa final'!$AA$35="Mayor"),CONCATENATE("R4C",'Mapa final'!$O$35),"")</f>
        <v/>
      </c>
      <c r="AE9" s="53" t="str">
        <f>IF(AND('Mapa final'!$Y$36="Muy Alta",'Mapa final'!$AA$36="Mayor"),CONCATENATE("R4C",'Mapa final'!$O$36),"")</f>
        <v/>
      </c>
      <c r="AF9" s="53" t="e">
        <f>IF(AND('Mapa final'!#REF!="Muy Alta",'Mapa final'!#REF!="Mayor"),CONCATENATE("R4C",'Mapa final'!#REF!),"")</f>
        <v>#REF!</v>
      </c>
      <c r="AG9" s="54" t="e">
        <f>IF(AND('Mapa final'!#REF!="Muy Alta",'Mapa final'!#REF!="Mayor"),CONCATENATE("R4C",'Mapa final'!#REF!),"")</f>
        <v>#REF!</v>
      </c>
      <c r="AH9" s="55" t="str">
        <f>IF(AND('Mapa final'!$Y$33="Muy Alta",'Mapa final'!$AA$33="Catastrófico"),CONCATENATE("R4C",'Mapa final'!$O$33),"")</f>
        <v/>
      </c>
      <c r="AI9" s="56" t="str">
        <f>IF(AND('Mapa final'!$Y$34="Muy Alta",'Mapa final'!$AA$34="Catastrófico"),CONCATENATE("R4C",'Mapa final'!$O$34),"")</f>
        <v/>
      </c>
      <c r="AJ9" s="56" t="str">
        <f>IF(AND('Mapa final'!$Y$35="Muy Alta",'Mapa final'!$AA$35="Catastrófico"),CONCATENATE("R4C",'Mapa final'!$O$35),"")</f>
        <v/>
      </c>
      <c r="AK9" s="56" t="str">
        <f>IF(AND('Mapa final'!$Y$36="Muy Alta",'Mapa final'!$AA$36="Catastrófico"),CONCATENATE("R4C",'Mapa final'!$O$36),"")</f>
        <v/>
      </c>
      <c r="AL9" s="56" t="e">
        <f>IF(AND('Mapa final'!#REF!="Muy Alta",'Mapa final'!#REF!="Catastrófico"),CONCATENATE("R4C",'Mapa final'!#REF!),"")</f>
        <v>#REF!</v>
      </c>
      <c r="AM9" s="57" t="e">
        <f>IF(AND('Mapa final'!#REF!="Muy Alta",'Mapa final'!#REF!="Catastrófico"),CONCATENATE("R4C",'Mapa final'!#REF!),"")</f>
        <v>#REF!</v>
      </c>
      <c r="AN9" s="83"/>
      <c r="AO9" s="404"/>
      <c r="AP9" s="405"/>
      <c r="AQ9" s="405"/>
      <c r="AR9" s="405"/>
      <c r="AS9" s="405"/>
      <c r="AT9" s="40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43"/>
      <c r="C10" s="343"/>
      <c r="D10" s="344"/>
      <c r="E10" s="384"/>
      <c r="F10" s="385"/>
      <c r="G10" s="385"/>
      <c r="H10" s="385"/>
      <c r="I10" s="386"/>
      <c r="J10" s="52" t="str">
        <f>IF(AND('Mapa final'!$Y$37="Muy Alta",'Mapa final'!$AA$37="Leve"),CONCATENATE("R5C",'Mapa final'!$O$37),"")</f>
        <v/>
      </c>
      <c r="K10" s="53" t="str">
        <f>IF(AND('Mapa final'!$Y$38="Muy Alta",'Mapa final'!$AA$38="Leve"),CONCATENATE("R5C",'Mapa final'!$O$38),"")</f>
        <v/>
      </c>
      <c r="L10" s="53" t="str">
        <f>IF(AND('Mapa final'!$Y$39="Muy Alta",'Mapa final'!$AA$39="Leve"),CONCATENATE("R5C",'Mapa final'!$O$39),"")</f>
        <v/>
      </c>
      <c r="M10" s="53" t="e">
        <f>IF(AND('Mapa final'!#REF!="Muy Alta",'Mapa final'!#REF!="Leve"),CONCATENATE("R5C",'Mapa final'!#REF!),"")</f>
        <v>#REF!</v>
      </c>
      <c r="N10" s="53" t="e">
        <f>IF(AND('Mapa final'!#REF!="Muy Alta",'Mapa final'!#REF!="Leve"),CONCATENATE("R5C",'Mapa final'!#REF!),"")</f>
        <v>#REF!</v>
      </c>
      <c r="O10" s="54" t="e">
        <f>IF(AND('Mapa final'!#REF!="Muy Alta",'Mapa final'!#REF!="Leve"),CONCATENATE("R5C",'Mapa final'!#REF!),"")</f>
        <v>#REF!</v>
      </c>
      <c r="P10" s="52" t="str">
        <f>IF(AND('Mapa final'!$Y$37="Muy Alta",'Mapa final'!$AA$37="Menor"),CONCATENATE("R5C",'Mapa final'!$O$37),"")</f>
        <v/>
      </c>
      <c r="Q10" s="53" t="str">
        <f>IF(AND('Mapa final'!$Y$38="Muy Alta",'Mapa final'!$AA$38="Menor"),CONCATENATE("R5C",'Mapa final'!$O$38),"")</f>
        <v/>
      </c>
      <c r="R10" s="53" t="str">
        <f>IF(AND('Mapa final'!$Y$39="Muy Alta",'Mapa final'!$AA$39="Menor"),CONCATENATE("R5C",'Mapa final'!$O$39),"")</f>
        <v/>
      </c>
      <c r="S10" s="53" t="e">
        <f>IF(AND('Mapa final'!#REF!="Muy Alta",'Mapa final'!#REF!="Menor"),CONCATENATE("R5C",'Mapa final'!#REF!),"")</f>
        <v>#REF!</v>
      </c>
      <c r="T10" s="53" t="e">
        <f>IF(AND('Mapa final'!#REF!="Muy Alta",'Mapa final'!#REF!="Menor"),CONCATENATE("R5C",'Mapa final'!#REF!),"")</f>
        <v>#REF!</v>
      </c>
      <c r="U10" s="54" t="e">
        <f>IF(AND('Mapa final'!#REF!="Muy Alta",'Mapa final'!#REF!="Menor"),CONCATENATE("R5C",'Mapa final'!#REF!),"")</f>
        <v>#REF!</v>
      </c>
      <c r="V10" s="52" t="str">
        <f>IF(AND('Mapa final'!$Y$37="Muy Alta",'Mapa final'!$AA$37="Moderado"),CONCATENATE("R5C",'Mapa final'!$O$37),"")</f>
        <v/>
      </c>
      <c r="W10" s="53" t="str">
        <f>IF(AND('Mapa final'!$Y$38="Muy Alta",'Mapa final'!$AA$38="Moderado"),CONCATENATE("R5C",'Mapa final'!$O$38),"")</f>
        <v/>
      </c>
      <c r="X10" s="53" t="str">
        <f>IF(AND('Mapa final'!$Y$39="Muy Alta",'Mapa final'!$AA$39="Moderado"),CONCATENATE("R5C",'Mapa final'!$O$39),"")</f>
        <v/>
      </c>
      <c r="Y10" s="53" t="e">
        <f>IF(AND('Mapa final'!#REF!="Muy Alta",'Mapa final'!#REF!="Moderado"),CONCATENATE("R5C",'Mapa final'!#REF!),"")</f>
        <v>#REF!</v>
      </c>
      <c r="Z10" s="53" t="e">
        <f>IF(AND('Mapa final'!#REF!="Muy Alta",'Mapa final'!#REF!="Moderado"),CONCATENATE("R5C",'Mapa final'!#REF!),"")</f>
        <v>#REF!</v>
      </c>
      <c r="AA10" s="54" t="e">
        <f>IF(AND('Mapa final'!#REF!="Muy Alta",'Mapa final'!#REF!="Moderado"),CONCATENATE("R5C",'Mapa final'!#REF!),"")</f>
        <v>#REF!</v>
      </c>
      <c r="AB10" s="52" t="str">
        <f>IF(AND('Mapa final'!$Y$37="Muy Alta",'Mapa final'!$AA$37="Mayor"),CONCATENATE("R5C",'Mapa final'!$O$37),"")</f>
        <v/>
      </c>
      <c r="AC10" s="53" t="str">
        <f>IF(AND('Mapa final'!$Y$38="Muy Alta",'Mapa final'!$AA$38="Mayor"),CONCATENATE("R5C",'Mapa final'!$O$38),"")</f>
        <v/>
      </c>
      <c r="AD10" s="53" t="str">
        <f>IF(AND('Mapa final'!$Y$39="Muy Alta",'Mapa final'!$AA$39="Mayor"),CONCATENATE("R5C",'Mapa final'!$O$39),"")</f>
        <v/>
      </c>
      <c r="AE10" s="53" t="e">
        <f>IF(AND('Mapa final'!#REF!="Muy Alta",'Mapa final'!#REF!="Mayor"),CONCATENATE("R5C",'Mapa final'!#REF!),"")</f>
        <v>#REF!</v>
      </c>
      <c r="AF10" s="53" t="e">
        <f>IF(AND('Mapa final'!#REF!="Muy Alta",'Mapa final'!#REF!="Mayor"),CONCATENATE("R5C",'Mapa final'!#REF!),"")</f>
        <v>#REF!</v>
      </c>
      <c r="AG10" s="54" t="e">
        <f>IF(AND('Mapa final'!#REF!="Muy Alta",'Mapa final'!#REF!="Mayor"),CONCATENATE("R5C",'Mapa final'!#REF!),"")</f>
        <v>#REF!</v>
      </c>
      <c r="AH10" s="55" t="str">
        <f>IF(AND('Mapa final'!$Y$37="Muy Alta",'Mapa final'!$AA$37="Catastrófico"),CONCATENATE("R5C",'Mapa final'!$O$37),"")</f>
        <v/>
      </c>
      <c r="AI10" s="56" t="str">
        <f>IF(AND('Mapa final'!$Y$38="Muy Alta",'Mapa final'!$AA$38="Catastrófico"),CONCATENATE("R5C",'Mapa final'!$O$38),"")</f>
        <v/>
      </c>
      <c r="AJ10" s="56" t="str">
        <f>IF(AND('Mapa final'!$Y$39="Muy Alta",'Mapa final'!$AA$39="Catastrófico"),CONCATENATE("R5C",'Mapa final'!$O$39),"")</f>
        <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3"/>
      <c r="AO10" s="404"/>
      <c r="AP10" s="405"/>
      <c r="AQ10" s="405"/>
      <c r="AR10" s="405"/>
      <c r="AS10" s="405"/>
      <c r="AT10" s="40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43"/>
      <c r="C11" s="343"/>
      <c r="D11" s="344"/>
      <c r="E11" s="384"/>
      <c r="F11" s="385"/>
      <c r="G11" s="385"/>
      <c r="H11" s="385"/>
      <c r="I11" s="386"/>
      <c r="J11" s="52" t="str">
        <f>IF(AND('Mapa final'!$Y$40="Muy Alta",'Mapa final'!$AA$40="Leve"),CONCATENATE("R6C",'Mapa final'!$O$40),"")</f>
        <v/>
      </c>
      <c r="K11" s="53" t="str">
        <f>IF(AND('Mapa final'!$Y$41="Muy Alta",'Mapa final'!$AA$41="Leve"),CONCATENATE("R6C",'Mapa final'!$O$41),"")</f>
        <v/>
      </c>
      <c r="L11" s="53" t="e">
        <f>IF(AND('Mapa final'!#REF!="Muy Alta",'Mapa final'!#REF!="Leve"),CONCATENATE("R6C",'Mapa final'!#REF!),"")</f>
        <v>#REF!</v>
      </c>
      <c r="M11" s="53" t="e">
        <f>IF(AND('Mapa final'!#REF!="Muy Alta",'Mapa final'!#REF!="Leve"),CONCATENATE("R6C",'Mapa final'!#REF!),"")</f>
        <v>#REF!</v>
      </c>
      <c r="N11" s="53" t="e">
        <f>IF(AND('Mapa final'!#REF!="Muy Alta",'Mapa final'!#REF!="Leve"),CONCATENATE("R6C",'Mapa final'!#REF!),"")</f>
        <v>#REF!</v>
      </c>
      <c r="O11" s="54" t="e">
        <f>IF(AND('Mapa final'!#REF!="Muy Alta",'Mapa final'!#REF!="Leve"),CONCATENATE("R6C",'Mapa final'!#REF!),"")</f>
        <v>#REF!</v>
      </c>
      <c r="P11" s="52" t="str">
        <f>IF(AND('Mapa final'!$Y$40="Muy Alta",'Mapa final'!$AA$40="Menor"),CONCATENATE("R6C",'Mapa final'!$O$40),"")</f>
        <v/>
      </c>
      <c r="Q11" s="53" t="str">
        <f>IF(AND('Mapa final'!$Y$41="Muy Alta",'Mapa final'!$AA$41="Menor"),CONCATENATE("R6C",'Mapa final'!$O$41),"")</f>
        <v/>
      </c>
      <c r="R11" s="53" t="e">
        <f>IF(AND('Mapa final'!#REF!="Muy Alta",'Mapa final'!#REF!="Menor"),CONCATENATE("R6C",'Mapa final'!#REF!),"")</f>
        <v>#REF!</v>
      </c>
      <c r="S11" s="53" t="e">
        <f>IF(AND('Mapa final'!#REF!="Muy Alta",'Mapa final'!#REF!="Menor"),CONCATENATE("R6C",'Mapa final'!#REF!),"")</f>
        <v>#REF!</v>
      </c>
      <c r="T11" s="53" t="e">
        <f>IF(AND('Mapa final'!#REF!="Muy Alta",'Mapa final'!#REF!="Menor"),CONCATENATE("R6C",'Mapa final'!#REF!),"")</f>
        <v>#REF!</v>
      </c>
      <c r="U11" s="54" t="e">
        <f>IF(AND('Mapa final'!#REF!="Muy Alta",'Mapa final'!#REF!="Menor"),CONCATENATE("R6C",'Mapa final'!#REF!),"")</f>
        <v>#REF!</v>
      </c>
      <c r="V11" s="52" t="str">
        <f>IF(AND('Mapa final'!$Y$40="Muy Alta",'Mapa final'!$AA$40="Moderado"),CONCATENATE("R6C",'Mapa final'!$O$40),"")</f>
        <v/>
      </c>
      <c r="W11" s="53" t="str">
        <f>IF(AND('Mapa final'!$Y$41="Muy Alta",'Mapa final'!$AA$41="Moderado"),CONCATENATE("R6C",'Mapa final'!$O$41),"")</f>
        <v/>
      </c>
      <c r="X11" s="53" t="e">
        <f>IF(AND('Mapa final'!#REF!="Muy Alta",'Mapa final'!#REF!="Moderado"),CONCATENATE("R6C",'Mapa final'!#REF!),"")</f>
        <v>#REF!</v>
      </c>
      <c r="Y11" s="53" t="e">
        <f>IF(AND('Mapa final'!#REF!="Muy Alta",'Mapa final'!#REF!="Moderado"),CONCATENATE("R6C",'Mapa final'!#REF!),"")</f>
        <v>#REF!</v>
      </c>
      <c r="Z11" s="53" t="e">
        <f>IF(AND('Mapa final'!#REF!="Muy Alta",'Mapa final'!#REF!="Moderado"),CONCATENATE("R6C",'Mapa final'!#REF!),"")</f>
        <v>#REF!</v>
      </c>
      <c r="AA11" s="54" t="e">
        <f>IF(AND('Mapa final'!#REF!="Muy Alta",'Mapa final'!#REF!="Moderado"),CONCATENATE("R6C",'Mapa final'!#REF!),"")</f>
        <v>#REF!</v>
      </c>
      <c r="AB11" s="52" t="str">
        <f>IF(AND('Mapa final'!$Y$40="Muy Alta",'Mapa final'!$AA$40="Mayor"),CONCATENATE("R6C",'Mapa final'!$O$40),"")</f>
        <v/>
      </c>
      <c r="AC11" s="53" t="str">
        <f>IF(AND('Mapa final'!$Y$41="Muy Alta",'Mapa final'!$AA$41="Mayor"),CONCATENATE("R6C",'Mapa final'!$O$41),"")</f>
        <v/>
      </c>
      <c r="AD11" s="53" t="e">
        <f>IF(AND('Mapa final'!#REF!="Muy Alta",'Mapa final'!#REF!="Mayor"),CONCATENATE("R6C",'Mapa final'!#REF!),"")</f>
        <v>#REF!</v>
      </c>
      <c r="AE11" s="53" t="e">
        <f>IF(AND('Mapa final'!#REF!="Muy Alta",'Mapa final'!#REF!="Mayor"),CONCATENATE("R6C",'Mapa final'!#REF!),"")</f>
        <v>#REF!</v>
      </c>
      <c r="AF11" s="53" t="e">
        <f>IF(AND('Mapa final'!#REF!="Muy Alta",'Mapa final'!#REF!="Mayor"),CONCATENATE("R6C",'Mapa final'!#REF!),"")</f>
        <v>#REF!</v>
      </c>
      <c r="AG11" s="54" t="e">
        <f>IF(AND('Mapa final'!#REF!="Muy Alta",'Mapa final'!#REF!="Mayor"),CONCATENATE("R6C",'Mapa final'!#REF!),"")</f>
        <v>#REF!</v>
      </c>
      <c r="AH11" s="55" t="str">
        <f>IF(AND('Mapa final'!$Y$40="Muy Alta",'Mapa final'!$AA$40="Catastrófico"),CONCATENATE("R6C",'Mapa final'!$O$40),"")</f>
        <v/>
      </c>
      <c r="AI11" s="56" t="str">
        <f>IF(AND('Mapa final'!$Y$41="Muy Alta",'Mapa final'!$AA$41="Catastrófico"),CONCATENATE("R6C",'Mapa final'!$O$41),"")</f>
        <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3"/>
      <c r="AO11" s="404"/>
      <c r="AP11" s="405"/>
      <c r="AQ11" s="405"/>
      <c r="AR11" s="405"/>
      <c r="AS11" s="405"/>
      <c r="AT11" s="40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43"/>
      <c r="C12" s="343"/>
      <c r="D12" s="344"/>
      <c r="E12" s="384"/>
      <c r="F12" s="385"/>
      <c r="G12" s="385"/>
      <c r="H12" s="385"/>
      <c r="I12" s="386"/>
      <c r="J12" s="52" t="str">
        <f>IF(AND('Mapa final'!$Y$42="Muy Alta",'Mapa final'!$AA$42="Leve"),CONCATENATE("R7C",'Mapa final'!$O$42),"")</f>
        <v/>
      </c>
      <c r="K12" s="53" t="e">
        <f>IF(AND('Mapa final'!#REF!="Muy Alta",'Mapa final'!#REF!="Leve"),CONCATENATE("R7C",'Mapa final'!#REF!),"")</f>
        <v>#REF!</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str">
        <f>IF(AND('Mapa final'!$Y$42="Muy Alta",'Mapa final'!$AA$42="Menor"),CONCATENATE("R7C",'Mapa final'!$O$42),"")</f>
        <v/>
      </c>
      <c r="Q12" s="53" t="e">
        <f>IF(AND('Mapa final'!#REF!="Muy Alta",'Mapa final'!#REF!="Menor"),CONCATENATE("R7C",'Mapa final'!#REF!),"")</f>
        <v>#REF!</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str">
        <f>IF(AND('Mapa final'!$Y$42="Muy Alta",'Mapa final'!$AA$42="Moderado"),CONCATENATE("R7C",'Mapa final'!$O$42),"")</f>
        <v/>
      </c>
      <c r="W12" s="53" t="e">
        <f>IF(AND('Mapa final'!#REF!="Muy Alta",'Mapa final'!#REF!="Moderado"),CONCATENATE("R7C",'Mapa final'!#REF!),"")</f>
        <v>#REF!</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str">
        <f>IF(AND('Mapa final'!$Y$42="Muy Alta",'Mapa final'!$AA$42="Mayor"),CONCATENATE("R7C",'Mapa final'!$O$42),"")</f>
        <v/>
      </c>
      <c r="AC12" s="53" t="e">
        <f>IF(AND('Mapa final'!#REF!="Muy Alta",'Mapa final'!#REF!="Mayor"),CONCATENATE("R7C",'Mapa final'!#REF!),"")</f>
        <v>#REF!</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str">
        <f>IF(AND('Mapa final'!$Y$42="Muy Alta",'Mapa final'!$AA$42="Catastrófico"),CONCATENATE("R7C",'Mapa final'!$O$42),"")</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404"/>
      <c r="AP12" s="405"/>
      <c r="AQ12" s="405"/>
      <c r="AR12" s="405"/>
      <c r="AS12" s="405"/>
      <c r="AT12" s="40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43"/>
      <c r="C13" s="343"/>
      <c r="D13" s="344"/>
      <c r="E13" s="384"/>
      <c r="F13" s="385"/>
      <c r="G13" s="385"/>
      <c r="H13" s="385"/>
      <c r="I13" s="386"/>
      <c r="J13" s="52" t="str">
        <f>IF(AND('Mapa final'!$Y$47="Muy Alta",'Mapa final'!$AA$47="Leve"),CONCATENATE("R8C",'Mapa final'!$O$47),"")</f>
        <v/>
      </c>
      <c r="K13" s="53" t="str">
        <f>IF(AND('Mapa final'!$Y$48="Muy Alta",'Mapa final'!$AA$48="Leve"),CONCATENATE("R8C",'Mapa final'!$O$48),"")</f>
        <v/>
      </c>
      <c r="L13" s="53" t="str">
        <f>IF(AND('Mapa final'!$Y$49="Muy Alta",'Mapa final'!$AA$49="Leve"),CONCATENATE("R8C",'Mapa final'!$O$49),"")</f>
        <v/>
      </c>
      <c r="M13" s="53" t="e">
        <f>IF(AND('Mapa final'!#REF!="Muy Alta",'Mapa final'!#REF!="Leve"),CONCATENATE("R8C",'Mapa final'!#REF!),"")</f>
        <v>#REF!</v>
      </c>
      <c r="N13" s="53" t="e">
        <f>IF(AND('Mapa final'!#REF!="Muy Alta",'Mapa final'!#REF!="Leve"),CONCATENATE("R8C",'Mapa final'!#REF!),"")</f>
        <v>#REF!</v>
      </c>
      <c r="O13" s="54" t="e">
        <f>IF(AND('Mapa final'!#REF!="Muy Alta",'Mapa final'!#REF!="Leve"),CONCATENATE("R8C",'Mapa final'!#REF!),"")</f>
        <v>#REF!</v>
      </c>
      <c r="P13" s="52" t="str">
        <f>IF(AND('Mapa final'!$Y$47="Muy Alta",'Mapa final'!$AA$47="Menor"),CONCATENATE("R8C",'Mapa final'!$O$47),"")</f>
        <v/>
      </c>
      <c r="Q13" s="53" t="str">
        <f>IF(AND('Mapa final'!$Y$48="Muy Alta",'Mapa final'!$AA$48="Menor"),CONCATENATE("R8C",'Mapa final'!$O$48),"")</f>
        <v/>
      </c>
      <c r="R13" s="53" t="str">
        <f>IF(AND('Mapa final'!$Y$49="Muy Alta",'Mapa final'!$AA$49="Menor"),CONCATENATE("R8C",'Mapa final'!$O$49),"")</f>
        <v/>
      </c>
      <c r="S13" s="53" t="e">
        <f>IF(AND('Mapa final'!#REF!="Muy Alta",'Mapa final'!#REF!="Menor"),CONCATENATE("R8C",'Mapa final'!#REF!),"")</f>
        <v>#REF!</v>
      </c>
      <c r="T13" s="53" t="e">
        <f>IF(AND('Mapa final'!#REF!="Muy Alta",'Mapa final'!#REF!="Menor"),CONCATENATE("R8C",'Mapa final'!#REF!),"")</f>
        <v>#REF!</v>
      </c>
      <c r="U13" s="54" t="e">
        <f>IF(AND('Mapa final'!#REF!="Muy Alta",'Mapa final'!#REF!="Menor"),CONCATENATE("R8C",'Mapa final'!#REF!),"")</f>
        <v>#REF!</v>
      </c>
      <c r="V13" s="52" t="str">
        <f>IF(AND('Mapa final'!$Y$47="Muy Alta",'Mapa final'!$AA$47="Moderado"),CONCATENATE("R8C",'Mapa final'!$O$47),"")</f>
        <v/>
      </c>
      <c r="W13" s="53" t="str">
        <f>IF(AND('Mapa final'!$Y$48="Muy Alta",'Mapa final'!$AA$48="Moderado"),CONCATENATE("R8C",'Mapa final'!$O$48),"")</f>
        <v/>
      </c>
      <c r="X13" s="53" t="str">
        <f>IF(AND('Mapa final'!$Y$49="Muy Alta",'Mapa final'!$AA$49="Moderado"),CONCATENATE("R8C",'Mapa final'!$O$49),"")</f>
        <v/>
      </c>
      <c r="Y13" s="53" t="e">
        <f>IF(AND('Mapa final'!#REF!="Muy Alta",'Mapa final'!#REF!="Moderado"),CONCATENATE("R8C",'Mapa final'!#REF!),"")</f>
        <v>#REF!</v>
      </c>
      <c r="Z13" s="53" t="e">
        <f>IF(AND('Mapa final'!#REF!="Muy Alta",'Mapa final'!#REF!="Moderado"),CONCATENATE("R8C",'Mapa final'!#REF!),"")</f>
        <v>#REF!</v>
      </c>
      <c r="AA13" s="54" t="e">
        <f>IF(AND('Mapa final'!#REF!="Muy Alta",'Mapa final'!#REF!="Moderado"),CONCATENATE("R8C",'Mapa final'!#REF!),"")</f>
        <v>#REF!</v>
      </c>
      <c r="AB13" s="52" t="str">
        <f>IF(AND('Mapa final'!$Y$47="Muy Alta",'Mapa final'!$AA$47="Mayor"),CONCATENATE("R8C",'Mapa final'!$O$47),"")</f>
        <v/>
      </c>
      <c r="AC13" s="53" t="str">
        <f>IF(AND('Mapa final'!$Y$48="Muy Alta",'Mapa final'!$AA$48="Mayor"),CONCATENATE("R8C",'Mapa final'!$O$48),"")</f>
        <v/>
      </c>
      <c r="AD13" s="53" t="str">
        <f>IF(AND('Mapa final'!$Y$49="Muy Alta",'Mapa final'!$AA$49="Mayor"),CONCATENATE("R8C",'Mapa final'!$O$49),"")</f>
        <v/>
      </c>
      <c r="AE13" s="53" t="e">
        <f>IF(AND('Mapa final'!#REF!="Muy Alta",'Mapa final'!#REF!="Mayor"),CONCATENATE("R8C",'Mapa final'!#REF!),"")</f>
        <v>#REF!</v>
      </c>
      <c r="AF13" s="53" t="e">
        <f>IF(AND('Mapa final'!#REF!="Muy Alta",'Mapa final'!#REF!="Mayor"),CONCATENATE("R8C",'Mapa final'!#REF!),"")</f>
        <v>#REF!</v>
      </c>
      <c r="AG13" s="54" t="e">
        <f>IF(AND('Mapa final'!#REF!="Muy Alta",'Mapa final'!#REF!="Mayor"),CONCATENATE("R8C",'Mapa final'!#REF!),"")</f>
        <v>#REF!</v>
      </c>
      <c r="AH13" s="55" t="str">
        <f>IF(AND('Mapa final'!$Y$47="Muy Alta",'Mapa final'!$AA$47="Catastrófico"),CONCATENATE("R8C",'Mapa final'!$O$47),"")</f>
        <v/>
      </c>
      <c r="AI13" s="56" t="str">
        <f>IF(AND('Mapa final'!$Y$48="Muy Alta",'Mapa final'!$AA$48="Catastrófico"),CONCATENATE("R8C",'Mapa final'!$O$48),"")</f>
        <v/>
      </c>
      <c r="AJ13" s="56" t="str">
        <f>IF(AND('Mapa final'!$Y$49="Muy Alta",'Mapa final'!$AA$49="Catastrófico"),CONCATENATE("R8C",'Mapa final'!$O$49),"")</f>
        <v/>
      </c>
      <c r="AK13" s="56" t="e">
        <f>IF(AND('Mapa final'!#REF!="Muy Alta",'Mapa final'!#REF!="Catastrófico"),CONCATENATE("R8C",'Mapa final'!#REF!),"")</f>
        <v>#REF!</v>
      </c>
      <c r="AL13" s="56" t="e">
        <f>IF(AND('Mapa final'!#REF!="Muy Alta",'Mapa final'!#REF!="Catastrófico"),CONCATENATE("R8C",'Mapa final'!#REF!),"")</f>
        <v>#REF!</v>
      </c>
      <c r="AM13" s="57" t="e">
        <f>IF(AND('Mapa final'!#REF!="Muy Alta",'Mapa final'!#REF!="Catastrófico"),CONCATENATE("R8C",'Mapa final'!#REF!),"")</f>
        <v>#REF!</v>
      </c>
      <c r="AN13" s="83"/>
      <c r="AO13" s="404"/>
      <c r="AP13" s="405"/>
      <c r="AQ13" s="405"/>
      <c r="AR13" s="405"/>
      <c r="AS13" s="405"/>
      <c r="AT13" s="40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43"/>
      <c r="C14" s="343"/>
      <c r="D14" s="344"/>
      <c r="E14" s="384"/>
      <c r="F14" s="385"/>
      <c r="G14" s="385"/>
      <c r="H14" s="385"/>
      <c r="I14" s="386"/>
      <c r="J14" s="52" t="e">
        <f>IF(AND('Mapa final'!#REF!="Muy Alta",'Mapa final'!#REF!="Leve"),CONCATENATE("R9C",'Mapa final'!#REF!),"")</f>
        <v>#REF!</v>
      </c>
      <c r="K14" s="53" t="e">
        <f>IF(AND('Mapa final'!#REF!="Muy Alta",'Mapa final'!#REF!="Leve"),CONCATENATE("R9C",'Mapa final'!#REF!),"")</f>
        <v>#REF!</v>
      </c>
      <c r="L14" s="53" t="e">
        <f>IF(AND('Mapa final'!#REF!="Muy Alta",'Mapa final'!#REF!="Leve"),CONCATENATE("R9C",'Mapa final'!#REF!),"")</f>
        <v>#REF!</v>
      </c>
      <c r="M14" s="53" t="e">
        <f>IF(AND('Mapa final'!#REF!="Muy Alta",'Mapa final'!#REF!="Leve"),CONCATENATE("R9C",'Mapa final'!#REF!),"")</f>
        <v>#REF!</v>
      </c>
      <c r="N14" s="53" t="e">
        <f>IF(AND('Mapa final'!#REF!="Muy Alta",'Mapa final'!#REF!="Leve"),CONCATENATE("R9C",'Mapa final'!#REF!),"")</f>
        <v>#REF!</v>
      </c>
      <c r="O14" s="54" t="e">
        <f>IF(AND('Mapa final'!#REF!="Muy Alta",'Mapa final'!#REF!="Leve"),CONCATENATE("R9C",'Mapa final'!#REF!),"")</f>
        <v>#REF!</v>
      </c>
      <c r="P14" s="52" t="e">
        <f>IF(AND('Mapa final'!#REF!="Muy Alta",'Mapa final'!#REF!="Menor"),CONCATENATE("R9C",'Mapa final'!#REF!),"")</f>
        <v>#REF!</v>
      </c>
      <c r="Q14" s="53" t="e">
        <f>IF(AND('Mapa final'!#REF!="Muy Alta",'Mapa final'!#REF!="Menor"),CONCATENATE("R9C",'Mapa final'!#REF!),"")</f>
        <v>#REF!</v>
      </c>
      <c r="R14" s="53" t="e">
        <f>IF(AND('Mapa final'!#REF!="Muy Alta",'Mapa final'!#REF!="Menor"),CONCATENATE("R9C",'Mapa final'!#REF!),"")</f>
        <v>#REF!</v>
      </c>
      <c r="S14" s="53" t="e">
        <f>IF(AND('Mapa final'!#REF!="Muy Alta",'Mapa final'!#REF!="Menor"),CONCATENATE("R9C",'Mapa final'!#REF!),"")</f>
        <v>#REF!</v>
      </c>
      <c r="T14" s="53" t="e">
        <f>IF(AND('Mapa final'!#REF!="Muy Alta",'Mapa final'!#REF!="Menor"),CONCATENATE("R9C",'Mapa final'!#REF!),"")</f>
        <v>#REF!</v>
      </c>
      <c r="U14" s="54" t="e">
        <f>IF(AND('Mapa final'!#REF!="Muy Alta",'Mapa final'!#REF!="Menor"),CONCATENATE("R9C",'Mapa final'!#REF!),"")</f>
        <v>#REF!</v>
      </c>
      <c r="V14" s="52" t="e">
        <f>IF(AND('Mapa final'!#REF!="Muy Alta",'Mapa final'!#REF!="Moderado"),CONCATENATE("R9C",'Mapa final'!#REF!),"")</f>
        <v>#REF!</v>
      </c>
      <c r="W14" s="53" t="e">
        <f>IF(AND('Mapa final'!#REF!="Muy Alta",'Mapa final'!#REF!="Moderado"),CONCATENATE("R9C",'Mapa final'!#REF!),"")</f>
        <v>#REF!</v>
      </c>
      <c r="X14" s="53" t="e">
        <f>IF(AND('Mapa final'!#REF!="Muy Alta",'Mapa final'!#REF!="Moderado"),CONCATENATE("R9C",'Mapa final'!#REF!),"")</f>
        <v>#REF!</v>
      </c>
      <c r="Y14" s="53" t="e">
        <f>IF(AND('Mapa final'!#REF!="Muy Alta",'Mapa final'!#REF!="Moderado"),CONCATENATE("R9C",'Mapa final'!#REF!),"")</f>
        <v>#REF!</v>
      </c>
      <c r="Z14" s="53" t="e">
        <f>IF(AND('Mapa final'!#REF!="Muy Alta",'Mapa final'!#REF!="Moderado"),CONCATENATE("R9C",'Mapa final'!#REF!),"")</f>
        <v>#REF!</v>
      </c>
      <c r="AA14" s="54" t="e">
        <f>IF(AND('Mapa final'!#REF!="Muy Alta",'Mapa final'!#REF!="Moderado"),CONCATENATE("R9C",'Mapa final'!#REF!),"")</f>
        <v>#REF!</v>
      </c>
      <c r="AB14" s="52" t="e">
        <f>IF(AND('Mapa final'!#REF!="Muy Alta",'Mapa final'!#REF!="Mayor"),CONCATENATE("R9C",'Mapa final'!#REF!),"")</f>
        <v>#REF!</v>
      </c>
      <c r="AC14" s="53" t="e">
        <f>IF(AND('Mapa final'!#REF!="Muy Alta",'Mapa final'!#REF!="Mayor"),CONCATENATE("R9C",'Mapa final'!#REF!),"")</f>
        <v>#REF!</v>
      </c>
      <c r="AD14" s="53" t="e">
        <f>IF(AND('Mapa final'!#REF!="Muy Alta",'Mapa final'!#REF!="Mayor"),CONCATENATE("R9C",'Mapa final'!#REF!),"")</f>
        <v>#REF!</v>
      </c>
      <c r="AE14" s="53" t="e">
        <f>IF(AND('Mapa final'!#REF!="Muy Alta",'Mapa final'!#REF!="Mayor"),CONCATENATE("R9C",'Mapa final'!#REF!),"")</f>
        <v>#REF!</v>
      </c>
      <c r="AF14" s="53" t="e">
        <f>IF(AND('Mapa final'!#REF!="Muy Alta",'Mapa final'!#REF!="Mayor"),CONCATENATE("R9C",'Mapa final'!#REF!),"")</f>
        <v>#REF!</v>
      </c>
      <c r="AG14" s="54" t="e">
        <f>IF(AND('Mapa final'!#REF!="Muy Alta",'Mapa final'!#REF!="Mayor"),CONCATENATE("R9C",'Mapa final'!#REF!),"")</f>
        <v>#REF!</v>
      </c>
      <c r="AH14" s="55" t="e">
        <f>IF(AND('Mapa final'!#REF!="Muy Alta",'Mapa final'!#REF!="Catastrófico"),CONCATENATE("R9C",'Mapa final'!#REF!),"")</f>
        <v>#REF!</v>
      </c>
      <c r="AI14" s="56" t="e">
        <f>IF(AND('Mapa final'!#REF!="Muy Alta",'Mapa final'!#REF!="Catastrófico"),CONCATENATE("R9C",'Mapa final'!#REF!),"")</f>
        <v>#REF!</v>
      </c>
      <c r="AJ14" s="56" t="e">
        <f>IF(AND('Mapa final'!#REF!="Muy Alta",'Mapa final'!#REF!="Catastrófico"),CONCATENATE("R9C",'Mapa final'!#REF!),"")</f>
        <v>#REF!</v>
      </c>
      <c r="AK14" s="56" t="e">
        <f>IF(AND('Mapa final'!#REF!="Muy Alta",'Mapa final'!#REF!="Catastrófico"),CONCATENATE("R9C",'Mapa final'!#REF!),"")</f>
        <v>#REF!</v>
      </c>
      <c r="AL14" s="56" t="e">
        <f>IF(AND('Mapa final'!#REF!="Muy Alta",'Mapa final'!#REF!="Catastrófico"),CONCATENATE("R9C",'Mapa final'!#REF!),"")</f>
        <v>#REF!</v>
      </c>
      <c r="AM14" s="57" t="e">
        <f>IF(AND('Mapa final'!#REF!="Muy Alta",'Mapa final'!#REF!="Catastrófico"),CONCATENATE("R9C",'Mapa final'!#REF!),"")</f>
        <v>#REF!</v>
      </c>
      <c r="AN14" s="83"/>
      <c r="AO14" s="404"/>
      <c r="AP14" s="405"/>
      <c r="AQ14" s="405"/>
      <c r="AR14" s="405"/>
      <c r="AS14" s="405"/>
      <c r="AT14" s="40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43"/>
      <c r="C15" s="343"/>
      <c r="D15" s="344"/>
      <c r="E15" s="387"/>
      <c r="F15" s="388"/>
      <c r="G15" s="388"/>
      <c r="H15" s="388"/>
      <c r="I15" s="389"/>
      <c r="J15" s="58" t="e">
        <f>IF(AND('Mapa final'!#REF!="Muy Alta",'Mapa final'!#REF!="Leve"),CONCATENATE("R10C",'Mapa final'!#REF!),"")</f>
        <v>#REF!</v>
      </c>
      <c r="K15" s="59" t="e">
        <f>IF(AND('Mapa final'!#REF!="Muy Alta",'Mapa final'!#REF!="Leve"),CONCATENATE("R10C",'Mapa final'!#REF!),"")</f>
        <v>#REF!</v>
      </c>
      <c r="L15" s="59" t="e">
        <f>IF(AND('Mapa final'!#REF!="Muy Alta",'Mapa final'!#REF!="Leve"),CONCATENATE("R10C",'Mapa final'!#REF!),"")</f>
        <v>#REF!</v>
      </c>
      <c r="M15" s="59" t="e">
        <f>IF(AND('Mapa final'!#REF!="Muy Alta",'Mapa final'!#REF!="Leve"),CONCATENATE("R10C",'Mapa final'!#REF!),"")</f>
        <v>#REF!</v>
      </c>
      <c r="N15" s="59" t="e">
        <f>IF(AND('Mapa final'!#REF!="Muy Alta",'Mapa final'!#REF!="Leve"),CONCATENATE("R10C",'Mapa final'!#REF!),"")</f>
        <v>#REF!</v>
      </c>
      <c r="O15" s="60" t="e">
        <f>IF(AND('Mapa final'!#REF!="Muy Alta",'Mapa final'!#REF!="Leve"),CONCATENATE("R10C",'Mapa final'!#REF!),"")</f>
        <v>#REF!</v>
      </c>
      <c r="P15" s="52" t="e">
        <f>IF(AND('Mapa final'!#REF!="Muy Alta",'Mapa final'!#REF!="Menor"),CONCATENATE("R10C",'Mapa final'!#REF!),"")</f>
        <v>#REF!</v>
      </c>
      <c r="Q15" s="53" t="e">
        <f>IF(AND('Mapa final'!#REF!="Muy Alta",'Mapa final'!#REF!="Menor"),CONCATENATE("R10C",'Mapa final'!#REF!),"")</f>
        <v>#REF!</v>
      </c>
      <c r="R15" s="53" t="e">
        <f>IF(AND('Mapa final'!#REF!="Muy Alta",'Mapa final'!#REF!="Menor"),CONCATENATE("R10C",'Mapa final'!#REF!),"")</f>
        <v>#REF!</v>
      </c>
      <c r="S15" s="53" t="e">
        <f>IF(AND('Mapa final'!#REF!="Muy Alta",'Mapa final'!#REF!="Menor"),CONCATENATE("R10C",'Mapa final'!#REF!),"")</f>
        <v>#REF!</v>
      </c>
      <c r="T15" s="53" t="e">
        <f>IF(AND('Mapa final'!#REF!="Muy Alta",'Mapa final'!#REF!="Menor"),CONCATENATE("R10C",'Mapa final'!#REF!),"")</f>
        <v>#REF!</v>
      </c>
      <c r="U15" s="54" t="e">
        <f>IF(AND('Mapa final'!#REF!="Muy Alta",'Mapa final'!#REF!="Menor"),CONCATENATE("R10C",'Mapa final'!#REF!),"")</f>
        <v>#REF!</v>
      </c>
      <c r="V15" s="58" t="e">
        <f>IF(AND('Mapa final'!#REF!="Muy Alta",'Mapa final'!#REF!="Moderado"),CONCATENATE("R10C",'Mapa final'!#REF!),"")</f>
        <v>#REF!</v>
      </c>
      <c r="W15" s="59" t="e">
        <f>IF(AND('Mapa final'!#REF!="Muy Alta",'Mapa final'!#REF!="Moderado"),CONCATENATE("R10C",'Mapa final'!#REF!),"")</f>
        <v>#REF!</v>
      </c>
      <c r="X15" s="59" t="e">
        <f>IF(AND('Mapa final'!#REF!="Muy Alta",'Mapa final'!#REF!="Moderado"),CONCATENATE("R10C",'Mapa final'!#REF!),"")</f>
        <v>#REF!</v>
      </c>
      <c r="Y15" s="59" t="e">
        <f>IF(AND('Mapa final'!#REF!="Muy Alta",'Mapa final'!#REF!="Moderado"),CONCATENATE("R10C",'Mapa final'!#REF!),"")</f>
        <v>#REF!</v>
      </c>
      <c r="Z15" s="59" t="e">
        <f>IF(AND('Mapa final'!#REF!="Muy Alta",'Mapa final'!#REF!="Moderado"),CONCATENATE("R10C",'Mapa final'!#REF!),"")</f>
        <v>#REF!</v>
      </c>
      <c r="AA15" s="60" t="e">
        <f>IF(AND('Mapa final'!#REF!="Muy Alta",'Mapa final'!#REF!="Moderado"),CONCATENATE("R10C",'Mapa final'!#REF!),"")</f>
        <v>#REF!</v>
      </c>
      <c r="AB15" s="52" t="e">
        <f>IF(AND('Mapa final'!#REF!="Muy Alta",'Mapa final'!#REF!="Mayor"),CONCATENATE("R10C",'Mapa final'!#REF!),"")</f>
        <v>#REF!</v>
      </c>
      <c r="AC15" s="53" t="e">
        <f>IF(AND('Mapa final'!#REF!="Muy Alta",'Mapa final'!#REF!="Mayor"),CONCATENATE("R10C",'Mapa final'!#REF!),"")</f>
        <v>#REF!</v>
      </c>
      <c r="AD15" s="53" t="e">
        <f>IF(AND('Mapa final'!#REF!="Muy Alta",'Mapa final'!#REF!="Mayor"),CONCATENATE("R10C",'Mapa final'!#REF!),"")</f>
        <v>#REF!</v>
      </c>
      <c r="AE15" s="53" t="e">
        <f>IF(AND('Mapa final'!#REF!="Muy Alta",'Mapa final'!#REF!="Mayor"),CONCATENATE("R10C",'Mapa final'!#REF!),"")</f>
        <v>#REF!</v>
      </c>
      <c r="AF15" s="53" t="e">
        <f>IF(AND('Mapa final'!#REF!="Muy Alta",'Mapa final'!#REF!="Mayor"),CONCATENATE("R10C",'Mapa final'!#REF!),"")</f>
        <v>#REF!</v>
      </c>
      <c r="AG15" s="54" t="e">
        <f>IF(AND('Mapa final'!#REF!="Muy Alta",'Mapa final'!#REF!="Mayor"),CONCATENATE("R10C",'Mapa final'!#REF!),"")</f>
        <v>#REF!</v>
      </c>
      <c r="AH15" s="61" t="e">
        <f>IF(AND('Mapa final'!#REF!="Muy Alta",'Mapa final'!#REF!="Catastrófico"),CONCATENATE("R10C",'Mapa final'!#REF!),"")</f>
        <v>#REF!</v>
      </c>
      <c r="AI15" s="62" t="e">
        <f>IF(AND('Mapa final'!#REF!="Muy Alta",'Mapa final'!#REF!="Catastrófico"),CONCATENATE("R10C",'Mapa final'!#REF!),"")</f>
        <v>#REF!</v>
      </c>
      <c r="AJ15" s="62" t="e">
        <f>IF(AND('Mapa final'!#REF!="Muy Alta",'Mapa final'!#REF!="Catastrófico"),CONCATENATE("R10C",'Mapa final'!#REF!),"")</f>
        <v>#REF!</v>
      </c>
      <c r="AK15" s="62" t="e">
        <f>IF(AND('Mapa final'!#REF!="Muy Alta",'Mapa final'!#REF!="Catastrófico"),CONCATENATE("R10C",'Mapa final'!#REF!),"")</f>
        <v>#REF!</v>
      </c>
      <c r="AL15" s="62" t="e">
        <f>IF(AND('Mapa final'!#REF!="Muy Alta",'Mapa final'!#REF!="Catastrófico"),CONCATENATE("R10C",'Mapa final'!#REF!),"")</f>
        <v>#REF!</v>
      </c>
      <c r="AM15" s="63" t="e">
        <f>IF(AND('Mapa final'!#REF!="Muy Alta",'Mapa final'!#REF!="Catastrófico"),CONCATENATE("R10C",'Mapa final'!#REF!),"")</f>
        <v>#REF!</v>
      </c>
      <c r="AN15" s="83"/>
      <c r="AO15" s="407"/>
      <c r="AP15" s="408"/>
      <c r="AQ15" s="408"/>
      <c r="AR15" s="408"/>
      <c r="AS15" s="408"/>
      <c r="AT15" s="40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43"/>
      <c r="C16" s="343"/>
      <c r="D16" s="344"/>
      <c r="E16" s="381" t="s">
        <v>94</v>
      </c>
      <c r="F16" s="382"/>
      <c r="G16" s="382"/>
      <c r="H16" s="382"/>
      <c r="I16" s="382"/>
      <c r="J16" s="64" t="str">
        <f>IF(AND('Mapa final'!$Y$25="Alta",'Mapa final'!$AA$25="Leve"),CONCATENATE("R1C",'Mapa final'!$O$25),"")</f>
        <v/>
      </c>
      <c r="K16" s="65" t="str">
        <f>IF(AND('Mapa final'!$Y$26="Alta",'Mapa final'!$AA$26="Leve"),CONCATENATE("R1C",'Mapa final'!$O$26),"")</f>
        <v/>
      </c>
      <c r="L16" s="65" t="e">
        <f>IF(AND('Mapa final'!#REF!="Alta",'Mapa final'!#REF!="Leve"),CONCATENATE("R1C",'Mapa final'!#REF!),"")</f>
        <v>#REF!</v>
      </c>
      <c r="M16" s="65" t="e">
        <f>IF(AND('Mapa final'!#REF!="Alta",'Mapa final'!#REF!="Leve"),CONCATENATE("R1C",'Mapa final'!#REF!),"")</f>
        <v>#REF!</v>
      </c>
      <c r="N16" s="65" t="e">
        <f>IF(AND('Mapa final'!#REF!="Alta",'Mapa final'!#REF!="Leve"),CONCATENATE("R1C",'Mapa final'!#REF!),"")</f>
        <v>#REF!</v>
      </c>
      <c r="O16" s="66" t="e">
        <f>IF(AND('Mapa final'!#REF!="Alta",'Mapa final'!#REF!="Leve"),CONCATENATE("R1C",'Mapa final'!#REF!),"")</f>
        <v>#REF!</v>
      </c>
      <c r="P16" s="64" t="str">
        <f>IF(AND('Mapa final'!$Y$25="Alta",'Mapa final'!$AA$25="Menor"),CONCATENATE("R1C",'Mapa final'!$O$25),"")</f>
        <v/>
      </c>
      <c r="Q16" s="65" t="str">
        <f>IF(AND('Mapa final'!$Y$26="Alta",'Mapa final'!$AA$26="Menor"),CONCATENATE("R1C",'Mapa final'!$O$26),"")</f>
        <v/>
      </c>
      <c r="R16" s="65" t="e">
        <f>IF(AND('Mapa final'!#REF!="Alta",'Mapa final'!#REF!="Menor"),CONCATENATE("R1C",'Mapa final'!#REF!),"")</f>
        <v>#REF!</v>
      </c>
      <c r="S16" s="65" t="e">
        <f>IF(AND('Mapa final'!#REF!="Alta",'Mapa final'!#REF!="Menor"),CONCATENATE("R1C",'Mapa final'!#REF!),"")</f>
        <v>#REF!</v>
      </c>
      <c r="T16" s="65" t="e">
        <f>IF(AND('Mapa final'!#REF!="Alta",'Mapa final'!#REF!="Menor"),CONCATENATE("R1C",'Mapa final'!#REF!),"")</f>
        <v>#REF!</v>
      </c>
      <c r="U16" s="66" t="e">
        <f>IF(AND('Mapa final'!#REF!="Alta",'Mapa final'!#REF!="Menor"),CONCATENATE("R1C",'Mapa final'!#REF!),"")</f>
        <v>#REF!</v>
      </c>
      <c r="V16" s="46" t="str">
        <f>IF(AND('Mapa final'!$Y$25="Alta",'Mapa final'!$AA$25="Moderado"),CONCATENATE("R1C",'Mapa final'!$O$25),"")</f>
        <v/>
      </c>
      <c r="W16" s="47" t="str">
        <f>IF(AND('Mapa final'!$Y$26="Alta",'Mapa final'!$AA$26="Moderado"),CONCATENATE("R1C",'Mapa final'!$O$26),"")</f>
        <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final'!$Y$25="Alta",'Mapa final'!$AA$25="Mayor"),CONCATENATE("R1C",'Mapa final'!$O$25),"")</f>
        <v/>
      </c>
      <c r="AC16" s="47" t="str">
        <f>IF(AND('Mapa final'!$Y$26="Alta",'Mapa final'!$AA$26="Mayor"),CONCATENATE("R1C",'Mapa final'!$O$26),"")</f>
        <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final'!$Y$25="Alta",'Mapa final'!$AA$25="Catastrófico"),CONCATENATE("R1C",'Mapa final'!$O$25),"")</f>
        <v/>
      </c>
      <c r="AI16" s="50" t="str">
        <f>IF(AND('Mapa final'!$Y$26="Alta",'Mapa final'!$AA$26="Catastrófico"),CONCATENATE("R1C",'Mapa final'!$O$26),"")</f>
        <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3"/>
      <c r="AO16" s="391" t="s">
        <v>95</v>
      </c>
      <c r="AP16" s="392"/>
      <c r="AQ16" s="392"/>
      <c r="AR16" s="392"/>
      <c r="AS16" s="392"/>
      <c r="AT16" s="39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43"/>
      <c r="C17" s="343"/>
      <c r="D17" s="344"/>
      <c r="E17" s="400"/>
      <c r="F17" s="385"/>
      <c r="G17" s="385"/>
      <c r="H17" s="385"/>
      <c r="I17" s="385"/>
      <c r="J17" s="67" t="str">
        <f>IF(AND('Mapa final'!$Y$27="Alta",'Mapa final'!$AA$27="Leve"),CONCATENATE("R2C",'Mapa final'!$O$27),"")</f>
        <v/>
      </c>
      <c r="K17" s="68" t="str">
        <f>IF(AND('Mapa final'!$Y$28="Alta",'Mapa final'!$AA$28="Leve"),CONCATENATE("R2C",'Mapa final'!$O$28),"")</f>
        <v/>
      </c>
      <c r="L17" s="68" t="e">
        <f>IF(AND('Mapa final'!#REF!="Alta",'Mapa final'!#REF!="Leve"),CONCATENATE("R2C",'Mapa final'!#REF!),"")</f>
        <v>#REF!</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str">
        <f>IF(AND('Mapa final'!$Y$27="Alta",'Mapa final'!$AA$27="Menor"),CONCATENATE("R2C",'Mapa final'!$O$27),"")</f>
        <v/>
      </c>
      <c r="Q17" s="68" t="str">
        <f>IF(AND('Mapa final'!$Y$28="Alta",'Mapa final'!$AA$28="Menor"),CONCATENATE("R2C",'Mapa final'!$O$28),"")</f>
        <v/>
      </c>
      <c r="R17" s="68" t="e">
        <f>IF(AND('Mapa final'!#REF!="Alta",'Mapa final'!#REF!="Menor"),CONCATENATE("R2C",'Mapa final'!#REF!),"")</f>
        <v>#REF!</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str">
        <f>IF(AND('Mapa final'!$Y$27="Alta",'Mapa final'!$AA$27="Moderado"),CONCATENATE("R2C",'Mapa final'!$O$27),"")</f>
        <v/>
      </c>
      <c r="W17" s="53" t="str">
        <f>IF(AND('Mapa final'!$Y$28="Alta",'Mapa final'!$AA$28="Moderado"),CONCATENATE("R2C",'Mapa final'!$O$28),"")</f>
        <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final'!$Y$27="Alta",'Mapa final'!$AA$27="Mayor"),CONCATENATE("R2C",'Mapa final'!$O$27),"")</f>
        <v/>
      </c>
      <c r="AC17" s="53" t="str">
        <f>IF(AND('Mapa final'!$Y$28="Alta",'Mapa final'!$AA$28="Mayor"),CONCATENATE("R2C",'Mapa final'!$O$28),"")</f>
        <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final'!$Y$27="Alta",'Mapa final'!$AA$27="Catastrófico"),CONCATENATE("R2C",'Mapa final'!$O$27),"")</f>
        <v/>
      </c>
      <c r="AI17" s="56" t="str">
        <f>IF(AND('Mapa final'!$Y$28="Alta",'Mapa final'!$AA$28="Catastrófico"),CONCATENATE("R2C",'Mapa final'!$O$28),"")</f>
        <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394"/>
      <c r="AP17" s="395"/>
      <c r="AQ17" s="395"/>
      <c r="AR17" s="395"/>
      <c r="AS17" s="395"/>
      <c r="AT17" s="39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43"/>
      <c r="C18" s="343"/>
      <c r="D18" s="344"/>
      <c r="E18" s="384"/>
      <c r="F18" s="385"/>
      <c r="G18" s="385"/>
      <c r="H18" s="385"/>
      <c r="I18" s="385"/>
      <c r="J18" s="67" t="str">
        <f>IF(AND('Mapa final'!$Y$29="Alta",'Mapa final'!$AA$29="Leve"),CONCATENATE("R3C",'Mapa final'!$O$29),"")</f>
        <v/>
      </c>
      <c r="K18" s="68" t="str">
        <f>IF(AND('Mapa final'!$Y$30="Alta",'Mapa final'!$AA$30="Leve"),CONCATENATE("R3C",'Mapa final'!$O$30),"")</f>
        <v/>
      </c>
      <c r="L18" s="68" t="str">
        <f>IF(AND('Mapa final'!$Y$31="Alta",'Mapa final'!$AA$31="Leve"),CONCATENATE("R3C",'Mapa final'!$O$31),"")</f>
        <v/>
      </c>
      <c r="M18" s="68" t="str">
        <f>IF(AND('Mapa final'!$Y$32="Alta",'Mapa final'!$AA$32="Leve"),CONCATENATE("R3C",'Mapa final'!$O$32),"")</f>
        <v/>
      </c>
      <c r="N18" s="68" t="e">
        <f>IF(AND('Mapa final'!#REF!="Alta",'Mapa final'!#REF!="Leve"),CONCATENATE("R3C",'Mapa final'!#REF!),"")</f>
        <v>#REF!</v>
      </c>
      <c r="O18" s="69" t="e">
        <f>IF(AND('Mapa final'!#REF!="Alta",'Mapa final'!#REF!="Leve"),CONCATENATE("R3C",'Mapa final'!#REF!),"")</f>
        <v>#REF!</v>
      </c>
      <c r="P18" s="67" t="str">
        <f>IF(AND('Mapa final'!$Y$29="Alta",'Mapa final'!$AA$29="Menor"),CONCATENATE("R3C",'Mapa final'!$O$29),"")</f>
        <v/>
      </c>
      <c r="Q18" s="68" t="str">
        <f>IF(AND('Mapa final'!$Y$30="Alta",'Mapa final'!$AA$30="Menor"),CONCATENATE("R3C",'Mapa final'!$O$30),"")</f>
        <v/>
      </c>
      <c r="R18" s="68" t="str">
        <f>IF(AND('Mapa final'!$Y$31="Alta",'Mapa final'!$AA$31="Menor"),CONCATENATE("R3C",'Mapa final'!$O$31),"")</f>
        <v/>
      </c>
      <c r="S18" s="68" t="str">
        <f>IF(AND('Mapa final'!$Y$32="Alta",'Mapa final'!$AA$32="Menor"),CONCATENATE("R3C",'Mapa final'!$O$32),"")</f>
        <v/>
      </c>
      <c r="T18" s="68" t="e">
        <f>IF(AND('Mapa final'!#REF!="Alta",'Mapa final'!#REF!="Menor"),CONCATENATE("R3C",'Mapa final'!#REF!),"")</f>
        <v>#REF!</v>
      </c>
      <c r="U18" s="69" t="e">
        <f>IF(AND('Mapa final'!#REF!="Alta",'Mapa final'!#REF!="Menor"),CONCATENATE("R3C",'Mapa final'!#REF!),"")</f>
        <v>#REF!</v>
      </c>
      <c r="V18" s="52" t="str">
        <f>IF(AND('Mapa final'!$Y$29="Alta",'Mapa final'!$AA$29="Moderado"),CONCATENATE("R3C",'Mapa final'!$O$29),"")</f>
        <v/>
      </c>
      <c r="W18" s="53" t="str">
        <f>IF(AND('Mapa final'!$Y$30="Alta",'Mapa final'!$AA$30="Moderado"),CONCATENATE("R3C",'Mapa final'!$O$30),"")</f>
        <v/>
      </c>
      <c r="X18" s="53" t="str">
        <f>IF(AND('Mapa final'!$Y$31="Alta",'Mapa final'!$AA$31="Moderado"),CONCATENATE("R3C",'Mapa final'!$O$31),"")</f>
        <v/>
      </c>
      <c r="Y18" s="53" t="str">
        <f>IF(AND('Mapa final'!$Y$32="Alta",'Mapa final'!$AA$32="Moderado"),CONCATENATE("R3C",'Mapa final'!$O$32),"")</f>
        <v/>
      </c>
      <c r="Z18" s="53" t="e">
        <f>IF(AND('Mapa final'!#REF!="Alta",'Mapa final'!#REF!="Moderado"),CONCATENATE("R3C",'Mapa final'!#REF!),"")</f>
        <v>#REF!</v>
      </c>
      <c r="AA18" s="54" t="e">
        <f>IF(AND('Mapa final'!#REF!="Alta",'Mapa final'!#REF!="Moderado"),CONCATENATE("R3C",'Mapa final'!#REF!),"")</f>
        <v>#REF!</v>
      </c>
      <c r="AB18" s="52" t="str">
        <f>IF(AND('Mapa final'!$Y$29="Alta",'Mapa final'!$AA$29="Mayor"),CONCATENATE("R3C",'Mapa final'!$O$29),"")</f>
        <v/>
      </c>
      <c r="AC18" s="53" t="str">
        <f>IF(AND('Mapa final'!$Y$30="Alta",'Mapa final'!$AA$30="Mayor"),CONCATENATE("R3C",'Mapa final'!$O$30),"")</f>
        <v/>
      </c>
      <c r="AD18" s="53" t="str">
        <f>IF(AND('Mapa final'!$Y$31="Alta",'Mapa final'!$AA$31="Mayor"),CONCATENATE("R3C",'Mapa final'!$O$31),"")</f>
        <v/>
      </c>
      <c r="AE18" s="53" t="str">
        <f>IF(AND('Mapa final'!$Y$32="Alta",'Mapa final'!$AA$32="Mayor"),CONCATENATE("R3C",'Mapa final'!$O$32),"")</f>
        <v/>
      </c>
      <c r="AF18" s="53" t="e">
        <f>IF(AND('Mapa final'!#REF!="Alta",'Mapa final'!#REF!="Mayor"),CONCATENATE("R3C",'Mapa final'!#REF!),"")</f>
        <v>#REF!</v>
      </c>
      <c r="AG18" s="54" t="e">
        <f>IF(AND('Mapa final'!#REF!="Alta",'Mapa final'!#REF!="Mayor"),CONCATENATE("R3C",'Mapa final'!#REF!),"")</f>
        <v>#REF!</v>
      </c>
      <c r="AH18" s="55" t="str">
        <f>IF(AND('Mapa final'!$Y$29="Alta",'Mapa final'!$AA$29="Catastrófico"),CONCATENATE("R3C",'Mapa final'!$O$29),"")</f>
        <v/>
      </c>
      <c r="AI18" s="56" t="str">
        <f>IF(AND('Mapa final'!$Y$30="Alta",'Mapa final'!$AA$30="Catastrófico"),CONCATENATE("R3C",'Mapa final'!$O$30),"")</f>
        <v/>
      </c>
      <c r="AJ18" s="56" t="str">
        <f>IF(AND('Mapa final'!$Y$31="Alta",'Mapa final'!$AA$31="Catastrófico"),CONCATENATE("R3C",'Mapa final'!$O$31),"")</f>
        <v/>
      </c>
      <c r="AK18" s="56" t="str">
        <f>IF(AND('Mapa final'!$Y$32="Alta",'Mapa final'!$AA$32="Catastrófico"),CONCATENATE("R3C",'Mapa final'!$O$32),"")</f>
        <v/>
      </c>
      <c r="AL18" s="56" t="e">
        <f>IF(AND('Mapa final'!#REF!="Alta",'Mapa final'!#REF!="Catastrófico"),CONCATENATE("R3C",'Mapa final'!#REF!),"")</f>
        <v>#REF!</v>
      </c>
      <c r="AM18" s="57" t="e">
        <f>IF(AND('Mapa final'!#REF!="Alta",'Mapa final'!#REF!="Catastrófico"),CONCATENATE("R3C",'Mapa final'!#REF!),"")</f>
        <v>#REF!</v>
      </c>
      <c r="AN18" s="83"/>
      <c r="AO18" s="394"/>
      <c r="AP18" s="395"/>
      <c r="AQ18" s="395"/>
      <c r="AR18" s="395"/>
      <c r="AS18" s="395"/>
      <c r="AT18" s="39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43"/>
      <c r="C19" s="343"/>
      <c r="D19" s="344"/>
      <c r="E19" s="384"/>
      <c r="F19" s="385"/>
      <c r="G19" s="385"/>
      <c r="H19" s="385"/>
      <c r="I19" s="385"/>
      <c r="J19" s="67" t="str">
        <f>IF(AND('Mapa final'!$Y$33="Alta",'Mapa final'!$AA$33="Leve"),CONCATENATE("R4C",'Mapa final'!$O$33),"")</f>
        <v/>
      </c>
      <c r="K19" s="68" t="str">
        <f>IF(AND('Mapa final'!$Y$34="Alta",'Mapa final'!$AA$34="Leve"),CONCATENATE("R4C",'Mapa final'!$O$34),"")</f>
        <v/>
      </c>
      <c r="L19" s="68" t="str">
        <f>IF(AND('Mapa final'!$Y$35="Alta",'Mapa final'!$AA$35="Leve"),CONCATENATE("R4C",'Mapa final'!$O$35),"")</f>
        <v/>
      </c>
      <c r="M19" s="68" t="str">
        <f>IF(AND('Mapa final'!$Y$36="Alta",'Mapa final'!$AA$36="Leve"),CONCATENATE("R4C",'Mapa final'!$O$36),"")</f>
        <v/>
      </c>
      <c r="N19" s="68" t="e">
        <f>IF(AND('Mapa final'!#REF!="Alta",'Mapa final'!#REF!="Leve"),CONCATENATE("R4C",'Mapa final'!#REF!),"")</f>
        <v>#REF!</v>
      </c>
      <c r="O19" s="69" t="e">
        <f>IF(AND('Mapa final'!#REF!="Alta",'Mapa final'!#REF!="Leve"),CONCATENATE("R4C",'Mapa final'!#REF!),"")</f>
        <v>#REF!</v>
      </c>
      <c r="P19" s="67" t="str">
        <f>IF(AND('Mapa final'!$Y$33="Alta",'Mapa final'!$AA$33="Menor"),CONCATENATE("R4C",'Mapa final'!$O$33),"")</f>
        <v/>
      </c>
      <c r="Q19" s="68" t="str">
        <f>IF(AND('Mapa final'!$Y$34="Alta",'Mapa final'!$AA$34="Menor"),CONCATENATE("R4C",'Mapa final'!$O$34),"")</f>
        <v/>
      </c>
      <c r="R19" s="68" t="str">
        <f>IF(AND('Mapa final'!$Y$35="Alta",'Mapa final'!$AA$35="Menor"),CONCATENATE("R4C",'Mapa final'!$O$35),"")</f>
        <v/>
      </c>
      <c r="S19" s="68" t="str">
        <f>IF(AND('Mapa final'!$Y$36="Alta",'Mapa final'!$AA$36="Menor"),CONCATENATE("R4C",'Mapa final'!$O$36),"")</f>
        <v/>
      </c>
      <c r="T19" s="68" t="e">
        <f>IF(AND('Mapa final'!#REF!="Alta",'Mapa final'!#REF!="Menor"),CONCATENATE("R4C",'Mapa final'!#REF!),"")</f>
        <v>#REF!</v>
      </c>
      <c r="U19" s="69" t="e">
        <f>IF(AND('Mapa final'!#REF!="Alta",'Mapa final'!#REF!="Menor"),CONCATENATE("R4C",'Mapa final'!#REF!),"")</f>
        <v>#REF!</v>
      </c>
      <c r="V19" s="52" t="str">
        <f>IF(AND('Mapa final'!$Y$33="Alta",'Mapa final'!$AA$33="Moderado"),CONCATENATE("R4C",'Mapa final'!$O$33),"")</f>
        <v/>
      </c>
      <c r="W19" s="53" t="str">
        <f>IF(AND('Mapa final'!$Y$34="Alta",'Mapa final'!$AA$34="Moderado"),CONCATENATE("R4C",'Mapa final'!$O$34),"")</f>
        <v/>
      </c>
      <c r="X19" s="53" t="str">
        <f>IF(AND('Mapa final'!$Y$35="Alta",'Mapa final'!$AA$35="Moderado"),CONCATENATE("R4C",'Mapa final'!$O$35),"")</f>
        <v/>
      </c>
      <c r="Y19" s="53" t="str">
        <f>IF(AND('Mapa final'!$Y$36="Alta",'Mapa final'!$AA$36="Moderado"),CONCATENATE("R4C",'Mapa final'!$O$36),"")</f>
        <v/>
      </c>
      <c r="Z19" s="53" t="e">
        <f>IF(AND('Mapa final'!#REF!="Alta",'Mapa final'!#REF!="Moderado"),CONCATENATE("R4C",'Mapa final'!#REF!),"")</f>
        <v>#REF!</v>
      </c>
      <c r="AA19" s="54" t="e">
        <f>IF(AND('Mapa final'!#REF!="Alta",'Mapa final'!#REF!="Moderado"),CONCATENATE("R4C",'Mapa final'!#REF!),"")</f>
        <v>#REF!</v>
      </c>
      <c r="AB19" s="52" t="str">
        <f>IF(AND('Mapa final'!$Y$33="Alta",'Mapa final'!$AA$33="Mayor"),CONCATENATE("R4C",'Mapa final'!$O$33),"")</f>
        <v/>
      </c>
      <c r="AC19" s="53" t="str">
        <f>IF(AND('Mapa final'!$Y$34="Alta",'Mapa final'!$AA$34="Mayor"),CONCATENATE("R4C",'Mapa final'!$O$34),"")</f>
        <v/>
      </c>
      <c r="AD19" s="53" t="str">
        <f>IF(AND('Mapa final'!$Y$35="Alta",'Mapa final'!$AA$35="Mayor"),CONCATENATE("R4C",'Mapa final'!$O$35),"")</f>
        <v/>
      </c>
      <c r="AE19" s="53" t="str">
        <f>IF(AND('Mapa final'!$Y$36="Alta",'Mapa final'!$AA$36="Mayor"),CONCATENATE("R4C",'Mapa final'!$O$36),"")</f>
        <v/>
      </c>
      <c r="AF19" s="53" t="e">
        <f>IF(AND('Mapa final'!#REF!="Alta",'Mapa final'!#REF!="Mayor"),CONCATENATE("R4C",'Mapa final'!#REF!),"")</f>
        <v>#REF!</v>
      </c>
      <c r="AG19" s="54" t="e">
        <f>IF(AND('Mapa final'!#REF!="Alta",'Mapa final'!#REF!="Mayor"),CONCATENATE("R4C",'Mapa final'!#REF!),"")</f>
        <v>#REF!</v>
      </c>
      <c r="AH19" s="55" t="str">
        <f>IF(AND('Mapa final'!$Y$33="Alta",'Mapa final'!$AA$33="Catastrófico"),CONCATENATE("R4C",'Mapa final'!$O$33),"")</f>
        <v/>
      </c>
      <c r="AI19" s="56" t="str">
        <f>IF(AND('Mapa final'!$Y$34="Alta",'Mapa final'!$AA$34="Catastrófico"),CONCATENATE("R4C",'Mapa final'!$O$34),"")</f>
        <v/>
      </c>
      <c r="AJ19" s="56" t="str">
        <f>IF(AND('Mapa final'!$Y$35="Alta",'Mapa final'!$AA$35="Catastrófico"),CONCATENATE("R4C",'Mapa final'!$O$35),"")</f>
        <v/>
      </c>
      <c r="AK19" s="56" t="str">
        <f>IF(AND('Mapa final'!$Y$36="Alta",'Mapa final'!$AA$36="Catastrófico"),CONCATENATE("R4C",'Mapa final'!$O$36),"")</f>
        <v/>
      </c>
      <c r="AL19" s="56" t="e">
        <f>IF(AND('Mapa final'!#REF!="Alta",'Mapa final'!#REF!="Catastrófico"),CONCATENATE("R4C",'Mapa final'!#REF!),"")</f>
        <v>#REF!</v>
      </c>
      <c r="AM19" s="57" t="e">
        <f>IF(AND('Mapa final'!#REF!="Alta",'Mapa final'!#REF!="Catastrófico"),CONCATENATE("R4C",'Mapa final'!#REF!),"")</f>
        <v>#REF!</v>
      </c>
      <c r="AN19" s="83"/>
      <c r="AO19" s="394"/>
      <c r="AP19" s="395"/>
      <c r="AQ19" s="395"/>
      <c r="AR19" s="395"/>
      <c r="AS19" s="395"/>
      <c r="AT19" s="39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43"/>
      <c r="C20" s="343"/>
      <c r="D20" s="344"/>
      <c r="E20" s="384"/>
      <c r="F20" s="385"/>
      <c r="G20" s="385"/>
      <c r="H20" s="385"/>
      <c r="I20" s="385"/>
      <c r="J20" s="67" t="str">
        <f>IF(AND('Mapa final'!$Y$37="Alta",'Mapa final'!$AA$37="Leve"),CONCATENATE("R5C",'Mapa final'!$O$37),"")</f>
        <v/>
      </c>
      <c r="K20" s="68" t="str">
        <f>IF(AND('Mapa final'!$Y$38="Alta",'Mapa final'!$AA$38="Leve"),CONCATENATE("R5C",'Mapa final'!$O$38),"")</f>
        <v/>
      </c>
      <c r="L20" s="68" t="str">
        <f>IF(AND('Mapa final'!$Y$39="Alta",'Mapa final'!$AA$39="Leve"),CONCATENATE("R5C",'Mapa final'!$O$39),"")</f>
        <v/>
      </c>
      <c r="M20" s="68" t="e">
        <f>IF(AND('Mapa final'!#REF!="Alta",'Mapa final'!#REF!="Leve"),CONCATENATE("R5C",'Mapa final'!#REF!),"")</f>
        <v>#REF!</v>
      </c>
      <c r="N20" s="68" t="e">
        <f>IF(AND('Mapa final'!#REF!="Alta",'Mapa final'!#REF!="Leve"),CONCATENATE("R5C",'Mapa final'!#REF!),"")</f>
        <v>#REF!</v>
      </c>
      <c r="O20" s="69" t="e">
        <f>IF(AND('Mapa final'!#REF!="Alta",'Mapa final'!#REF!="Leve"),CONCATENATE("R5C",'Mapa final'!#REF!),"")</f>
        <v>#REF!</v>
      </c>
      <c r="P20" s="67" t="str">
        <f>IF(AND('Mapa final'!$Y$37="Alta",'Mapa final'!$AA$37="Menor"),CONCATENATE("R5C",'Mapa final'!$O$37),"")</f>
        <v/>
      </c>
      <c r="Q20" s="68" t="str">
        <f>IF(AND('Mapa final'!$Y$38="Alta",'Mapa final'!$AA$38="Menor"),CONCATENATE("R5C",'Mapa final'!$O$38),"")</f>
        <v/>
      </c>
      <c r="R20" s="68" t="str">
        <f>IF(AND('Mapa final'!$Y$39="Alta",'Mapa final'!$AA$39="Menor"),CONCATENATE("R5C",'Mapa final'!$O$39),"")</f>
        <v/>
      </c>
      <c r="S20" s="68" t="e">
        <f>IF(AND('Mapa final'!#REF!="Alta",'Mapa final'!#REF!="Menor"),CONCATENATE("R5C",'Mapa final'!#REF!),"")</f>
        <v>#REF!</v>
      </c>
      <c r="T20" s="68" t="e">
        <f>IF(AND('Mapa final'!#REF!="Alta",'Mapa final'!#REF!="Menor"),CONCATENATE("R5C",'Mapa final'!#REF!),"")</f>
        <v>#REF!</v>
      </c>
      <c r="U20" s="69" t="e">
        <f>IF(AND('Mapa final'!#REF!="Alta",'Mapa final'!#REF!="Menor"),CONCATENATE("R5C",'Mapa final'!#REF!),"")</f>
        <v>#REF!</v>
      </c>
      <c r="V20" s="52" t="str">
        <f>IF(AND('Mapa final'!$Y$37="Alta",'Mapa final'!$AA$37="Moderado"),CONCATENATE("R5C",'Mapa final'!$O$37),"")</f>
        <v/>
      </c>
      <c r="W20" s="53" t="str">
        <f>IF(AND('Mapa final'!$Y$38="Alta",'Mapa final'!$AA$38="Moderado"),CONCATENATE("R5C",'Mapa final'!$O$38),"")</f>
        <v/>
      </c>
      <c r="X20" s="53" t="str">
        <f>IF(AND('Mapa final'!$Y$39="Alta",'Mapa final'!$AA$39="Moderado"),CONCATENATE("R5C",'Mapa final'!$O$39),"")</f>
        <v/>
      </c>
      <c r="Y20" s="53" t="e">
        <f>IF(AND('Mapa final'!#REF!="Alta",'Mapa final'!#REF!="Moderado"),CONCATENATE("R5C",'Mapa final'!#REF!),"")</f>
        <v>#REF!</v>
      </c>
      <c r="Z20" s="53" t="e">
        <f>IF(AND('Mapa final'!#REF!="Alta",'Mapa final'!#REF!="Moderado"),CONCATENATE("R5C",'Mapa final'!#REF!),"")</f>
        <v>#REF!</v>
      </c>
      <c r="AA20" s="54" t="e">
        <f>IF(AND('Mapa final'!#REF!="Alta",'Mapa final'!#REF!="Moderado"),CONCATENATE("R5C",'Mapa final'!#REF!),"")</f>
        <v>#REF!</v>
      </c>
      <c r="AB20" s="52" t="str">
        <f>IF(AND('Mapa final'!$Y$37="Alta",'Mapa final'!$AA$37="Mayor"),CONCATENATE("R5C",'Mapa final'!$O$37),"")</f>
        <v/>
      </c>
      <c r="AC20" s="53" t="str">
        <f>IF(AND('Mapa final'!$Y$38="Alta",'Mapa final'!$AA$38="Mayor"),CONCATENATE("R5C",'Mapa final'!$O$38),"")</f>
        <v/>
      </c>
      <c r="AD20" s="53" t="str">
        <f>IF(AND('Mapa final'!$Y$39="Alta",'Mapa final'!$AA$39="Mayor"),CONCATENATE("R5C",'Mapa final'!$O$39),"")</f>
        <v/>
      </c>
      <c r="AE20" s="53" t="e">
        <f>IF(AND('Mapa final'!#REF!="Alta",'Mapa final'!#REF!="Mayor"),CONCATENATE("R5C",'Mapa final'!#REF!),"")</f>
        <v>#REF!</v>
      </c>
      <c r="AF20" s="53" t="e">
        <f>IF(AND('Mapa final'!#REF!="Alta",'Mapa final'!#REF!="Mayor"),CONCATENATE("R5C",'Mapa final'!#REF!),"")</f>
        <v>#REF!</v>
      </c>
      <c r="AG20" s="54" t="e">
        <f>IF(AND('Mapa final'!#REF!="Alta",'Mapa final'!#REF!="Mayor"),CONCATENATE("R5C",'Mapa final'!#REF!),"")</f>
        <v>#REF!</v>
      </c>
      <c r="AH20" s="55" t="str">
        <f>IF(AND('Mapa final'!$Y$37="Alta",'Mapa final'!$AA$37="Catastrófico"),CONCATENATE("R5C",'Mapa final'!$O$37),"")</f>
        <v/>
      </c>
      <c r="AI20" s="56" t="str">
        <f>IF(AND('Mapa final'!$Y$38="Alta",'Mapa final'!$AA$38="Catastrófico"),CONCATENATE("R5C",'Mapa final'!$O$38),"")</f>
        <v/>
      </c>
      <c r="AJ20" s="56" t="str">
        <f>IF(AND('Mapa final'!$Y$39="Alta",'Mapa final'!$AA$39="Catastrófico"),CONCATENATE("R5C",'Mapa final'!$O$39),"")</f>
        <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3"/>
      <c r="AO20" s="394"/>
      <c r="AP20" s="395"/>
      <c r="AQ20" s="395"/>
      <c r="AR20" s="395"/>
      <c r="AS20" s="395"/>
      <c r="AT20" s="39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43"/>
      <c r="C21" s="343"/>
      <c r="D21" s="344"/>
      <c r="E21" s="384"/>
      <c r="F21" s="385"/>
      <c r="G21" s="385"/>
      <c r="H21" s="385"/>
      <c r="I21" s="385"/>
      <c r="J21" s="67" t="str">
        <f>IF(AND('Mapa final'!$Y$40="Alta",'Mapa final'!$AA$40="Leve"),CONCATENATE("R6C",'Mapa final'!$O$40),"")</f>
        <v/>
      </c>
      <c r="K21" s="68" t="str">
        <f>IF(AND('Mapa final'!$Y$41="Alta",'Mapa final'!$AA$41="Leve"),CONCATENATE("R6C",'Mapa final'!$O$41),"")</f>
        <v/>
      </c>
      <c r="L21" s="68" t="e">
        <f>IF(AND('Mapa final'!#REF!="Alta",'Mapa final'!#REF!="Leve"),CONCATENATE("R6C",'Mapa final'!#REF!),"")</f>
        <v>#REF!</v>
      </c>
      <c r="M21" s="68" t="e">
        <f>IF(AND('Mapa final'!#REF!="Alta",'Mapa final'!#REF!="Leve"),CONCATENATE("R6C",'Mapa final'!#REF!),"")</f>
        <v>#REF!</v>
      </c>
      <c r="N21" s="68" t="e">
        <f>IF(AND('Mapa final'!#REF!="Alta",'Mapa final'!#REF!="Leve"),CONCATENATE("R6C",'Mapa final'!#REF!),"")</f>
        <v>#REF!</v>
      </c>
      <c r="O21" s="69" t="e">
        <f>IF(AND('Mapa final'!#REF!="Alta",'Mapa final'!#REF!="Leve"),CONCATENATE("R6C",'Mapa final'!#REF!),"")</f>
        <v>#REF!</v>
      </c>
      <c r="P21" s="67" t="str">
        <f>IF(AND('Mapa final'!$Y$40="Alta",'Mapa final'!$AA$40="Menor"),CONCATENATE("R6C",'Mapa final'!$O$40),"")</f>
        <v/>
      </c>
      <c r="Q21" s="68" t="str">
        <f>IF(AND('Mapa final'!$Y$41="Alta",'Mapa final'!$AA$41="Menor"),CONCATENATE("R6C",'Mapa final'!$O$41),"")</f>
        <v/>
      </c>
      <c r="R21" s="68" t="e">
        <f>IF(AND('Mapa final'!#REF!="Alta",'Mapa final'!#REF!="Menor"),CONCATENATE("R6C",'Mapa final'!#REF!),"")</f>
        <v>#REF!</v>
      </c>
      <c r="S21" s="68" t="e">
        <f>IF(AND('Mapa final'!#REF!="Alta",'Mapa final'!#REF!="Menor"),CONCATENATE("R6C",'Mapa final'!#REF!),"")</f>
        <v>#REF!</v>
      </c>
      <c r="T21" s="68" t="e">
        <f>IF(AND('Mapa final'!#REF!="Alta",'Mapa final'!#REF!="Menor"),CONCATENATE("R6C",'Mapa final'!#REF!),"")</f>
        <v>#REF!</v>
      </c>
      <c r="U21" s="69" t="e">
        <f>IF(AND('Mapa final'!#REF!="Alta",'Mapa final'!#REF!="Menor"),CONCATENATE("R6C",'Mapa final'!#REF!),"")</f>
        <v>#REF!</v>
      </c>
      <c r="V21" s="52" t="str">
        <f>IF(AND('Mapa final'!$Y$40="Alta",'Mapa final'!$AA$40="Moderado"),CONCATENATE("R6C",'Mapa final'!$O$40),"")</f>
        <v/>
      </c>
      <c r="W21" s="53" t="str">
        <f>IF(AND('Mapa final'!$Y$41="Alta",'Mapa final'!$AA$41="Moderado"),CONCATENATE("R6C",'Mapa final'!$O$41),"")</f>
        <v/>
      </c>
      <c r="X21" s="53" t="e">
        <f>IF(AND('Mapa final'!#REF!="Alta",'Mapa final'!#REF!="Moderado"),CONCATENATE("R6C",'Mapa final'!#REF!),"")</f>
        <v>#REF!</v>
      </c>
      <c r="Y21" s="53" t="e">
        <f>IF(AND('Mapa final'!#REF!="Alta",'Mapa final'!#REF!="Moderado"),CONCATENATE("R6C",'Mapa final'!#REF!),"")</f>
        <v>#REF!</v>
      </c>
      <c r="Z21" s="53" t="e">
        <f>IF(AND('Mapa final'!#REF!="Alta",'Mapa final'!#REF!="Moderado"),CONCATENATE("R6C",'Mapa final'!#REF!),"")</f>
        <v>#REF!</v>
      </c>
      <c r="AA21" s="54" t="e">
        <f>IF(AND('Mapa final'!#REF!="Alta",'Mapa final'!#REF!="Moderado"),CONCATENATE("R6C",'Mapa final'!#REF!),"")</f>
        <v>#REF!</v>
      </c>
      <c r="AB21" s="52" t="str">
        <f>IF(AND('Mapa final'!$Y$40="Alta",'Mapa final'!$AA$40="Mayor"),CONCATENATE("R6C",'Mapa final'!$O$40),"")</f>
        <v/>
      </c>
      <c r="AC21" s="53" t="str">
        <f>IF(AND('Mapa final'!$Y$41="Alta",'Mapa final'!$AA$41="Mayor"),CONCATENATE("R6C",'Mapa final'!$O$41),"")</f>
        <v/>
      </c>
      <c r="AD21" s="53" t="e">
        <f>IF(AND('Mapa final'!#REF!="Alta",'Mapa final'!#REF!="Mayor"),CONCATENATE("R6C",'Mapa final'!#REF!),"")</f>
        <v>#REF!</v>
      </c>
      <c r="AE21" s="53" t="e">
        <f>IF(AND('Mapa final'!#REF!="Alta",'Mapa final'!#REF!="Mayor"),CONCATENATE("R6C",'Mapa final'!#REF!),"")</f>
        <v>#REF!</v>
      </c>
      <c r="AF21" s="53" t="e">
        <f>IF(AND('Mapa final'!#REF!="Alta",'Mapa final'!#REF!="Mayor"),CONCATENATE("R6C",'Mapa final'!#REF!),"")</f>
        <v>#REF!</v>
      </c>
      <c r="AG21" s="54" t="e">
        <f>IF(AND('Mapa final'!#REF!="Alta",'Mapa final'!#REF!="Mayor"),CONCATENATE("R6C",'Mapa final'!#REF!),"")</f>
        <v>#REF!</v>
      </c>
      <c r="AH21" s="55" t="str">
        <f>IF(AND('Mapa final'!$Y$40="Alta",'Mapa final'!$AA$40="Catastrófico"),CONCATENATE("R6C",'Mapa final'!$O$40),"")</f>
        <v/>
      </c>
      <c r="AI21" s="56" t="str">
        <f>IF(AND('Mapa final'!$Y$41="Alta",'Mapa final'!$AA$41="Catastrófico"),CONCATENATE("R6C",'Mapa final'!$O$41),"")</f>
        <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3"/>
      <c r="AO21" s="394"/>
      <c r="AP21" s="395"/>
      <c r="AQ21" s="395"/>
      <c r="AR21" s="395"/>
      <c r="AS21" s="395"/>
      <c r="AT21" s="39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43"/>
      <c r="C22" s="343"/>
      <c r="D22" s="344"/>
      <c r="E22" s="384"/>
      <c r="F22" s="385"/>
      <c r="G22" s="385"/>
      <c r="H22" s="385"/>
      <c r="I22" s="385"/>
      <c r="J22" s="67" t="str">
        <f>IF(AND('Mapa final'!$Y$42="Alta",'Mapa final'!$AA$42="Leve"),CONCATENATE("R7C",'Mapa final'!$O$42),"")</f>
        <v/>
      </c>
      <c r="K22" s="68" t="e">
        <f>IF(AND('Mapa final'!#REF!="Alta",'Mapa final'!#REF!="Leve"),CONCATENATE("R7C",'Mapa final'!#REF!),"")</f>
        <v>#REF!</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str">
        <f>IF(AND('Mapa final'!$Y$42="Alta",'Mapa final'!$AA$42="Menor"),CONCATENATE("R7C",'Mapa final'!$O$42),"")</f>
        <v/>
      </c>
      <c r="Q22" s="68" t="e">
        <f>IF(AND('Mapa final'!#REF!="Alta",'Mapa final'!#REF!="Menor"),CONCATENATE("R7C",'Mapa final'!#REF!),"")</f>
        <v>#REF!</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str">
        <f>IF(AND('Mapa final'!$Y$42="Alta",'Mapa final'!$AA$42="Moderado"),CONCATENATE("R7C",'Mapa final'!$O$42),"")</f>
        <v/>
      </c>
      <c r="W22" s="53" t="e">
        <f>IF(AND('Mapa final'!#REF!="Alta",'Mapa final'!#REF!="Moderado"),CONCATENATE("R7C",'Mapa final'!#REF!),"")</f>
        <v>#REF!</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str">
        <f>IF(AND('Mapa final'!$Y$42="Alta",'Mapa final'!$AA$42="Mayor"),CONCATENATE("R7C",'Mapa final'!$O$42),"")</f>
        <v/>
      </c>
      <c r="AC22" s="53" t="e">
        <f>IF(AND('Mapa final'!#REF!="Alta",'Mapa final'!#REF!="Mayor"),CONCATENATE("R7C",'Mapa final'!#REF!),"")</f>
        <v>#REF!</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str">
        <f>IF(AND('Mapa final'!$Y$42="Alta",'Mapa final'!$AA$42="Catastrófico"),CONCATENATE("R7C",'Mapa final'!$O$42),"")</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394"/>
      <c r="AP22" s="395"/>
      <c r="AQ22" s="395"/>
      <c r="AR22" s="395"/>
      <c r="AS22" s="395"/>
      <c r="AT22" s="39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43"/>
      <c r="C23" s="343"/>
      <c r="D23" s="344"/>
      <c r="E23" s="384"/>
      <c r="F23" s="385"/>
      <c r="G23" s="385"/>
      <c r="H23" s="385"/>
      <c r="I23" s="385"/>
      <c r="J23" s="67" t="str">
        <f>IF(AND('Mapa final'!$Y$47="Alta",'Mapa final'!$AA$47="Leve"),CONCATENATE("R8C",'Mapa final'!$O$47),"")</f>
        <v/>
      </c>
      <c r="K23" s="68" t="str">
        <f>IF(AND('Mapa final'!$Y$48="Alta",'Mapa final'!$AA$48="Leve"),CONCATENATE("R8C",'Mapa final'!$O$48),"")</f>
        <v/>
      </c>
      <c r="L23" s="68" t="str">
        <f>IF(AND('Mapa final'!$Y$49="Alta",'Mapa final'!$AA$49="Leve"),CONCATENATE("R8C",'Mapa final'!$O$49),"")</f>
        <v/>
      </c>
      <c r="M23" s="68" t="e">
        <f>IF(AND('Mapa final'!#REF!="Alta",'Mapa final'!#REF!="Leve"),CONCATENATE("R8C",'Mapa final'!#REF!),"")</f>
        <v>#REF!</v>
      </c>
      <c r="N23" s="68" t="e">
        <f>IF(AND('Mapa final'!#REF!="Alta",'Mapa final'!#REF!="Leve"),CONCATENATE("R8C",'Mapa final'!#REF!),"")</f>
        <v>#REF!</v>
      </c>
      <c r="O23" s="69" t="e">
        <f>IF(AND('Mapa final'!#REF!="Alta",'Mapa final'!#REF!="Leve"),CONCATENATE("R8C",'Mapa final'!#REF!),"")</f>
        <v>#REF!</v>
      </c>
      <c r="P23" s="67" t="str">
        <f>IF(AND('Mapa final'!$Y$47="Alta",'Mapa final'!$AA$47="Menor"),CONCATENATE("R8C",'Mapa final'!$O$47),"")</f>
        <v/>
      </c>
      <c r="Q23" s="68" t="str">
        <f>IF(AND('Mapa final'!$Y$48="Alta",'Mapa final'!$AA$48="Menor"),CONCATENATE("R8C",'Mapa final'!$O$48),"")</f>
        <v/>
      </c>
      <c r="R23" s="68" t="str">
        <f>IF(AND('Mapa final'!$Y$49="Alta",'Mapa final'!$AA$49="Menor"),CONCATENATE("R8C",'Mapa final'!$O$49),"")</f>
        <v/>
      </c>
      <c r="S23" s="68" t="e">
        <f>IF(AND('Mapa final'!#REF!="Alta",'Mapa final'!#REF!="Menor"),CONCATENATE("R8C",'Mapa final'!#REF!),"")</f>
        <v>#REF!</v>
      </c>
      <c r="T23" s="68" t="e">
        <f>IF(AND('Mapa final'!#REF!="Alta",'Mapa final'!#REF!="Menor"),CONCATENATE("R8C",'Mapa final'!#REF!),"")</f>
        <v>#REF!</v>
      </c>
      <c r="U23" s="69" t="e">
        <f>IF(AND('Mapa final'!#REF!="Alta",'Mapa final'!#REF!="Menor"),CONCATENATE("R8C",'Mapa final'!#REF!),"")</f>
        <v>#REF!</v>
      </c>
      <c r="V23" s="52" t="str">
        <f>IF(AND('Mapa final'!$Y$47="Alta",'Mapa final'!$AA$47="Moderado"),CONCATENATE("R8C",'Mapa final'!$O$47),"")</f>
        <v/>
      </c>
      <c r="W23" s="53" t="str">
        <f>IF(AND('Mapa final'!$Y$48="Alta",'Mapa final'!$AA$48="Moderado"),CONCATENATE("R8C",'Mapa final'!$O$48),"")</f>
        <v/>
      </c>
      <c r="X23" s="53" t="str">
        <f>IF(AND('Mapa final'!$Y$49="Alta",'Mapa final'!$AA$49="Moderado"),CONCATENATE("R8C",'Mapa final'!$O$49),"")</f>
        <v/>
      </c>
      <c r="Y23" s="53" t="e">
        <f>IF(AND('Mapa final'!#REF!="Alta",'Mapa final'!#REF!="Moderado"),CONCATENATE("R8C",'Mapa final'!#REF!),"")</f>
        <v>#REF!</v>
      </c>
      <c r="Z23" s="53" t="e">
        <f>IF(AND('Mapa final'!#REF!="Alta",'Mapa final'!#REF!="Moderado"),CONCATENATE("R8C",'Mapa final'!#REF!),"")</f>
        <v>#REF!</v>
      </c>
      <c r="AA23" s="54" t="e">
        <f>IF(AND('Mapa final'!#REF!="Alta",'Mapa final'!#REF!="Moderado"),CONCATENATE("R8C",'Mapa final'!#REF!),"")</f>
        <v>#REF!</v>
      </c>
      <c r="AB23" s="52" t="str">
        <f>IF(AND('Mapa final'!$Y$47="Alta",'Mapa final'!$AA$47="Mayor"),CONCATENATE("R8C",'Mapa final'!$O$47),"")</f>
        <v/>
      </c>
      <c r="AC23" s="53" t="str">
        <f>IF(AND('Mapa final'!$Y$48="Alta",'Mapa final'!$AA$48="Mayor"),CONCATENATE("R8C",'Mapa final'!$O$48),"")</f>
        <v/>
      </c>
      <c r="AD23" s="53" t="str">
        <f>IF(AND('Mapa final'!$Y$49="Alta",'Mapa final'!$AA$49="Mayor"),CONCATENATE("R8C",'Mapa final'!$O$49),"")</f>
        <v/>
      </c>
      <c r="AE23" s="53" t="e">
        <f>IF(AND('Mapa final'!#REF!="Alta",'Mapa final'!#REF!="Mayor"),CONCATENATE("R8C",'Mapa final'!#REF!),"")</f>
        <v>#REF!</v>
      </c>
      <c r="AF23" s="53" t="e">
        <f>IF(AND('Mapa final'!#REF!="Alta",'Mapa final'!#REF!="Mayor"),CONCATENATE("R8C",'Mapa final'!#REF!),"")</f>
        <v>#REF!</v>
      </c>
      <c r="AG23" s="54" t="e">
        <f>IF(AND('Mapa final'!#REF!="Alta",'Mapa final'!#REF!="Mayor"),CONCATENATE("R8C",'Mapa final'!#REF!),"")</f>
        <v>#REF!</v>
      </c>
      <c r="AH23" s="55" t="str">
        <f>IF(AND('Mapa final'!$Y$47="Alta",'Mapa final'!$AA$47="Catastrófico"),CONCATENATE("R8C",'Mapa final'!$O$47),"")</f>
        <v/>
      </c>
      <c r="AI23" s="56" t="str">
        <f>IF(AND('Mapa final'!$Y$48="Alta",'Mapa final'!$AA$48="Catastrófico"),CONCATENATE("R8C",'Mapa final'!$O$48),"")</f>
        <v/>
      </c>
      <c r="AJ23" s="56" t="str">
        <f>IF(AND('Mapa final'!$Y$49="Alta",'Mapa final'!$AA$49="Catastrófico"),CONCATENATE("R8C",'Mapa final'!$O$49),"")</f>
        <v/>
      </c>
      <c r="AK23" s="56" t="e">
        <f>IF(AND('Mapa final'!#REF!="Alta",'Mapa final'!#REF!="Catastrófico"),CONCATENATE("R8C",'Mapa final'!#REF!),"")</f>
        <v>#REF!</v>
      </c>
      <c r="AL23" s="56" t="e">
        <f>IF(AND('Mapa final'!#REF!="Alta",'Mapa final'!#REF!="Catastrófico"),CONCATENATE("R8C",'Mapa final'!#REF!),"")</f>
        <v>#REF!</v>
      </c>
      <c r="AM23" s="57" t="e">
        <f>IF(AND('Mapa final'!#REF!="Alta",'Mapa final'!#REF!="Catastrófico"),CONCATENATE("R8C",'Mapa final'!#REF!),"")</f>
        <v>#REF!</v>
      </c>
      <c r="AN23" s="83"/>
      <c r="AO23" s="394"/>
      <c r="AP23" s="395"/>
      <c r="AQ23" s="395"/>
      <c r="AR23" s="395"/>
      <c r="AS23" s="395"/>
      <c r="AT23" s="39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43"/>
      <c r="C24" s="343"/>
      <c r="D24" s="344"/>
      <c r="E24" s="384"/>
      <c r="F24" s="385"/>
      <c r="G24" s="385"/>
      <c r="H24" s="385"/>
      <c r="I24" s="385"/>
      <c r="J24" s="67" t="e">
        <f>IF(AND('Mapa final'!#REF!="Alta",'Mapa final'!#REF!="Leve"),CONCATENATE("R9C",'Mapa final'!#REF!),"")</f>
        <v>#REF!</v>
      </c>
      <c r="K24" s="68" t="e">
        <f>IF(AND('Mapa final'!#REF!="Alta",'Mapa final'!#REF!="Leve"),CONCATENATE("R9C",'Mapa final'!#REF!),"")</f>
        <v>#REF!</v>
      </c>
      <c r="L24" s="68" t="e">
        <f>IF(AND('Mapa final'!#REF!="Alta",'Mapa final'!#REF!="Leve"),CONCATENATE("R9C",'Mapa final'!#REF!),"")</f>
        <v>#REF!</v>
      </c>
      <c r="M24" s="68" t="e">
        <f>IF(AND('Mapa final'!#REF!="Alta",'Mapa final'!#REF!="Leve"),CONCATENATE("R9C",'Mapa final'!#REF!),"")</f>
        <v>#REF!</v>
      </c>
      <c r="N24" s="68" t="e">
        <f>IF(AND('Mapa final'!#REF!="Alta",'Mapa final'!#REF!="Leve"),CONCATENATE("R9C",'Mapa final'!#REF!),"")</f>
        <v>#REF!</v>
      </c>
      <c r="O24" s="69" t="e">
        <f>IF(AND('Mapa final'!#REF!="Alta",'Mapa final'!#REF!="Leve"),CONCATENATE("R9C",'Mapa final'!#REF!),"")</f>
        <v>#REF!</v>
      </c>
      <c r="P24" s="67" t="e">
        <f>IF(AND('Mapa final'!#REF!="Alta",'Mapa final'!#REF!="Menor"),CONCATENATE("R9C",'Mapa final'!#REF!),"")</f>
        <v>#REF!</v>
      </c>
      <c r="Q24" s="68" t="e">
        <f>IF(AND('Mapa final'!#REF!="Alta",'Mapa final'!#REF!="Menor"),CONCATENATE("R9C",'Mapa final'!#REF!),"")</f>
        <v>#REF!</v>
      </c>
      <c r="R24" s="68" t="e">
        <f>IF(AND('Mapa final'!#REF!="Alta",'Mapa final'!#REF!="Menor"),CONCATENATE("R9C",'Mapa final'!#REF!),"")</f>
        <v>#REF!</v>
      </c>
      <c r="S24" s="68" t="e">
        <f>IF(AND('Mapa final'!#REF!="Alta",'Mapa final'!#REF!="Menor"),CONCATENATE("R9C",'Mapa final'!#REF!),"")</f>
        <v>#REF!</v>
      </c>
      <c r="T24" s="68" t="e">
        <f>IF(AND('Mapa final'!#REF!="Alta",'Mapa final'!#REF!="Menor"),CONCATENATE("R9C",'Mapa final'!#REF!),"")</f>
        <v>#REF!</v>
      </c>
      <c r="U24" s="69" t="e">
        <f>IF(AND('Mapa final'!#REF!="Alta",'Mapa final'!#REF!="Menor"),CONCATENATE("R9C",'Mapa final'!#REF!),"")</f>
        <v>#REF!</v>
      </c>
      <c r="V24" s="52" t="e">
        <f>IF(AND('Mapa final'!#REF!="Alta",'Mapa final'!#REF!="Moderado"),CONCATENATE("R9C",'Mapa final'!#REF!),"")</f>
        <v>#REF!</v>
      </c>
      <c r="W24" s="53" t="e">
        <f>IF(AND('Mapa final'!#REF!="Alta",'Mapa final'!#REF!="Moderado"),CONCATENATE("R9C",'Mapa final'!#REF!),"")</f>
        <v>#REF!</v>
      </c>
      <c r="X24" s="53" t="e">
        <f>IF(AND('Mapa final'!#REF!="Alta",'Mapa final'!#REF!="Moderado"),CONCATENATE("R9C",'Mapa final'!#REF!),"")</f>
        <v>#REF!</v>
      </c>
      <c r="Y24" s="53" t="e">
        <f>IF(AND('Mapa final'!#REF!="Alta",'Mapa final'!#REF!="Moderado"),CONCATENATE("R9C",'Mapa final'!#REF!),"")</f>
        <v>#REF!</v>
      </c>
      <c r="Z24" s="53" t="e">
        <f>IF(AND('Mapa final'!#REF!="Alta",'Mapa final'!#REF!="Moderado"),CONCATENATE("R9C",'Mapa final'!#REF!),"")</f>
        <v>#REF!</v>
      </c>
      <c r="AA24" s="54" t="e">
        <f>IF(AND('Mapa final'!#REF!="Alta",'Mapa final'!#REF!="Moderado"),CONCATENATE("R9C",'Mapa final'!#REF!),"")</f>
        <v>#REF!</v>
      </c>
      <c r="AB24" s="52" t="e">
        <f>IF(AND('Mapa final'!#REF!="Alta",'Mapa final'!#REF!="Mayor"),CONCATENATE("R9C",'Mapa final'!#REF!),"")</f>
        <v>#REF!</v>
      </c>
      <c r="AC24" s="53" t="e">
        <f>IF(AND('Mapa final'!#REF!="Alta",'Mapa final'!#REF!="Mayor"),CONCATENATE("R9C",'Mapa final'!#REF!),"")</f>
        <v>#REF!</v>
      </c>
      <c r="AD24" s="53" t="e">
        <f>IF(AND('Mapa final'!#REF!="Alta",'Mapa final'!#REF!="Mayor"),CONCATENATE("R9C",'Mapa final'!#REF!),"")</f>
        <v>#REF!</v>
      </c>
      <c r="AE24" s="53" t="e">
        <f>IF(AND('Mapa final'!#REF!="Alta",'Mapa final'!#REF!="Mayor"),CONCATENATE("R9C",'Mapa final'!#REF!),"")</f>
        <v>#REF!</v>
      </c>
      <c r="AF24" s="53" t="e">
        <f>IF(AND('Mapa final'!#REF!="Alta",'Mapa final'!#REF!="Mayor"),CONCATENATE("R9C",'Mapa final'!#REF!),"")</f>
        <v>#REF!</v>
      </c>
      <c r="AG24" s="54" t="e">
        <f>IF(AND('Mapa final'!#REF!="Alta",'Mapa final'!#REF!="Mayor"),CONCATENATE("R9C",'Mapa final'!#REF!),"")</f>
        <v>#REF!</v>
      </c>
      <c r="AH24" s="55" t="e">
        <f>IF(AND('Mapa final'!#REF!="Alta",'Mapa final'!#REF!="Catastrófico"),CONCATENATE("R9C",'Mapa final'!#REF!),"")</f>
        <v>#REF!</v>
      </c>
      <c r="AI24" s="56" t="e">
        <f>IF(AND('Mapa final'!#REF!="Alta",'Mapa final'!#REF!="Catastrófico"),CONCATENATE("R9C",'Mapa final'!#REF!),"")</f>
        <v>#REF!</v>
      </c>
      <c r="AJ24" s="56" t="e">
        <f>IF(AND('Mapa final'!#REF!="Alta",'Mapa final'!#REF!="Catastrófico"),CONCATENATE("R9C",'Mapa final'!#REF!),"")</f>
        <v>#REF!</v>
      </c>
      <c r="AK24" s="56" t="e">
        <f>IF(AND('Mapa final'!#REF!="Alta",'Mapa final'!#REF!="Catastrófico"),CONCATENATE("R9C",'Mapa final'!#REF!),"")</f>
        <v>#REF!</v>
      </c>
      <c r="AL24" s="56" t="e">
        <f>IF(AND('Mapa final'!#REF!="Alta",'Mapa final'!#REF!="Catastrófico"),CONCATENATE("R9C",'Mapa final'!#REF!),"")</f>
        <v>#REF!</v>
      </c>
      <c r="AM24" s="57" t="e">
        <f>IF(AND('Mapa final'!#REF!="Alta",'Mapa final'!#REF!="Catastrófico"),CONCATENATE("R9C",'Mapa final'!#REF!),"")</f>
        <v>#REF!</v>
      </c>
      <c r="AN24" s="83"/>
      <c r="AO24" s="394"/>
      <c r="AP24" s="395"/>
      <c r="AQ24" s="395"/>
      <c r="AR24" s="395"/>
      <c r="AS24" s="395"/>
      <c r="AT24" s="39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43"/>
      <c r="C25" s="343"/>
      <c r="D25" s="344"/>
      <c r="E25" s="387"/>
      <c r="F25" s="388"/>
      <c r="G25" s="388"/>
      <c r="H25" s="388"/>
      <c r="I25" s="388"/>
      <c r="J25" s="70" t="e">
        <f>IF(AND('Mapa final'!#REF!="Alta",'Mapa final'!#REF!="Leve"),CONCATENATE("R10C",'Mapa final'!#REF!),"")</f>
        <v>#REF!</v>
      </c>
      <c r="K25" s="71" t="e">
        <f>IF(AND('Mapa final'!#REF!="Alta",'Mapa final'!#REF!="Leve"),CONCATENATE("R10C",'Mapa final'!#REF!),"")</f>
        <v>#REF!</v>
      </c>
      <c r="L25" s="71" t="e">
        <f>IF(AND('Mapa final'!#REF!="Alta",'Mapa final'!#REF!="Leve"),CONCATENATE("R10C",'Mapa final'!#REF!),"")</f>
        <v>#REF!</v>
      </c>
      <c r="M25" s="71" t="e">
        <f>IF(AND('Mapa final'!#REF!="Alta",'Mapa final'!#REF!="Leve"),CONCATENATE("R10C",'Mapa final'!#REF!),"")</f>
        <v>#REF!</v>
      </c>
      <c r="N25" s="71" t="e">
        <f>IF(AND('Mapa final'!#REF!="Alta",'Mapa final'!#REF!="Leve"),CONCATENATE("R10C",'Mapa final'!#REF!),"")</f>
        <v>#REF!</v>
      </c>
      <c r="O25" s="72" t="e">
        <f>IF(AND('Mapa final'!#REF!="Alta",'Mapa final'!#REF!="Leve"),CONCATENATE("R10C",'Mapa final'!#REF!),"")</f>
        <v>#REF!</v>
      </c>
      <c r="P25" s="70" t="e">
        <f>IF(AND('Mapa final'!#REF!="Alta",'Mapa final'!#REF!="Menor"),CONCATENATE("R10C",'Mapa final'!#REF!),"")</f>
        <v>#REF!</v>
      </c>
      <c r="Q25" s="71" t="e">
        <f>IF(AND('Mapa final'!#REF!="Alta",'Mapa final'!#REF!="Menor"),CONCATENATE("R10C",'Mapa final'!#REF!),"")</f>
        <v>#REF!</v>
      </c>
      <c r="R25" s="71" t="e">
        <f>IF(AND('Mapa final'!#REF!="Alta",'Mapa final'!#REF!="Menor"),CONCATENATE("R10C",'Mapa final'!#REF!),"")</f>
        <v>#REF!</v>
      </c>
      <c r="S25" s="71" t="e">
        <f>IF(AND('Mapa final'!#REF!="Alta",'Mapa final'!#REF!="Menor"),CONCATENATE("R10C",'Mapa final'!#REF!),"")</f>
        <v>#REF!</v>
      </c>
      <c r="T25" s="71" t="e">
        <f>IF(AND('Mapa final'!#REF!="Alta",'Mapa final'!#REF!="Menor"),CONCATENATE("R10C",'Mapa final'!#REF!),"")</f>
        <v>#REF!</v>
      </c>
      <c r="U25" s="72" t="e">
        <f>IF(AND('Mapa final'!#REF!="Alta",'Mapa final'!#REF!="Menor"),CONCATENATE("R10C",'Mapa final'!#REF!),"")</f>
        <v>#REF!</v>
      </c>
      <c r="V25" s="58" t="e">
        <f>IF(AND('Mapa final'!#REF!="Alta",'Mapa final'!#REF!="Moderado"),CONCATENATE("R10C",'Mapa final'!#REF!),"")</f>
        <v>#REF!</v>
      </c>
      <c r="W25" s="59" t="e">
        <f>IF(AND('Mapa final'!#REF!="Alta",'Mapa final'!#REF!="Moderado"),CONCATENATE("R10C",'Mapa final'!#REF!),"")</f>
        <v>#REF!</v>
      </c>
      <c r="X25" s="59" t="e">
        <f>IF(AND('Mapa final'!#REF!="Alta",'Mapa final'!#REF!="Moderado"),CONCATENATE("R10C",'Mapa final'!#REF!),"")</f>
        <v>#REF!</v>
      </c>
      <c r="Y25" s="59" t="e">
        <f>IF(AND('Mapa final'!#REF!="Alta",'Mapa final'!#REF!="Moderado"),CONCATENATE("R10C",'Mapa final'!#REF!),"")</f>
        <v>#REF!</v>
      </c>
      <c r="Z25" s="59" t="e">
        <f>IF(AND('Mapa final'!#REF!="Alta",'Mapa final'!#REF!="Moderado"),CONCATENATE("R10C",'Mapa final'!#REF!),"")</f>
        <v>#REF!</v>
      </c>
      <c r="AA25" s="60" t="e">
        <f>IF(AND('Mapa final'!#REF!="Alta",'Mapa final'!#REF!="Moderado"),CONCATENATE("R10C",'Mapa final'!#REF!),"")</f>
        <v>#REF!</v>
      </c>
      <c r="AB25" s="58" t="e">
        <f>IF(AND('Mapa final'!#REF!="Alta",'Mapa final'!#REF!="Mayor"),CONCATENATE("R10C",'Mapa final'!#REF!),"")</f>
        <v>#REF!</v>
      </c>
      <c r="AC25" s="59" t="e">
        <f>IF(AND('Mapa final'!#REF!="Alta",'Mapa final'!#REF!="Mayor"),CONCATENATE("R10C",'Mapa final'!#REF!),"")</f>
        <v>#REF!</v>
      </c>
      <c r="AD25" s="59" t="e">
        <f>IF(AND('Mapa final'!#REF!="Alta",'Mapa final'!#REF!="Mayor"),CONCATENATE("R10C",'Mapa final'!#REF!),"")</f>
        <v>#REF!</v>
      </c>
      <c r="AE25" s="59" t="e">
        <f>IF(AND('Mapa final'!#REF!="Alta",'Mapa final'!#REF!="Mayor"),CONCATENATE("R10C",'Mapa final'!#REF!),"")</f>
        <v>#REF!</v>
      </c>
      <c r="AF25" s="59" t="e">
        <f>IF(AND('Mapa final'!#REF!="Alta",'Mapa final'!#REF!="Mayor"),CONCATENATE("R10C",'Mapa final'!#REF!),"")</f>
        <v>#REF!</v>
      </c>
      <c r="AG25" s="60" t="e">
        <f>IF(AND('Mapa final'!#REF!="Alta",'Mapa final'!#REF!="Mayor"),CONCATENATE("R10C",'Mapa final'!#REF!),"")</f>
        <v>#REF!</v>
      </c>
      <c r="AH25" s="61" t="e">
        <f>IF(AND('Mapa final'!#REF!="Alta",'Mapa final'!#REF!="Catastrófico"),CONCATENATE("R10C",'Mapa final'!#REF!),"")</f>
        <v>#REF!</v>
      </c>
      <c r="AI25" s="62" t="e">
        <f>IF(AND('Mapa final'!#REF!="Alta",'Mapa final'!#REF!="Catastrófico"),CONCATENATE("R10C",'Mapa final'!#REF!),"")</f>
        <v>#REF!</v>
      </c>
      <c r="AJ25" s="62" t="e">
        <f>IF(AND('Mapa final'!#REF!="Alta",'Mapa final'!#REF!="Catastrófico"),CONCATENATE("R10C",'Mapa final'!#REF!),"")</f>
        <v>#REF!</v>
      </c>
      <c r="AK25" s="62" t="e">
        <f>IF(AND('Mapa final'!#REF!="Alta",'Mapa final'!#REF!="Catastrófico"),CONCATENATE("R10C",'Mapa final'!#REF!),"")</f>
        <v>#REF!</v>
      </c>
      <c r="AL25" s="62" t="e">
        <f>IF(AND('Mapa final'!#REF!="Alta",'Mapa final'!#REF!="Catastrófico"),CONCATENATE("R10C",'Mapa final'!#REF!),"")</f>
        <v>#REF!</v>
      </c>
      <c r="AM25" s="63" t="e">
        <f>IF(AND('Mapa final'!#REF!="Alta",'Mapa final'!#REF!="Catastrófico"),CONCATENATE("R10C",'Mapa final'!#REF!),"")</f>
        <v>#REF!</v>
      </c>
      <c r="AN25" s="83"/>
      <c r="AO25" s="397"/>
      <c r="AP25" s="398"/>
      <c r="AQ25" s="398"/>
      <c r="AR25" s="398"/>
      <c r="AS25" s="398"/>
      <c r="AT25" s="39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43"/>
      <c r="C26" s="343"/>
      <c r="D26" s="344"/>
      <c r="E26" s="381" t="s">
        <v>96</v>
      </c>
      <c r="F26" s="382"/>
      <c r="G26" s="382"/>
      <c r="H26" s="382"/>
      <c r="I26" s="383"/>
      <c r="J26" s="64" t="str">
        <f>IF(AND('Mapa final'!$Y$25="Media",'Mapa final'!$AA$25="Leve"),CONCATENATE("R1C",'Mapa final'!$O$25),"")</f>
        <v/>
      </c>
      <c r="K26" s="65" t="str">
        <f>IF(AND('Mapa final'!$Y$26="Media",'Mapa final'!$AA$26="Leve"),CONCATENATE("R1C",'Mapa final'!$O$26),"")</f>
        <v/>
      </c>
      <c r="L26" s="65" t="e">
        <f>IF(AND('Mapa final'!#REF!="Media",'Mapa final'!#REF!="Leve"),CONCATENATE("R1C",'Mapa final'!#REF!),"")</f>
        <v>#REF!</v>
      </c>
      <c r="M26" s="65" t="e">
        <f>IF(AND('Mapa final'!#REF!="Media",'Mapa final'!#REF!="Leve"),CONCATENATE("R1C",'Mapa final'!#REF!),"")</f>
        <v>#REF!</v>
      </c>
      <c r="N26" s="65" t="e">
        <f>IF(AND('Mapa final'!#REF!="Media",'Mapa final'!#REF!="Leve"),CONCATENATE("R1C",'Mapa final'!#REF!),"")</f>
        <v>#REF!</v>
      </c>
      <c r="O26" s="66" t="e">
        <f>IF(AND('Mapa final'!#REF!="Media",'Mapa final'!#REF!="Leve"),CONCATENATE("R1C",'Mapa final'!#REF!),"")</f>
        <v>#REF!</v>
      </c>
      <c r="P26" s="64" t="str">
        <f>IF(AND('Mapa final'!$Y$25="Media",'Mapa final'!$AA$25="Menor"),CONCATENATE("R1C",'Mapa final'!$O$25),"")</f>
        <v/>
      </c>
      <c r="Q26" s="65" t="str">
        <f>IF(AND('Mapa final'!$Y$26="Media",'Mapa final'!$AA$26="Menor"),CONCATENATE("R1C",'Mapa final'!$O$26),"")</f>
        <v/>
      </c>
      <c r="R26" s="65" t="e">
        <f>IF(AND('Mapa final'!#REF!="Media",'Mapa final'!#REF!="Menor"),CONCATENATE("R1C",'Mapa final'!#REF!),"")</f>
        <v>#REF!</v>
      </c>
      <c r="S26" s="65" t="e">
        <f>IF(AND('Mapa final'!#REF!="Media",'Mapa final'!#REF!="Menor"),CONCATENATE("R1C",'Mapa final'!#REF!),"")</f>
        <v>#REF!</v>
      </c>
      <c r="T26" s="65" t="e">
        <f>IF(AND('Mapa final'!#REF!="Media",'Mapa final'!#REF!="Menor"),CONCATENATE("R1C",'Mapa final'!#REF!),"")</f>
        <v>#REF!</v>
      </c>
      <c r="U26" s="66" t="e">
        <f>IF(AND('Mapa final'!#REF!="Media",'Mapa final'!#REF!="Menor"),CONCATENATE("R1C",'Mapa final'!#REF!),"")</f>
        <v>#REF!</v>
      </c>
      <c r="V26" s="64" t="str">
        <f>IF(AND('Mapa final'!$Y$25="Media",'Mapa final'!$AA$25="Moderado"),CONCATENATE("R1C",'Mapa final'!$O$25),"")</f>
        <v/>
      </c>
      <c r="W26" s="65" t="str">
        <f>IF(AND('Mapa final'!$Y$26="Media",'Mapa final'!$AA$26="Moderado"),CONCATENATE("R1C",'Mapa final'!$O$26),"")</f>
        <v/>
      </c>
      <c r="X26" s="65" t="e">
        <f>IF(AND('Mapa final'!#REF!="Media",'Mapa final'!#REF!="Moderado"),CONCATENATE("R1C",'Mapa final'!#REF!),"")</f>
        <v>#REF!</v>
      </c>
      <c r="Y26" s="65" t="e">
        <f>IF(AND('Mapa final'!#REF!="Media",'Mapa final'!#REF!="Moderado"),CONCATENATE("R1C",'Mapa final'!#REF!),"")</f>
        <v>#REF!</v>
      </c>
      <c r="Z26" s="65" t="e">
        <f>IF(AND('Mapa final'!#REF!="Media",'Mapa final'!#REF!="Moderado"),CONCATENATE("R1C",'Mapa final'!#REF!),"")</f>
        <v>#REF!</v>
      </c>
      <c r="AA26" s="66" t="e">
        <f>IF(AND('Mapa final'!#REF!="Media",'Mapa final'!#REF!="Moderado"),CONCATENATE("R1C",'Mapa final'!#REF!),"")</f>
        <v>#REF!</v>
      </c>
      <c r="AB26" s="46" t="str">
        <f>IF(AND('Mapa final'!$Y$25="Media",'Mapa final'!$AA$25="Mayor"),CONCATENATE("R1C",'Mapa final'!$O$25),"")</f>
        <v/>
      </c>
      <c r="AC26" s="47" t="str">
        <f>IF(AND('Mapa final'!$Y$26="Media",'Mapa final'!$AA$26="Mayor"),CONCATENATE("R1C",'Mapa final'!$O$26),"")</f>
        <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final'!$Y$25="Media",'Mapa final'!$AA$25="Catastrófico"),CONCATENATE("R1C",'Mapa final'!$O$25),"")</f>
        <v/>
      </c>
      <c r="AI26" s="50" t="str">
        <f>IF(AND('Mapa final'!$Y$26="Media",'Mapa final'!$AA$26="Catastrófico"),CONCATENATE("R1C",'Mapa final'!$O$26),"")</f>
        <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3"/>
      <c r="AO26" s="421" t="s">
        <v>97</v>
      </c>
      <c r="AP26" s="422"/>
      <c r="AQ26" s="422"/>
      <c r="AR26" s="422"/>
      <c r="AS26" s="422"/>
      <c r="AT26" s="42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43"/>
      <c r="C27" s="343"/>
      <c r="D27" s="344"/>
      <c r="E27" s="400"/>
      <c r="F27" s="385"/>
      <c r="G27" s="385"/>
      <c r="H27" s="385"/>
      <c r="I27" s="386"/>
      <c r="J27" s="67" t="str">
        <f>IF(AND('Mapa final'!$Y$27="Media",'Mapa final'!$AA$27="Leve"),CONCATENATE("R2C",'Mapa final'!$O$27),"")</f>
        <v/>
      </c>
      <c r="K27" s="68" t="str">
        <f>IF(AND('Mapa final'!$Y$28="Media",'Mapa final'!$AA$28="Leve"),CONCATENATE("R2C",'Mapa final'!$O$28),"")</f>
        <v/>
      </c>
      <c r="L27" s="68" t="e">
        <f>IF(AND('Mapa final'!#REF!="Media",'Mapa final'!#REF!="Leve"),CONCATENATE("R2C",'Mapa final'!#REF!),"")</f>
        <v>#REF!</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str">
        <f>IF(AND('Mapa final'!$Y$27="Media",'Mapa final'!$AA$27="Menor"),CONCATENATE("R2C",'Mapa final'!$O$27),"")</f>
        <v/>
      </c>
      <c r="Q27" s="68" t="str">
        <f>IF(AND('Mapa final'!$Y$28="Media",'Mapa final'!$AA$28="Menor"),CONCATENATE("R2C",'Mapa final'!$O$28),"")</f>
        <v/>
      </c>
      <c r="R27" s="68" t="e">
        <f>IF(AND('Mapa final'!#REF!="Media",'Mapa final'!#REF!="Menor"),CONCATENATE("R2C",'Mapa final'!#REF!),"")</f>
        <v>#REF!</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str">
        <f>IF(AND('Mapa final'!$Y$27="Media",'Mapa final'!$AA$27="Moderado"),CONCATENATE("R2C",'Mapa final'!$O$27),"")</f>
        <v/>
      </c>
      <c r="W27" s="68" t="str">
        <f>IF(AND('Mapa final'!$Y$28="Media",'Mapa final'!$AA$28="Moderado"),CONCATENATE("R2C",'Mapa final'!$O$28),"")</f>
        <v/>
      </c>
      <c r="X27" s="68" t="e">
        <f>IF(AND('Mapa final'!#REF!="Media",'Mapa final'!#REF!="Moderado"),CONCATENATE("R2C",'Mapa final'!#REF!),"")</f>
        <v>#REF!</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str">
        <f>IF(AND('Mapa final'!$Y$27="Media",'Mapa final'!$AA$27="Mayor"),CONCATENATE("R2C",'Mapa final'!$O$27),"")</f>
        <v/>
      </c>
      <c r="AC27" s="53" t="str">
        <f>IF(AND('Mapa final'!$Y$28="Media",'Mapa final'!$AA$28="Mayor"),CONCATENATE("R2C",'Mapa final'!$O$28),"")</f>
        <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final'!$Y$27="Media",'Mapa final'!$AA$27="Catastrófico"),CONCATENATE("R2C",'Mapa final'!$O$27),"")</f>
        <v/>
      </c>
      <c r="AI27" s="56" t="str">
        <f>IF(AND('Mapa final'!$Y$28="Media",'Mapa final'!$AA$28="Catastrófico"),CONCATENATE("R2C",'Mapa final'!$O$28),"")</f>
        <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424"/>
      <c r="AP27" s="425"/>
      <c r="AQ27" s="425"/>
      <c r="AR27" s="425"/>
      <c r="AS27" s="425"/>
      <c r="AT27" s="42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43"/>
      <c r="C28" s="343"/>
      <c r="D28" s="344"/>
      <c r="E28" s="384"/>
      <c r="F28" s="385"/>
      <c r="G28" s="385"/>
      <c r="H28" s="385"/>
      <c r="I28" s="386"/>
      <c r="J28" s="67" t="str">
        <f>IF(AND('Mapa final'!$Y$29="Media",'Mapa final'!$AA$29="Leve"),CONCATENATE("R3C",'Mapa final'!$O$29),"")</f>
        <v/>
      </c>
      <c r="K28" s="68" t="str">
        <f>IF(AND('Mapa final'!$Y$30="Media",'Mapa final'!$AA$30="Leve"),CONCATENATE("R3C",'Mapa final'!$O$30),"")</f>
        <v/>
      </c>
      <c r="L28" s="68" t="str">
        <f>IF(AND('Mapa final'!$Y$31="Media",'Mapa final'!$AA$31="Leve"),CONCATENATE("R3C",'Mapa final'!$O$31),"")</f>
        <v/>
      </c>
      <c r="M28" s="68" t="str">
        <f>IF(AND('Mapa final'!$Y$32="Media",'Mapa final'!$AA$32="Leve"),CONCATENATE("R3C",'Mapa final'!$O$32),"")</f>
        <v/>
      </c>
      <c r="N28" s="68" t="e">
        <f>IF(AND('Mapa final'!#REF!="Media",'Mapa final'!#REF!="Leve"),CONCATENATE("R3C",'Mapa final'!#REF!),"")</f>
        <v>#REF!</v>
      </c>
      <c r="O28" s="69" t="e">
        <f>IF(AND('Mapa final'!#REF!="Media",'Mapa final'!#REF!="Leve"),CONCATENATE("R3C",'Mapa final'!#REF!),"")</f>
        <v>#REF!</v>
      </c>
      <c r="P28" s="67" t="str">
        <f>IF(AND('Mapa final'!$Y$29="Media",'Mapa final'!$AA$29="Menor"),CONCATENATE("R3C",'Mapa final'!$O$29),"")</f>
        <v/>
      </c>
      <c r="Q28" s="68" t="str">
        <f>IF(AND('Mapa final'!$Y$30="Media",'Mapa final'!$AA$30="Menor"),CONCATENATE("R3C",'Mapa final'!$O$30),"")</f>
        <v/>
      </c>
      <c r="R28" s="68" t="str">
        <f>IF(AND('Mapa final'!$Y$31="Media",'Mapa final'!$AA$31="Menor"),CONCATENATE("R3C",'Mapa final'!$O$31),"")</f>
        <v/>
      </c>
      <c r="S28" s="68" t="str">
        <f>IF(AND('Mapa final'!$Y$32="Media",'Mapa final'!$AA$32="Menor"),CONCATENATE("R3C",'Mapa final'!$O$32),"")</f>
        <v/>
      </c>
      <c r="T28" s="68" t="e">
        <f>IF(AND('Mapa final'!#REF!="Media",'Mapa final'!#REF!="Menor"),CONCATENATE("R3C",'Mapa final'!#REF!),"")</f>
        <v>#REF!</v>
      </c>
      <c r="U28" s="69" t="e">
        <f>IF(AND('Mapa final'!#REF!="Media",'Mapa final'!#REF!="Menor"),CONCATENATE("R3C",'Mapa final'!#REF!),"")</f>
        <v>#REF!</v>
      </c>
      <c r="V28" s="67" t="str">
        <f>IF(AND('Mapa final'!$Y$29="Media",'Mapa final'!$AA$29="Moderado"),CONCATENATE("R3C",'Mapa final'!$O$29),"")</f>
        <v/>
      </c>
      <c r="W28" s="68" t="str">
        <f>IF(AND('Mapa final'!$Y$30="Media",'Mapa final'!$AA$30="Moderado"),CONCATENATE("R3C",'Mapa final'!$O$30),"")</f>
        <v/>
      </c>
      <c r="X28" s="68" t="str">
        <f>IF(AND('Mapa final'!$Y$31="Media",'Mapa final'!$AA$31="Moderado"),CONCATENATE("R3C",'Mapa final'!$O$31),"")</f>
        <v/>
      </c>
      <c r="Y28" s="68" t="str">
        <f>IF(AND('Mapa final'!$Y$32="Media",'Mapa final'!$AA$32="Moderado"),CONCATENATE("R3C",'Mapa final'!$O$32),"")</f>
        <v/>
      </c>
      <c r="Z28" s="68" t="e">
        <f>IF(AND('Mapa final'!#REF!="Media",'Mapa final'!#REF!="Moderado"),CONCATENATE("R3C",'Mapa final'!#REF!),"")</f>
        <v>#REF!</v>
      </c>
      <c r="AA28" s="69" t="e">
        <f>IF(AND('Mapa final'!#REF!="Media",'Mapa final'!#REF!="Moderado"),CONCATENATE("R3C",'Mapa final'!#REF!),"")</f>
        <v>#REF!</v>
      </c>
      <c r="AB28" s="52" t="str">
        <f>IF(AND('Mapa final'!$Y$29="Media",'Mapa final'!$AA$29="Mayor"),CONCATENATE("R3C",'Mapa final'!$O$29),"")</f>
        <v/>
      </c>
      <c r="AC28" s="53" t="str">
        <f>IF(AND('Mapa final'!$Y$30="Media",'Mapa final'!$AA$30="Mayor"),CONCATENATE("R3C",'Mapa final'!$O$30),"")</f>
        <v/>
      </c>
      <c r="AD28" s="53" t="str">
        <f>IF(AND('Mapa final'!$Y$31="Media",'Mapa final'!$AA$31="Mayor"),CONCATENATE("R3C",'Mapa final'!$O$31),"")</f>
        <v/>
      </c>
      <c r="AE28" s="53" t="str">
        <f>IF(AND('Mapa final'!$Y$32="Media",'Mapa final'!$AA$32="Mayor"),CONCATENATE("R3C",'Mapa final'!$O$32),"")</f>
        <v/>
      </c>
      <c r="AF28" s="53" t="e">
        <f>IF(AND('Mapa final'!#REF!="Media",'Mapa final'!#REF!="Mayor"),CONCATENATE("R3C",'Mapa final'!#REF!),"")</f>
        <v>#REF!</v>
      </c>
      <c r="AG28" s="54" t="e">
        <f>IF(AND('Mapa final'!#REF!="Media",'Mapa final'!#REF!="Mayor"),CONCATENATE("R3C",'Mapa final'!#REF!),"")</f>
        <v>#REF!</v>
      </c>
      <c r="AH28" s="55" t="str">
        <f>IF(AND('Mapa final'!$Y$29="Media",'Mapa final'!$AA$29="Catastrófico"),CONCATENATE("R3C",'Mapa final'!$O$29),"")</f>
        <v/>
      </c>
      <c r="AI28" s="56" t="str">
        <f>IF(AND('Mapa final'!$Y$30="Media",'Mapa final'!$AA$30="Catastrófico"),CONCATENATE("R3C",'Mapa final'!$O$30),"")</f>
        <v/>
      </c>
      <c r="AJ28" s="56" t="str">
        <f>IF(AND('Mapa final'!$Y$31="Media",'Mapa final'!$AA$31="Catastrófico"),CONCATENATE("R3C",'Mapa final'!$O$31),"")</f>
        <v/>
      </c>
      <c r="AK28" s="56" t="str">
        <f>IF(AND('Mapa final'!$Y$32="Media",'Mapa final'!$AA$32="Catastrófico"),CONCATENATE("R3C",'Mapa final'!$O$32),"")</f>
        <v/>
      </c>
      <c r="AL28" s="56" t="e">
        <f>IF(AND('Mapa final'!#REF!="Media",'Mapa final'!#REF!="Catastrófico"),CONCATENATE("R3C",'Mapa final'!#REF!),"")</f>
        <v>#REF!</v>
      </c>
      <c r="AM28" s="57" t="e">
        <f>IF(AND('Mapa final'!#REF!="Media",'Mapa final'!#REF!="Catastrófico"),CONCATENATE("R3C",'Mapa final'!#REF!),"")</f>
        <v>#REF!</v>
      </c>
      <c r="AN28" s="83"/>
      <c r="AO28" s="424"/>
      <c r="AP28" s="425"/>
      <c r="AQ28" s="425"/>
      <c r="AR28" s="425"/>
      <c r="AS28" s="425"/>
      <c r="AT28" s="42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43"/>
      <c r="C29" s="343"/>
      <c r="D29" s="344"/>
      <c r="E29" s="384"/>
      <c r="F29" s="385"/>
      <c r="G29" s="385"/>
      <c r="H29" s="385"/>
      <c r="I29" s="386"/>
      <c r="J29" s="67" t="str">
        <f>IF(AND('Mapa final'!$Y$33="Media",'Mapa final'!$AA$33="Leve"),CONCATENATE("R4C",'Mapa final'!$O$33),"")</f>
        <v/>
      </c>
      <c r="K29" s="68" t="str">
        <f>IF(AND('Mapa final'!$Y$34="Media",'Mapa final'!$AA$34="Leve"),CONCATENATE("R4C",'Mapa final'!$O$34),"")</f>
        <v/>
      </c>
      <c r="L29" s="68" t="str">
        <f>IF(AND('Mapa final'!$Y$35="Media",'Mapa final'!$AA$35="Leve"),CONCATENATE("R4C",'Mapa final'!$O$35),"")</f>
        <v/>
      </c>
      <c r="M29" s="68" t="str">
        <f>IF(AND('Mapa final'!$Y$36="Media",'Mapa final'!$AA$36="Leve"),CONCATENATE("R4C",'Mapa final'!$O$36),"")</f>
        <v/>
      </c>
      <c r="N29" s="68" t="e">
        <f>IF(AND('Mapa final'!#REF!="Media",'Mapa final'!#REF!="Leve"),CONCATENATE("R4C",'Mapa final'!#REF!),"")</f>
        <v>#REF!</v>
      </c>
      <c r="O29" s="69" t="e">
        <f>IF(AND('Mapa final'!#REF!="Media",'Mapa final'!#REF!="Leve"),CONCATENATE("R4C",'Mapa final'!#REF!),"")</f>
        <v>#REF!</v>
      </c>
      <c r="P29" s="67" t="str">
        <f>IF(AND('Mapa final'!$Y$33="Media",'Mapa final'!$AA$33="Menor"),CONCATENATE("R4C",'Mapa final'!$O$33),"")</f>
        <v/>
      </c>
      <c r="Q29" s="68" t="str">
        <f>IF(AND('Mapa final'!$Y$34="Media",'Mapa final'!$AA$34="Menor"),CONCATENATE("R4C",'Mapa final'!$O$34),"")</f>
        <v/>
      </c>
      <c r="R29" s="68" t="str">
        <f>IF(AND('Mapa final'!$Y$35="Media",'Mapa final'!$AA$35="Menor"),CONCATENATE("R4C",'Mapa final'!$O$35),"")</f>
        <v/>
      </c>
      <c r="S29" s="68" t="str">
        <f>IF(AND('Mapa final'!$Y$36="Media",'Mapa final'!$AA$36="Menor"),CONCATENATE("R4C",'Mapa final'!$O$36),"")</f>
        <v/>
      </c>
      <c r="T29" s="68" t="e">
        <f>IF(AND('Mapa final'!#REF!="Media",'Mapa final'!#REF!="Menor"),CONCATENATE("R4C",'Mapa final'!#REF!),"")</f>
        <v>#REF!</v>
      </c>
      <c r="U29" s="69" t="e">
        <f>IF(AND('Mapa final'!#REF!="Media",'Mapa final'!#REF!="Menor"),CONCATENATE("R4C",'Mapa final'!#REF!),"")</f>
        <v>#REF!</v>
      </c>
      <c r="V29" s="67" t="str">
        <f>IF(AND('Mapa final'!$Y$33="Media",'Mapa final'!$AA$33="Moderado"),CONCATENATE("R4C",'Mapa final'!$O$33),"")</f>
        <v/>
      </c>
      <c r="W29" s="68" t="str">
        <f>IF(AND('Mapa final'!$Y$34="Media",'Mapa final'!$AA$34="Moderado"),CONCATENATE("R4C",'Mapa final'!$O$34),"")</f>
        <v/>
      </c>
      <c r="X29" s="68" t="str">
        <f>IF(AND('Mapa final'!$Y$35="Media",'Mapa final'!$AA$35="Moderado"),CONCATENATE("R4C",'Mapa final'!$O$35),"")</f>
        <v/>
      </c>
      <c r="Y29" s="68" t="str">
        <f>IF(AND('Mapa final'!$Y$36="Media",'Mapa final'!$AA$36="Moderado"),CONCATENATE("R4C",'Mapa final'!$O$36),"")</f>
        <v/>
      </c>
      <c r="Z29" s="68" t="e">
        <f>IF(AND('Mapa final'!#REF!="Media",'Mapa final'!#REF!="Moderado"),CONCATENATE("R4C",'Mapa final'!#REF!),"")</f>
        <v>#REF!</v>
      </c>
      <c r="AA29" s="69" t="e">
        <f>IF(AND('Mapa final'!#REF!="Media",'Mapa final'!#REF!="Moderado"),CONCATENATE("R4C",'Mapa final'!#REF!),"")</f>
        <v>#REF!</v>
      </c>
      <c r="AB29" s="52" t="str">
        <f>IF(AND('Mapa final'!$Y$33="Media",'Mapa final'!$AA$33="Mayor"),CONCATENATE("R4C",'Mapa final'!$O$33),"")</f>
        <v/>
      </c>
      <c r="AC29" s="53" t="str">
        <f>IF(AND('Mapa final'!$Y$34="Media",'Mapa final'!$AA$34="Mayor"),CONCATENATE("R4C",'Mapa final'!$O$34),"")</f>
        <v/>
      </c>
      <c r="AD29" s="53" t="str">
        <f>IF(AND('Mapa final'!$Y$35="Media",'Mapa final'!$AA$35="Mayor"),CONCATENATE("R4C",'Mapa final'!$O$35),"")</f>
        <v/>
      </c>
      <c r="AE29" s="53" t="str">
        <f>IF(AND('Mapa final'!$Y$36="Media",'Mapa final'!$AA$36="Mayor"),CONCATENATE("R4C",'Mapa final'!$O$36),"")</f>
        <v/>
      </c>
      <c r="AF29" s="53" t="e">
        <f>IF(AND('Mapa final'!#REF!="Media",'Mapa final'!#REF!="Mayor"),CONCATENATE("R4C",'Mapa final'!#REF!),"")</f>
        <v>#REF!</v>
      </c>
      <c r="AG29" s="54" t="e">
        <f>IF(AND('Mapa final'!#REF!="Media",'Mapa final'!#REF!="Mayor"),CONCATENATE("R4C",'Mapa final'!#REF!),"")</f>
        <v>#REF!</v>
      </c>
      <c r="AH29" s="55" t="str">
        <f>IF(AND('Mapa final'!$Y$33="Media",'Mapa final'!$AA$33="Catastrófico"),CONCATENATE("R4C",'Mapa final'!$O$33),"")</f>
        <v/>
      </c>
      <c r="AI29" s="56" t="str">
        <f>IF(AND('Mapa final'!$Y$34="Media",'Mapa final'!$AA$34="Catastrófico"),CONCATENATE("R4C",'Mapa final'!$O$34),"")</f>
        <v/>
      </c>
      <c r="AJ29" s="56" t="str">
        <f>IF(AND('Mapa final'!$Y$35="Media",'Mapa final'!$AA$35="Catastrófico"),CONCATENATE("R4C",'Mapa final'!$O$35),"")</f>
        <v/>
      </c>
      <c r="AK29" s="56" t="str">
        <f>IF(AND('Mapa final'!$Y$36="Media",'Mapa final'!$AA$36="Catastrófico"),CONCATENATE("R4C",'Mapa final'!$O$36),"")</f>
        <v/>
      </c>
      <c r="AL29" s="56" t="e">
        <f>IF(AND('Mapa final'!#REF!="Media",'Mapa final'!#REF!="Catastrófico"),CONCATENATE("R4C",'Mapa final'!#REF!),"")</f>
        <v>#REF!</v>
      </c>
      <c r="AM29" s="57" t="e">
        <f>IF(AND('Mapa final'!#REF!="Media",'Mapa final'!#REF!="Catastrófico"),CONCATENATE("R4C",'Mapa final'!#REF!),"")</f>
        <v>#REF!</v>
      </c>
      <c r="AN29" s="83"/>
      <c r="AO29" s="424"/>
      <c r="AP29" s="425"/>
      <c r="AQ29" s="425"/>
      <c r="AR29" s="425"/>
      <c r="AS29" s="425"/>
      <c r="AT29" s="42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43"/>
      <c r="C30" s="343"/>
      <c r="D30" s="344"/>
      <c r="E30" s="384"/>
      <c r="F30" s="385"/>
      <c r="G30" s="385"/>
      <c r="H30" s="385"/>
      <c r="I30" s="386"/>
      <c r="J30" s="67" t="str">
        <f>IF(AND('Mapa final'!$Y$37="Media",'Mapa final'!$AA$37="Leve"),CONCATENATE("R5C",'Mapa final'!$O$37),"")</f>
        <v/>
      </c>
      <c r="K30" s="68" t="str">
        <f>IF(AND('Mapa final'!$Y$38="Media",'Mapa final'!$AA$38="Leve"),CONCATENATE("R5C",'Mapa final'!$O$38),"")</f>
        <v/>
      </c>
      <c r="L30" s="68" t="str">
        <f>IF(AND('Mapa final'!$Y$39="Media",'Mapa final'!$AA$39="Leve"),CONCATENATE("R5C",'Mapa final'!$O$39),"")</f>
        <v/>
      </c>
      <c r="M30" s="68" t="e">
        <f>IF(AND('Mapa final'!#REF!="Media",'Mapa final'!#REF!="Leve"),CONCATENATE("R5C",'Mapa final'!#REF!),"")</f>
        <v>#REF!</v>
      </c>
      <c r="N30" s="68" t="e">
        <f>IF(AND('Mapa final'!#REF!="Media",'Mapa final'!#REF!="Leve"),CONCATENATE("R5C",'Mapa final'!#REF!),"")</f>
        <v>#REF!</v>
      </c>
      <c r="O30" s="69" t="e">
        <f>IF(AND('Mapa final'!#REF!="Media",'Mapa final'!#REF!="Leve"),CONCATENATE("R5C",'Mapa final'!#REF!),"")</f>
        <v>#REF!</v>
      </c>
      <c r="P30" s="67" t="str">
        <f>IF(AND('Mapa final'!$Y$37="Media",'Mapa final'!$AA$37="Menor"),CONCATENATE("R5C",'Mapa final'!$O$37),"")</f>
        <v/>
      </c>
      <c r="Q30" s="68" t="str">
        <f>IF(AND('Mapa final'!$Y$38="Media",'Mapa final'!$AA$38="Menor"),CONCATENATE("R5C",'Mapa final'!$O$38),"")</f>
        <v/>
      </c>
      <c r="R30" s="68" t="str">
        <f>IF(AND('Mapa final'!$Y$39="Media",'Mapa final'!$AA$39="Menor"),CONCATENATE("R5C",'Mapa final'!$O$39),"")</f>
        <v/>
      </c>
      <c r="S30" s="68" t="e">
        <f>IF(AND('Mapa final'!#REF!="Media",'Mapa final'!#REF!="Menor"),CONCATENATE("R5C",'Mapa final'!#REF!),"")</f>
        <v>#REF!</v>
      </c>
      <c r="T30" s="68" t="e">
        <f>IF(AND('Mapa final'!#REF!="Media",'Mapa final'!#REF!="Menor"),CONCATENATE("R5C",'Mapa final'!#REF!),"")</f>
        <v>#REF!</v>
      </c>
      <c r="U30" s="69" t="e">
        <f>IF(AND('Mapa final'!#REF!="Media",'Mapa final'!#REF!="Menor"),CONCATENATE("R5C",'Mapa final'!#REF!),"")</f>
        <v>#REF!</v>
      </c>
      <c r="V30" s="67" t="str">
        <f>IF(AND('Mapa final'!$Y$37="Media",'Mapa final'!$AA$37="Moderado"),CONCATENATE("R5C",'Mapa final'!$O$37),"")</f>
        <v/>
      </c>
      <c r="W30" s="68" t="str">
        <f>IF(AND('Mapa final'!$Y$38="Media",'Mapa final'!$AA$38="Moderado"),CONCATENATE("R5C",'Mapa final'!$O$38),"")</f>
        <v/>
      </c>
      <c r="X30" s="68" t="str">
        <f>IF(AND('Mapa final'!$Y$39="Media",'Mapa final'!$AA$39="Moderado"),CONCATENATE("R5C",'Mapa final'!$O$39),"")</f>
        <v/>
      </c>
      <c r="Y30" s="68" t="e">
        <f>IF(AND('Mapa final'!#REF!="Media",'Mapa final'!#REF!="Moderado"),CONCATENATE("R5C",'Mapa final'!#REF!),"")</f>
        <v>#REF!</v>
      </c>
      <c r="Z30" s="68" t="e">
        <f>IF(AND('Mapa final'!#REF!="Media",'Mapa final'!#REF!="Moderado"),CONCATENATE("R5C",'Mapa final'!#REF!),"")</f>
        <v>#REF!</v>
      </c>
      <c r="AA30" s="69" t="e">
        <f>IF(AND('Mapa final'!#REF!="Media",'Mapa final'!#REF!="Moderado"),CONCATENATE("R5C",'Mapa final'!#REF!),"")</f>
        <v>#REF!</v>
      </c>
      <c r="AB30" s="52" t="str">
        <f>IF(AND('Mapa final'!$Y$37="Media",'Mapa final'!$AA$37="Mayor"),CONCATENATE("R5C",'Mapa final'!$O$37),"")</f>
        <v/>
      </c>
      <c r="AC30" s="53" t="str">
        <f>IF(AND('Mapa final'!$Y$38="Media",'Mapa final'!$AA$38="Mayor"),CONCATENATE("R5C",'Mapa final'!$O$38),"")</f>
        <v/>
      </c>
      <c r="AD30" s="53" t="str">
        <f>IF(AND('Mapa final'!$Y$39="Media",'Mapa final'!$AA$39="Mayor"),CONCATENATE("R5C",'Mapa final'!$O$39),"")</f>
        <v/>
      </c>
      <c r="AE30" s="53" t="e">
        <f>IF(AND('Mapa final'!#REF!="Media",'Mapa final'!#REF!="Mayor"),CONCATENATE("R5C",'Mapa final'!#REF!),"")</f>
        <v>#REF!</v>
      </c>
      <c r="AF30" s="53" t="e">
        <f>IF(AND('Mapa final'!#REF!="Media",'Mapa final'!#REF!="Mayor"),CONCATENATE("R5C",'Mapa final'!#REF!),"")</f>
        <v>#REF!</v>
      </c>
      <c r="AG30" s="54" t="e">
        <f>IF(AND('Mapa final'!#REF!="Media",'Mapa final'!#REF!="Mayor"),CONCATENATE("R5C",'Mapa final'!#REF!),"")</f>
        <v>#REF!</v>
      </c>
      <c r="AH30" s="55" t="str">
        <f>IF(AND('Mapa final'!$Y$37="Media",'Mapa final'!$AA$37="Catastrófico"),CONCATENATE("R5C",'Mapa final'!$O$37),"")</f>
        <v/>
      </c>
      <c r="AI30" s="56" t="str">
        <f>IF(AND('Mapa final'!$Y$38="Media",'Mapa final'!$AA$38="Catastrófico"),CONCATENATE("R5C",'Mapa final'!$O$38),"")</f>
        <v/>
      </c>
      <c r="AJ30" s="56" t="str">
        <f>IF(AND('Mapa final'!$Y$39="Media",'Mapa final'!$AA$39="Catastrófico"),CONCATENATE("R5C",'Mapa final'!$O$39),"")</f>
        <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3"/>
      <c r="AO30" s="424"/>
      <c r="AP30" s="425"/>
      <c r="AQ30" s="425"/>
      <c r="AR30" s="425"/>
      <c r="AS30" s="425"/>
      <c r="AT30" s="42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43"/>
      <c r="C31" s="343"/>
      <c r="D31" s="344"/>
      <c r="E31" s="384"/>
      <c r="F31" s="385"/>
      <c r="G31" s="385"/>
      <c r="H31" s="385"/>
      <c r="I31" s="386"/>
      <c r="J31" s="67" t="str">
        <f>IF(AND('Mapa final'!$Y$40="Media",'Mapa final'!$AA$40="Leve"),CONCATENATE("R6C",'Mapa final'!$O$40),"")</f>
        <v>R6C1</v>
      </c>
      <c r="K31" s="68" t="str">
        <f>IF(AND('Mapa final'!$Y$41="Media",'Mapa final'!$AA$41="Leve"),CONCATENATE("R6C",'Mapa final'!$O$41),"")</f>
        <v/>
      </c>
      <c r="L31" s="68" t="e">
        <f>IF(AND('Mapa final'!#REF!="Media",'Mapa final'!#REF!="Leve"),CONCATENATE("R6C",'Mapa final'!#REF!),"")</f>
        <v>#REF!</v>
      </c>
      <c r="M31" s="68" t="e">
        <f>IF(AND('Mapa final'!#REF!="Media",'Mapa final'!#REF!="Leve"),CONCATENATE("R6C",'Mapa final'!#REF!),"")</f>
        <v>#REF!</v>
      </c>
      <c r="N31" s="68" t="e">
        <f>IF(AND('Mapa final'!#REF!="Media",'Mapa final'!#REF!="Leve"),CONCATENATE("R6C",'Mapa final'!#REF!),"")</f>
        <v>#REF!</v>
      </c>
      <c r="O31" s="69" t="e">
        <f>IF(AND('Mapa final'!#REF!="Media",'Mapa final'!#REF!="Leve"),CONCATENATE("R6C",'Mapa final'!#REF!),"")</f>
        <v>#REF!</v>
      </c>
      <c r="P31" s="67" t="str">
        <f>IF(AND('Mapa final'!$Y$40="Media",'Mapa final'!$AA$40="Menor"),CONCATENATE("R6C",'Mapa final'!$O$40),"")</f>
        <v/>
      </c>
      <c r="Q31" s="68" t="str">
        <f>IF(AND('Mapa final'!$Y$41="Media",'Mapa final'!$AA$41="Menor"),CONCATENATE("R6C",'Mapa final'!$O$41),"")</f>
        <v/>
      </c>
      <c r="R31" s="68" t="e">
        <f>IF(AND('Mapa final'!#REF!="Media",'Mapa final'!#REF!="Menor"),CONCATENATE("R6C",'Mapa final'!#REF!),"")</f>
        <v>#REF!</v>
      </c>
      <c r="S31" s="68" t="e">
        <f>IF(AND('Mapa final'!#REF!="Media",'Mapa final'!#REF!="Menor"),CONCATENATE("R6C",'Mapa final'!#REF!),"")</f>
        <v>#REF!</v>
      </c>
      <c r="T31" s="68" t="e">
        <f>IF(AND('Mapa final'!#REF!="Media",'Mapa final'!#REF!="Menor"),CONCATENATE("R6C",'Mapa final'!#REF!),"")</f>
        <v>#REF!</v>
      </c>
      <c r="U31" s="69" t="e">
        <f>IF(AND('Mapa final'!#REF!="Media",'Mapa final'!#REF!="Menor"),CONCATENATE("R6C",'Mapa final'!#REF!),"")</f>
        <v>#REF!</v>
      </c>
      <c r="V31" s="67" t="str">
        <f>IF(AND('Mapa final'!$Y$40="Media",'Mapa final'!$AA$40="Moderado"),CONCATENATE("R6C",'Mapa final'!$O$40),"")</f>
        <v/>
      </c>
      <c r="W31" s="68" t="str">
        <f>IF(AND('Mapa final'!$Y$41="Media",'Mapa final'!$AA$41="Moderado"),CONCATENATE("R6C",'Mapa final'!$O$41),"")</f>
        <v/>
      </c>
      <c r="X31" s="68" t="e">
        <f>IF(AND('Mapa final'!#REF!="Media",'Mapa final'!#REF!="Moderado"),CONCATENATE("R6C",'Mapa final'!#REF!),"")</f>
        <v>#REF!</v>
      </c>
      <c r="Y31" s="68" t="e">
        <f>IF(AND('Mapa final'!#REF!="Media",'Mapa final'!#REF!="Moderado"),CONCATENATE("R6C",'Mapa final'!#REF!),"")</f>
        <v>#REF!</v>
      </c>
      <c r="Z31" s="68" t="e">
        <f>IF(AND('Mapa final'!#REF!="Media",'Mapa final'!#REF!="Moderado"),CONCATENATE("R6C",'Mapa final'!#REF!),"")</f>
        <v>#REF!</v>
      </c>
      <c r="AA31" s="69" t="e">
        <f>IF(AND('Mapa final'!#REF!="Media",'Mapa final'!#REF!="Moderado"),CONCATENATE("R6C",'Mapa final'!#REF!),"")</f>
        <v>#REF!</v>
      </c>
      <c r="AB31" s="52" t="str">
        <f>IF(AND('Mapa final'!$Y$40="Media",'Mapa final'!$AA$40="Mayor"),CONCATENATE("R6C",'Mapa final'!$O$40),"")</f>
        <v/>
      </c>
      <c r="AC31" s="53" t="str">
        <f>IF(AND('Mapa final'!$Y$41="Media",'Mapa final'!$AA$41="Mayor"),CONCATENATE("R6C",'Mapa final'!$O$41),"")</f>
        <v/>
      </c>
      <c r="AD31" s="53" t="e">
        <f>IF(AND('Mapa final'!#REF!="Media",'Mapa final'!#REF!="Mayor"),CONCATENATE("R6C",'Mapa final'!#REF!),"")</f>
        <v>#REF!</v>
      </c>
      <c r="AE31" s="53" t="e">
        <f>IF(AND('Mapa final'!#REF!="Media",'Mapa final'!#REF!="Mayor"),CONCATENATE("R6C",'Mapa final'!#REF!),"")</f>
        <v>#REF!</v>
      </c>
      <c r="AF31" s="53" t="e">
        <f>IF(AND('Mapa final'!#REF!="Media",'Mapa final'!#REF!="Mayor"),CONCATENATE("R6C",'Mapa final'!#REF!),"")</f>
        <v>#REF!</v>
      </c>
      <c r="AG31" s="54" t="e">
        <f>IF(AND('Mapa final'!#REF!="Media",'Mapa final'!#REF!="Mayor"),CONCATENATE("R6C",'Mapa final'!#REF!),"")</f>
        <v>#REF!</v>
      </c>
      <c r="AH31" s="55" t="str">
        <f>IF(AND('Mapa final'!$Y$40="Media",'Mapa final'!$AA$40="Catastrófico"),CONCATENATE("R6C",'Mapa final'!$O$40),"")</f>
        <v/>
      </c>
      <c r="AI31" s="56" t="str">
        <f>IF(AND('Mapa final'!$Y$41="Media",'Mapa final'!$AA$41="Catastrófico"),CONCATENATE("R6C",'Mapa final'!$O$41),"")</f>
        <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3"/>
      <c r="AO31" s="424"/>
      <c r="AP31" s="425"/>
      <c r="AQ31" s="425"/>
      <c r="AR31" s="425"/>
      <c r="AS31" s="425"/>
      <c r="AT31" s="42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43"/>
      <c r="C32" s="343"/>
      <c r="D32" s="344"/>
      <c r="E32" s="384"/>
      <c r="F32" s="385"/>
      <c r="G32" s="385"/>
      <c r="H32" s="385"/>
      <c r="I32" s="386"/>
      <c r="J32" s="67" t="str">
        <f>IF(AND('Mapa final'!$Y$42="Media",'Mapa final'!$AA$42="Leve"),CONCATENATE("R7C",'Mapa final'!$O$42),"")</f>
        <v/>
      </c>
      <c r="K32" s="68" t="e">
        <f>IF(AND('Mapa final'!#REF!="Media",'Mapa final'!#REF!="Leve"),CONCATENATE("R7C",'Mapa final'!#REF!),"")</f>
        <v>#REF!</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str">
        <f>IF(AND('Mapa final'!$Y$42="Media",'Mapa final'!$AA$42="Menor"),CONCATENATE("R7C",'Mapa final'!$O$42),"")</f>
        <v/>
      </c>
      <c r="Q32" s="68" t="e">
        <f>IF(AND('Mapa final'!#REF!="Media",'Mapa final'!#REF!="Menor"),CONCATENATE("R7C",'Mapa final'!#REF!),"")</f>
        <v>#REF!</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str">
        <f>IF(AND('Mapa final'!$Y$42="Media",'Mapa final'!$AA$42="Moderado"),CONCATENATE("R7C",'Mapa final'!$O$42),"")</f>
        <v/>
      </c>
      <c r="W32" s="68" t="e">
        <f>IF(AND('Mapa final'!#REF!="Media",'Mapa final'!#REF!="Moderado"),CONCATENATE("R7C",'Mapa final'!#REF!),"")</f>
        <v>#REF!</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str">
        <f>IF(AND('Mapa final'!$Y$42="Media",'Mapa final'!$AA$42="Mayor"),CONCATENATE("R7C",'Mapa final'!$O$42),"")</f>
        <v/>
      </c>
      <c r="AC32" s="53" t="e">
        <f>IF(AND('Mapa final'!#REF!="Media",'Mapa final'!#REF!="Mayor"),CONCATENATE("R7C",'Mapa final'!#REF!),"")</f>
        <v>#REF!</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str">
        <f>IF(AND('Mapa final'!$Y$42="Media",'Mapa final'!$AA$42="Catastrófico"),CONCATENATE("R7C",'Mapa final'!$O$42),"")</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424"/>
      <c r="AP32" s="425"/>
      <c r="AQ32" s="425"/>
      <c r="AR32" s="425"/>
      <c r="AS32" s="425"/>
      <c r="AT32" s="42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43"/>
      <c r="C33" s="343"/>
      <c r="D33" s="344"/>
      <c r="E33" s="384"/>
      <c r="F33" s="385"/>
      <c r="G33" s="385"/>
      <c r="H33" s="385"/>
      <c r="I33" s="386"/>
      <c r="J33" s="67" t="str">
        <f>IF(AND('Mapa final'!$Y$47="Media",'Mapa final'!$AA$47="Leve"),CONCATENATE("R8C",'Mapa final'!$O$47),"")</f>
        <v/>
      </c>
      <c r="K33" s="68" t="str">
        <f>IF(AND('Mapa final'!$Y$48="Media",'Mapa final'!$AA$48="Leve"),CONCATENATE("R8C",'Mapa final'!$O$48),"")</f>
        <v/>
      </c>
      <c r="L33" s="68" t="str">
        <f>IF(AND('Mapa final'!$Y$49="Media",'Mapa final'!$AA$49="Leve"),CONCATENATE("R8C",'Mapa final'!$O$49),"")</f>
        <v/>
      </c>
      <c r="M33" s="68" t="e">
        <f>IF(AND('Mapa final'!#REF!="Media",'Mapa final'!#REF!="Leve"),CONCATENATE("R8C",'Mapa final'!#REF!),"")</f>
        <v>#REF!</v>
      </c>
      <c r="N33" s="68" t="e">
        <f>IF(AND('Mapa final'!#REF!="Media",'Mapa final'!#REF!="Leve"),CONCATENATE("R8C",'Mapa final'!#REF!),"")</f>
        <v>#REF!</v>
      </c>
      <c r="O33" s="69" t="e">
        <f>IF(AND('Mapa final'!#REF!="Media",'Mapa final'!#REF!="Leve"),CONCATENATE("R8C",'Mapa final'!#REF!),"")</f>
        <v>#REF!</v>
      </c>
      <c r="P33" s="67" t="str">
        <f>IF(AND('Mapa final'!$Y$47="Media",'Mapa final'!$AA$47="Menor"),CONCATENATE("R8C",'Mapa final'!$O$47),"")</f>
        <v/>
      </c>
      <c r="Q33" s="68" t="str">
        <f>IF(AND('Mapa final'!$Y$48="Media",'Mapa final'!$AA$48="Menor"),CONCATENATE("R8C",'Mapa final'!$O$48),"")</f>
        <v/>
      </c>
      <c r="R33" s="68" t="str">
        <f>IF(AND('Mapa final'!$Y$49="Media",'Mapa final'!$AA$49="Menor"),CONCATENATE("R8C",'Mapa final'!$O$49),"")</f>
        <v/>
      </c>
      <c r="S33" s="68" t="e">
        <f>IF(AND('Mapa final'!#REF!="Media",'Mapa final'!#REF!="Menor"),CONCATENATE("R8C",'Mapa final'!#REF!),"")</f>
        <v>#REF!</v>
      </c>
      <c r="T33" s="68" t="e">
        <f>IF(AND('Mapa final'!#REF!="Media",'Mapa final'!#REF!="Menor"),CONCATENATE("R8C",'Mapa final'!#REF!),"")</f>
        <v>#REF!</v>
      </c>
      <c r="U33" s="69" t="e">
        <f>IF(AND('Mapa final'!#REF!="Media",'Mapa final'!#REF!="Menor"),CONCATENATE("R8C",'Mapa final'!#REF!),"")</f>
        <v>#REF!</v>
      </c>
      <c r="V33" s="67" t="str">
        <f>IF(AND('Mapa final'!$Y$47="Media",'Mapa final'!$AA$47="Moderado"),CONCATENATE("R8C",'Mapa final'!$O$47),"")</f>
        <v/>
      </c>
      <c r="W33" s="68" t="str">
        <f>IF(AND('Mapa final'!$Y$48="Media",'Mapa final'!$AA$48="Moderado"),CONCATENATE("R8C",'Mapa final'!$O$48),"")</f>
        <v/>
      </c>
      <c r="X33" s="68" t="str">
        <f>IF(AND('Mapa final'!$Y$49="Media",'Mapa final'!$AA$49="Moderado"),CONCATENATE("R8C",'Mapa final'!$O$49),"")</f>
        <v/>
      </c>
      <c r="Y33" s="68" t="e">
        <f>IF(AND('Mapa final'!#REF!="Media",'Mapa final'!#REF!="Moderado"),CONCATENATE("R8C",'Mapa final'!#REF!),"")</f>
        <v>#REF!</v>
      </c>
      <c r="Z33" s="68" t="e">
        <f>IF(AND('Mapa final'!#REF!="Media",'Mapa final'!#REF!="Moderado"),CONCATENATE("R8C",'Mapa final'!#REF!),"")</f>
        <v>#REF!</v>
      </c>
      <c r="AA33" s="69" t="e">
        <f>IF(AND('Mapa final'!#REF!="Media",'Mapa final'!#REF!="Moderado"),CONCATENATE("R8C",'Mapa final'!#REF!),"")</f>
        <v>#REF!</v>
      </c>
      <c r="AB33" s="52" t="str">
        <f>IF(AND('Mapa final'!$Y$47="Media",'Mapa final'!$AA$47="Mayor"),CONCATENATE("R8C",'Mapa final'!$O$47),"")</f>
        <v/>
      </c>
      <c r="AC33" s="53" t="str">
        <f>IF(AND('Mapa final'!$Y$48="Media",'Mapa final'!$AA$48="Mayor"),CONCATENATE("R8C",'Mapa final'!$O$48),"")</f>
        <v/>
      </c>
      <c r="AD33" s="53" t="str">
        <f>IF(AND('Mapa final'!$Y$49="Media",'Mapa final'!$AA$49="Mayor"),CONCATENATE("R8C",'Mapa final'!$O$49),"")</f>
        <v/>
      </c>
      <c r="AE33" s="53" t="e">
        <f>IF(AND('Mapa final'!#REF!="Media",'Mapa final'!#REF!="Mayor"),CONCATENATE("R8C",'Mapa final'!#REF!),"")</f>
        <v>#REF!</v>
      </c>
      <c r="AF33" s="53" t="e">
        <f>IF(AND('Mapa final'!#REF!="Media",'Mapa final'!#REF!="Mayor"),CONCATENATE("R8C",'Mapa final'!#REF!),"")</f>
        <v>#REF!</v>
      </c>
      <c r="AG33" s="54" t="e">
        <f>IF(AND('Mapa final'!#REF!="Media",'Mapa final'!#REF!="Mayor"),CONCATENATE("R8C",'Mapa final'!#REF!),"")</f>
        <v>#REF!</v>
      </c>
      <c r="AH33" s="55" t="str">
        <f>IF(AND('Mapa final'!$Y$47="Media",'Mapa final'!$AA$47="Catastrófico"),CONCATENATE("R8C",'Mapa final'!$O$47),"")</f>
        <v/>
      </c>
      <c r="AI33" s="56" t="str">
        <f>IF(AND('Mapa final'!$Y$48="Media",'Mapa final'!$AA$48="Catastrófico"),CONCATENATE("R8C",'Mapa final'!$O$48),"")</f>
        <v/>
      </c>
      <c r="AJ33" s="56" t="str">
        <f>IF(AND('Mapa final'!$Y$49="Media",'Mapa final'!$AA$49="Catastrófico"),CONCATENATE("R8C",'Mapa final'!$O$49),"")</f>
        <v/>
      </c>
      <c r="AK33" s="56" t="e">
        <f>IF(AND('Mapa final'!#REF!="Media",'Mapa final'!#REF!="Catastrófico"),CONCATENATE("R8C",'Mapa final'!#REF!),"")</f>
        <v>#REF!</v>
      </c>
      <c r="AL33" s="56" t="e">
        <f>IF(AND('Mapa final'!#REF!="Media",'Mapa final'!#REF!="Catastrófico"),CONCATENATE("R8C",'Mapa final'!#REF!),"")</f>
        <v>#REF!</v>
      </c>
      <c r="AM33" s="57" t="e">
        <f>IF(AND('Mapa final'!#REF!="Media",'Mapa final'!#REF!="Catastrófico"),CONCATENATE("R8C",'Mapa final'!#REF!),"")</f>
        <v>#REF!</v>
      </c>
      <c r="AN33" s="83"/>
      <c r="AO33" s="424"/>
      <c r="AP33" s="425"/>
      <c r="AQ33" s="425"/>
      <c r="AR33" s="425"/>
      <c r="AS33" s="425"/>
      <c r="AT33" s="42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43"/>
      <c r="C34" s="343"/>
      <c r="D34" s="344"/>
      <c r="E34" s="384"/>
      <c r="F34" s="385"/>
      <c r="G34" s="385"/>
      <c r="H34" s="385"/>
      <c r="I34" s="386"/>
      <c r="J34" s="67" t="e">
        <f>IF(AND('Mapa final'!#REF!="Media",'Mapa final'!#REF!="Leve"),CONCATENATE("R9C",'Mapa final'!#REF!),"")</f>
        <v>#REF!</v>
      </c>
      <c r="K34" s="68" t="e">
        <f>IF(AND('Mapa final'!#REF!="Media",'Mapa final'!#REF!="Leve"),CONCATENATE("R9C",'Mapa final'!#REF!),"")</f>
        <v>#REF!</v>
      </c>
      <c r="L34" s="68" t="e">
        <f>IF(AND('Mapa final'!#REF!="Media",'Mapa final'!#REF!="Leve"),CONCATENATE("R9C",'Mapa final'!#REF!),"")</f>
        <v>#REF!</v>
      </c>
      <c r="M34" s="68" t="e">
        <f>IF(AND('Mapa final'!#REF!="Media",'Mapa final'!#REF!="Leve"),CONCATENATE("R9C",'Mapa final'!#REF!),"")</f>
        <v>#REF!</v>
      </c>
      <c r="N34" s="68" t="e">
        <f>IF(AND('Mapa final'!#REF!="Media",'Mapa final'!#REF!="Leve"),CONCATENATE("R9C",'Mapa final'!#REF!),"")</f>
        <v>#REF!</v>
      </c>
      <c r="O34" s="69" t="e">
        <f>IF(AND('Mapa final'!#REF!="Media",'Mapa final'!#REF!="Leve"),CONCATENATE("R9C",'Mapa final'!#REF!),"")</f>
        <v>#REF!</v>
      </c>
      <c r="P34" s="67" t="e">
        <f>IF(AND('Mapa final'!#REF!="Media",'Mapa final'!#REF!="Menor"),CONCATENATE("R9C",'Mapa final'!#REF!),"")</f>
        <v>#REF!</v>
      </c>
      <c r="Q34" s="68" t="e">
        <f>IF(AND('Mapa final'!#REF!="Media",'Mapa final'!#REF!="Menor"),CONCATENATE("R9C",'Mapa final'!#REF!),"")</f>
        <v>#REF!</v>
      </c>
      <c r="R34" s="68" t="e">
        <f>IF(AND('Mapa final'!#REF!="Media",'Mapa final'!#REF!="Menor"),CONCATENATE("R9C",'Mapa final'!#REF!),"")</f>
        <v>#REF!</v>
      </c>
      <c r="S34" s="68" t="e">
        <f>IF(AND('Mapa final'!#REF!="Media",'Mapa final'!#REF!="Menor"),CONCATENATE("R9C",'Mapa final'!#REF!),"")</f>
        <v>#REF!</v>
      </c>
      <c r="T34" s="68" t="e">
        <f>IF(AND('Mapa final'!#REF!="Media",'Mapa final'!#REF!="Menor"),CONCATENATE("R9C",'Mapa final'!#REF!),"")</f>
        <v>#REF!</v>
      </c>
      <c r="U34" s="69" t="e">
        <f>IF(AND('Mapa final'!#REF!="Media",'Mapa final'!#REF!="Menor"),CONCATENATE("R9C",'Mapa final'!#REF!),"")</f>
        <v>#REF!</v>
      </c>
      <c r="V34" s="67" t="e">
        <f>IF(AND('Mapa final'!#REF!="Media",'Mapa final'!#REF!="Moderado"),CONCATENATE("R9C",'Mapa final'!#REF!),"")</f>
        <v>#REF!</v>
      </c>
      <c r="W34" s="68" t="e">
        <f>IF(AND('Mapa final'!#REF!="Media",'Mapa final'!#REF!="Moderado"),CONCATENATE("R9C",'Mapa final'!#REF!),"")</f>
        <v>#REF!</v>
      </c>
      <c r="X34" s="68" t="e">
        <f>IF(AND('Mapa final'!#REF!="Media",'Mapa final'!#REF!="Moderado"),CONCATENATE("R9C",'Mapa final'!#REF!),"")</f>
        <v>#REF!</v>
      </c>
      <c r="Y34" s="68" t="e">
        <f>IF(AND('Mapa final'!#REF!="Media",'Mapa final'!#REF!="Moderado"),CONCATENATE("R9C",'Mapa final'!#REF!),"")</f>
        <v>#REF!</v>
      </c>
      <c r="Z34" s="68" t="e">
        <f>IF(AND('Mapa final'!#REF!="Media",'Mapa final'!#REF!="Moderado"),CONCATENATE("R9C",'Mapa final'!#REF!),"")</f>
        <v>#REF!</v>
      </c>
      <c r="AA34" s="69" t="e">
        <f>IF(AND('Mapa final'!#REF!="Media",'Mapa final'!#REF!="Moderado"),CONCATENATE("R9C",'Mapa final'!#REF!),"")</f>
        <v>#REF!</v>
      </c>
      <c r="AB34" s="52" t="e">
        <f>IF(AND('Mapa final'!#REF!="Media",'Mapa final'!#REF!="Mayor"),CONCATENATE("R9C",'Mapa final'!#REF!),"")</f>
        <v>#REF!</v>
      </c>
      <c r="AC34" s="53" t="e">
        <f>IF(AND('Mapa final'!#REF!="Media",'Mapa final'!#REF!="Mayor"),CONCATENATE("R9C",'Mapa final'!#REF!),"")</f>
        <v>#REF!</v>
      </c>
      <c r="AD34" s="53" t="e">
        <f>IF(AND('Mapa final'!#REF!="Media",'Mapa final'!#REF!="Mayor"),CONCATENATE("R9C",'Mapa final'!#REF!),"")</f>
        <v>#REF!</v>
      </c>
      <c r="AE34" s="53" t="e">
        <f>IF(AND('Mapa final'!#REF!="Media",'Mapa final'!#REF!="Mayor"),CONCATENATE("R9C",'Mapa final'!#REF!),"")</f>
        <v>#REF!</v>
      </c>
      <c r="AF34" s="53" t="e">
        <f>IF(AND('Mapa final'!#REF!="Media",'Mapa final'!#REF!="Mayor"),CONCATENATE("R9C",'Mapa final'!#REF!),"")</f>
        <v>#REF!</v>
      </c>
      <c r="AG34" s="54" t="e">
        <f>IF(AND('Mapa final'!#REF!="Media",'Mapa final'!#REF!="Mayor"),CONCATENATE("R9C",'Mapa final'!#REF!),"")</f>
        <v>#REF!</v>
      </c>
      <c r="AH34" s="55" t="e">
        <f>IF(AND('Mapa final'!#REF!="Media",'Mapa final'!#REF!="Catastrófico"),CONCATENATE("R9C",'Mapa final'!#REF!),"")</f>
        <v>#REF!</v>
      </c>
      <c r="AI34" s="56" t="e">
        <f>IF(AND('Mapa final'!#REF!="Media",'Mapa final'!#REF!="Catastrófico"),CONCATENATE("R9C",'Mapa final'!#REF!),"")</f>
        <v>#REF!</v>
      </c>
      <c r="AJ34" s="56" t="e">
        <f>IF(AND('Mapa final'!#REF!="Media",'Mapa final'!#REF!="Catastrófico"),CONCATENATE("R9C",'Mapa final'!#REF!),"")</f>
        <v>#REF!</v>
      </c>
      <c r="AK34" s="56" t="e">
        <f>IF(AND('Mapa final'!#REF!="Media",'Mapa final'!#REF!="Catastrófico"),CONCATENATE("R9C",'Mapa final'!#REF!),"")</f>
        <v>#REF!</v>
      </c>
      <c r="AL34" s="56" t="e">
        <f>IF(AND('Mapa final'!#REF!="Media",'Mapa final'!#REF!="Catastrófico"),CONCATENATE("R9C",'Mapa final'!#REF!),"")</f>
        <v>#REF!</v>
      </c>
      <c r="AM34" s="57" t="e">
        <f>IF(AND('Mapa final'!#REF!="Media",'Mapa final'!#REF!="Catastrófico"),CONCATENATE("R9C",'Mapa final'!#REF!),"")</f>
        <v>#REF!</v>
      </c>
      <c r="AN34" s="83"/>
      <c r="AO34" s="424"/>
      <c r="AP34" s="425"/>
      <c r="AQ34" s="425"/>
      <c r="AR34" s="425"/>
      <c r="AS34" s="425"/>
      <c r="AT34" s="42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43"/>
      <c r="C35" s="343"/>
      <c r="D35" s="344"/>
      <c r="E35" s="387"/>
      <c r="F35" s="388"/>
      <c r="G35" s="388"/>
      <c r="H35" s="388"/>
      <c r="I35" s="389"/>
      <c r="J35" s="67" t="e">
        <f>IF(AND('Mapa final'!#REF!="Media",'Mapa final'!#REF!="Leve"),CONCATENATE("R10C",'Mapa final'!#REF!),"")</f>
        <v>#REF!</v>
      </c>
      <c r="K35" s="68" t="e">
        <f>IF(AND('Mapa final'!#REF!="Media",'Mapa final'!#REF!="Leve"),CONCATENATE("R10C",'Mapa final'!#REF!),"")</f>
        <v>#REF!</v>
      </c>
      <c r="L35" s="68" t="e">
        <f>IF(AND('Mapa final'!#REF!="Media",'Mapa final'!#REF!="Leve"),CONCATENATE("R10C",'Mapa final'!#REF!),"")</f>
        <v>#REF!</v>
      </c>
      <c r="M35" s="68" t="e">
        <f>IF(AND('Mapa final'!#REF!="Media",'Mapa final'!#REF!="Leve"),CONCATENATE("R10C",'Mapa final'!#REF!),"")</f>
        <v>#REF!</v>
      </c>
      <c r="N35" s="68" t="e">
        <f>IF(AND('Mapa final'!#REF!="Media",'Mapa final'!#REF!="Leve"),CONCATENATE("R10C",'Mapa final'!#REF!),"")</f>
        <v>#REF!</v>
      </c>
      <c r="O35" s="69" t="e">
        <f>IF(AND('Mapa final'!#REF!="Media",'Mapa final'!#REF!="Leve"),CONCATENATE("R10C",'Mapa final'!#REF!),"")</f>
        <v>#REF!</v>
      </c>
      <c r="P35" s="67" t="e">
        <f>IF(AND('Mapa final'!#REF!="Media",'Mapa final'!#REF!="Menor"),CONCATENATE("R10C",'Mapa final'!#REF!),"")</f>
        <v>#REF!</v>
      </c>
      <c r="Q35" s="68" t="e">
        <f>IF(AND('Mapa final'!#REF!="Media",'Mapa final'!#REF!="Menor"),CONCATENATE("R10C",'Mapa final'!#REF!),"")</f>
        <v>#REF!</v>
      </c>
      <c r="R35" s="68" t="e">
        <f>IF(AND('Mapa final'!#REF!="Media",'Mapa final'!#REF!="Menor"),CONCATENATE("R10C",'Mapa final'!#REF!),"")</f>
        <v>#REF!</v>
      </c>
      <c r="S35" s="68" t="e">
        <f>IF(AND('Mapa final'!#REF!="Media",'Mapa final'!#REF!="Menor"),CONCATENATE("R10C",'Mapa final'!#REF!),"")</f>
        <v>#REF!</v>
      </c>
      <c r="T35" s="68" t="e">
        <f>IF(AND('Mapa final'!#REF!="Media",'Mapa final'!#REF!="Menor"),CONCATENATE("R10C",'Mapa final'!#REF!),"")</f>
        <v>#REF!</v>
      </c>
      <c r="U35" s="69" t="e">
        <f>IF(AND('Mapa final'!#REF!="Media",'Mapa final'!#REF!="Menor"),CONCATENATE("R10C",'Mapa final'!#REF!),"")</f>
        <v>#REF!</v>
      </c>
      <c r="V35" s="67" t="e">
        <f>IF(AND('Mapa final'!#REF!="Media",'Mapa final'!#REF!="Moderado"),CONCATENATE("R10C",'Mapa final'!#REF!),"")</f>
        <v>#REF!</v>
      </c>
      <c r="W35" s="68" t="e">
        <f>IF(AND('Mapa final'!#REF!="Media",'Mapa final'!#REF!="Moderado"),CONCATENATE("R10C",'Mapa final'!#REF!),"")</f>
        <v>#REF!</v>
      </c>
      <c r="X35" s="68" t="e">
        <f>IF(AND('Mapa final'!#REF!="Media",'Mapa final'!#REF!="Moderado"),CONCATENATE("R10C",'Mapa final'!#REF!),"")</f>
        <v>#REF!</v>
      </c>
      <c r="Y35" s="68" t="e">
        <f>IF(AND('Mapa final'!#REF!="Media",'Mapa final'!#REF!="Moderado"),CONCATENATE("R10C",'Mapa final'!#REF!),"")</f>
        <v>#REF!</v>
      </c>
      <c r="Z35" s="68" t="e">
        <f>IF(AND('Mapa final'!#REF!="Media",'Mapa final'!#REF!="Moderado"),CONCATENATE("R10C",'Mapa final'!#REF!),"")</f>
        <v>#REF!</v>
      </c>
      <c r="AA35" s="69" t="e">
        <f>IF(AND('Mapa final'!#REF!="Media",'Mapa final'!#REF!="Moderado"),CONCATENATE("R10C",'Mapa final'!#REF!),"")</f>
        <v>#REF!</v>
      </c>
      <c r="AB35" s="58" t="e">
        <f>IF(AND('Mapa final'!#REF!="Media",'Mapa final'!#REF!="Mayor"),CONCATENATE("R10C",'Mapa final'!#REF!),"")</f>
        <v>#REF!</v>
      </c>
      <c r="AC35" s="59" t="e">
        <f>IF(AND('Mapa final'!#REF!="Media",'Mapa final'!#REF!="Mayor"),CONCATENATE("R10C",'Mapa final'!#REF!),"")</f>
        <v>#REF!</v>
      </c>
      <c r="AD35" s="59" t="e">
        <f>IF(AND('Mapa final'!#REF!="Media",'Mapa final'!#REF!="Mayor"),CONCATENATE("R10C",'Mapa final'!#REF!),"")</f>
        <v>#REF!</v>
      </c>
      <c r="AE35" s="59" t="e">
        <f>IF(AND('Mapa final'!#REF!="Media",'Mapa final'!#REF!="Mayor"),CONCATENATE("R10C",'Mapa final'!#REF!),"")</f>
        <v>#REF!</v>
      </c>
      <c r="AF35" s="59" t="e">
        <f>IF(AND('Mapa final'!#REF!="Media",'Mapa final'!#REF!="Mayor"),CONCATENATE("R10C",'Mapa final'!#REF!),"")</f>
        <v>#REF!</v>
      </c>
      <c r="AG35" s="60" t="e">
        <f>IF(AND('Mapa final'!#REF!="Media",'Mapa final'!#REF!="Mayor"),CONCATENATE("R10C",'Mapa final'!#REF!),"")</f>
        <v>#REF!</v>
      </c>
      <c r="AH35" s="61" t="e">
        <f>IF(AND('Mapa final'!#REF!="Media",'Mapa final'!#REF!="Catastrófico"),CONCATENATE("R10C",'Mapa final'!#REF!),"")</f>
        <v>#REF!</v>
      </c>
      <c r="AI35" s="62" t="e">
        <f>IF(AND('Mapa final'!#REF!="Media",'Mapa final'!#REF!="Catastrófico"),CONCATENATE("R10C",'Mapa final'!#REF!),"")</f>
        <v>#REF!</v>
      </c>
      <c r="AJ35" s="62" t="e">
        <f>IF(AND('Mapa final'!#REF!="Media",'Mapa final'!#REF!="Catastrófico"),CONCATENATE("R10C",'Mapa final'!#REF!),"")</f>
        <v>#REF!</v>
      </c>
      <c r="AK35" s="62" t="e">
        <f>IF(AND('Mapa final'!#REF!="Media",'Mapa final'!#REF!="Catastrófico"),CONCATENATE("R10C",'Mapa final'!#REF!),"")</f>
        <v>#REF!</v>
      </c>
      <c r="AL35" s="62" t="e">
        <f>IF(AND('Mapa final'!#REF!="Media",'Mapa final'!#REF!="Catastrófico"),CONCATENATE("R10C",'Mapa final'!#REF!),"")</f>
        <v>#REF!</v>
      </c>
      <c r="AM35" s="63" t="e">
        <f>IF(AND('Mapa final'!#REF!="Media",'Mapa final'!#REF!="Catastrófico"),CONCATENATE("R10C",'Mapa final'!#REF!),"")</f>
        <v>#REF!</v>
      </c>
      <c r="AN35" s="83"/>
      <c r="AO35" s="427"/>
      <c r="AP35" s="428"/>
      <c r="AQ35" s="428"/>
      <c r="AR35" s="428"/>
      <c r="AS35" s="428"/>
      <c r="AT35" s="42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43"/>
      <c r="C36" s="343"/>
      <c r="D36" s="344"/>
      <c r="E36" s="381" t="s">
        <v>98</v>
      </c>
      <c r="F36" s="382"/>
      <c r="G36" s="382"/>
      <c r="H36" s="382"/>
      <c r="I36" s="382"/>
      <c r="J36" s="73" t="str">
        <f>IF(AND('Mapa final'!$Y$25="Baja",'Mapa final'!$AA$25="Leve"),CONCATENATE("R1C",'Mapa final'!$O$25),"")</f>
        <v/>
      </c>
      <c r="K36" s="74" t="str">
        <f>IF(AND('Mapa final'!$Y$26="Baja",'Mapa final'!$AA$26="Leve"),CONCATENATE("R1C",'Mapa final'!$O$26),"")</f>
        <v/>
      </c>
      <c r="L36" s="74" t="e">
        <f>IF(AND('Mapa final'!#REF!="Baja",'Mapa final'!#REF!="Leve"),CONCATENATE("R1C",'Mapa final'!#REF!),"")</f>
        <v>#REF!</v>
      </c>
      <c r="M36" s="74" t="e">
        <f>IF(AND('Mapa final'!#REF!="Baja",'Mapa final'!#REF!="Leve"),CONCATENATE("R1C",'Mapa final'!#REF!),"")</f>
        <v>#REF!</v>
      </c>
      <c r="N36" s="74" t="e">
        <f>IF(AND('Mapa final'!#REF!="Baja",'Mapa final'!#REF!="Leve"),CONCATENATE("R1C",'Mapa final'!#REF!),"")</f>
        <v>#REF!</v>
      </c>
      <c r="O36" s="75" t="e">
        <f>IF(AND('Mapa final'!#REF!="Baja",'Mapa final'!#REF!="Leve"),CONCATENATE("R1C",'Mapa final'!#REF!),"")</f>
        <v>#REF!</v>
      </c>
      <c r="P36" s="64" t="str">
        <f>IF(AND('Mapa final'!$Y$25="Baja",'Mapa final'!$AA$25="Menor"),CONCATENATE("R1C",'Mapa final'!$O$25),"")</f>
        <v/>
      </c>
      <c r="Q36" s="65" t="str">
        <f>IF(AND('Mapa final'!$Y$26="Baja",'Mapa final'!$AA$26="Menor"),CONCATENATE("R1C",'Mapa final'!$O$26),"")</f>
        <v/>
      </c>
      <c r="R36" s="65" t="e">
        <f>IF(AND('Mapa final'!#REF!="Baja",'Mapa final'!#REF!="Menor"),CONCATENATE("R1C",'Mapa final'!#REF!),"")</f>
        <v>#REF!</v>
      </c>
      <c r="S36" s="65" t="e">
        <f>IF(AND('Mapa final'!#REF!="Baja",'Mapa final'!#REF!="Menor"),CONCATENATE("R1C",'Mapa final'!#REF!),"")</f>
        <v>#REF!</v>
      </c>
      <c r="T36" s="65" t="e">
        <f>IF(AND('Mapa final'!#REF!="Baja",'Mapa final'!#REF!="Menor"),CONCATENATE("R1C",'Mapa final'!#REF!),"")</f>
        <v>#REF!</v>
      </c>
      <c r="U36" s="66" t="e">
        <f>IF(AND('Mapa final'!#REF!="Baja",'Mapa final'!#REF!="Menor"),CONCATENATE("R1C",'Mapa final'!#REF!),"")</f>
        <v>#REF!</v>
      </c>
      <c r="V36" s="64" t="str">
        <f>IF(AND('Mapa final'!$Y$25="Baja",'Mapa final'!$AA$25="Moderado"),CONCATENATE("R1C",'Mapa final'!$O$25),"")</f>
        <v>R1C1</v>
      </c>
      <c r="W36" s="65" t="str">
        <f>IF(AND('Mapa final'!$Y$26="Baja",'Mapa final'!$AA$26="Moderado"),CONCATENATE("R1C",'Mapa final'!$O$26),"")</f>
        <v>R1C2</v>
      </c>
      <c r="X36" s="65" t="e">
        <f>IF(AND('Mapa final'!#REF!="Baja",'Mapa final'!#REF!="Moderado"),CONCATENATE("R1C",'Mapa final'!#REF!),"")</f>
        <v>#REF!</v>
      </c>
      <c r="Y36" s="65" t="e">
        <f>IF(AND('Mapa final'!#REF!="Baja",'Mapa final'!#REF!="Moderado"),CONCATENATE("R1C",'Mapa final'!#REF!),"")</f>
        <v>#REF!</v>
      </c>
      <c r="Z36" s="65" t="e">
        <f>IF(AND('Mapa final'!#REF!="Baja",'Mapa final'!#REF!="Moderado"),CONCATENATE("R1C",'Mapa final'!#REF!),"")</f>
        <v>#REF!</v>
      </c>
      <c r="AA36" s="66" t="e">
        <f>IF(AND('Mapa final'!#REF!="Baja",'Mapa final'!#REF!="Moderado"),CONCATENATE("R1C",'Mapa final'!#REF!),"")</f>
        <v>#REF!</v>
      </c>
      <c r="AB36" s="46" t="str">
        <f>IF(AND('Mapa final'!$Y$25="Baja",'Mapa final'!$AA$25="Mayor"),CONCATENATE("R1C",'Mapa final'!$O$25),"")</f>
        <v/>
      </c>
      <c r="AC36" s="47" t="str">
        <f>IF(AND('Mapa final'!$Y$26="Baja",'Mapa final'!$AA$26="Mayor"),CONCATENATE("R1C",'Mapa final'!$O$26),"")</f>
        <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final'!$Y$25="Baja",'Mapa final'!$AA$25="Catastrófico"),CONCATENATE("R1C",'Mapa final'!$O$25),"")</f>
        <v/>
      </c>
      <c r="AI36" s="50" t="str">
        <f>IF(AND('Mapa final'!$Y$26="Baja",'Mapa final'!$AA$26="Catastrófico"),CONCATENATE("R1C",'Mapa final'!$O$26),"")</f>
        <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3"/>
      <c r="AO36" s="412" t="s">
        <v>99</v>
      </c>
      <c r="AP36" s="413"/>
      <c r="AQ36" s="413"/>
      <c r="AR36" s="413"/>
      <c r="AS36" s="413"/>
      <c r="AT36" s="41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43"/>
      <c r="C37" s="343"/>
      <c r="D37" s="344"/>
      <c r="E37" s="400"/>
      <c r="F37" s="385"/>
      <c r="G37" s="385"/>
      <c r="H37" s="385"/>
      <c r="I37" s="385"/>
      <c r="J37" s="76" t="str">
        <f>IF(AND('Mapa final'!$Y$27="Baja",'Mapa final'!$AA$27="Leve"),CONCATENATE("R2C",'Mapa final'!$O$27),"")</f>
        <v/>
      </c>
      <c r="K37" s="77" t="str">
        <f>IF(AND('Mapa final'!$Y$28="Baja",'Mapa final'!$AA$28="Leve"),CONCATENATE("R2C",'Mapa final'!$O$28),"")</f>
        <v/>
      </c>
      <c r="L37" s="77" t="e">
        <f>IF(AND('Mapa final'!#REF!="Baja",'Mapa final'!#REF!="Leve"),CONCATENATE("R2C",'Mapa final'!#REF!),"")</f>
        <v>#REF!</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str">
        <f>IF(AND('Mapa final'!$Y$27="Baja",'Mapa final'!$AA$27="Menor"),CONCATENATE("R2C",'Mapa final'!$O$27),"")</f>
        <v>R2C1</v>
      </c>
      <c r="Q37" s="68" t="str">
        <f>IF(AND('Mapa final'!$Y$28="Baja",'Mapa final'!$AA$28="Menor"),CONCATENATE("R2C",'Mapa final'!$O$28),"")</f>
        <v/>
      </c>
      <c r="R37" s="68" t="e">
        <f>IF(AND('Mapa final'!#REF!="Baja",'Mapa final'!#REF!="Menor"),CONCATENATE("R2C",'Mapa final'!#REF!),"")</f>
        <v>#REF!</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str">
        <f>IF(AND('Mapa final'!$Y$27="Baja",'Mapa final'!$AA$27="Moderado"),CONCATENATE("R2C",'Mapa final'!$O$27),"")</f>
        <v/>
      </c>
      <c r="W37" s="68" t="str">
        <f>IF(AND('Mapa final'!$Y$28="Baja",'Mapa final'!$AA$28="Moderado"),CONCATENATE("R2C",'Mapa final'!$O$28),"")</f>
        <v/>
      </c>
      <c r="X37" s="68" t="e">
        <f>IF(AND('Mapa final'!#REF!="Baja",'Mapa final'!#REF!="Moderado"),CONCATENATE("R2C",'Mapa final'!#REF!),"")</f>
        <v>#REF!</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str">
        <f>IF(AND('Mapa final'!$Y$27="Baja",'Mapa final'!$AA$27="Mayor"),CONCATENATE("R2C",'Mapa final'!$O$27),"")</f>
        <v/>
      </c>
      <c r="AC37" s="53" t="str">
        <f>IF(AND('Mapa final'!$Y$28="Baja",'Mapa final'!$AA$28="Mayor"),CONCATENATE("R2C",'Mapa final'!$O$28),"")</f>
        <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final'!$Y$27="Baja",'Mapa final'!$AA$27="Catastrófico"),CONCATENATE("R2C",'Mapa final'!$O$27),"")</f>
        <v/>
      </c>
      <c r="AI37" s="56" t="str">
        <f>IF(AND('Mapa final'!$Y$28="Baja",'Mapa final'!$AA$28="Catastrófico"),CONCATENATE("R2C",'Mapa final'!$O$28),"")</f>
        <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415"/>
      <c r="AP37" s="416"/>
      <c r="AQ37" s="416"/>
      <c r="AR37" s="416"/>
      <c r="AS37" s="416"/>
      <c r="AT37" s="41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43"/>
      <c r="C38" s="343"/>
      <c r="D38" s="344"/>
      <c r="E38" s="384"/>
      <c r="F38" s="385"/>
      <c r="G38" s="385"/>
      <c r="H38" s="385"/>
      <c r="I38" s="385"/>
      <c r="J38" s="76" t="str">
        <f>IF(AND('Mapa final'!$Y$29="Baja",'Mapa final'!$AA$29="Leve"),CONCATENATE("R3C",'Mapa final'!$O$29),"")</f>
        <v/>
      </c>
      <c r="K38" s="77" t="str">
        <f>IF(AND('Mapa final'!$Y$30="Baja",'Mapa final'!$AA$30="Leve"),CONCATENATE("R3C",'Mapa final'!$O$30),"")</f>
        <v/>
      </c>
      <c r="L38" s="77" t="str">
        <f>IF(AND('Mapa final'!$Y$31="Baja",'Mapa final'!$AA$31="Leve"),CONCATENATE("R3C",'Mapa final'!$O$31),"")</f>
        <v/>
      </c>
      <c r="M38" s="77" t="str">
        <f>IF(AND('Mapa final'!$Y$32="Baja",'Mapa final'!$AA$32="Leve"),CONCATENATE("R3C",'Mapa final'!$O$32),"")</f>
        <v/>
      </c>
      <c r="N38" s="77" t="e">
        <f>IF(AND('Mapa final'!#REF!="Baja",'Mapa final'!#REF!="Leve"),CONCATENATE("R3C",'Mapa final'!#REF!),"")</f>
        <v>#REF!</v>
      </c>
      <c r="O38" s="78" t="e">
        <f>IF(AND('Mapa final'!#REF!="Baja",'Mapa final'!#REF!="Leve"),CONCATENATE("R3C",'Mapa final'!#REF!),"")</f>
        <v>#REF!</v>
      </c>
      <c r="P38" s="67" t="str">
        <f>IF(AND('Mapa final'!$Y$29="Baja",'Mapa final'!$AA$29="Menor"),CONCATENATE("R3C",'Mapa final'!$O$29),"")</f>
        <v/>
      </c>
      <c r="Q38" s="68" t="str">
        <f>IF(AND('Mapa final'!$Y$30="Baja",'Mapa final'!$AA$30="Menor"),CONCATENATE("R3C",'Mapa final'!$O$30),"")</f>
        <v/>
      </c>
      <c r="R38" s="68" t="str">
        <f>IF(AND('Mapa final'!$Y$31="Baja",'Mapa final'!$AA$31="Menor"),CONCATENATE("R3C",'Mapa final'!$O$31),"")</f>
        <v/>
      </c>
      <c r="S38" s="68" t="str">
        <f>IF(AND('Mapa final'!$Y$32="Baja",'Mapa final'!$AA$32="Menor"),CONCATENATE("R3C",'Mapa final'!$O$32),"")</f>
        <v/>
      </c>
      <c r="T38" s="68" t="e">
        <f>IF(AND('Mapa final'!#REF!="Baja",'Mapa final'!#REF!="Menor"),CONCATENATE("R3C",'Mapa final'!#REF!),"")</f>
        <v>#REF!</v>
      </c>
      <c r="U38" s="69" t="e">
        <f>IF(AND('Mapa final'!#REF!="Baja",'Mapa final'!#REF!="Menor"),CONCATENATE("R3C",'Mapa final'!#REF!),"")</f>
        <v>#REF!</v>
      </c>
      <c r="V38" s="67" t="str">
        <f>IF(AND('Mapa final'!$Y$29="Baja",'Mapa final'!$AA$29="Moderado"),CONCATENATE("R3C",'Mapa final'!$O$29),"")</f>
        <v/>
      </c>
      <c r="W38" s="68" t="str">
        <f>IF(AND('Mapa final'!$Y$30="Baja",'Mapa final'!$AA$30="Moderado"),CONCATENATE("R3C",'Mapa final'!$O$30),"")</f>
        <v/>
      </c>
      <c r="X38" s="68" t="str">
        <f>IF(AND('Mapa final'!$Y$31="Baja",'Mapa final'!$AA$31="Moderado"),CONCATENATE("R3C",'Mapa final'!$O$31),"")</f>
        <v/>
      </c>
      <c r="Y38" s="68" t="str">
        <f>IF(AND('Mapa final'!$Y$32="Baja",'Mapa final'!$AA$32="Moderado"),CONCATENATE("R3C",'Mapa final'!$O$32),"")</f>
        <v/>
      </c>
      <c r="Z38" s="68" t="e">
        <f>IF(AND('Mapa final'!#REF!="Baja",'Mapa final'!#REF!="Moderado"),CONCATENATE("R3C",'Mapa final'!#REF!),"")</f>
        <v>#REF!</v>
      </c>
      <c r="AA38" s="69" t="e">
        <f>IF(AND('Mapa final'!#REF!="Baja",'Mapa final'!#REF!="Moderado"),CONCATENATE("R3C",'Mapa final'!#REF!),"")</f>
        <v>#REF!</v>
      </c>
      <c r="AB38" s="52" t="str">
        <f>IF(AND('Mapa final'!$Y$29="Baja",'Mapa final'!$AA$29="Mayor"),CONCATENATE("R3C",'Mapa final'!$O$29),"")</f>
        <v/>
      </c>
      <c r="AC38" s="53" t="str">
        <f>IF(AND('Mapa final'!$Y$30="Baja",'Mapa final'!$AA$30="Mayor"),CONCATENATE("R3C",'Mapa final'!$O$30),"")</f>
        <v/>
      </c>
      <c r="AD38" s="53" t="str">
        <f>IF(AND('Mapa final'!$Y$31="Baja",'Mapa final'!$AA$31="Mayor"),CONCATENATE("R3C",'Mapa final'!$O$31),"")</f>
        <v/>
      </c>
      <c r="AE38" s="53" t="str">
        <f>IF(AND('Mapa final'!$Y$32="Baja",'Mapa final'!$AA$32="Mayor"),CONCATENATE("R3C",'Mapa final'!$O$32),"")</f>
        <v/>
      </c>
      <c r="AF38" s="53" t="e">
        <f>IF(AND('Mapa final'!#REF!="Baja",'Mapa final'!#REF!="Mayor"),CONCATENATE("R3C",'Mapa final'!#REF!),"")</f>
        <v>#REF!</v>
      </c>
      <c r="AG38" s="54" t="e">
        <f>IF(AND('Mapa final'!#REF!="Baja",'Mapa final'!#REF!="Mayor"),CONCATENATE("R3C",'Mapa final'!#REF!),"")</f>
        <v>#REF!</v>
      </c>
      <c r="AH38" s="55" t="str">
        <f>IF(AND('Mapa final'!$Y$29="Baja",'Mapa final'!$AA$29="Catastrófico"),CONCATENATE("R3C",'Mapa final'!$O$29),"")</f>
        <v/>
      </c>
      <c r="AI38" s="56" t="str">
        <f>IF(AND('Mapa final'!$Y$30="Baja",'Mapa final'!$AA$30="Catastrófico"),CONCATENATE("R3C",'Mapa final'!$O$30),"")</f>
        <v/>
      </c>
      <c r="AJ38" s="56" t="str">
        <f>IF(AND('Mapa final'!$Y$31="Baja",'Mapa final'!$AA$31="Catastrófico"),CONCATENATE("R3C",'Mapa final'!$O$31),"")</f>
        <v/>
      </c>
      <c r="AK38" s="56" t="str">
        <f>IF(AND('Mapa final'!$Y$32="Baja",'Mapa final'!$AA$32="Catastrófico"),CONCATENATE("R3C",'Mapa final'!$O$32),"")</f>
        <v/>
      </c>
      <c r="AL38" s="56" t="e">
        <f>IF(AND('Mapa final'!#REF!="Baja",'Mapa final'!#REF!="Catastrófico"),CONCATENATE("R3C",'Mapa final'!#REF!),"")</f>
        <v>#REF!</v>
      </c>
      <c r="AM38" s="57" t="e">
        <f>IF(AND('Mapa final'!#REF!="Baja",'Mapa final'!#REF!="Catastrófico"),CONCATENATE("R3C",'Mapa final'!#REF!),"")</f>
        <v>#REF!</v>
      </c>
      <c r="AN38" s="83"/>
      <c r="AO38" s="415"/>
      <c r="AP38" s="416"/>
      <c r="AQ38" s="416"/>
      <c r="AR38" s="416"/>
      <c r="AS38" s="416"/>
      <c r="AT38" s="41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43"/>
      <c r="C39" s="343"/>
      <c r="D39" s="344"/>
      <c r="E39" s="384"/>
      <c r="F39" s="385"/>
      <c r="G39" s="385"/>
      <c r="H39" s="385"/>
      <c r="I39" s="385"/>
      <c r="J39" s="76" t="str">
        <f>IF(AND('Mapa final'!$Y$33="Baja",'Mapa final'!$AA$33="Leve"),CONCATENATE("R4C",'Mapa final'!$O$33),"")</f>
        <v/>
      </c>
      <c r="K39" s="77" t="str">
        <f>IF(AND('Mapa final'!$Y$34="Baja",'Mapa final'!$AA$34="Leve"),CONCATENATE("R4C",'Mapa final'!$O$34),"")</f>
        <v/>
      </c>
      <c r="L39" s="77" t="str">
        <f>IF(AND('Mapa final'!$Y$35="Baja",'Mapa final'!$AA$35="Leve"),CONCATENATE("R4C",'Mapa final'!$O$35),"")</f>
        <v/>
      </c>
      <c r="M39" s="77" t="str">
        <f>IF(AND('Mapa final'!$Y$36="Baja",'Mapa final'!$AA$36="Leve"),CONCATENATE("R4C",'Mapa final'!$O$36),"")</f>
        <v/>
      </c>
      <c r="N39" s="77" t="e">
        <f>IF(AND('Mapa final'!#REF!="Baja",'Mapa final'!#REF!="Leve"),CONCATENATE("R4C",'Mapa final'!#REF!),"")</f>
        <v>#REF!</v>
      </c>
      <c r="O39" s="78" t="e">
        <f>IF(AND('Mapa final'!#REF!="Baja",'Mapa final'!#REF!="Leve"),CONCATENATE("R4C",'Mapa final'!#REF!),"")</f>
        <v>#REF!</v>
      </c>
      <c r="P39" s="67" t="str">
        <f>IF(AND('Mapa final'!$Y$33="Baja",'Mapa final'!$AA$33="Menor"),CONCATENATE("R4C",'Mapa final'!$O$33),"")</f>
        <v>R4C1</v>
      </c>
      <c r="Q39" s="68" t="str">
        <f>IF(AND('Mapa final'!$Y$34="Baja",'Mapa final'!$AA$34="Menor"),CONCATENATE("R4C",'Mapa final'!$O$34),"")</f>
        <v/>
      </c>
      <c r="R39" s="68" t="str">
        <f>IF(AND('Mapa final'!$Y$35="Baja",'Mapa final'!$AA$35="Menor"),CONCATENATE("R4C",'Mapa final'!$O$35),"")</f>
        <v/>
      </c>
      <c r="S39" s="68" t="str">
        <f>IF(AND('Mapa final'!$Y$36="Baja",'Mapa final'!$AA$36="Menor"),CONCATENATE("R4C",'Mapa final'!$O$36),"")</f>
        <v/>
      </c>
      <c r="T39" s="68" t="e">
        <f>IF(AND('Mapa final'!#REF!="Baja",'Mapa final'!#REF!="Menor"),CONCATENATE("R4C",'Mapa final'!#REF!),"")</f>
        <v>#REF!</v>
      </c>
      <c r="U39" s="69" t="e">
        <f>IF(AND('Mapa final'!#REF!="Baja",'Mapa final'!#REF!="Menor"),CONCATENATE("R4C",'Mapa final'!#REF!),"")</f>
        <v>#REF!</v>
      </c>
      <c r="V39" s="67" t="str">
        <f>IF(AND('Mapa final'!$Y$33="Baja",'Mapa final'!$AA$33="Moderado"),CONCATENATE("R4C",'Mapa final'!$O$33),"")</f>
        <v/>
      </c>
      <c r="W39" s="68" t="str">
        <f>IF(AND('Mapa final'!$Y$34="Baja",'Mapa final'!$AA$34="Moderado"),CONCATENATE("R4C",'Mapa final'!$O$34),"")</f>
        <v/>
      </c>
      <c r="X39" s="68" t="str">
        <f>IF(AND('Mapa final'!$Y$35="Baja",'Mapa final'!$AA$35="Moderado"),CONCATENATE("R4C",'Mapa final'!$O$35),"")</f>
        <v/>
      </c>
      <c r="Y39" s="68" t="str">
        <f>IF(AND('Mapa final'!$Y$36="Baja",'Mapa final'!$AA$36="Moderado"),CONCATENATE("R4C",'Mapa final'!$O$36),"")</f>
        <v/>
      </c>
      <c r="Z39" s="68" t="e">
        <f>IF(AND('Mapa final'!#REF!="Baja",'Mapa final'!#REF!="Moderado"),CONCATENATE("R4C",'Mapa final'!#REF!),"")</f>
        <v>#REF!</v>
      </c>
      <c r="AA39" s="69" t="e">
        <f>IF(AND('Mapa final'!#REF!="Baja",'Mapa final'!#REF!="Moderado"),CONCATENATE("R4C",'Mapa final'!#REF!),"")</f>
        <v>#REF!</v>
      </c>
      <c r="AB39" s="52" t="str">
        <f>IF(AND('Mapa final'!$Y$33="Baja",'Mapa final'!$AA$33="Mayor"),CONCATENATE("R4C",'Mapa final'!$O$33),"")</f>
        <v/>
      </c>
      <c r="AC39" s="53" t="str">
        <f>IF(AND('Mapa final'!$Y$34="Baja",'Mapa final'!$AA$34="Mayor"),CONCATENATE("R4C",'Mapa final'!$O$34),"")</f>
        <v/>
      </c>
      <c r="AD39" s="53" t="str">
        <f>IF(AND('Mapa final'!$Y$35="Baja",'Mapa final'!$AA$35="Mayor"),CONCATENATE("R4C",'Mapa final'!$O$35),"")</f>
        <v/>
      </c>
      <c r="AE39" s="53" t="str">
        <f>IF(AND('Mapa final'!$Y$36="Baja",'Mapa final'!$AA$36="Mayor"),CONCATENATE("R4C",'Mapa final'!$O$36),"")</f>
        <v/>
      </c>
      <c r="AF39" s="53" t="e">
        <f>IF(AND('Mapa final'!#REF!="Baja",'Mapa final'!#REF!="Mayor"),CONCATENATE("R4C",'Mapa final'!#REF!),"")</f>
        <v>#REF!</v>
      </c>
      <c r="AG39" s="54" t="e">
        <f>IF(AND('Mapa final'!#REF!="Baja",'Mapa final'!#REF!="Mayor"),CONCATENATE("R4C",'Mapa final'!#REF!),"")</f>
        <v>#REF!</v>
      </c>
      <c r="AH39" s="55" t="str">
        <f>IF(AND('Mapa final'!$Y$33="Baja",'Mapa final'!$AA$33="Catastrófico"),CONCATENATE("R4C",'Mapa final'!$O$33),"")</f>
        <v/>
      </c>
      <c r="AI39" s="56" t="str">
        <f>IF(AND('Mapa final'!$Y$34="Baja",'Mapa final'!$AA$34="Catastrófico"),CONCATENATE("R4C",'Mapa final'!$O$34),"")</f>
        <v/>
      </c>
      <c r="AJ39" s="56" t="str">
        <f>IF(AND('Mapa final'!$Y$35="Baja",'Mapa final'!$AA$35="Catastrófico"),CONCATENATE("R4C",'Mapa final'!$O$35),"")</f>
        <v/>
      </c>
      <c r="AK39" s="56" t="str">
        <f>IF(AND('Mapa final'!$Y$36="Baja",'Mapa final'!$AA$36="Catastrófico"),CONCATENATE("R4C",'Mapa final'!$O$36),"")</f>
        <v/>
      </c>
      <c r="AL39" s="56" t="e">
        <f>IF(AND('Mapa final'!#REF!="Baja",'Mapa final'!#REF!="Catastrófico"),CONCATENATE("R4C",'Mapa final'!#REF!),"")</f>
        <v>#REF!</v>
      </c>
      <c r="AM39" s="57" t="e">
        <f>IF(AND('Mapa final'!#REF!="Baja",'Mapa final'!#REF!="Catastrófico"),CONCATENATE("R4C",'Mapa final'!#REF!),"")</f>
        <v>#REF!</v>
      </c>
      <c r="AN39" s="83"/>
      <c r="AO39" s="415"/>
      <c r="AP39" s="416"/>
      <c r="AQ39" s="416"/>
      <c r="AR39" s="416"/>
      <c r="AS39" s="416"/>
      <c r="AT39" s="41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43"/>
      <c r="C40" s="343"/>
      <c r="D40" s="344"/>
      <c r="E40" s="384"/>
      <c r="F40" s="385"/>
      <c r="G40" s="385"/>
      <c r="H40" s="385"/>
      <c r="I40" s="385"/>
      <c r="J40" s="76" t="str">
        <f>IF(AND('Mapa final'!$Y$37="Baja",'Mapa final'!$AA$37="Leve"),CONCATENATE("R5C",'Mapa final'!$O$37),"")</f>
        <v/>
      </c>
      <c r="K40" s="77" t="str">
        <f>IF(AND('Mapa final'!$Y$38="Baja",'Mapa final'!$AA$38="Leve"),CONCATENATE("R5C",'Mapa final'!$O$38),"")</f>
        <v/>
      </c>
      <c r="L40" s="77" t="str">
        <f>IF(AND('Mapa final'!$Y$39="Baja",'Mapa final'!$AA$39="Leve"),CONCATENATE("R5C",'Mapa final'!$O$39),"")</f>
        <v/>
      </c>
      <c r="M40" s="77" t="e">
        <f>IF(AND('Mapa final'!#REF!="Baja",'Mapa final'!#REF!="Leve"),CONCATENATE("R5C",'Mapa final'!#REF!),"")</f>
        <v>#REF!</v>
      </c>
      <c r="N40" s="77" t="e">
        <f>IF(AND('Mapa final'!#REF!="Baja",'Mapa final'!#REF!="Leve"),CONCATENATE("R5C",'Mapa final'!#REF!),"")</f>
        <v>#REF!</v>
      </c>
      <c r="O40" s="78" t="e">
        <f>IF(AND('Mapa final'!#REF!="Baja",'Mapa final'!#REF!="Leve"),CONCATENATE("R5C",'Mapa final'!#REF!),"")</f>
        <v>#REF!</v>
      </c>
      <c r="P40" s="67" t="str">
        <f>IF(AND('Mapa final'!$Y$37="Baja",'Mapa final'!$AA$37="Menor"),CONCATENATE("R5C",'Mapa final'!$O$37),"")</f>
        <v/>
      </c>
      <c r="Q40" s="68" t="str">
        <f>IF(AND('Mapa final'!$Y$38="Baja",'Mapa final'!$AA$38="Menor"),CONCATENATE("R5C",'Mapa final'!$O$38),"")</f>
        <v/>
      </c>
      <c r="R40" s="68" t="str">
        <f>IF(AND('Mapa final'!$Y$39="Baja",'Mapa final'!$AA$39="Menor"),CONCATENATE("R5C",'Mapa final'!$O$39),"")</f>
        <v/>
      </c>
      <c r="S40" s="68" t="e">
        <f>IF(AND('Mapa final'!#REF!="Baja",'Mapa final'!#REF!="Menor"),CONCATENATE("R5C",'Mapa final'!#REF!),"")</f>
        <v>#REF!</v>
      </c>
      <c r="T40" s="68" t="e">
        <f>IF(AND('Mapa final'!#REF!="Baja",'Mapa final'!#REF!="Menor"),CONCATENATE("R5C",'Mapa final'!#REF!),"")</f>
        <v>#REF!</v>
      </c>
      <c r="U40" s="69" t="e">
        <f>IF(AND('Mapa final'!#REF!="Baja",'Mapa final'!#REF!="Menor"),CONCATENATE("R5C",'Mapa final'!#REF!),"")</f>
        <v>#REF!</v>
      </c>
      <c r="V40" s="67" t="str">
        <f>IF(AND('Mapa final'!$Y$37="Baja",'Mapa final'!$AA$37="Moderado"),CONCATENATE("R5C",'Mapa final'!$O$37),"")</f>
        <v/>
      </c>
      <c r="W40" s="68" t="str">
        <f>IF(AND('Mapa final'!$Y$38="Baja",'Mapa final'!$AA$38="Moderado"),CONCATENATE("R5C",'Mapa final'!$O$38),"")</f>
        <v/>
      </c>
      <c r="X40" s="68" t="str">
        <f>IF(AND('Mapa final'!$Y$39="Baja",'Mapa final'!$AA$39="Moderado"),CONCATENATE("R5C",'Mapa final'!$O$39),"")</f>
        <v/>
      </c>
      <c r="Y40" s="68" t="e">
        <f>IF(AND('Mapa final'!#REF!="Baja",'Mapa final'!#REF!="Moderado"),CONCATENATE("R5C",'Mapa final'!#REF!),"")</f>
        <v>#REF!</v>
      </c>
      <c r="Z40" s="68" t="e">
        <f>IF(AND('Mapa final'!#REF!="Baja",'Mapa final'!#REF!="Moderado"),CONCATENATE("R5C",'Mapa final'!#REF!),"")</f>
        <v>#REF!</v>
      </c>
      <c r="AA40" s="69" t="e">
        <f>IF(AND('Mapa final'!#REF!="Baja",'Mapa final'!#REF!="Moderado"),CONCATENATE("R5C",'Mapa final'!#REF!),"")</f>
        <v>#REF!</v>
      </c>
      <c r="AB40" s="52" t="str">
        <f>IF(AND('Mapa final'!$Y$37="Baja",'Mapa final'!$AA$37="Mayor"),CONCATENATE("R5C",'Mapa final'!$O$37),"")</f>
        <v/>
      </c>
      <c r="AC40" s="53" t="str">
        <f>IF(AND('Mapa final'!$Y$38="Baja",'Mapa final'!$AA$38="Mayor"),CONCATENATE("R5C",'Mapa final'!$O$38),"")</f>
        <v/>
      </c>
      <c r="AD40" s="53" t="str">
        <f>IF(AND('Mapa final'!$Y$39="Baja",'Mapa final'!$AA$39="Mayor"),CONCATENATE("R5C",'Mapa final'!$O$39),"")</f>
        <v/>
      </c>
      <c r="AE40" s="53" t="e">
        <f>IF(AND('Mapa final'!#REF!="Baja",'Mapa final'!#REF!="Mayor"),CONCATENATE("R5C",'Mapa final'!#REF!),"")</f>
        <v>#REF!</v>
      </c>
      <c r="AF40" s="53" t="e">
        <f>IF(AND('Mapa final'!#REF!="Baja",'Mapa final'!#REF!="Mayor"),CONCATENATE("R5C",'Mapa final'!#REF!),"")</f>
        <v>#REF!</v>
      </c>
      <c r="AG40" s="54" t="e">
        <f>IF(AND('Mapa final'!#REF!="Baja",'Mapa final'!#REF!="Mayor"),CONCATENATE("R5C",'Mapa final'!#REF!),"")</f>
        <v>#REF!</v>
      </c>
      <c r="AH40" s="55" t="str">
        <f>IF(AND('Mapa final'!$Y$37="Baja",'Mapa final'!$AA$37="Catastrófico"),CONCATENATE("R5C",'Mapa final'!$O$37),"")</f>
        <v/>
      </c>
      <c r="AI40" s="56" t="str">
        <f>IF(AND('Mapa final'!$Y$38="Baja",'Mapa final'!$AA$38="Catastrófico"),CONCATENATE("R5C",'Mapa final'!$O$38),"")</f>
        <v/>
      </c>
      <c r="AJ40" s="56" t="str">
        <f>IF(AND('Mapa final'!$Y$39="Baja",'Mapa final'!$AA$39="Catastrófico"),CONCATENATE("R5C",'Mapa final'!$O$39),"")</f>
        <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3"/>
      <c r="AO40" s="415"/>
      <c r="AP40" s="416"/>
      <c r="AQ40" s="416"/>
      <c r="AR40" s="416"/>
      <c r="AS40" s="416"/>
      <c r="AT40" s="41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43"/>
      <c r="C41" s="343"/>
      <c r="D41" s="344"/>
      <c r="E41" s="384"/>
      <c r="F41" s="385"/>
      <c r="G41" s="385"/>
      <c r="H41" s="385"/>
      <c r="I41" s="385"/>
      <c r="J41" s="76" t="str">
        <f>IF(AND('Mapa final'!$Y$40="Baja",'Mapa final'!$AA$40="Leve"),CONCATENATE("R6C",'Mapa final'!$O$40),"")</f>
        <v/>
      </c>
      <c r="K41" s="77" t="str">
        <f>IF(AND('Mapa final'!$Y$41="Baja",'Mapa final'!$AA$41="Leve"),CONCATENATE("R6C",'Mapa final'!$O$41),"")</f>
        <v/>
      </c>
      <c r="L41" s="77" t="e">
        <f>IF(AND('Mapa final'!#REF!="Baja",'Mapa final'!#REF!="Leve"),CONCATENATE("R6C",'Mapa final'!#REF!),"")</f>
        <v>#REF!</v>
      </c>
      <c r="M41" s="77" t="e">
        <f>IF(AND('Mapa final'!#REF!="Baja",'Mapa final'!#REF!="Leve"),CONCATENATE("R6C",'Mapa final'!#REF!),"")</f>
        <v>#REF!</v>
      </c>
      <c r="N41" s="77" t="e">
        <f>IF(AND('Mapa final'!#REF!="Baja",'Mapa final'!#REF!="Leve"),CONCATENATE("R6C",'Mapa final'!#REF!),"")</f>
        <v>#REF!</v>
      </c>
      <c r="O41" s="78" t="e">
        <f>IF(AND('Mapa final'!#REF!="Baja",'Mapa final'!#REF!="Leve"),CONCATENATE("R6C",'Mapa final'!#REF!),"")</f>
        <v>#REF!</v>
      </c>
      <c r="P41" s="67" t="str">
        <f>IF(AND('Mapa final'!$Y$40="Baja",'Mapa final'!$AA$40="Menor"),CONCATENATE("R6C",'Mapa final'!$O$40),"")</f>
        <v/>
      </c>
      <c r="Q41" s="68" t="str">
        <f>IF(AND('Mapa final'!$Y$41="Baja",'Mapa final'!$AA$41="Menor"),CONCATENATE("R6C",'Mapa final'!$O$41),"")</f>
        <v/>
      </c>
      <c r="R41" s="68" t="e">
        <f>IF(AND('Mapa final'!#REF!="Baja",'Mapa final'!#REF!="Menor"),CONCATENATE("R6C",'Mapa final'!#REF!),"")</f>
        <v>#REF!</v>
      </c>
      <c r="S41" s="68" t="e">
        <f>IF(AND('Mapa final'!#REF!="Baja",'Mapa final'!#REF!="Menor"),CONCATENATE("R6C",'Mapa final'!#REF!),"")</f>
        <v>#REF!</v>
      </c>
      <c r="T41" s="68" t="e">
        <f>IF(AND('Mapa final'!#REF!="Baja",'Mapa final'!#REF!="Menor"),CONCATENATE("R6C",'Mapa final'!#REF!),"")</f>
        <v>#REF!</v>
      </c>
      <c r="U41" s="69" t="e">
        <f>IF(AND('Mapa final'!#REF!="Baja",'Mapa final'!#REF!="Menor"),CONCATENATE("R6C",'Mapa final'!#REF!),"")</f>
        <v>#REF!</v>
      </c>
      <c r="V41" s="67" t="str">
        <f>IF(AND('Mapa final'!$Y$40="Baja",'Mapa final'!$AA$40="Moderado"),CONCATENATE("R6C",'Mapa final'!$O$40),"")</f>
        <v/>
      </c>
      <c r="W41" s="68" t="str">
        <f>IF(AND('Mapa final'!$Y$41="Baja",'Mapa final'!$AA$41="Moderado"),CONCATENATE("R6C",'Mapa final'!$O$41),"")</f>
        <v/>
      </c>
      <c r="X41" s="68" t="e">
        <f>IF(AND('Mapa final'!#REF!="Baja",'Mapa final'!#REF!="Moderado"),CONCATENATE("R6C",'Mapa final'!#REF!),"")</f>
        <v>#REF!</v>
      </c>
      <c r="Y41" s="68" t="e">
        <f>IF(AND('Mapa final'!#REF!="Baja",'Mapa final'!#REF!="Moderado"),CONCATENATE("R6C",'Mapa final'!#REF!),"")</f>
        <v>#REF!</v>
      </c>
      <c r="Z41" s="68" t="e">
        <f>IF(AND('Mapa final'!#REF!="Baja",'Mapa final'!#REF!="Moderado"),CONCATENATE("R6C",'Mapa final'!#REF!),"")</f>
        <v>#REF!</v>
      </c>
      <c r="AA41" s="69" t="e">
        <f>IF(AND('Mapa final'!#REF!="Baja",'Mapa final'!#REF!="Moderado"),CONCATENATE("R6C",'Mapa final'!#REF!),"")</f>
        <v>#REF!</v>
      </c>
      <c r="AB41" s="52" t="str">
        <f>IF(AND('Mapa final'!$Y$40="Baja",'Mapa final'!$AA$40="Mayor"),CONCATENATE("R6C",'Mapa final'!$O$40),"")</f>
        <v/>
      </c>
      <c r="AC41" s="53" t="str">
        <f>IF(AND('Mapa final'!$Y$41="Baja",'Mapa final'!$AA$41="Mayor"),CONCATENATE("R6C",'Mapa final'!$O$41),"")</f>
        <v/>
      </c>
      <c r="AD41" s="53" t="e">
        <f>IF(AND('Mapa final'!#REF!="Baja",'Mapa final'!#REF!="Mayor"),CONCATENATE("R6C",'Mapa final'!#REF!),"")</f>
        <v>#REF!</v>
      </c>
      <c r="AE41" s="53" t="e">
        <f>IF(AND('Mapa final'!#REF!="Baja",'Mapa final'!#REF!="Mayor"),CONCATENATE("R6C",'Mapa final'!#REF!),"")</f>
        <v>#REF!</v>
      </c>
      <c r="AF41" s="53" t="e">
        <f>IF(AND('Mapa final'!#REF!="Baja",'Mapa final'!#REF!="Mayor"),CONCATENATE("R6C",'Mapa final'!#REF!),"")</f>
        <v>#REF!</v>
      </c>
      <c r="AG41" s="54" t="e">
        <f>IF(AND('Mapa final'!#REF!="Baja",'Mapa final'!#REF!="Mayor"),CONCATENATE("R6C",'Mapa final'!#REF!),"")</f>
        <v>#REF!</v>
      </c>
      <c r="AH41" s="55" t="str">
        <f>IF(AND('Mapa final'!$Y$40="Baja",'Mapa final'!$AA$40="Catastrófico"),CONCATENATE("R6C",'Mapa final'!$O$40),"")</f>
        <v/>
      </c>
      <c r="AI41" s="56" t="str">
        <f>IF(AND('Mapa final'!$Y$41="Baja",'Mapa final'!$AA$41="Catastrófico"),CONCATENATE("R6C",'Mapa final'!$O$41),"")</f>
        <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3"/>
      <c r="AO41" s="415"/>
      <c r="AP41" s="416"/>
      <c r="AQ41" s="416"/>
      <c r="AR41" s="416"/>
      <c r="AS41" s="416"/>
      <c r="AT41" s="41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43"/>
      <c r="C42" s="343"/>
      <c r="D42" s="344"/>
      <c r="E42" s="384"/>
      <c r="F42" s="385"/>
      <c r="G42" s="385"/>
      <c r="H42" s="385"/>
      <c r="I42" s="385"/>
      <c r="J42" s="76" t="str">
        <f>IF(AND('Mapa final'!$Y$42="Baja",'Mapa final'!$AA$42="Leve"),CONCATENATE("R7C",'Mapa final'!$O$42),"")</f>
        <v>R7C1</v>
      </c>
      <c r="K42" s="77" t="e">
        <f>IF(AND('Mapa final'!#REF!="Baja",'Mapa final'!#REF!="Leve"),CONCATENATE("R7C",'Mapa final'!#REF!),"")</f>
        <v>#REF!</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str">
        <f>IF(AND('Mapa final'!$Y$42="Baja",'Mapa final'!$AA$42="Menor"),CONCATENATE("R7C",'Mapa final'!$O$42),"")</f>
        <v/>
      </c>
      <c r="Q42" s="68" t="e">
        <f>IF(AND('Mapa final'!#REF!="Baja",'Mapa final'!#REF!="Menor"),CONCATENATE("R7C",'Mapa final'!#REF!),"")</f>
        <v>#REF!</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str">
        <f>IF(AND('Mapa final'!$Y$42="Baja",'Mapa final'!$AA$42="Moderado"),CONCATENATE("R7C",'Mapa final'!$O$42),"")</f>
        <v/>
      </c>
      <c r="W42" s="68" t="e">
        <f>IF(AND('Mapa final'!#REF!="Baja",'Mapa final'!#REF!="Moderado"),CONCATENATE("R7C",'Mapa final'!#REF!),"")</f>
        <v>#REF!</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str">
        <f>IF(AND('Mapa final'!$Y$42="Baja",'Mapa final'!$AA$42="Mayor"),CONCATENATE("R7C",'Mapa final'!$O$42),"")</f>
        <v/>
      </c>
      <c r="AC42" s="53" t="e">
        <f>IF(AND('Mapa final'!#REF!="Baja",'Mapa final'!#REF!="Mayor"),CONCATENATE("R7C",'Mapa final'!#REF!),"")</f>
        <v>#REF!</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str">
        <f>IF(AND('Mapa final'!$Y$42="Baja",'Mapa final'!$AA$42="Catastrófico"),CONCATENATE("R7C",'Mapa final'!$O$42),"")</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415"/>
      <c r="AP42" s="416"/>
      <c r="AQ42" s="416"/>
      <c r="AR42" s="416"/>
      <c r="AS42" s="416"/>
      <c r="AT42" s="41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43"/>
      <c r="C43" s="343"/>
      <c r="D43" s="344"/>
      <c r="E43" s="384"/>
      <c r="F43" s="385"/>
      <c r="G43" s="385"/>
      <c r="H43" s="385"/>
      <c r="I43" s="385"/>
      <c r="J43" s="76" t="str">
        <f>IF(AND('Mapa final'!$Y$47="Baja",'Mapa final'!$AA$47="Leve"),CONCATENATE("R8C",'Mapa final'!$O$47),"")</f>
        <v/>
      </c>
      <c r="K43" s="77" t="str">
        <f>IF(AND('Mapa final'!$Y$48="Baja",'Mapa final'!$AA$48="Leve"),CONCATENATE("R8C",'Mapa final'!$O$48),"")</f>
        <v/>
      </c>
      <c r="L43" s="77" t="str">
        <f>IF(AND('Mapa final'!$Y$49="Baja",'Mapa final'!$AA$49="Leve"),CONCATENATE("R8C",'Mapa final'!$O$49),"")</f>
        <v/>
      </c>
      <c r="M43" s="77" t="e">
        <f>IF(AND('Mapa final'!#REF!="Baja",'Mapa final'!#REF!="Leve"),CONCATENATE("R8C",'Mapa final'!#REF!),"")</f>
        <v>#REF!</v>
      </c>
      <c r="N43" s="77" t="e">
        <f>IF(AND('Mapa final'!#REF!="Baja",'Mapa final'!#REF!="Leve"),CONCATENATE("R8C",'Mapa final'!#REF!),"")</f>
        <v>#REF!</v>
      </c>
      <c r="O43" s="78" t="e">
        <f>IF(AND('Mapa final'!#REF!="Baja",'Mapa final'!#REF!="Leve"),CONCATENATE("R8C",'Mapa final'!#REF!),"")</f>
        <v>#REF!</v>
      </c>
      <c r="P43" s="67" t="str">
        <f>IF(AND('Mapa final'!$Y$47="Baja",'Mapa final'!$AA$47="Menor"),CONCATENATE("R8C",'Mapa final'!$O$47),"")</f>
        <v/>
      </c>
      <c r="Q43" s="68" t="str">
        <f>IF(AND('Mapa final'!$Y$48="Baja",'Mapa final'!$AA$48="Menor"),CONCATENATE("R8C",'Mapa final'!$O$48),"")</f>
        <v/>
      </c>
      <c r="R43" s="68" t="str">
        <f>IF(AND('Mapa final'!$Y$49="Baja",'Mapa final'!$AA$49="Menor"),CONCATENATE("R8C",'Mapa final'!$O$49),"")</f>
        <v/>
      </c>
      <c r="S43" s="68" t="e">
        <f>IF(AND('Mapa final'!#REF!="Baja",'Mapa final'!#REF!="Menor"),CONCATENATE("R8C",'Mapa final'!#REF!),"")</f>
        <v>#REF!</v>
      </c>
      <c r="T43" s="68" t="e">
        <f>IF(AND('Mapa final'!#REF!="Baja",'Mapa final'!#REF!="Menor"),CONCATENATE("R8C",'Mapa final'!#REF!),"")</f>
        <v>#REF!</v>
      </c>
      <c r="U43" s="69" t="e">
        <f>IF(AND('Mapa final'!#REF!="Baja",'Mapa final'!#REF!="Menor"),CONCATENATE("R8C",'Mapa final'!#REF!),"")</f>
        <v>#REF!</v>
      </c>
      <c r="V43" s="67" t="str">
        <f>IF(AND('Mapa final'!$Y$47="Baja",'Mapa final'!$AA$47="Moderado"),CONCATENATE("R8C",'Mapa final'!$O$47),"")</f>
        <v>R8C1</v>
      </c>
      <c r="W43" s="68" t="str">
        <f>IF(AND('Mapa final'!$Y$48="Baja",'Mapa final'!$AA$48="Moderado"),CONCATENATE("R8C",'Mapa final'!$O$48),"")</f>
        <v/>
      </c>
      <c r="X43" s="68" t="str">
        <f>IF(AND('Mapa final'!$Y$49="Baja",'Mapa final'!$AA$49="Moderado"),CONCATENATE("R8C",'Mapa final'!$O$49),"")</f>
        <v/>
      </c>
      <c r="Y43" s="68" t="e">
        <f>IF(AND('Mapa final'!#REF!="Baja",'Mapa final'!#REF!="Moderado"),CONCATENATE("R8C",'Mapa final'!#REF!),"")</f>
        <v>#REF!</v>
      </c>
      <c r="Z43" s="68" t="e">
        <f>IF(AND('Mapa final'!#REF!="Baja",'Mapa final'!#REF!="Moderado"),CONCATENATE("R8C",'Mapa final'!#REF!),"")</f>
        <v>#REF!</v>
      </c>
      <c r="AA43" s="69" t="e">
        <f>IF(AND('Mapa final'!#REF!="Baja",'Mapa final'!#REF!="Moderado"),CONCATENATE("R8C",'Mapa final'!#REF!),"")</f>
        <v>#REF!</v>
      </c>
      <c r="AB43" s="52" t="str">
        <f>IF(AND('Mapa final'!$Y$47="Baja",'Mapa final'!$AA$47="Mayor"),CONCATENATE("R8C",'Mapa final'!$O$47),"")</f>
        <v/>
      </c>
      <c r="AC43" s="53" t="str">
        <f>IF(AND('Mapa final'!$Y$48="Baja",'Mapa final'!$AA$48="Mayor"),CONCATENATE("R8C",'Mapa final'!$O$48),"")</f>
        <v/>
      </c>
      <c r="AD43" s="53" t="str">
        <f>IF(AND('Mapa final'!$Y$49="Baja",'Mapa final'!$AA$49="Mayor"),CONCATENATE("R8C",'Mapa final'!$O$49),"")</f>
        <v/>
      </c>
      <c r="AE43" s="53" t="e">
        <f>IF(AND('Mapa final'!#REF!="Baja",'Mapa final'!#REF!="Mayor"),CONCATENATE("R8C",'Mapa final'!#REF!),"")</f>
        <v>#REF!</v>
      </c>
      <c r="AF43" s="53" t="e">
        <f>IF(AND('Mapa final'!#REF!="Baja",'Mapa final'!#REF!="Mayor"),CONCATENATE("R8C",'Mapa final'!#REF!),"")</f>
        <v>#REF!</v>
      </c>
      <c r="AG43" s="54" t="e">
        <f>IF(AND('Mapa final'!#REF!="Baja",'Mapa final'!#REF!="Mayor"),CONCATENATE("R8C",'Mapa final'!#REF!),"")</f>
        <v>#REF!</v>
      </c>
      <c r="AH43" s="55" t="str">
        <f>IF(AND('Mapa final'!$Y$47="Baja",'Mapa final'!$AA$47="Catastrófico"),CONCATENATE("R8C",'Mapa final'!$O$47),"")</f>
        <v/>
      </c>
      <c r="AI43" s="56" t="str">
        <f>IF(AND('Mapa final'!$Y$48="Baja",'Mapa final'!$AA$48="Catastrófico"),CONCATENATE("R8C",'Mapa final'!$O$48),"")</f>
        <v/>
      </c>
      <c r="AJ43" s="56" t="str">
        <f>IF(AND('Mapa final'!$Y$49="Baja",'Mapa final'!$AA$49="Catastrófico"),CONCATENATE("R8C",'Mapa final'!$O$49),"")</f>
        <v/>
      </c>
      <c r="AK43" s="56" t="e">
        <f>IF(AND('Mapa final'!#REF!="Baja",'Mapa final'!#REF!="Catastrófico"),CONCATENATE("R8C",'Mapa final'!#REF!),"")</f>
        <v>#REF!</v>
      </c>
      <c r="AL43" s="56" t="e">
        <f>IF(AND('Mapa final'!#REF!="Baja",'Mapa final'!#REF!="Catastrófico"),CONCATENATE("R8C",'Mapa final'!#REF!),"")</f>
        <v>#REF!</v>
      </c>
      <c r="AM43" s="57" t="e">
        <f>IF(AND('Mapa final'!#REF!="Baja",'Mapa final'!#REF!="Catastrófico"),CONCATENATE("R8C",'Mapa final'!#REF!),"")</f>
        <v>#REF!</v>
      </c>
      <c r="AN43" s="83"/>
      <c r="AO43" s="415"/>
      <c r="AP43" s="416"/>
      <c r="AQ43" s="416"/>
      <c r="AR43" s="416"/>
      <c r="AS43" s="416"/>
      <c r="AT43" s="41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43"/>
      <c r="C44" s="343"/>
      <c r="D44" s="344"/>
      <c r="E44" s="384"/>
      <c r="F44" s="385"/>
      <c r="G44" s="385"/>
      <c r="H44" s="385"/>
      <c r="I44" s="385"/>
      <c r="J44" s="76" t="e">
        <f>IF(AND('Mapa final'!#REF!="Baja",'Mapa final'!#REF!="Leve"),CONCATENATE("R9C",'Mapa final'!#REF!),"")</f>
        <v>#REF!</v>
      </c>
      <c r="K44" s="77" t="e">
        <f>IF(AND('Mapa final'!#REF!="Baja",'Mapa final'!#REF!="Leve"),CONCATENATE("R9C",'Mapa final'!#REF!),"")</f>
        <v>#REF!</v>
      </c>
      <c r="L44" s="77" t="e">
        <f>IF(AND('Mapa final'!#REF!="Baja",'Mapa final'!#REF!="Leve"),CONCATENATE("R9C",'Mapa final'!#REF!),"")</f>
        <v>#REF!</v>
      </c>
      <c r="M44" s="77" t="e">
        <f>IF(AND('Mapa final'!#REF!="Baja",'Mapa final'!#REF!="Leve"),CONCATENATE("R9C",'Mapa final'!#REF!),"")</f>
        <v>#REF!</v>
      </c>
      <c r="N44" s="77" t="e">
        <f>IF(AND('Mapa final'!#REF!="Baja",'Mapa final'!#REF!="Leve"),CONCATENATE("R9C",'Mapa final'!#REF!),"")</f>
        <v>#REF!</v>
      </c>
      <c r="O44" s="78" t="e">
        <f>IF(AND('Mapa final'!#REF!="Baja",'Mapa final'!#REF!="Leve"),CONCATENATE("R9C",'Mapa final'!#REF!),"")</f>
        <v>#REF!</v>
      </c>
      <c r="P44" s="67" t="e">
        <f>IF(AND('Mapa final'!#REF!="Baja",'Mapa final'!#REF!="Menor"),CONCATENATE("R9C",'Mapa final'!#REF!),"")</f>
        <v>#REF!</v>
      </c>
      <c r="Q44" s="68" t="e">
        <f>IF(AND('Mapa final'!#REF!="Baja",'Mapa final'!#REF!="Menor"),CONCATENATE("R9C",'Mapa final'!#REF!),"")</f>
        <v>#REF!</v>
      </c>
      <c r="R44" s="68" t="e">
        <f>IF(AND('Mapa final'!#REF!="Baja",'Mapa final'!#REF!="Menor"),CONCATENATE("R9C",'Mapa final'!#REF!),"")</f>
        <v>#REF!</v>
      </c>
      <c r="S44" s="68" t="e">
        <f>IF(AND('Mapa final'!#REF!="Baja",'Mapa final'!#REF!="Menor"),CONCATENATE("R9C",'Mapa final'!#REF!),"")</f>
        <v>#REF!</v>
      </c>
      <c r="T44" s="68" t="e">
        <f>IF(AND('Mapa final'!#REF!="Baja",'Mapa final'!#REF!="Menor"),CONCATENATE("R9C",'Mapa final'!#REF!),"")</f>
        <v>#REF!</v>
      </c>
      <c r="U44" s="69" t="e">
        <f>IF(AND('Mapa final'!#REF!="Baja",'Mapa final'!#REF!="Menor"),CONCATENATE("R9C",'Mapa final'!#REF!),"")</f>
        <v>#REF!</v>
      </c>
      <c r="V44" s="67" t="e">
        <f>IF(AND('Mapa final'!#REF!="Baja",'Mapa final'!#REF!="Moderado"),CONCATENATE("R9C",'Mapa final'!#REF!),"")</f>
        <v>#REF!</v>
      </c>
      <c r="W44" s="68" t="e">
        <f>IF(AND('Mapa final'!#REF!="Baja",'Mapa final'!#REF!="Moderado"),CONCATENATE("R9C",'Mapa final'!#REF!),"")</f>
        <v>#REF!</v>
      </c>
      <c r="X44" s="68" t="e">
        <f>IF(AND('Mapa final'!#REF!="Baja",'Mapa final'!#REF!="Moderado"),CONCATENATE("R9C",'Mapa final'!#REF!),"")</f>
        <v>#REF!</v>
      </c>
      <c r="Y44" s="68" t="e">
        <f>IF(AND('Mapa final'!#REF!="Baja",'Mapa final'!#REF!="Moderado"),CONCATENATE("R9C",'Mapa final'!#REF!),"")</f>
        <v>#REF!</v>
      </c>
      <c r="Z44" s="68" t="e">
        <f>IF(AND('Mapa final'!#REF!="Baja",'Mapa final'!#REF!="Moderado"),CONCATENATE("R9C",'Mapa final'!#REF!),"")</f>
        <v>#REF!</v>
      </c>
      <c r="AA44" s="69" t="e">
        <f>IF(AND('Mapa final'!#REF!="Baja",'Mapa final'!#REF!="Moderado"),CONCATENATE("R9C",'Mapa final'!#REF!),"")</f>
        <v>#REF!</v>
      </c>
      <c r="AB44" s="52" t="e">
        <f>IF(AND('Mapa final'!#REF!="Baja",'Mapa final'!#REF!="Mayor"),CONCATENATE("R9C",'Mapa final'!#REF!),"")</f>
        <v>#REF!</v>
      </c>
      <c r="AC44" s="53" t="e">
        <f>IF(AND('Mapa final'!#REF!="Baja",'Mapa final'!#REF!="Mayor"),CONCATENATE("R9C",'Mapa final'!#REF!),"")</f>
        <v>#REF!</v>
      </c>
      <c r="AD44" s="53" t="e">
        <f>IF(AND('Mapa final'!#REF!="Baja",'Mapa final'!#REF!="Mayor"),CONCATENATE("R9C",'Mapa final'!#REF!),"")</f>
        <v>#REF!</v>
      </c>
      <c r="AE44" s="53" t="e">
        <f>IF(AND('Mapa final'!#REF!="Baja",'Mapa final'!#REF!="Mayor"),CONCATENATE("R9C",'Mapa final'!#REF!),"")</f>
        <v>#REF!</v>
      </c>
      <c r="AF44" s="53" t="e">
        <f>IF(AND('Mapa final'!#REF!="Baja",'Mapa final'!#REF!="Mayor"),CONCATENATE("R9C",'Mapa final'!#REF!),"")</f>
        <v>#REF!</v>
      </c>
      <c r="AG44" s="54" t="e">
        <f>IF(AND('Mapa final'!#REF!="Baja",'Mapa final'!#REF!="Mayor"),CONCATENATE("R9C",'Mapa final'!#REF!),"")</f>
        <v>#REF!</v>
      </c>
      <c r="AH44" s="55" t="e">
        <f>IF(AND('Mapa final'!#REF!="Baja",'Mapa final'!#REF!="Catastrófico"),CONCATENATE("R9C",'Mapa final'!#REF!),"")</f>
        <v>#REF!</v>
      </c>
      <c r="AI44" s="56" t="e">
        <f>IF(AND('Mapa final'!#REF!="Baja",'Mapa final'!#REF!="Catastrófico"),CONCATENATE("R9C",'Mapa final'!#REF!),"")</f>
        <v>#REF!</v>
      </c>
      <c r="AJ44" s="56" t="e">
        <f>IF(AND('Mapa final'!#REF!="Baja",'Mapa final'!#REF!="Catastrófico"),CONCATENATE("R9C",'Mapa final'!#REF!),"")</f>
        <v>#REF!</v>
      </c>
      <c r="AK44" s="56" t="e">
        <f>IF(AND('Mapa final'!#REF!="Baja",'Mapa final'!#REF!="Catastrófico"),CONCATENATE("R9C",'Mapa final'!#REF!),"")</f>
        <v>#REF!</v>
      </c>
      <c r="AL44" s="56" t="e">
        <f>IF(AND('Mapa final'!#REF!="Baja",'Mapa final'!#REF!="Catastrófico"),CONCATENATE("R9C",'Mapa final'!#REF!),"")</f>
        <v>#REF!</v>
      </c>
      <c r="AM44" s="57" t="e">
        <f>IF(AND('Mapa final'!#REF!="Baja",'Mapa final'!#REF!="Catastrófico"),CONCATENATE("R9C",'Mapa final'!#REF!),"")</f>
        <v>#REF!</v>
      </c>
      <c r="AN44" s="83"/>
      <c r="AO44" s="415"/>
      <c r="AP44" s="416"/>
      <c r="AQ44" s="416"/>
      <c r="AR44" s="416"/>
      <c r="AS44" s="416"/>
      <c r="AT44" s="41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43"/>
      <c r="C45" s="343"/>
      <c r="D45" s="344"/>
      <c r="E45" s="387"/>
      <c r="F45" s="388"/>
      <c r="G45" s="388"/>
      <c r="H45" s="388"/>
      <c r="I45" s="388"/>
      <c r="J45" s="79" t="e">
        <f>IF(AND('Mapa final'!#REF!="Baja",'Mapa final'!#REF!="Leve"),CONCATENATE("R10C",'Mapa final'!#REF!),"")</f>
        <v>#REF!</v>
      </c>
      <c r="K45" s="80" t="e">
        <f>IF(AND('Mapa final'!#REF!="Baja",'Mapa final'!#REF!="Leve"),CONCATENATE("R10C",'Mapa final'!#REF!),"")</f>
        <v>#REF!</v>
      </c>
      <c r="L45" s="80" t="e">
        <f>IF(AND('Mapa final'!#REF!="Baja",'Mapa final'!#REF!="Leve"),CONCATENATE("R10C",'Mapa final'!#REF!),"")</f>
        <v>#REF!</v>
      </c>
      <c r="M45" s="80" t="e">
        <f>IF(AND('Mapa final'!#REF!="Baja",'Mapa final'!#REF!="Leve"),CONCATENATE("R10C",'Mapa final'!#REF!),"")</f>
        <v>#REF!</v>
      </c>
      <c r="N45" s="80" t="e">
        <f>IF(AND('Mapa final'!#REF!="Baja",'Mapa final'!#REF!="Leve"),CONCATENATE("R10C",'Mapa final'!#REF!),"")</f>
        <v>#REF!</v>
      </c>
      <c r="O45" s="81" t="e">
        <f>IF(AND('Mapa final'!#REF!="Baja",'Mapa final'!#REF!="Leve"),CONCATENATE("R10C",'Mapa final'!#REF!),"")</f>
        <v>#REF!</v>
      </c>
      <c r="P45" s="67" t="e">
        <f>IF(AND('Mapa final'!#REF!="Baja",'Mapa final'!#REF!="Menor"),CONCATENATE("R10C",'Mapa final'!#REF!),"")</f>
        <v>#REF!</v>
      </c>
      <c r="Q45" s="68" t="e">
        <f>IF(AND('Mapa final'!#REF!="Baja",'Mapa final'!#REF!="Menor"),CONCATENATE("R10C",'Mapa final'!#REF!),"")</f>
        <v>#REF!</v>
      </c>
      <c r="R45" s="68" t="e">
        <f>IF(AND('Mapa final'!#REF!="Baja",'Mapa final'!#REF!="Menor"),CONCATENATE("R10C",'Mapa final'!#REF!),"")</f>
        <v>#REF!</v>
      </c>
      <c r="S45" s="68" t="e">
        <f>IF(AND('Mapa final'!#REF!="Baja",'Mapa final'!#REF!="Menor"),CONCATENATE("R10C",'Mapa final'!#REF!),"")</f>
        <v>#REF!</v>
      </c>
      <c r="T45" s="68" t="e">
        <f>IF(AND('Mapa final'!#REF!="Baja",'Mapa final'!#REF!="Menor"),CONCATENATE("R10C",'Mapa final'!#REF!),"")</f>
        <v>#REF!</v>
      </c>
      <c r="U45" s="69" t="e">
        <f>IF(AND('Mapa final'!#REF!="Baja",'Mapa final'!#REF!="Menor"),CONCATENATE("R10C",'Mapa final'!#REF!),"")</f>
        <v>#REF!</v>
      </c>
      <c r="V45" s="70" t="e">
        <f>IF(AND('Mapa final'!#REF!="Baja",'Mapa final'!#REF!="Moderado"),CONCATENATE("R10C",'Mapa final'!#REF!),"")</f>
        <v>#REF!</v>
      </c>
      <c r="W45" s="71" t="e">
        <f>IF(AND('Mapa final'!#REF!="Baja",'Mapa final'!#REF!="Moderado"),CONCATENATE("R10C",'Mapa final'!#REF!),"")</f>
        <v>#REF!</v>
      </c>
      <c r="X45" s="71" t="e">
        <f>IF(AND('Mapa final'!#REF!="Baja",'Mapa final'!#REF!="Moderado"),CONCATENATE("R10C",'Mapa final'!#REF!),"")</f>
        <v>#REF!</v>
      </c>
      <c r="Y45" s="71" t="e">
        <f>IF(AND('Mapa final'!#REF!="Baja",'Mapa final'!#REF!="Moderado"),CONCATENATE("R10C",'Mapa final'!#REF!),"")</f>
        <v>#REF!</v>
      </c>
      <c r="Z45" s="71" t="e">
        <f>IF(AND('Mapa final'!#REF!="Baja",'Mapa final'!#REF!="Moderado"),CONCATENATE("R10C",'Mapa final'!#REF!),"")</f>
        <v>#REF!</v>
      </c>
      <c r="AA45" s="72" t="e">
        <f>IF(AND('Mapa final'!#REF!="Baja",'Mapa final'!#REF!="Moderado"),CONCATENATE("R10C",'Mapa final'!#REF!),"")</f>
        <v>#REF!</v>
      </c>
      <c r="AB45" s="58" t="e">
        <f>IF(AND('Mapa final'!#REF!="Baja",'Mapa final'!#REF!="Mayor"),CONCATENATE("R10C",'Mapa final'!#REF!),"")</f>
        <v>#REF!</v>
      </c>
      <c r="AC45" s="59" t="e">
        <f>IF(AND('Mapa final'!#REF!="Baja",'Mapa final'!#REF!="Mayor"),CONCATENATE("R10C",'Mapa final'!#REF!),"")</f>
        <v>#REF!</v>
      </c>
      <c r="AD45" s="59" t="e">
        <f>IF(AND('Mapa final'!#REF!="Baja",'Mapa final'!#REF!="Mayor"),CONCATENATE("R10C",'Mapa final'!#REF!),"")</f>
        <v>#REF!</v>
      </c>
      <c r="AE45" s="59" t="e">
        <f>IF(AND('Mapa final'!#REF!="Baja",'Mapa final'!#REF!="Mayor"),CONCATENATE("R10C",'Mapa final'!#REF!),"")</f>
        <v>#REF!</v>
      </c>
      <c r="AF45" s="59" t="e">
        <f>IF(AND('Mapa final'!#REF!="Baja",'Mapa final'!#REF!="Mayor"),CONCATENATE("R10C",'Mapa final'!#REF!),"")</f>
        <v>#REF!</v>
      </c>
      <c r="AG45" s="60" t="e">
        <f>IF(AND('Mapa final'!#REF!="Baja",'Mapa final'!#REF!="Mayor"),CONCATENATE("R10C",'Mapa final'!#REF!),"")</f>
        <v>#REF!</v>
      </c>
      <c r="AH45" s="61" t="e">
        <f>IF(AND('Mapa final'!#REF!="Baja",'Mapa final'!#REF!="Catastrófico"),CONCATENATE("R10C",'Mapa final'!#REF!),"")</f>
        <v>#REF!</v>
      </c>
      <c r="AI45" s="62" t="e">
        <f>IF(AND('Mapa final'!#REF!="Baja",'Mapa final'!#REF!="Catastrófico"),CONCATENATE("R10C",'Mapa final'!#REF!),"")</f>
        <v>#REF!</v>
      </c>
      <c r="AJ45" s="62" t="e">
        <f>IF(AND('Mapa final'!#REF!="Baja",'Mapa final'!#REF!="Catastrófico"),CONCATENATE("R10C",'Mapa final'!#REF!),"")</f>
        <v>#REF!</v>
      </c>
      <c r="AK45" s="62" t="e">
        <f>IF(AND('Mapa final'!#REF!="Baja",'Mapa final'!#REF!="Catastrófico"),CONCATENATE("R10C",'Mapa final'!#REF!),"")</f>
        <v>#REF!</v>
      </c>
      <c r="AL45" s="62" t="e">
        <f>IF(AND('Mapa final'!#REF!="Baja",'Mapa final'!#REF!="Catastrófico"),CONCATENATE("R10C",'Mapa final'!#REF!),"")</f>
        <v>#REF!</v>
      </c>
      <c r="AM45" s="63" t="e">
        <f>IF(AND('Mapa final'!#REF!="Baja",'Mapa final'!#REF!="Catastrófico"),CONCATENATE("R10C",'Mapa final'!#REF!),"")</f>
        <v>#REF!</v>
      </c>
      <c r="AN45" s="83"/>
      <c r="AO45" s="418"/>
      <c r="AP45" s="419"/>
      <c r="AQ45" s="419"/>
      <c r="AR45" s="419"/>
      <c r="AS45" s="419"/>
      <c r="AT45" s="420"/>
    </row>
    <row r="46" spans="1:80" ht="46.5" customHeight="1" x14ac:dyDescent="0.35">
      <c r="A46" s="83"/>
      <c r="B46" s="343"/>
      <c r="C46" s="343"/>
      <c r="D46" s="344"/>
      <c r="E46" s="381" t="s">
        <v>100</v>
      </c>
      <c r="F46" s="382"/>
      <c r="G46" s="382"/>
      <c r="H46" s="382"/>
      <c r="I46" s="383"/>
      <c r="J46" s="73" t="str">
        <f>IF(AND('Mapa final'!$Y$25="Muy Baja",'Mapa final'!$AA$25="Leve"),CONCATENATE("R1C",'Mapa final'!$O$25),"")</f>
        <v/>
      </c>
      <c r="K46" s="74" t="str">
        <f>IF(AND('Mapa final'!$Y$26="Muy Baja",'Mapa final'!$AA$26="Leve"),CONCATENATE("R1C",'Mapa final'!$O$26),"")</f>
        <v/>
      </c>
      <c r="L46" s="74" t="e">
        <f>IF(AND('Mapa final'!#REF!="Muy Baja",'Mapa final'!#REF!="Leve"),CONCATENATE("R1C",'Mapa final'!#REF!),"")</f>
        <v>#REF!</v>
      </c>
      <c r="M46" s="74" t="e">
        <f>IF(AND('Mapa final'!#REF!="Muy Baja",'Mapa final'!#REF!="Leve"),CONCATENATE("R1C",'Mapa final'!#REF!),"")</f>
        <v>#REF!</v>
      </c>
      <c r="N46" s="74" t="e">
        <f>IF(AND('Mapa final'!#REF!="Muy Baja",'Mapa final'!#REF!="Leve"),CONCATENATE("R1C",'Mapa final'!#REF!),"")</f>
        <v>#REF!</v>
      </c>
      <c r="O46" s="75" t="e">
        <f>IF(AND('Mapa final'!#REF!="Muy Baja",'Mapa final'!#REF!="Leve"),CONCATENATE("R1C",'Mapa final'!#REF!),"")</f>
        <v>#REF!</v>
      </c>
      <c r="P46" s="73" t="str">
        <f>IF(AND('Mapa final'!$Y$25="Muy Baja",'Mapa final'!$AA$25="Menor"),CONCATENATE("R1C",'Mapa final'!$O$25),"")</f>
        <v/>
      </c>
      <c r="Q46" s="74" t="str">
        <f>IF(AND('Mapa final'!$Y$26="Muy Baja",'Mapa final'!$AA$26="Menor"),CONCATENATE("R1C",'Mapa final'!$O$26),"")</f>
        <v/>
      </c>
      <c r="R46" s="74" t="e">
        <f>IF(AND('Mapa final'!#REF!="Muy Baja",'Mapa final'!#REF!="Menor"),CONCATENATE("R1C",'Mapa final'!#REF!),"")</f>
        <v>#REF!</v>
      </c>
      <c r="S46" s="74" t="e">
        <f>IF(AND('Mapa final'!#REF!="Muy Baja",'Mapa final'!#REF!="Menor"),CONCATENATE("R1C",'Mapa final'!#REF!),"")</f>
        <v>#REF!</v>
      </c>
      <c r="T46" s="74" t="e">
        <f>IF(AND('Mapa final'!#REF!="Muy Baja",'Mapa final'!#REF!="Menor"),CONCATENATE("R1C",'Mapa final'!#REF!),"")</f>
        <v>#REF!</v>
      </c>
      <c r="U46" s="75" t="e">
        <f>IF(AND('Mapa final'!#REF!="Muy Baja",'Mapa final'!#REF!="Menor"),CONCATENATE("R1C",'Mapa final'!#REF!),"")</f>
        <v>#REF!</v>
      </c>
      <c r="V46" s="64" t="str">
        <f>IF(AND('Mapa final'!$Y$25="Muy Baja",'Mapa final'!$AA$25="Moderado"),CONCATENATE("R1C",'Mapa final'!$O$25),"")</f>
        <v/>
      </c>
      <c r="W46" s="82" t="str">
        <f>IF(AND('Mapa final'!$Y$26="Muy Baja",'Mapa final'!$AA$26="Moderado"),CONCATENATE("R1C",'Mapa final'!$O$26),"")</f>
        <v/>
      </c>
      <c r="X46" s="65" t="e">
        <f>IF(AND('Mapa final'!#REF!="Muy Baja",'Mapa final'!#REF!="Moderado"),CONCATENATE("R1C",'Mapa final'!#REF!),"")</f>
        <v>#REF!</v>
      </c>
      <c r="Y46" s="65" t="e">
        <f>IF(AND('Mapa final'!#REF!="Muy Baja",'Mapa final'!#REF!="Moderado"),CONCATENATE("R1C",'Mapa final'!#REF!),"")</f>
        <v>#REF!</v>
      </c>
      <c r="Z46" s="65" t="e">
        <f>IF(AND('Mapa final'!#REF!="Muy Baja",'Mapa final'!#REF!="Moderado"),CONCATENATE("R1C",'Mapa final'!#REF!),"")</f>
        <v>#REF!</v>
      </c>
      <c r="AA46" s="66" t="e">
        <f>IF(AND('Mapa final'!#REF!="Muy Baja",'Mapa final'!#REF!="Moderado"),CONCATENATE("R1C",'Mapa final'!#REF!),"")</f>
        <v>#REF!</v>
      </c>
      <c r="AB46" s="46" t="str">
        <f>IF(AND('Mapa final'!$Y$25="Muy Baja",'Mapa final'!$AA$25="Mayor"),CONCATENATE("R1C",'Mapa final'!$O$25),"")</f>
        <v/>
      </c>
      <c r="AC46" s="47" t="str">
        <f>IF(AND('Mapa final'!$Y$26="Muy Baja",'Mapa final'!$AA$26="Mayor"),CONCATENATE("R1C",'Mapa final'!$O$26),"")</f>
        <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final'!$Y$25="Muy Baja",'Mapa final'!$AA$25="Catastrófico"),CONCATENATE("R1C",'Mapa final'!$O$25),"")</f>
        <v/>
      </c>
      <c r="AI46" s="50" t="str">
        <f>IF(AND('Mapa final'!$Y$26="Muy Baja",'Mapa final'!$AA$26="Catastrófico"),CONCATENATE("R1C",'Mapa final'!$O$26),"")</f>
        <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43"/>
      <c r="C47" s="343"/>
      <c r="D47" s="344"/>
      <c r="E47" s="400"/>
      <c r="F47" s="385"/>
      <c r="G47" s="385"/>
      <c r="H47" s="385"/>
      <c r="I47" s="386"/>
      <c r="J47" s="76" t="str">
        <f>IF(AND('Mapa final'!$Y$27="Muy Baja",'Mapa final'!$AA$27="Leve"),CONCATENATE("R2C",'Mapa final'!$O$27),"")</f>
        <v/>
      </c>
      <c r="K47" s="77" t="str">
        <f>IF(AND('Mapa final'!$Y$28="Muy Baja",'Mapa final'!$AA$28="Leve"),CONCATENATE("R2C",'Mapa final'!$O$28),"")</f>
        <v/>
      </c>
      <c r="L47" s="77" t="e">
        <f>IF(AND('Mapa final'!#REF!="Muy Baja",'Mapa final'!#REF!="Leve"),CONCATENATE("R2C",'Mapa final'!#REF!),"")</f>
        <v>#REF!</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str">
        <f>IF(AND('Mapa final'!$Y$27="Muy Baja",'Mapa final'!$AA$27="Menor"),CONCATENATE("R2C",'Mapa final'!$O$27),"")</f>
        <v/>
      </c>
      <c r="Q47" s="77" t="str">
        <f>IF(AND('Mapa final'!$Y$28="Muy Baja",'Mapa final'!$AA$28="Menor"),CONCATENATE("R2C",'Mapa final'!$O$28),"")</f>
        <v/>
      </c>
      <c r="R47" s="77" t="e">
        <f>IF(AND('Mapa final'!#REF!="Muy Baja",'Mapa final'!#REF!="Menor"),CONCATENATE("R2C",'Mapa final'!#REF!),"")</f>
        <v>#REF!</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str">
        <f>IF(AND('Mapa final'!$Y$27="Muy Baja",'Mapa final'!$AA$27="Moderado"),CONCATENATE("R2C",'Mapa final'!$O$27),"")</f>
        <v/>
      </c>
      <c r="W47" s="68" t="str">
        <f>IF(AND('Mapa final'!$Y$28="Muy Baja",'Mapa final'!$AA$28="Moderado"),CONCATENATE("R2C",'Mapa final'!$O$28),"")</f>
        <v/>
      </c>
      <c r="X47" s="68" t="e">
        <f>IF(AND('Mapa final'!#REF!="Muy Baja",'Mapa final'!#REF!="Moderado"),CONCATENATE("R2C",'Mapa final'!#REF!),"")</f>
        <v>#REF!</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str">
        <f>IF(AND('Mapa final'!$Y$27="Muy Baja",'Mapa final'!$AA$27="Mayor"),CONCATENATE("R2C",'Mapa final'!$O$27),"")</f>
        <v/>
      </c>
      <c r="AC47" s="53" t="str">
        <f>IF(AND('Mapa final'!$Y$28="Muy Baja",'Mapa final'!$AA$28="Mayor"),CONCATENATE("R2C",'Mapa final'!$O$28),"")</f>
        <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final'!$Y$27="Muy Baja",'Mapa final'!$AA$27="Catastrófico"),CONCATENATE("R2C",'Mapa final'!$O$27),"")</f>
        <v/>
      </c>
      <c r="AI47" s="56" t="str">
        <f>IF(AND('Mapa final'!$Y$28="Muy Baja",'Mapa final'!$AA$28="Catastrófico"),CONCATENATE("R2C",'Mapa final'!$O$28),"")</f>
        <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43"/>
      <c r="C48" s="343"/>
      <c r="D48" s="344"/>
      <c r="E48" s="400"/>
      <c r="F48" s="385"/>
      <c r="G48" s="385"/>
      <c r="H48" s="385"/>
      <c r="I48" s="386"/>
      <c r="J48" s="76" t="str">
        <f>IF(AND('Mapa final'!$Y$29="Muy Baja",'Mapa final'!$AA$29="Leve"),CONCATENATE("R3C",'Mapa final'!$O$29),"")</f>
        <v/>
      </c>
      <c r="K48" s="77" t="str">
        <f>IF(AND('Mapa final'!$Y$30="Muy Baja",'Mapa final'!$AA$30="Leve"),CONCATENATE("R3C",'Mapa final'!$O$30),"")</f>
        <v/>
      </c>
      <c r="L48" s="77" t="str">
        <f>IF(AND('Mapa final'!$Y$31="Muy Baja",'Mapa final'!$AA$31="Leve"),CONCATENATE("R3C",'Mapa final'!$O$31),"")</f>
        <v/>
      </c>
      <c r="M48" s="77" t="str">
        <f>IF(AND('Mapa final'!$Y$32="Muy Baja",'Mapa final'!$AA$32="Leve"),CONCATENATE("R3C",'Mapa final'!$O$32),"")</f>
        <v/>
      </c>
      <c r="N48" s="77" t="e">
        <f>IF(AND('Mapa final'!#REF!="Muy Baja",'Mapa final'!#REF!="Leve"),CONCATENATE("R3C",'Mapa final'!#REF!),"")</f>
        <v>#REF!</v>
      </c>
      <c r="O48" s="78" t="e">
        <f>IF(AND('Mapa final'!#REF!="Muy Baja",'Mapa final'!#REF!="Leve"),CONCATENATE("R3C",'Mapa final'!#REF!),"")</f>
        <v>#REF!</v>
      </c>
      <c r="P48" s="76" t="str">
        <f>IF(AND('Mapa final'!$Y$29="Muy Baja",'Mapa final'!$AA$29="Menor"),CONCATENATE("R3C",'Mapa final'!$O$29),"")</f>
        <v>R3C1</v>
      </c>
      <c r="Q48" s="77" t="str">
        <f>IF(AND('Mapa final'!$Y$30="Muy Baja",'Mapa final'!$AA$30="Menor"),CONCATENATE("R3C",'Mapa final'!$O$30),"")</f>
        <v/>
      </c>
      <c r="R48" s="77" t="str">
        <f>IF(AND('Mapa final'!$Y$31="Muy Baja",'Mapa final'!$AA$31="Menor"),CONCATENATE("R3C",'Mapa final'!$O$31),"")</f>
        <v/>
      </c>
      <c r="S48" s="77" t="str">
        <f>IF(AND('Mapa final'!$Y$32="Muy Baja",'Mapa final'!$AA$32="Menor"),CONCATENATE("R3C",'Mapa final'!$O$32),"")</f>
        <v/>
      </c>
      <c r="T48" s="77" t="e">
        <f>IF(AND('Mapa final'!#REF!="Muy Baja",'Mapa final'!#REF!="Menor"),CONCATENATE("R3C",'Mapa final'!#REF!),"")</f>
        <v>#REF!</v>
      </c>
      <c r="U48" s="78" t="e">
        <f>IF(AND('Mapa final'!#REF!="Muy Baja",'Mapa final'!#REF!="Menor"),CONCATENATE("R3C",'Mapa final'!#REF!),"")</f>
        <v>#REF!</v>
      </c>
      <c r="V48" s="67" t="str">
        <f>IF(AND('Mapa final'!$Y$29="Muy Baja",'Mapa final'!$AA$29="Moderado"),CONCATENATE("R3C",'Mapa final'!$O$29),"")</f>
        <v/>
      </c>
      <c r="W48" s="68" t="str">
        <f>IF(AND('Mapa final'!$Y$30="Muy Baja",'Mapa final'!$AA$30="Moderado"),CONCATENATE("R3C",'Mapa final'!$O$30),"")</f>
        <v/>
      </c>
      <c r="X48" s="68" t="str">
        <f>IF(AND('Mapa final'!$Y$31="Muy Baja",'Mapa final'!$AA$31="Moderado"),CONCATENATE("R3C",'Mapa final'!$O$31),"")</f>
        <v/>
      </c>
      <c r="Y48" s="68" t="str">
        <f>IF(AND('Mapa final'!$Y$32="Muy Baja",'Mapa final'!$AA$32="Moderado"),CONCATENATE("R3C",'Mapa final'!$O$32),"")</f>
        <v/>
      </c>
      <c r="Z48" s="68" t="e">
        <f>IF(AND('Mapa final'!#REF!="Muy Baja",'Mapa final'!#REF!="Moderado"),CONCATENATE("R3C",'Mapa final'!#REF!),"")</f>
        <v>#REF!</v>
      </c>
      <c r="AA48" s="69" t="e">
        <f>IF(AND('Mapa final'!#REF!="Muy Baja",'Mapa final'!#REF!="Moderado"),CONCATENATE("R3C",'Mapa final'!#REF!),"")</f>
        <v>#REF!</v>
      </c>
      <c r="AB48" s="52" t="str">
        <f>IF(AND('Mapa final'!$Y$29="Muy Baja",'Mapa final'!$AA$29="Mayor"),CONCATENATE("R3C",'Mapa final'!$O$29),"")</f>
        <v/>
      </c>
      <c r="AC48" s="53" t="str">
        <f>IF(AND('Mapa final'!$Y$30="Muy Baja",'Mapa final'!$AA$30="Mayor"),CONCATENATE("R3C",'Mapa final'!$O$30),"")</f>
        <v/>
      </c>
      <c r="AD48" s="53" t="str">
        <f>IF(AND('Mapa final'!$Y$31="Muy Baja",'Mapa final'!$AA$31="Mayor"),CONCATENATE("R3C",'Mapa final'!$O$31),"")</f>
        <v/>
      </c>
      <c r="AE48" s="53" t="str">
        <f>IF(AND('Mapa final'!$Y$32="Muy Baja",'Mapa final'!$AA$32="Mayor"),CONCATENATE("R3C",'Mapa final'!$O$32),"")</f>
        <v/>
      </c>
      <c r="AF48" s="53" t="e">
        <f>IF(AND('Mapa final'!#REF!="Muy Baja",'Mapa final'!#REF!="Mayor"),CONCATENATE("R3C",'Mapa final'!#REF!),"")</f>
        <v>#REF!</v>
      </c>
      <c r="AG48" s="54" t="e">
        <f>IF(AND('Mapa final'!#REF!="Muy Baja",'Mapa final'!#REF!="Mayor"),CONCATENATE("R3C",'Mapa final'!#REF!),"")</f>
        <v>#REF!</v>
      </c>
      <c r="AH48" s="55" t="str">
        <f>IF(AND('Mapa final'!$Y$29="Muy Baja",'Mapa final'!$AA$29="Catastrófico"),CONCATENATE("R3C",'Mapa final'!$O$29),"")</f>
        <v/>
      </c>
      <c r="AI48" s="56" t="str">
        <f>IF(AND('Mapa final'!$Y$30="Muy Baja",'Mapa final'!$AA$30="Catastrófico"),CONCATENATE("R3C",'Mapa final'!$O$30),"")</f>
        <v/>
      </c>
      <c r="AJ48" s="56" t="str">
        <f>IF(AND('Mapa final'!$Y$31="Muy Baja",'Mapa final'!$AA$31="Catastrófico"),CONCATENATE("R3C",'Mapa final'!$O$31),"")</f>
        <v/>
      </c>
      <c r="AK48" s="56" t="str">
        <f>IF(AND('Mapa final'!$Y$32="Muy Baja",'Mapa final'!$AA$32="Catastrófico"),CONCATENATE("R3C",'Mapa final'!$O$32),"")</f>
        <v/>
      </c>
      <c r="AL48" s="56" t="e">
        <f>IF(AND('Mapa final'!#REF!="Muy Baja",'Mapa final'!#REF!="Catastrófico"),CONCATENATE("R3C",'Mapa final'!#REF!),"")</f>
        <v>#REF!</v>
      </c>
      <c r="AM48" s="57" t="e">
        <f>IF(AND('Mapa final'!#REF!="Muy Baja",'Mapa final'!#REF!="Catastrófico"),CONCATENATE("R3C",'Mapa final'!#REF!),"")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43"/>
      <c r="C49" s="343"/>
      <c r="D49" s="344"/>
      <c r="E49" s="384"/>
      <c r="F49" s="385"/>
      <c r="G49" s="385"/>
      <c r="H49" s="385"/>
      <c r="I49" s="386"/>
      <c r="J49" s="76" t="str">
        <f>IF(AND('Mapa final'!$Y$33="Muy Baja",'Mapa final'!$AA$33="Leve"),CONCATENATE("R4C",'Mapa final'!$O$33),"")</f>
        <v/>
      </c>
      <c r="K49" s="77" t="str">
        <f>IF(AND('Mapa final'!$Y$34="Muy Baja",'Mapa final'!$AA$34="Leve"),CONCATENATE("R4C",'Mapa final'!$O$34),"")</f>
        <v/>
      </c>
      <c r="L49" s="77" t="str">
        <f>IF(AND('Mapa final'!$Y$35="Muy Baja",'Mapa final'!$AA$35="Leve"),CONCATENATE("R4C",'Mapa final'!$O$35),"")</f>
        <v/>
      </c>
      <c r="M49" s="77" t="str">
        <f>IF(AND('Mapa final'!$Y$36="Muy Baja",'Mapa final'!$AA$36="Leve"),CONCATENATE("R4C",'Mapa final'!$O$36),"")</f>
        <v/>
      </c>
      <c r="N49" s="77" t="e">
        <f>IF(AND('Mapa final'!#REF!="Muy Baja",'Mapa final'!#REF!="Leve"),CONCATENATE("R4C",'Mapa final'!#REF!),"")</f>
        <v>#REF!</v>
      </c>
      <c r="O49" s="78" t="e">
        <f>IF(AND('Mapa final'!#REF!="Muy Baja",'Mapa final'!#REF!="Leve"),CONCATENATE("R4C",'Mapa final'!#REF!),"")</f>
        <v>#REF!</v>
      </c>
      <c r="P49" s="76" t="str">
        <f>IF(AND('Mapa final'!$Y$33="Muy Baja",'Mapa final'!$AA$33="Menor"),CONCATENATE("R4C",'Mapa final'!$O$33),"")</f>
        <v/>
      </c>
      <c r="Q49" s="77" t="str">
        <f>IF(AND('Mapa final'!$Y$34="Muy Baja",'Mapa final'!$AA$34="Menor"),CONCATENATE("R4C",'Mapa final'!$O$34),"")</f>
        <v/>
      </c>
      <c r="R49" s="77" t="str">
        <f>IF(AND('Mapa final'!$Y$35="Muy Baja",'Mapa final'!$AA$35="Menor"),CONCATENATE("R4C",'Mapa final'!$O$35),"")</f>
        <v/>
      </c>
      <c r="S49" s="77" t="str">
        <f>IF(AND('Mapa final'!$Y$36="Muy Baja",'Mapa final'!$AA$36="Menor"),CONCATENATE("R4C",'Mapa final'!$O$36),"")</f>
        <v/>
      </c>
      <c r="T49" s="77" t="e">
        <f>IF(AND('Mapa final'!#REF!="Muy Baja",'Mapa final'!#REF!="Menor"),CONCATENATE("R4C",'Mapa final'!#REF!),"")</f>
        <v>#REF!</v>
      </c>
      <c r="U49" s="78" t="e">
        <f>IF(AND('Mapa final'!#REF!="Muy Baja",'Mapa final'!#REF!="Menor"),CONCATENATE("R4C",'Mapa final'!#REF!),"")</f>
        <v>#REF!</v>
      </c>
      <c r="V49" s="67" t="str">
        <f>IF(AND('Mapa final'!$Y$33="Muy Baja",'Mapa final'!$AA$33="Moderado"),CONCATENATE("R4C",'Mapa final'!$O$33),"")</f>
        <v/>
      </c>
      <c r="W49" s="68" t="str">
        <f>IF(AND('Mapa final'!$Y$34="Muy Baja",'Mapa final'!$AA$34="Moderado"),CONCATENATE("R4C",'Mapa final'!$O$34),"")</f>
        <v/>
      </c>
      <c r="X49" s="68" t="str">
        <f>IF(AND('Mapa final'!$Y$35="Muy Baja",'Mapa final'!$AA$35="Moderado"),CONCATENATE("R4C",'Mapa final'!$O$35),"")</f>
        <v/>
      </c>
      <c r="Y49" s="68" t="str">
        <f>IF(AND('Mapa final'!$Y$36="Muy Baja",'Mapa final'!$AA$36="Moderado"),CONCATENATE("R4C",'Mapa final'!$O$36),"")</f>
        <v/>
      </c>
      <c r="Z49" s="68" t="e">
        <f>IF(AND('Mapa final'!#REF!="Muy Baja",'Mapa final'!#REF!="Moderado"),CONCATENATE("R4C",'Mapa final'!#REF!),"")</f>
        <v>#REF!</v>
      </c>
      <c r="AA49" s="69" t="e">
        <f>IF(AND('Mapa final'!#REF!="Muy Baja",'Mapa final'!#REF!="Moderado"),CONCATENATE("R4C",'Mapa final'!#REF!),"")</f>
        <v>#REF!</v>
      </c>
      <c r="AB49" s="52" t="str">
        <f>IF(AND('Mapa final'!$Y$33="Muy Baja",'Mapa final'!$AA$33="Mayor"),CONCATENATE("R4C",'Mapa final'!$O$33),"")</f>
        <v/>
      </c>
      <c r="AC49" s="53" t="str">
        <f>IF(AND('Mapa final'!$Y$34="Muy Baja",'Mapa final'!$AA$34="Mayor"),CONCATENATE("R4C",'Mapa final'!$O$34),"")</f>
        <v/>
      </c>
      <c r="AD49" s="53" t="str">
        <f>IF(AND('Mapa final'!$Y$35="Muy Baja",'Mapa final'!$AA$35="Mayor"),CONCATENATE("R4C",'Mapa final'!$O$35),"")</f>
        <v/>
      </c>
      <c r="AE49" s="53" t="str">
        <f>IF(AND('Mapa final'!$Y$36="Muy Baja",'Mapa final'!$AA$36="Mayor"),CONCATENATE("R4C",'Mapa final'!$O$36),"")</f>
        <v/>
      </c>
      <c r="AF49" s="53" t="e">
        <f>IF(AND('Mapa final'!#REF!="Muy Baja",'Mapa final'!#REF!="Mayor"),CONCATENATE("R4C",'Mapa final'!#REF!),"")</f>
        <v>#REF!</v>
      </c>
      <c r="AG49" s="54" t="e">
        <f>IF(AND('Mapa final'!#REF!="Muy Baja",'Mapa final'!#REF!="Mayor"),CONCATENATE("R4C",'Mapa final'!#REF!),"")</f>
        <v>#REF!</v>
      </c>
      <c r="AH49" s="55" t="str">
        <f>IF(AND('Mapa final'!$Y$33="Muy Baja",'Mapa final'!$AA$33="Catastrófico"),CONCATENATE("R4C",'Mapa final'!$O$33),"")</f>
        <v/>
      </c>
      <c r="AI49" s="56" t="str">
        <f>IF(AND('Mapa final'!$Y$34="Muy Baja",'Mapa final'!$AA$34="Catastrófico"),CONCATENATE("R4C",'Mapa final'!$O$34),"")</f>
        <v/>
      </c>
      <c r="AJ49" s="56" t="str">
        <f>IF(AND('Mapa final'!$Y$35="Muy Baja",'Mapa final'!$AA$35="Catastrófico"),CONCATENATE("R4C",'Mapa final'!$O$35),"")</f>
        <v/>
      </c>
      <c r="AK49" s="56" t="str">
        <f>IF(AND('Mapa final'!$Y$36="Muy Baja",'Mapa final'!$AA$36="Catastrófico"),CONCATENATE("R4C",'Mapa final'!$O$36),"")</f>
        <v/>
      </c>
      <c r="AL49" s="56" t="e">
        <f>IF(AND('Mapa final'!#REF!="Muy Baja",'Mapa final'!#REF!="Catastrófico"),CONCATENATE("R4C",'Mapa final'!#REF!),"")</f>
        <v>#REF!</v>
      </c>
      <c r="AM49" s="57" t="e">
        <f>IF(AND('Mapa final'!#REF!="Muy Baja",'Mapa final'!#REF!="Catastrófico"),CONCATENATE("R4C",'Mapa final'!#REF!),"")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43"/>
      <c r="C50" s="343"/>
      <c r="D50" s="344"/>
      <c r="E50" s="384"/>
      <c r="F50" s="385"/>
      <c r="G50" s="385"/>
      <c r="H50" s="385"/>
      <c r="I50" s="386"/>
      <c r="J50" s="76" t="str">
        <f>IF(AND('Mapa final'!$Y$37="Muy Baja",'Mapa final'!$AA$37="Leve"),CONCATENATE("R5C",'Mapa final'!$O$37),"")</f>
        <v/>
      </c>
      <c r="K50" s="77" t="str">
        <f>IF(AND('Mapa final'!$Y$38="Muy Baja",'Mapa final'!$AA$38="Leve"),CONCATENATE("R5C",'Mapa final'!$O$38),"")</f>
        <v/>
      </c>
      <c r="L50" s="77" t="str">
        <f>IF(AND('Mapa final'!$Y$39="Muy Baja",'Mapa final'!$AA$39="Leve"),CONCATENATE("R5C",'Mapa final'!$O$39),"")</f>
        <v/>
      </c>
      <c r="M50" s="77" t="e">
        <f>IF(AND('Mapa final'!#REF!="Muy Baja",'Mapa final'!#REF!="Leve"),CONCATENATE("R5C",'Mapa final'!#REF!),"")</f>
        <v>#REF!</v>
      </c>
      <c r="N50" s="77" t="e">
        <f>IF(AND('Mapa final'!#REF!="Muy Baja",'Mapa final'!#REF!="Leve"),CONCATENATE("R5C",'Mapa final'!#REF!),"")</f>
        <v>#REF!</v>
      </c>
      <c r="O50" s="78" t="e">
        <f>IF(AND('Mapa final'!#REF!="Muy Baja",'Mapa final'!#REF!="Leve"),CONCATENATE("R5C",'Mapa final'!#REF!),"")</f>
        <v>#REF!</v>
      </c>
      <c r="P50" s="76" t="str">
        <f>IF(AND('Mapa final'!$Y$37="Muy Baja",'Mapa final'!$AA$37="Menor"),CONCATENATE("R5C",'Mapa final'!$O$37),"")</f>
        <v>R5C1</v>
      </c>
      <c r="Q50" s="77" t="str">
        <f>IF(AND('Mapa final'!$Y$38="Muy Baja",'Mapa final'!$AA$38="Menor"),CONCATENATE("R5C",'Mapa final'!$O$38),"")</f>
        <v/>
      </c>
      <c r="R50" s="77" t="str">
        <f>IF(AND('Mapa final'!$Y$39="Muy Baja",'Mapa final'!$AA$39="Menor"),CONCATENATE("R5C",'Mapa final'!$O$39),"")</f>
        <v/>
      </c>
      <c r="S50" s="77" t="e">
        <f>IF(AND('Mapa final'!#REF!="Muy Baja",'Mapa final'!#REF!="Menor"),CONCATENATE("R5C",'Mapa final'!#REF!),"")</f>
        <v>#REF!</v>
      </c>
      <c r="T50" s="77" t="e">
        <f>IF(AND('Mapa final'!#REF!="Muy Baja",'Mapa final'!#REF!="Menor"),CONCATENATE("R5C",'Mapa final'!#REF!),"")</f>
        <v>#REF!</v>
      </c>
      <c r="U50" s="78" t="e">
        <f>IF(AND('Mapa final'!#REF!="Muy Baja",'Mapa final'!#REF!="Menor"),CONCATENATE("R5C",'Mapa final'!#REF!),"")</f>
        <v>#REF!</v>
      </c>
      <c r="V50" s="67" t="str">
        <f>IF(AND('Mapa final'!$Y$37="Muy Baja",'Mapa final'!$AA$37="Moderado"),CONCATENATE("R5C",'Mapa final'!$O$37),"")</f>
        <v/>
      </c>
      <c r="W50" s="68" t="str">
        <f>IF(AND('Mapa final'!$Y$38="Muy Baja",'Mapa final'!$AA$38="Moderado"),CONCATENATE("R5C",'Mapa final'!$O$38),"")</f>
        <v/>
      </c>
      <c r="X50" s="68" t="str">
        <f>IF(AND('Mapa final'!$Y$39="Muy Baja",'Mapa final'!$AA$39="Moderado"),CONCATENATE("R5C",'Mapa final'!$O$39),"")</f>
        <v/>
      </c>
      <c r="Y50" s="68" t="e">
        <f>IF(AND('Mapa final'!#REF!="Muy Baja",'Mapa final'!#REF!="Moderado"),CONCATENATE("R5C",'Mapa final'!#REF!),"")</f>
        <v>#REF!</v>
      </c>
      <c r="Z50" s="68" t="e">
        <f>IF(AND('Mapa final'!#REF!="Muy Baja",'Mapa final'!#REF!="Moderado"),CONCATENATE("R5C",'Mapa final'!#REF!),"")</f>
        <v>#REF!</v>
      </c>
      <c r="AA50" s="69" t="e">
        <f>IF(AND('Mapa final'!#REF!="Muy Baja",'Mapa final'!#REF!="Moderado"),CONCATENATE("R5C",'Mapa final'!#REF!),"")</f>
        <v>#REF!</v>
      </c>
      <c r="AB50" s="52" t="str">
        <f>IF(AND('Mapa final'!$Y$37="Muy Baja",'Mapa final'!$AA$37="Mayor"),CONCATENATE("R5C",'Mapa final'!$O$37),"")</f>
        <v/>
      </c>
      <c r="AC50" s="53" t="str">
        <f>IF(AND('Mapa final'!$Y$38="Muy Baja",'Mapa final'!$AA$38="Mayor"),CONCATENATE("R5C",'Mapa final'!$O$38),"")</f>
        <v/>
      </c>
      <c r="AD50" s="53" t="str">
        <f>IF(AND('Mapa final'!$Y$39="Muy Baja",'Mapa final'!$AA$39="Mayor"),CONCATENATE("R5C",'Mapa final'!$O$39),"")</f>
        <v/>
      </c>
      <c r="AE50" s="53" t="e">
        <f>IF(AND('Mapa final'!#REF!="Muy Baja",'Mapa final'!#REF!="Mayor"),CONCATENATE("R5C",'Mapa final'!#REF!),"")</f>
        <v>#REF!</v>
      </c>
      <c r="AF50" s="53" t="e">
        <f>IF(AND('Mapa final'!#REF!="Muy Baja",'Mapa final'!#REF!="Mayor"),CONCATENATE("R5C",'Mapa final'!#REF!),"")</f>
        <v>#REF!</v>
      </c>
      <c r="AG50" s="54" t="e">
        <f>IF(AND('Mapa final'!#REF!="Muy Baja",'Mapa final'!#REF!="Mayor"),CONCATENATE("R5C",'Mapa final'!#REF!),"")</f>
        <v>#REF!</v>
      </c>
      <c r="AH50" s="55" t="str">
        <f>IF(AND('Mapa final'!$Y$37="Muy Baja",'Mapa final'!$AA$37="Catastrófico"),CONCATENATE("R5C",'Mapa final'!$O$37),"")</f>
        <v/>
      </c>
      <c r="AI50" s="56" t="str">
        <f>IF(AND('Mapa final'!$Y$38="Muy Baja",'Mapa final'!$AA$38="Catastrófico"),CONCATENATE("R5C",'Mapa final'!$O$38),"")</f>
        <v/>
      </c>
      <c r="AJ50" s="56" t="str">
        <f>IF(AND('Mapa final'!$Y$39="Muy Baja",'Mapa final'!$AA$39="Catastrófico"),CONCATENATE("R5C",'Mapa final'!$O$39),"")</f>
        <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43"/>
      <c r="C51" s="343"/>
      <c r="D51" s="344"/>
      <c r="E51" s="384"/>
      <c r="F51" s="385"/>
      <c r="G51" s="385"/>
      <c r="H51" s="385"/>
      <c r="I51" s="386"/>
      <c r="J51" s="76" t="str">
        <f>IF(AND('Mapa final'!$Y$40="Muy Baja",'Mapa final'!$AA$40="Leve"),CONCATENATE("R6C",'Mapa final'!$O$40),"")</f>
        <v/>
      </c>
      <c r="K51" s="77" t="str">
        <f>IF(AND('Mapa final'!$Y$41="Muy Baja",'Mapa final'!$AA$41="Leve"),CONCATENATE("R6C",'Mapa final'!$O$41),"")</f>
        <v/>
      </c>
      <c r="L51" s="77" t="e">
        <f>IF(AND('Mapa final'!#REF!="Muy Baja",'Mapa final'!#REF!="Leve"),CONCATENATE("R6C",'Mapa final'!#REF!),"")</f>
        <v>#REF!</v>
      </c>
      <c r="M51" s="77" t="e">
        <f>IF(AND('Mapa final'!#REF!="Muy Baja",'Mapa final'!#REF!="Leve"),CONCATENATE("R6C",'Mapa final'!#REF!),"")</f>
        <v>#REF!</v>
      </c>
      <c r="N51" s="77" t="e">
        <f>IF(AND('Mapa final'!#REF!="Muy Baja",'Mapa final'!#REF!="Leve"),CONCATENATE("R6C",'Mapa final'!#REF!),"")</f>
        <v>#REF!</v>
      </c>
      <c r="O51" s="78" t="e">
        <f>IF(AND('Mapa final'!#REF!="Muy Baja",'Mapa final'!#REF!="Leve"),CONCATENATE("R6C",'Mapa final'!#REF!),"")</f>
        <v>#REF!</v>
      </c>
      <c r="P51" s="76" t="str">
        <f>IF(AND('Mapa final'!$Y$40="Muy Baja",'Mapa final'!$AA$40="Menor"),CONCATENATE("R6C",'Mapa final'!$O$40),"")</f>
        <v/>
      </c>
      <c r="Q51" s="77" t="str">
        <f>IF(AND('Mapa final'!$Y$41="Muy Baja",'Mapa final'!$AA$41="Menor"),CONCATENATE("R6C",'Mapa final'!$O$41),"")</f>
        <v/>
      </c>
      <c r="R51" s="77" t="e">
        <f>IF(AND('Mapa final'!#REF!="Muy Baja",'Mapa final'!#REF!="Menor"),CONCATENATE("R6C",'Mapa final'!#REF!),"")</f>
        <v>#REF!</v>
      </c>
      <c r="S51" s="77" t="e">
        <f>IF(AND('Mapa final'!#REF!="Muy Baja",'Mapa final'!#REF!="Menor"),CONCATENATE("R6C",'Mapa final'!#REF!),"")</f>
        <v>#REF!</v>
      </c>
      <c r="T51" s="77" t="e">
        <f>IF(AND('Mapa final'!#REF!="Muy Baja",'Mapa final'!#REF!="Menor"),CONCATENATE("R6C",'Mapa final'!#REF!),"")</f>
        <v>#REF!</v>
      </c>
      <c r="U51" s="78" t="e">
        <f>IF(AND('Mapa final'!#REF!="Muy Baja",'Mapa final'!#REF!="Menor"),CONCATENATE("R6C",'Mapa final'!#REF!),"")</f>
        <v>#REF!</v>
      </c>
      <c r="V51" s="67" t="str">
        <f>IF(AND('Mapa final'!$Y$40="Muy Baja",'Mapa final'!$AA$40="Moderado"),CONCATENATE("R6C",'Mapa final'!$O$40),"")</f>
        <v/>
      </c>
      <c r="W51" s="68" t="str">
        <f>IF(AND('Mapa final'!$Y$41="Muy Baja",'Mapa final'!$AA$41="Moderado"),CONCATENATE("R6C",'Mapa final'!$O$41),"")</f>
        <v/>
      </c>
      <c r="X51" s="68" t="e">
        <f>IF(AND('Mapa final'!#REF!="Muy Baja",'Mapa final'!#REF!="Moderado"),CONCATENATE("R6C",'Mapa final'!#REF!),"")</f>
        <v>#REF!</v>
      </c>
      <c r="Y51" s="68" t="e">
        <f>IF(AND('Mapa final'!#REF!="Muy Baja",'Mapa final'!#REF!="Moderado"),CONCATENATE("R6C",'Mapa final'!#REF!),"")</f>
        <v>#REF!</v>
      </c>
      <c r="Z51" s="68" t="e">
        <f>IF(AND('Mapa final'!#REF!="Muy Baja",'Mapa final'!#REF!="Moderado"),CONCATENATE("R6C",'Mapa final'!#REF!),"")</f>
        <v>#REF!</v>
      </c>
      <c r="AA51" s="69" t="e">
        <f>IF(AND('Mapa final'!#REF!="Muy Baja",'Mapa final'!#REF!="Moderado"),CONCATENATE("R6C",'Mapa final'!#REF!),"")</f>
        <v>#REF!</v>
      </c>
      <c r="AB51" s="52" t="str">
        <f>IF(AND('Mapa final'!$Y$40="Muy Baja",'Mapa final'!$AA$40="Mayor"),CONCATENATE("R6C",'Mapa final'!$O$40),"")</f>
        <v/>
      </c>
      <c r="AC51" s="53" t="str">
        <f>IF(AND('Mapa final'!$Y$41="Muy Baja",'Mapa final'!$AA$41="Mayor"),CONCATENATE("R6C",'Mapa final'!$O$41),"")</f>
        <v/>
      </c>
      <c r="AD51" s="53" t="e">
        <f>IF(AND('Mapa final'!#REF!="Muy Baja",'Mapa final'!#REF!="Mayor"),CONCATENATE("R6C",'Mapa final'!#REF!),"")</f>
        <v>#REF!</v>
      </c>
      <c r="AE51" s="53" t="e">
        <f>IF(AND('Mapa final'!#REF!="Muy Baja",'Mapa final'!#REF!="Mayor"),CONCATENATE("R6C",'Mapa final'!#REF!),"")</f>
        <v>#REF!</v>
      </c>
      <c r="AF51" s="53" t="e">
        <f>IF(AND('Mapa final'!#REF!="Muy Baja",'Mapa final'!#REF!="Mayor"),CONCATENATE("R6C",'Mapa final'!#REF!),"")</f>
        <v>#REF!</v>
      </c>
      <c r="AG51" s="54" t="e">
        <f>IF(AND('Mapa final'!#REF!="Muy Baja",'Mapa final'!#REF!="Mayor"),CONCATENATE("R6C",'Mapa final'!#REF!),"")</f>
        <v>#REF!</v>
      </c>
      <c r="AH51" s="55" t="str">
        <f>IF(AND('Mapa final'!$Y$40="Muy Baja",'Mapa final'!$AA$40="Catastrófico"),CONCATENATE("R6C",'Mapa final'!$O$40),"")</f>
        <v/>
      </c>
      <c r="AI51" s="56" t="str">
        <f>IF(AND('Mapa final'!$Y$41="Muy Baja",'Mapa final'!$AA$41="Catastrófico"),CONCATENATE("R6C",'Mapa final'!$O$41),"")</f>
        <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43"/>
      <c r="C52" s="343"/>
      <c r="D52" s="344"/>
      <c r="E52" s="384"/>
      <c r="F52" s="385"/>
      <c r="G52" s="385"/>
      <c r="H52" s="385"/>
      <c r="I52" s="386"/>
      <c r="J52" s="76" t="str">
        <f>IF(AND('Mapa final'!$Y$42="Muy Baja",'Mapa final'!$AA$42="Leve"),CONCATENATE("R7C",'Mapa final'!$O$42),"")</f>
        <v/>
      </c>
      <c r="K52" s="77" t="e">
        <f>IF(AND('Mapa final'!#REF!="Muy Baja",'Mapa final'!#REF!="Leve"),CONCATENATE("R7C",'Mapa final'!#REF!),"")</f>
        <v>#REF!</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str">
        <f>IF(AND('Mapa final'!$Y$42="Muy Baja",'Mapa final'!$AA$42="Menor"),CONCATENATE("R7C",'Mapa final'!$O$42),"")</f>
        <v/>
      </c>
      <c r="Q52" s="77" t="e">
        <f>IF(AND('Mapa final'!#REF!="Muy Baja",'Mapa final'!#REF!="Menor"),CONCATENATE("R7C",'Mapa final'!#REF!),"")</f>
        <v>#REF!</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str">
        <f>IF(AND('Mapa final'!$Y$42="Muy Baja",'Mapa final'!$AA$42="Moderado"),CONCATENATE("R7C",'Mapa final'!$O$42),"")</f>
        <v/>
      </c>
      <c r="W52" s="68" t="e">
        <f>IF(AND('Mapa final'!#REF!="Muy Baja",'Mapa final'!#REF!="Moderado"),CONCATENATE("R7C",'Mapa final'!#REF!),"")</f>
        <v>#REF!</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str">
        <f>IF(AND('Mapa final'!$Y$42="Muy Baja",'Mapa final'!$AA$42="Mayor"),CONCATENATE("R7C",'Mapa final'!$O$42),"")</f>
        <v/>
      </c>
      <c r="AC52" s="53" t="e">
        <f>IF(AND('Mapa final'!#REF!="Muy Baja",'Mapa final'!#REF!="Mayor"),CONCATENATE("R7C",'Mapa final'!#REF!),"")</f>
        <v>#REF!</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str">
        <f>IF(AND('Mapa final'!$Y$42="Muy Baja",'Mapa final'!$AA$42="Catastrófico"),CONCATENATE("R7C",'Mapa final'!$O$42),"")</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43"/>
      <c r="C53" s="343"/>
      <c r="D53" s="344"/>
      <c r="E53" s="384"/>
      <c r="F53" s="385"/>
      <c r="G53" s="385"/>
      <c r="H53" s="385"/>
      <c r="I53" s="386"/>
      <c r="J53" s="76" t="str">
        <f>IF(AND('Mapa final'!$Y$47="Muy Baja",'Mapa final'!$AA$47="Leve"),CONCATENATE("R8C",'Mapa final'!$O$47),"")</f>
        <v/>
      </c>
      <c r="K53" s="77" t="str">
        <f>IF(AND('Mapa final'!$Y$48="Muy Baja",'Mapa final'!$AA$48="Leve"),CONCATENATE("R8C",'Mapa final'!$O$48),"")</f>
        <v/>
      </c>
      <c r="L53" s="77" t="str">
        <f>IF(AND('Mapa final'!$Y$49="Muy Baja",'Mapa final'!$AA$49="Leve"),CONCATENATE("R8C",'Mapa final'!$O$49),"")</f>
        <v/>
      </c>
      <c r="M53" s="77" t="e">
        <f>IF(AND('Mapa final'!#REF!="Muy Baja",'Mapa final'!#REF!="Leve"),CONCATENATE("R8C",'Mapa final'!#REF!),"")</f>
        <v>#REF!</v>
      </c>
      <c r="N53" s="77" t="e">
        <f>IF(AND('Mapa final'!#REF!="Muy Baja",'Mapa final'!#REF!="Leve"),CONCATENATE("R8C",'Mapa final'!#REF!),"")</f>
        <v>#REF!</v>
      </c>
      <c r="O53" s="78" t="e">
        <f>IF(AND('Mapa final'!#REF!="Muy Baja",'Mapa final'!#REF!="Leve"),CONCATENATE("R8C",'Mapa final'!#REF!),"")</f>
        <v>#REF!</v>
      </c>
      <c r="P53" s="76" t="str">
        <f>IF(AND('Mapa final'!$Y$47="Muy Baja",'Mapa final'!$AA$47="Menor"),CONCATENATE("R8C",'Mapa final'!$O$47),"")</f>
        <v/>
      </c>
      <c r="Q53" s="77" t="str">
        <f>IF(AND('Mapa final'!$Y$48="Muy Baja",'Mapa final'!$AA$48="Menor"),CONCATENATE("R8C",'Mapa final'!$O$48),"")</f>
        <v/>
      </c>
      <c r="R53" s="77" t="str">
        <f>IF(AND('Mapa final'!$Y$49="Muy Baja",'Mapa final'!$AA$49="Menor"),CONCATENATE("R8C",'Mapa final'!$O$49),"")</f>
        <v/>
      </c>
      <c r="S53" s="77" t="e">
        <f>IF(AND('Mapa final'!#REF!="Muy Baja",'Mapa final'!#REF!="Menor"),CONCATENATE("R8C",'Mapa final'!#REF!),"")</f>
        <v>#REF!</v>
      </c>
      <c r="T53" s="77" t="e">
        <f>IF(AND('Mapa final'!#REF!="Muy Baja",'Mapa final'!#REF!="Menor"),CONCATENATE("R8C",'Mapa final'!#REF!),"")</f>
        <v>#REF!</v>
      </c>
      <c r="U53" s="78" t="e">
        <f>IF(AND('Mapa final'!#REF!="Muy Baja",'Mapa final'!#REF!="Menor"),CONCATENATE("R8C",'Mapa final'!#REF!),"")</f>
        <v>#REF!</v>
      </c>
      <c r="V53" s="67" t="str">
        <f>IF(AND('Mapa final'!$Y$47="Muy Baja",'Mapa final'!$AA$47="Moderado"),CONCATENATE("R8C",'Mapa final'!$O$47),"")</f>
        <v/>
      </c>
      <c r="W53" s="68" t="str">
        <f>IF(AND('Mapa final'!$Y$48="Muy Baja",'Mapa final'!$AA$48="Moderado"),CONCATENATE("R8C",'Mapa final'!$O$48),"")</f>
        <v/>
      </c>
      <c r="X53" s="68" t="str">
        <f>IF(AND('Mapa final'!$Y$49="Muy Baja",'Mapa final'!$AA$49="Moderado"),CONCATENATE("R8C",'Mapa final'!$O$49),"")</f>
        <v/>
      </c>
      <c r="Y53" s="68" t="e">
        <f>IF(AND('Mapa final'!#REF!="Muy Baja",'Mapa final'!#REF!="Moderado"),CONCATENATE("R8C",'Mapa final'!#REF!),"")</f>
        <v>#REF!</v>
      </c>
      <c r="Z53" s="68" t="e">
        <f>IF(AND('Mapa final'!#REF!="Muy Baja",'Mapa final'!#REF!="Moderado"),CONCATENATE("R8C",'Mapa final'!#REF!),"")</f>
        <v>#REF!</v>
      </c>
      <c r="AA53" s="69" t="e">
        <f>IF(AND('Mapa final'!#REF!="Muy Baja",'Mapa final'!#REF!="Moderado"),CONCATENATE("R8C",'Mapa final'!#REF!),"")</f>
        <v>#REF!</v>
      </c>
      <c r="AB53" s="52" t="str">
        <f>IF(AND('Mapa final'!$Y$47="Muy Baja",'Mapa final'!$AA$47="Mayor"),CONCATENATE("R8C",'Mapa final'!$O$47),"")</f>
        <v/>
      </c>
      <c r="AC53" s="53" t="str">
        <f>IF(AND('Mapa final'!$Y$48="Muy Baja",'Mapa final'!$AA$48="Mayor"),CONCATENATE("R8C",'Mapa final'!$O$48),"")</f>
        <v/>
      </c>
      <c r="AD53" s="53" t="str">
        <f>IF(AND('Mapa final'!$Y$49="Muy Baja",'Mapa final'!$AA$49="Mayor"),CONCATENATE("R8C",'Mapa final'!$O$49),"")</f>
        <v/>
      </c>
      <c r="AE53" s="53" t="e">
        <f>IF(AND('Mapa final'!#REF!="Muy Baja",'Mapa final'!#REF!="Mayor"),CONCATENATE("R8C",'Mapa final'!#REF!),"")</f>
        <v>#REF!</v>
      </c>
      <c r="AF53" s="53" t="e">
        <f>IF(AND('Mapa final'!#REF!="Muy Baja",'Mapa final'!#REF!="Mayor"),CONCATENATE("R8C",'Mapa final'!#REF!),"")</f>
        <v>#REF!</v>
      </c>
      <c r="AG53" s="54" t="e">
        <f>IF(AND('Mapa final'!#REF!="Muy Baja",'Mapa final'!#REF!="Mayor"),CONCATENATE("R8C",'Mapa final'!#REF!),"")</f>
        <v>#REF!</v>
      </c>
      <c r="AH53" s="55" t="str">
        <f>IF(AND('Mapa final'!$Y$47="Muy Baja",'Mapa final'!$AA$47="Catastrófico"),CONCATENATE("R8C",'Mapa final'!$O$47),"")</f>
        <v/>
      </c>
      <c r="AI53" s="56" t="str">
        <f>IF(AND('Mapa final'!$Y$48="Muy Baja",'Mapa final'!$AA$48="Catastrófico"),CONCATENATE("R8C",'Mapa final'!$O$48),"")</f>
        <v/>
      </c>
      <c r="AJ53" s="56" t="str">
        <f>IF(AND('Mapa final'!$Y$49="Muy Baja",'Mapa final'!$AA$49="Catastrófico"),CONCATENATE("R8C",'Mapa final'!$O$49),"")</f>
        <v/>
      </c>
      <c r="AK53" s="56" t="e">
        <f>IF(AND('Mapa final'!#REF!="Muy Baja",'Mapa final'!#REF!="Catastrófico"),CONCATENATE("R8C",'Mapa final'!#REF!),"")</f>
        <v>#REF!</v>
      </c>
      <c r="AL53" s="56" t="e">
        <f>IF(AND('Mapa final'!#REF!="Muy Baja",'Mapa final'!#REF!="Catastrófico"),CONCATENATE("R8C",'Mapa final'!#REF!),"")</f>
        <v>#REF!</v>
      </c>
      <c r="AM53" s="57" t="e">
        <f>IF(AND('Mapa final'!#REF!="Muy Baja",'Mapa final'!#REF!="Catastrófico"),CONCATENATE("R8C",'Mapa final'!#REF!),"")</f>
        <v>#REF!</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43"/>
      <c r="C54" s="343"/>
      <c r="D54" s="344"/>
      <c r="E54" s="384"/>
      <c r="F54" s="385"/>
      <c r="G54" s="385"/>
      <c r="H54" s="385"/>
      <c r="I54" s="386"/>
      <c r="J54" s="76" t="e">
        <f>IF(AND('Mapa final'!#REF!="Muy Baja",'Mapa final'!#REF!="Leve"),CONCATENATE("R9C",'Mapa final'!#REF!),"")</f>
        <v>#REF!</v>
      </c>
      <c r="K54" s="77" t="e">
        <f>IF(AND('Mapa final'!#REF!="Muy Baja",'Mapa final'!#REF!="Leve"),CONCATENATE("R9C",'Mapa final'!#REF!),"")</f>
        <v>#REF!</v>
      </c>
      <c r="L54" s="77" t="e">
        <f>IF(AND('Mapa final'!#REF!="Muy Baja",'Mapa final'!#REF!="Leve"),CONCATENATE("R9C",'Mapa final'!#REF!),"")</f>
        <v>#REF!</v>
      </c>
      <c r="M54" s="77" t="e">
        <f>IF(AND('Mapa final'!#REF!="Muy Baja",'Mapa final'!#REF!="Leve"),CONCATENATE("R9C",'Mapa final'!#REF!),"")</f>
        <v>#REF!</v>
      </c>
      <c r="N54" s="77" t="e">
        <f>IF(AND('Mapa final'!#REF!="Muy Baja",'Mapa final'!#REF!="Leve"),CONCATENATE("R9C",'Mapa final'!#REF!),"")</f>
        <v>#REF!</v>
      </c>
      <c r="O54" s="78" t="e">
        <f>IF(AND('Mapa final'!#REF!="Muy Baja",'Mapa final'!#REF!="Leve"),CONCATENATE("R9C",'Mapa final'!#REF!),"")</f>
        <v>#REF!</v>
      </c>
      <c r="P54" s="76" t="e">
        <f>IF(AND('Mapa final'!#REF!="Muy Baja",'Mapa final'!#REF!="Menor"),CONCATENATE("R9C",'Mapa final'!#REF!),"")</f>
        <v>#REF!</v>
      </c>
      <c r="Q54" s="77" t="e">
        <f>IF(AND('Mapa final'!#REF!="Muy Baja",'Mapa final'!#REF!="Menor"),CONCATENATE("R9C",'Mapa final'!#REF!),"")</f>
        <v>#REF!</v>
      </c>
      <c r="R54" s="77" t="e">
        <f>IF(AND('Mapa final'!#REF!="Muy Baja",'Mapa final'!#REF!="Menor"),CONCATENATE("R9C",'Mapa final'!#REF!),"")</f>
        <v>#REF!</v>
      </c>
      <c r="S54" s="77" t="e">
        <f>IF(AND('Mapa final'!#REF!="Muy Baja",'Mapa final'!#REF!="Menor"),CONCATENATE("R9C",'Mapa final'!#REF!),"")</f>
        <v>#REF!</v>
      </c>
      <c r="T54" s="77" t="e">
        <f>IF(AND('Mapa final'!#REF!="Muy Baja",'Mapa final'!#REF!="Menor"),CONCATENATE("R9C",'Mapa final'!#REF!),"")</f>
        <v>#REF!</v>
      </c>
      <c r="U54" s="78" t="e">
        <f>IF(AND('Mapa final'!#REF!="Muy Baja",'Mapa final'!#REF!="Menor"),CONCATENATE("R9C",'Mapa final'!#REF!),"")</f>
        <v>#REF!</v>
      </c>
      <c r="V54" s="67" t="e">
        <f>IF(AND('Mapa final'!#REF!="Muy Baja",'Mapa final'!#REF!="Moderado"),CONCATENATE("R9C",'Mapa final'!#REF!),"")</f>
        <v>#REF!</v>
      </c>
      <c r="W54" s="68" t="e">
        <f>IF(AND('Mapa final'!#REF!="Muy Baja",'Mapa final'!#REF!="Moderado"),CONCATENATE("R9C",'Mapa final'!#REF!),"")</f>
        <v>#REF!</v>
      </c>
      <c r="X54" s="68" t="e">
        <f>IF(AND('Mapa final'!#REF!="Muy Baja",'Mapa final'!#REF!="Moderado"),CONCATENATE("R9C",'Mapa final'!#REF!),"")</f>
        <v>#REF!</v>
      </c>
      <c r="Y54" s="68" t="e">
        <f>IF(AND('Mapa final'!#REF!="Muy Baja",'Mapa final'!#REF!="Moderado"),CONCATENATE("R9C",'Mapa final'!#REF!),"")</f>
        <v>#REF!</v>
      </c>
      <c r="Z54" s="68" t="e">
        <f>IF(AND('Mapa final'!#REF!="Muy Baja",'Mapa final'!#REF!="Moderado"),CONCATENATE("R9C",'Mapa final'!#REF!),"")</f>
        <v>#REF!</v>
      </c>
      <c r="AA54" s="69" t="e">
        <f>IF(AND('Mapa final'!#REF!="Muy Baja",'Mapa final'!#REF!="Moderado"),CONCATENATE("R9C",'Mapa final'!#REF!),"")</f>
        <v>#REF!</v>
      </c>
      <c r="AB54" s="52" t="e">
        <f>IF(AND('Mapa final'!#REF!="Muy Baja",'Mapa final'!#REF!="Mayor"),CONCATENATE("R9C",'Mapa final'!#REF!),"")</f>
        <v>#REF!</v>
      </c>
      <c r="AC54" s="53" t="e">
        <f>IF(AND('Mapa final'!#REF!="Muy Baja",'Mapa final'!#REF!="Mayor"),CONCATENATE("R9C",'Mapa final'!#REF!),"")</f>
        <v>#REF!</v>
      </c>
      <c r="AD54" s="53" t="e">
        <f>IF(AND('Mapa final'!#REF!="Muy Baja",'Mapa final'!#REF!="Mayor"),CONCATENATE("R9C",'Mapa final'!#REF!),"")</f>
        <v>#REF!</v>
      </c>
      <c r="AE54" s="53" t="e">
        <f>IF(AND('Mapa final'!#REF!="Muy Baja",'Mapa final'!#REF!="Mayor"),CONCATENATE("R9C",'Mapa final'!#REF!),"")</f>
        <v>#REF!</v>
      </c>
      <c r="AF54" s="53" t="e">
        <f>IF(AND('Mapa final'!#REF!="Muy Baja",'Mapa final'!#REF!="Mayor"),CONCATENATE("R9C",'Mapa final'!#REF!),"")</f>
        <v>#REF!</v>
      </c>
      <c r="AG54" s="54" t="e">
        <f>IF(AND('Mapa final'!#REF!="Muy Baja",'Mapa final'!#REF!="Mayor"),CONCATENATE("R9C",'Mapa final'!#REF!),"")</f>
        <v>#REF!</v>
      </c>
      <c r="AH54" s="55" t="e">
        <f>IF(AND('Mapa final'!#REF!="Muy Baja",'Mapa final'!#REF!="Catastrófico"),CONCATENATE("R9C",'Mapa final'!#REF!),"")</f>
        <v>#REF!</v>
      </c>
      <c r="AI54" s="56" t="e">
        <f>IF(AND('Mapa final'!#REF!="Muy Baja",'Mapa final'!#REF!="Catastrófico"),CONCATENATE("R9C",'Mapa final'!#REF!),"")</f>
        <v>#REF!</v>
      </c>
      <c r="AJ54" s="56" t="e">
        <f>IF(AND('Mapa final'!#REF!="Muy Baja",'Mapa final'!#REF!="Catastrófico"),CONCATENATE("R9C",'Mapa final'!#REF!),"")</f>
        <v>#REF!</v>
      </c>
      <c r="AK54" s="56" t="e">
        <f>IF(AND('Mapa final'!#REF!="Muy Baja",'Mapa final'!#REF!="Catastrófico"),CONCATENATE("R9C",'Mapa final'!#REF!),"")</f>
        <v>#REF!</v>
      </c>
      <c r="AL54" s="56" t="e">
        <f>IF(AND('Mapa final'!#REF!="Muy Baja",'Mapa final'!#REF!="Catastrófico"),CONCATENATE("R9C",'Mapa final'!#REF!),"")</f>
        <v>#REF!</v>
      </c>
      <c r="AM54" s="57" t="e">
        <f>IF(AND('Mapa final'!#REF!="Muy Baja",'Mapa final'!#REF!="Catastrófico"),CONCATENATE("R9C",'Mapa final'!#REF!),"")</f>
        <v>#REF!</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43"/>
      <c r="C55" s="343"/>
      <c r="D55" s="344"/>
      <c r="E55" s="387"/>
      <c r="F55" s="388"/>
      <c r="G55" s="388"/>
      <c r="H55" s="388"/>
      <c r="I55" s="389"/>
      <c r="J55" s="79" t="e">
        <f>IF(AND('Mapa final'!#REF!="Muy Baja",'Mapa final'!#REF!="Leve"),CONCATENATE("R10C",'Mapa final'!#REF!),"")</f>
        <v>#REF!</v>
      </c>
      <c r="K55" s="80" t="e">
        <f>IF(AND('Mapa final'!#REF!="Muy Baja",'Mapa final'!#REF!="Leve"),CONCATENATE("R10C",'Mapa final'!#REF!),"")</f>
        <v>#REF!</v>
      </c>
      <c r="L55" s="80" t="e">
        <f>IF(AND('Mapa final'!#REF!="Muy Baja",'Mapa final'!#REF!="Leve"),CONCATENATE("R10C",'Mapa final'!#REF!),"")</f>
        <v>#REF!</v>
      </c>
      <c r="M55" s="80" t="e">
        <f>IF(AND('Mapa final'!#REF!="Muy Baja",'Mapa final'!#REF!="Leve"),CONCATENATE("R10C",'Mapa final'!#REF!),"")</f>
        <v>#REF!</v>
      </c>
      <c r="N55" s="80" t="e">
        <f>IF(AND('Mapa final'!#REF!="Muy Baja",'Mapa final'!#REF!="Leve"),CONCATENATE("R10C",'Mapa final'!#REF!),"")</f>
        <v>#REF!</v>
      </c>
      <c r="O55" s="81" t="e">
        <f>IF(AND('Mapa final'!#REF!="Muy Baja",'Mapa final'!#REF!="Leve"),CONCATENATE("R10C",'Mapa final'!#REF!),"")</f>
        <v>#REF!</v>
      </c>
      <c r="P55" s="79" t="e">
        <f>IF(AND('Mapa final'!#REF!="Muy Baja",'Mapa final'!#REF!="Menor"),CONCATENATE("R10C",'Mapa final'!#REF!),"")</f>
        <v>#REF!</v>
      </c>
      <c r="Q55" s="80" t="e">
        <f>IF(AND('Mapa final'!#REF!="Muy Baja",'Mapa final'!#REF!="Menor"),CONCATENATE("R10C",'Mapa final'!#REF!),"")</f>
        <v>#REF!</v>
      </c>
      <c r="R55" s="80" t="e">
        <f>IF(AND('Mapa final'!#REF!="Muy Baja",'Mapa final'!#REF!="Menor"),CONCATENATE("R10C",'Mapa final'!#REF!),"")</f>
        <v>#REF!</v>
      </c>
      <c r="S55" s="80" t="e">
        <f>IF(AND('Mapa final'!#REF!="Muy Baja",'Mapa final'!#REF!="Menor"),CONCATENATE("R10C",'Mapa final'!#REF!),"")</f>
        <v>#REF!</v>
      </c>
      <c r="T55" s="80" t="e">
        <f>IF(AND('Mapa final'!#REF!="Muy Baja",'Mapa final'!#REF!="Menor"),CONCATENATE("R10C",'Mapa final'!#REF!),"")</f>
        <v>#REF!</v>
      </c>
      <c r="U55" s="81" t="e">
        <f>IF(AND('Mapa final'!#REF!="Muy Baja",'Mapa final'!#REF!="Menor"),CONCATENATE("R10C",'Mapa final'!#REF!),"")</f>
        <v>#REF!</v>
      </c>
      <c r="V55" s="70" t="e">
        <f>IF(AND('Mapa final'!#REF!="Muy Baja",'Mapa final'!#REF!="Moderado"),CONCATENATE("R10C",'Mapa final'!#REF!),"")</f>
        <v>#REF!</v>
      </c>
      <c r="W55" s="71" t="e">
        <f>IF(AND('Mapa final'!#REF!="Muy Baja",'Mapa final'!#REF!="Moderado"),CONCATENATE("R10C",'Mapa final'!#REF!),"")</f>
        <v>#REF!</v>
      </c>
      <c r="X55" s="71" t="e">
        <f>IF(AND('Mapa final'!#REF!="Muy Baja",'Mapa final'!#REF!="Moderado"),CONCATENATE("R10C",'Mapa final'!#REF!),"")</f>
        <v>#REF!</v>
      </c>
      <c r="Y55" s="71" t="e">
        <f>IF(AND('Mapa final'!#REF!="Muy Baja",'Mapa final'!#REF!="Moderado"),CONCATENATE("R10C",'Mapa final'!#REF!),"")</f>
        <v>#REF!</v>
      </c>
      <c r="Z55" s="71" t="e">
        <f>IF(AND('Mapa final'!#REF!="Muy Baja",'Mapa final'!#REF!="Moderado"),CONCATENATE("R10C",'Mapa final'!#REF!),"")</f>
        <v>#REF!</v>
      </c>
      <c r="AA55" s="72" t="e">
        <f>IF(AND('Mapa final'!#REF!="Muy Baja",'Mapa final'!#REF!="Moderado"),CONCATENATE("R10C",'Mapa final'!#REF!),"")</f>
        <v>#REF!</v>
      </c>
      <c r="AB55" s="58" t="e">
        <f>IF(AND('Mapa final'!#REF!="Muy Baja",'Mapa final'!#REF!="Mayor"),CONCATENATE("R10C",'Mapa final'!#REF!),"")</f>
        <v>#REF!</v>
      </c>
      <c r="AC55" s="59" t="e">
        <f>IF(AND('Mapa final'!#REF!="Muy Baja",'Mapa final'!#REF!="Mayor"),CONCATENATE("R10C",'Mapa final'!#REF!),"")</f>
        <v>#REF!</v>
      </c>
      <c r="AD55" s="59" t="e">
        <f>IF(AND('Mapa final'!#REF!="Muy Baja",'Mapa final'!#REF!="Mayor"),CONCATENATE("R10C",'Mapa final'!#REF!),"")</f>
        <v>#REF!</v>
      </c>
      <c r="AE55" s="59" t="e">
        <f>IF(AND('Mapa final'!#REF!="Muy Baja",'Mapa final'!#REF!="Mayor"),CONCATENATE("R10C",'Mapa final'!#REF!),"")</f>
        <v>#REF!</v>
      </c>
      <c r="AF55" s="59" t="e">
        <f>IF(AND('Mapa final'!#REF!="Muy Baja",'Mapa final'!#REF!="Mayor"),CONCATENATE("R10C",'Mapa final'!#REF!),"")</f>
        <v>#REF!</v>
      </c>
      <c r="AG55" s="60" t="e">
        <f>IF(AND('Mapa final'!#REF!="Muy Baja",'Mapa final'!#REF!="Mayor"),CONCATENATE("R10C",'Mapa final'!#REF!),"")</f>
        <v>#REF!</v>
      </c>
      <c r="AH55" s="61" t="e">
        <f>IF(AND('Mapa final'!#REF!="Muy Baja",'Mapa final'!#REF!="Catastrófico"),CONCATENATE("R10C",'Mapa final'!#REF!),"")</f>
        <v>#REF!</v>
      </c>
      <c r="AI55" s="62" t="e">
        <f>IF(AND('Mapa final'!#REF!="Muy Baja",'Mapa final'!#REF!="Catastrófico"),CONCATENATE("R10C",'Mapa final'!#REF!),"")</f>
        <v>#REF!</v>
      </c>
      <c r="AJ55" s="62" t="e">
        <f>IF(AND('Mapa final'!#REF!="Muy Baja",'Mapa final'!#REF!="Catastrófico"),CONCATENATE("R10C",'Mapa final'!#REF!),"")</f>
        <v>#REF!</v>
      </c>
      <c r="AK55" s="62" t="e">
        <f>IF(AND('Mapa final'!#REF!="Muy Baja",'Mapa final'!#REF!="Catastrófico"),CONCATENATE("R10C",'Mapa final'!#REF!),"")</f>
        <v>#REF!</v>
      </c>
      <c r="AL55" s="62" t="e">
        <f>IF(AND('Mapa final'!#REF!="Muy Baja",'Mapa final'!#REF!="Catastrófico"),CONCATENATE("R10C",'Mapa final'!#REF!),"")</f>
        <v>#REF!</v>
      </c>
      <c r="AM55" s="63" t="e">
        <f>IF(AND('Mapa final'!#REF!="Muy Baja",'Mapa final'!#REF!="Catastrófico"),CONCATENATE("R10C",'Mapa final'!#REF!),"")</f>
        <v>#REF!</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81" t="s">
        <v>101</v>
      </c>
      <c r="K56" s="382"/>
      <c r="L56" s="382"/>
      <c r="M56" s="382"/>
      <c r="N56" s="382"/>
      <c r="O56" s="383"/>
      <c r="P56" s="381" t="s">
        <v>102</v>
      </c>
      <c r="Q56" s="382"/>
      <c r="R56" s="382"/>
      <c r="S56" s="382"/>
      <c r="T56" s="382"/>
      <c r="U56" s="383"/>
      <c r="V56" s="381" t="s">
        <v>103</v>
      </c>
      <c r="W56" s="382"/>
      <c r="X56" s="382"/>
      <c r="Y56" s="382"/>
      <c r="Z56" s="382"/>
      <c r="AA56" s="383"/>
      <c r="AB56" s="381" t="s">
        <v>104</v>
      </c>
      <c r="AC56" s="390"/>
      <c r="AD56" s="382"/>
      <c r="AE56" s="382"/>
      <c r="AF56" s="382"/>
      <c r="AG56" s="383"/>
      <c r="AH56" s="381" t="s">
        <v>105</v>
      </c>
      <c r="AI56" s="382"/>
      <c r="AJ56" s="382"/>
      <c r="AK56" s="382"/>
      <c r="AL56" s="382"/>
      <c r="AM56" s="3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84"/>
      <c r="K57" s="385"/>
      <c r="L57" s="385"/>
      <c r="M57" s="385"/>
      <c r="N57" s="385"/>
      <c r="O57" s="386"/>
      <c r="P57" s="384"/>
      <c r="Q57" s="385"/>
      <c r="R57" s="385"/>
      <c r="S57" s="385"/>
      <c r="T57" s="385"/>
      <c r="U57" s="386"/>
      <c r="V57" s="384"/>
      <c r="W57" s="385"/>
      <c r="X57" s="385"/>
      <c r="Y57" s="385"/>
      <c r="Z57" s="385"/>
      <c r="AA57" s="386"/>
      <c r="AB57" s="384"/>
      <c r="AC57" s="385"/>
      <c r="AD57" s="385"/>
      <c r="AE57" s="385"/>
      <c r="AF57" s="385"/>
      <c r="AG57" s="386"/>
      <c r="AH57" s="384"/>
      <c r="AI57" s="385"/>
      <c r="AJ57" s="385"/>
      <c r="AK57" s="385"/>
      <c r="AL57" s="385"/>
      <c r="AM57" s="386"/>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84"/>
      <c r="K58" s="385"/>
      <c r="L58" s="385"/>
      <c r="M58" s="385"/>
      <c r="N58" s="385"/>
      <c r="O58" s="386"/>
      <c r="P58" s="384"/>
      <c r="Q58" s="385"/>
      <c r="R58" s="385"/>
      <c r="S58" s="385"/>
      <c r="T58" s="385"/>
      <c r="U58" s="386"/>
      <c r="V58" s="384"/>
      <c r="W58" s="385"/>
      <c r="X58" s="385"/>
      <c r="Y58" s="385"/>
      <c r="Z58" s="385"/>
      <c r="AA58" s="386"/>
      <c r="AB58" s="384"/>
      <c r="AC58" s="385"/>
      <c r="AD58" s="385"/>
      <c r="AE58" s="385"/>
      <c r="AF58" s="385"/>
      <c r="AG58" s="386"/>
      <c r="AH58" s="384"/>
      <c r="AI58" s="385"/>
      <c r="AJ58" s="385"/>
      <c r="AK58" s="385"/>
      <c r="AL58" s="385"/>
      <c r="AM58" s="386"/>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84"/>
      <c r="K59" s="385"/>
      <c r="L59" s="385"/>
      <c r="M59" s="385"/>
      <c r="N59" s="385"/>
      <c r="O59" s="386"/>
      <c r="P59" s="384"/>
      <c r="Q59" s="385"/>
      <c r="R59" s="385"/>
      <c r="S59" s="385"/>
      <c r="T59" s="385"/>
      <c r="U59" s="386"/>
      <c r="V59" s="384"/>
      <c r="W59" s="385"/>
      <c r="X59" s="385"/>
      <c r="Y59" s="385"/>
      <c r="Z59" s="385"/>
      <c r="AA59" s="386"/>
      <c r="AB59" s="384"/>
      <c r="AC59" s="385"/>
      <c r="AD59" s="385"/>
      <c r="AE59" s="385"/>
      <c r="AF59" s="385"/>
      <c r="AG59" s="386"/>
      <c r="AH59" s="384"/>
      <c r="AI59" s="385"/>
      <c r="AJ59" s="385"/>
      <c r="AK59" s="385"/>
      <c r="AL59" s="385"/>
      <c r="AM59" s="386"/>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84"/>
      <c r="K60" s="385"/>
      <c r="L60" s="385"/>
      <c r="M60" s="385"/>
      <c r="N60" s="385"/>
      <c r="O60" s="386"/>
      <c r="P60" s="384"/>
      <c r="Q60" s="385"/>
      <c r="R60" s="385"/>
      <c r="S60" s="385"/>
      <c r="T60" s="385"/>
      <c r="U60" s="386"/>
      <c r="V60" s="384"/>
      <c r="W60" s="385"/>
      <c r="X60" s="385"/>
      <c r="Y60" s="385"/>
      <c r="Z60" s="385"/>
      <c r="AA60" s="386"/>
      <c r="AB60" s="384"/>
      <c r="AC60" s="385"/>
      <c r="AD60" s="385"/>
      <c r="AE60" s="385"/>
      <c r="AF60" s="385"/>
      <c r="AG60" s="386"/>
      <c r="AH60" s="384"/>
      <c r="AI60" s="385"/>
      <c r="AJ60" s="385"/>
      <c r="AK60" s="385"/>
      <c r="AL60" s="385"/>
      <c r="AM60" s="386"/>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87"/>
      <c r="K61" s="388"/>
      <c r="L61" s="388"/>
      <c r="M61" s="388"/>
      <c r="N61" s="388"/>
      <c r="O61" s="389"/>
      <c r="P61" s="387"/>
      <c r="Q61" s="388"/>
      <c r="R61" s="388"/>
      <c r="S61" s="388"/>
      <c r="T61" s="388"/>
      <c r="U61" s="389"/>
      <c r="V61" s="387"/>
      <c r="W61" s="388"/>
      <c r="X61" s="388"/>
      <c r="Y61" s="388"/>
      <c r="Z61" s="388"/>
      <c r="AA61" s="389"/>
      <c r="AB61" s="387"/>
      <c r="AC61" s="388"/>
      <c r="AD61" s="388"/>
      <c r="AE61" s="388"/>
      <c r="AF61" s="388"/>
      <c r="AG61" s="389"/>
      <c r="AH61" s="387"/>
      <c r="AI61" s="388"/>
      <c r="AJ61" s="388"/>
      <c r="AK61" s="388"/>
      <c r="AL61" s="388"/>
      <c r="AM61" s="389"/>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30" t="s">
        <v>107</v>
      </c>
      <c r="C1" s="430"/>
      <c r="D1" s="430"/>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3"/>
      <c r="B1" s="431" t="s">
        <v>119</v>
      </c>
      <c r="C1" s="431"/>
      <c r="D1" s="431"/>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60" x14ac:dyDescent="0.25">
      <c r="A3" s="83"/>
      <c r="B3" s="104"/>
      <c r="C3" s="36" t="s">
        <v>120</v>
      </c>
      <c r="D3" s="36" t="s">
        <v>121</v>
      </c>
      <c r="E3" s="36" t="s">
        <v>236</v>
      </c>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37" t="s">
        <v>237</v>
      </c>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241</v>
      </c>
      <c r="E5" s="38" t="s">
        <v>238</v>
      </c>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38" t="s">
        <v>239</v>
      </c>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38" t="s">
        <v>240</v>
      </c>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38" t="s">
        <v>242</v>
      </c>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c r="F222" t="s">
        <v>236</v>
      </c>
    </row>
    <row r="223" spans="1:8" x14ac:dyDescent="0.25">
      <c r="B223" s="32" t="str">
        <v>Pérdida Reputacional</v>
      </c>
      <c r="C223" s="32"/>
      <c r="F223" t="s">
        <v>237</v>
      </c>
    </row>
    <row r="224" spans="1:8" x14ac:dyDescent="0.25">
      <c r="B224" s="22"/>
      <c r="C224" s="22"/>
      <c r="F224" t="s">
        <v>238</v>
      </c>
    </row>
    <row r="225" spans="2:6" x14ac:dyDescent="0.25">
      <c r="B225" s="22"/>
      <c r="C225" s="22"/>
      <c r="F225" t="s">
        <v>239</v>
      </c>
    </row>
    <row r="226" spans="2:6" x14ac:dyDescent="0.25">
      <c r="B226" s="22"/>
      <c r="C226" s="22"/>
      <c r="F226" t="s">
        <v>240</v>
      </c>
    </row>
    <row r="227" spans="2:6" x14ac:dyDescent="0.25">
      <c r="B227" s="22"/>
      <c r="C227" s="22"/>
      <c r="D227" s="22"/>
      <c r="F227" t="s">
        <v>242</v>
      </c>
    </row>
    <row r="228" spans="2:6" x14ac:dyDescent="0.25">
      <c r="B228" s="22"/>
      <c r="C228" s="22"/>
      <c r="D228" s="22"/>
      <c r="F228" s="35" t="s">
        <v>157</v>
      </c>
    </row>
    <row r="229" spans="2:6" x14ac:dyDescent="0.25">
      <c r="B229" s="22"/>
      <c r="C229" s="22"/>
      <c r="D229" s="22"/>
      <c r="F229" s="35" t="s">
        <v>158</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G16" sqref="G16"/>
    </sheetView>
  </sheetViews>
  <sheetFormatPr baseColWidth="10" defaultRowHeight="15.75" x14ac:dyDescent="0.25"/>
  <cols>
    <col min="1" max="3" width="11.42578125" style="157"/>
    <col min="4" max="4" width="25.42578125" style="157" customWidth="1"/>
    <col min="5" max="5" width="22.5703125" style="157" customWidth="1"/>
    <col min="6" max="6" width="23.7109375" style="157" customWidth="1"/>
    <col min="7" max="7" width="45.85546875" style="157" customWidth="1"/>
    <col min="8" max="16384" width="11.42578125" style="157"/>
  </cols>
  <sheetData>
    <row r="2" spans="3:10" ht="16.5" thickBot="1" x14ac:dyDescent="0.3"/>
    <row r="3" spans="3:10" ht="32.25" thickBot="1" x14ac:dyDescent="0.3">
      <c r="C3" s="158" t="s">
        <v>243</v>
      </c>
      <c r="D3" s="159" t="s">
        <v>244</v>
      </c>
      <c r="E3" s="436" t="s">
        <v>245</v>
      </c>
      <c r="F3" s="437"/>
      <c r="G3" s="438"/>
      <c r="J3" s="170" t="s">
        <v>13</v>
      </c>
    </row>
    <row r="4" spans="3:10" x14ac:dyDescent="0.25">
      <c r="C4" s="432">
        <v>1</v>
      </c>
      <c r="D4" s="160" t="s">
        <v>9</v>
      </c>
      <c r="E4" s="161" t="s">
        <v>247</v>
      </c>
      <c r="F4" s="161" t="s">
        <v>249</v>
      </c>
      <c r="G4" s="172" t="s">
        <v>251</v>
      </c>
      <c r="H4" s="173"/>
      <c r="J4" s="171">
        <f>+H4*H6*H9*H11*H13*H15</f>
        <v>0</v>
      </c>
    </row>
    <row r="5" spans="3:10" ht="63.75" thickBot="1" x14ac:dyDescent="0.3">
      <c r="C5" s="433"/>
      <c r="D5" s="162" t="s">
        <v>246</v>
      </c>
      <c r="E5" s="163" t="s">
        <v>248</v>
      </c>
      <c r="F5" s="163" t="s">
        <v>250</v>
      </c>
      <c r="G5" s="165" t="s">
        <v>252</v>
      </c>
      <c r="H5" s="169"/>
    </row>
    <row r="6" spans="3:10" x14ac:dyDescent="0.25">
      <c r="C6" s="432">
        <v>2</v>
      </c>
      <c r="D6" s="160" t="s">
        <v>91</v>
      </c>
      <c r="E6" s="161" t="s">
        <v>255</v>
      </c>
      <c r="F6" s="161" t="s">
        <v>257</v>
      </c>
      <c r="G6" s="172" t="s">
        <v>259</v>
      </c>
      <c r="H6" s="173"/>
    </row>
    <row r="7" spans="3:10" ht="78.75" x14ac:dyDescent="0.25">
      <c r="C7" s="439"/>
      <c r="D7" s="160" t="s">
        <v>253</v>
      </c>
      <c r="E7" s="161" t="s">
        <v>256</v>
      </c>
      <c r="F7" s="161" t="s">
        <v>258</v>
      </c>
      <c r="G7" s="161" t="s">
        <v>260</v>
      </c>
    </row>
    <row r="8" spans="3:10" ht="16.5" thickBot="1" x14ac:dyDescent="0.3">
      <c r="C8" s="433"/>
      <c r="D8" s="162" t="s">
        <v>254</v>
      </c>
      <c r="E8" s="164"/>
      <c r="F8" s="164"/>
      <c r="G8" s="164"/>
    </row>
    <row r="9" spans="3:10" x14ac:dyDescent="0.25">
      <c r="C9" s="432">
        <v>3</v>
      </c>
      <c r="D9" s="160" t="s">
        <v>261</v>
      </c>
      <c r="E9" s="161" t="s">
        <v>263</v>
      </c>
      <c r="F9" s="161" t="s">
        <v>265</v>
      </c>
      <c r="G9" s="172" t="s">
        <v>267</v>
      </c>
      <c r="H9" s="173"/>
    </row>
    <row r="10" spans="3:10" ht="63.75" thickBot="1" x14ac:dyDescent="0.3">
      <c r="C10" s="433"/>
      <c r="D10" s="162" t="s">
        <v>262</v>
      </c>
      <c r="E10" s="163" t="s">
        <v>264</v>
      </c>
      <c r="F10" s="163" t="s">
        <v>266</v>
      </c>
      <c r="G10" s="163" t="s">
        <v>268</v>
      </c>
    </row>
    <row r="11" spans="3:10" x14ac:dyDescent="0.25">
      <c r="C11" s="432">
        <v>4</v>
      </c>
      <c r="D11" s="166" t="s">
        <v>269</v>
      </c>
      <c r="E11" s="167" t="s">
        <v>271</v>
      </c>
      <c r="F11" s="167" t="s">
        <v>272</v>
      </c>
      <c r="G11" s="174" t="s">
        <v>273</v>
      </c>
      <c r="H11" s="173"/>
    </row>
    <row r="12" spans="3:10" ht="95.25" thickBot="1" x14ac:dyDescent="0.3">
      <c r="C12" s="433"/>
      <c r="D12" s="162" t="s">
        <v>270</v>
      </c>
      <c r="E12" s="163" t="s">
        <v>287</v>
      </c>
      <c r="F12" s="163" t="s">
        <v>286</v>
      </c>
      <c r="G12" s="163" t="s">
        <v>274</v>
      </c>
    </row>
    <row r="13" spans="3:10" x14ac:dyDescent="0.25">
      <c r="C13" s="439">
        <v>5</v>
      </c>
      <c r="D13" s="160" t="s">
        <v>275</v>
      </c>
      <c r="E13" s="161" t="s">
        <v>255</v>
      </c>
      <c r="F13" s="161" t="s">
        <v>278</v>
      </c>
      <c r="G13" s="172" t="s">
        <v>259</v>
      </c>
      <c r="H13" s="173"/>
    </row>
    <row r="14" spans="3:10" ht="79.5" thickBot="1" x14ac:dyDescent="0.3">
      <c r="C14" s="433"/>
      <c r="D14" s="162" t="s">
        <v>276</v>
      </c>
      <c r="E14" s="163" t="s">
        <v>277</v>
      </c>
      <c r="F14" s="163" t="s">
        <v>279</v>
      </c>
      <c r="G14" s="163" t="s">
        <v>280</v>
      </c>
    </row>
    <row r="15" spans="3:10" x14ac:dyDescent="0.25">
      <c r="C15" s="432">
        <v>6</v>
      </c>
      <c r="D15" s="160" t="s">
        <v>281</v>
      </c>
      <c r="E15" s="161" t="s">
        <v>255</v>
      </c>
      <c r="F15" s="434" t="s">
        <v>284</v>
      </c>
      <c r="G15" s="172" t="s">
        <v>259</v>
      </c>
      <c r="H15" s="173"/>
    </row>
    <row r="16" spans="3:10" ht="79.5" thickBot="1" x14ac:dyDescent="0.3">
      <c r="C16" s="433"/>
      <c r="D16" s="162" t="s">
        <v>282</v>
      </c>
      <c r="E16" s="163" t="s">
        <v>283</v>
      </c>
      <c r="F16" s="435"/>
      <c r="G16" s="163" t="s">
        <v>285</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2022-04-29T20:31:25Z</dcterms:modified>
  <cp:category/>
  <cp:contentStatus/>
</cp:coreProperties>
</file>