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4/4. Abril/Caso HOLA 36828/"/>
    </mc:Choice>
  </mc:AlternateContent>
  <xr:revisionPtr revIDLastSave="17" documentId="11_14DCBB3AB0838C4C5EE9EA8C961958D10FE83B6C" xr6:coauthVersionLast="47" xr6:coauthVersionMax="47" xr10:uidLastSave="{FDE2D2A3-FE9A-4DBE-A1F8-7A6CD19A8C2A}"/>
  <bookViews>
    <workbookView xWindow="-120" yWindow="-120" windowWidth="29040" windowHeight="15840" tabRatio="882" activeTab="2" xr2:uid="{00000000-000D-0000-FFFF-FFFF00000000}"/>
  </bookViews>
  <sheets>
    <sheet name="Instructivo" sheetId="20" r:id="rId1"/>
    <sheet name="Contexto proceso" sheetId="21" r:id="rId2"/>
    <sheet name="Mapa final NC" sheetId="1" r:id="rId3"/>
    <sheet name="Mapa final NL" sheetId="24" r:id="rId4"/>
    <sheet name="Impacto-clasificacion" sheetId="22" state="hidden" r:id="rId5"/>
    <sheet name="Matriz Calor Inherente" sheetId="18" r:id="rId6"/>
    <sheet name="Matriz Calor Residual" sheetId="19" r:id="rId7"/>
    <sheet name="Tabla probabilidad" sheetId="12" r:id="rId8"/>
    <sheet name="Tabla Impacto" sheetId="13" r:id="rId9"/>
    <sheet name="Criterios riesgos amb." sheetId="23" r:id="rId10"/>
    <sheet name="Tabla Valoración controles" sheetId="15" r:id="rId11"/>
    <sheet name="Opciones Tratamiento" sheetId="16" state="hidden" r:id="rId12"/>
    <sheet name="Hoja1" sheetId="11" state="hidden" r:id="rId13"/>
  </sheets>
  <externalReferences>
    <externalReference r:id="rId14"/>
    <externalReference r:id="rId15"/>
    <externalReference r:id="rId16"/>
    <externalReference r:id="rId17"/>
    <externalReference r:id="rId18"/>
    <externalReference r:id="rId19"/>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9"/>
  <pivotCaches>
    <pivotCache cacheId="0"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7" i="24" l="1"/>
  <c r="Q57" i="24"/>
  <c r="H57" i="24"/>
  <c r="T55" i="24"/>
  <c r="Q55" i="24"/>
  <c r="H55" i="24"/>
  <c r="I55" i="24" s="1"/>
  <c r="T54" i="24"/>
  <c r="Q54" i="24"/>
  <c r="H54" i="24"/>
  <c r="I54" i="24" s="1"/>
  <c r="T53" i="24"/>
  <c r="Q53" i="24"/>
  <c r="H53" i="24"/>
  <c r="I53" i="24" s="1"/>
  <c r="T52" i="24"/>
  <c r="Q52" i="24"/>
  <c r="H52" i="24"/>
  <c r="T55" i="1"/>
  <c r="Q55" i="1"/>
  <c r="T54" i="1"/>
  <c r="Q54" i="1"/>
  <c r="T53" i="1"/>
  <c r="Q53" i="1"/>
  <c r="T52" i="1"/>
  <c r="Q52" i="1"/>
  <c r="T51" i="1"/>
  <c r="Q51" i="1"/>
  <c r="T50" i="1"/>
  <c r="Q50" i="1"/>
  <c r="AB50" i="1" s="1"/>
  <c r="AA50" i="1" s="1"/>
  <c r="H50" i="1"/>
  <c r="I50" i="1" s="1"/>
  <c r="T48" i="1"/>
  <c r="Q48" i="1"/>
  <c r="H48" i="1"/>
  <c r="Q40" i="1"/>
  <c r="X41" i="1" s="1"/>
  <c r="T40" i="1"/>
  <c r="T50" i="24"/>
  <c r="Q50" i="24"/>
  <c r="H50" i="24"/>
  <c r="I50" i="24" s="1"/>
  <c r="T49" i="24"/>
  <c r="Q49" i="24"/>
  <c r="H49" i="24"/>
  <c r="I49" i="24" s="1"/>
  <c r="T48" i="24"/>
  <c r="Q48" i="24"/>
  <c r="H48" i="24"/>
  <c r="T46" i="24"/>
  <c r="Q46" i="24"/>
  <c r="X47" i="24" s="1"/>
  <c r="M46" i="24"/>
  <c r="H46" i="24"/>
  <c r="N46" i="24" s="1"/>
  <c r="T45" i="24"/>
  <c r="Q45" i="24"/>
  <c r="H45" i="24"/>
  <c r="T39" i="24"/>
  <c r="Q39" i="24"/>
  <c r="H39" i="24"/>
  <c r="I39" i="24" s="1"/>
  <c r="T36" i="24"/>
  <c r="Q36" i="24"/>
  <c r="H36" i="24"/>
  <c r="T35" i="24"/>
  <c r="Q35" i="24"/>
  <c r="H35" i="24"/>
  <c r="I35" i="24" s="1"/>
  <c r="T34" i="24"/>
  <c r="Q34" i="24"/>
  <c r="T33" i="24"/>
  <c r="Q33" i="24"/>
  <c r="H33" i="24"/>
  <c r="T30" i="24"/>
  <c r="Q30" i="24"/>
  <c r="T29" i="24"/>
  <c r="Q29" i="24"/>
  <c r="T28" i="24"/>
  <c r="Q28" i="24"/>
  <c r="H28" i="24"/>
  <c r="K42" i="24"/>
  <c r="K43" i="24"/>
  <c r="K40" i="24"/>
  <c r="K38" i="24"/>
  <c r="K59" i="24"/>
  <c r="K51" i="1"/>
  <c r="K31" i="24"/>
  <c r="K29" i="24"/>
  <c r="K53" i="1"/>
  <c r="K51" i="24"/>
  <c r="K47" i="24"/>
  <c r="K44" i="24"/>
  <c r="K30" i="24"/>
  <c r="K56" i="24"/>
  <c r="K54" i="1"/>
  <c r="K55" i="1"/>
  <c r="K37" i="24"/>
  <c r="K52" i="1"/>
  <c r="K41" i="24"/>
  <c r="K34" i="24"/>
  <c r="K62" i="24"/>
  <c r="K60" i="24"/>
  <c r="K58" i="24"/>
  <c r="K32" i="24"/>
  <c r="K49" i="1"/>
  <c r="K61" i="24"/>
  <c r="AB54" i="1" l="1"/>
  <c r="AA54" i="1" s="1"/>
  <c r="X60" i="24"/>
  <c r="AB53" i="1"/>
  <c r="AA53" i="1" s="1"/>
  <c r="N57" i="24"/>
  <c r="X54" i="24"/>
  <c r="X61" i="24"/>
  <c r="I57" i="24"/>
  <c r="X57" i="24" s="1"/>
  <c r="X58" i="24"/>
  <c r="X62" i="24"/>
  <c r="X59" i="24"/>
  <c r="X55" i="24"/>
  <c r="N53" i="24"/>
  <c r="X56" i="24"/>
  <c r="N52" i="24"/>
  <c r="M53" i="24"/>
  <c r="AB53" i="24" s="1"/>
  <c r="AA53" i="24" s="1"/>
  <c r="X53" i="24"/>
  <c r="X49" i="24"/>
  <c r="Z49" i="24" s="1"/>
  <c r="I52" i="24"/>
  <c r="X52" i="24" s="1"/>
  <c r="Z52" i="24" s="1"/>
  <c r="X44" i="24"/>
  <c r="X31" i="24"/>
  <c r="X35" i="24"/>
  <c r="Z35" i="24" s="1"/>
  <c r="X42" i="24"/>
  <c r="I46" i="24"/>
  <c r="X46" i="24" s="1"/>
  <c r="X40" i="24"/>
  <c r="N48" i="24"/>
  <c r="X51" i="24"/>
  <c r="AB52" i="1"/>
  <c r="AA52" i="1" s="1"/>
  <c r="X53" i="1"/>
  <c r="Z53" i="1" s="1"/>
  <c r="AB55" i="1"/>
  <c r="AA55" i="1" s="1"/>
  <c r="X50" i="1"/>
  <c r="X54" i="1"/>
  <c r="X51" i="1"/>
  <c r="AB51" i="1"/>
  <c r="AA51" i="1" s="1"/>
  <c r="X55" i="1"/>
  <c r="X52" i="1"/>
  <c r="I48" i="1"/>
  <c r="X48" i="1" s="1"/>
  <c r="X49" i="1"/>
  <c r="I36" i="24"/>
  <c r="X36" i="24" s="1"/>
  <c r="AB46" i="24"/>
  <c r="AA46" i="24" s="1"/>
  <c r="N50" i="24"/>
  <c r="M50" i="24"/>
  <c r="AB50" i="24" s="1"/>
  <c r="AA50" i="24" s="1"/>
  <c r="I28" i="24"/>
  <c r="X28" i="24" s="1"/>
  <c r="Z28" i="24" s="1"/>
  <c r="X29" i="24" s="1"/>
  <c r="X32" i="24"/>
  <c r="X41" i="24"/>
  <c r="X43" i="24"/>
  <c r="N49" i="24"/>
  <c r="M49" i="24"/>
  <c r="AB49" i="24" s="1"/>
  <c r="AA49" i="24" s="1"/>
  <c r="I33" i="24"/>
  <c r="X33" i="24" s="1"/>
  <c r="Y33" i="24" s="1"/>
  <c r="N45" i="24"/>
  <c r="I45" i="24"/>
  <c r="X45" i="24" s="1"/>
  <c r="X37" i="24"/>
  <c r="X38" i="24"/>
  <c r="I48" i="24"/>
  <c r="X48" i="24" s="1"/>
  <c r="Z48" i="24" s="1"/>
  <c r="X50" i="24"/>
  <c r="X39" i="24"/>
  <c r="Y53" i="1" l="1"/>
  <c r="AC53" i="1" s="1"/>
  <c r="Z57" i="24"/>
  <c r="Y57" i="24"/>
  <c r="Z54" i="24"/>
  <c r="Y54" i="24"/>
  <c r="Z55" i="24"/>
  <c r="Y55" i="24"/>
  <c r="Y49" i="24"/>
  <c r="AC49" i="24" s="1"/>
  <c r="Y52" i="24"/>
  <c r="Z53" i="24"/>
  <c r="Y53" i="24"/>
  <c r="AC53" i="24" s="1"/>
  <c r="Y48" i="24"/>
  <c r="Z36" i="24"/>
  <c r="Y36" i="24"/>
  <c r="Y35" i="24"/>
  <c r="Z33" i="24"/>
  <c r="X34" i="24" s="1"/>
  <c r="Y34" i="24" s="1"/>
  <c r="Y28" i="24"/>
  <c r="Z52" i="1"/>
  <c r="Y52" i="1"/>
  <c r="AC52" i="1" s="1"/>
  <c r="Y51" i="1"/>
  <c r="AC51" i="1" s="1"/>
  <c r="Z51" i="1"/>
  <c r="Z50" i="1"/>
  <c r="Y50" i="1"/>
  <c r="AC50" i="1" s="1"/>
  <c r="Z54" i="1"/>
  <c r="Y54" i="1"/>
  <c r="AC54" i="1" s="1"/>
  <c r="Y55" i="1"/>
  <c r="AC55" i="1" s="1"/>
  <c r="Z55" i="1"/>
  <c r="Z48" i="1"/>
  <c r="Y48" i="1"/>
  <c r="Z50" i="24"/>
  <c r="Y50" i="24"/>
  <c r="AC50" i="24" s="1"/>
  <c r="Y46" i="24"/>
  <c r="AC46" i="24" s="1"/>
  <c r="Z46" i="24"/>
  <c r="Z29" i="24"/>
  <c r="X30" i="24" s="1"/>
  <c r="Z30" i="24" s="1"/>
  <c r="Y29" i="24"/>
  <c r="Y45" i="24"/>
  <c r="Z45" i="24"/>
  <c r="Z39" i="24"/>
  <c r="Y39" i="24"/>
  <c r="J4" i="23"/>
  <c r="T30" i="1"/>
  <c r="Q30" i="1"/>
  <c r="H30" i="1"/>
  <c r="I30" i="1" s="1"/>
  <c r="F221" i="13"/>
  <c r="F211" i="13"/>
  <c r="F212" i="13"/>
  <c r="F213" i="13"/>
  <c r="F214" i="13"/>
  <c r="F215" i="13"/>
  <c r="F216" i="13"/>
  <c r="F217" i="13"/>
  <c r="F218" i="13"/>
  <c r="F219" i="13"/>
  <c r="F220" i="13"/>
  <c r="F210" i="13"/>
  <c r="Q42"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46" i="1"/>
  <c r="Q46" i="1"/>
  <c r="T45" i="1"/>
  <c r="Q45" i="1"/>
  <c r="H45" i="1"/>
  <c r="I45" i="1" s="1"/>
  <c r="T43" i="1"/>
  <c r="Q43" i="1"/>
  <c r="H43" i="1"/>
  <c r="I43" i="1" s="1"/>
  <c r="T42" i="1"/>
  <c r="H42" i="1"/>
  <c r="H40" i="1"/>
  <c r="J42" i="18" s="1"/>
  <c r="T39" i="1"/>
  <c r="Q39" i="1"/>
  <c r="H39" i="1"/>
  <c r="I39" i="1" s="1"/>
  <c r="T38" i="1"/>
  <c r="Q38" i="1"/>
  <c r="H38" i="1"/>
  <c r="I38" i="1" s="1"/>
  <c r="T37" i="1"/>
  <c r="Q37" i="1"/>
  <c r="H37" i="1"/>
  <c r="I37" i="1" s="1"/>
  <c r="T34" i="1"/>
  <c r="Q34" i="1"/>
  <c r="H34" i="1"/>
  <c r="I34" i="1" s="1"/>
  <c r="H31" i="1"/>
  <c r="I31" i="1" s="1"/>
  <c r="T32" i="1"/>
  <c r="Q32" i="1"/>
  <c r="T31" i="1"/>
  <c r="Q31"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M40" i="1"/>
  <c r="AB40" i="1" s="1"/>
  <c r="AA40" i="1" s="1"/>
  <c r="K36" i="1"/>
  <c r="K41" i="1"/>
  <c r="K33" i="1"/>
  <c r="K32" i="1"/>
  <c r="K47" i="1"/>
  <c r="K44" i="1"/>
  <c r="K46" i="1"/>
  <c r="K35" i="1"/>
  <c r="B221" i="13" a="1"/>
  <c r="B221" i="13" l="1"/>
  <c r="H210" i="13" s="1"/>
  <c r="P26" i="18"/>
  <c r="Z34" i="24"/>
  <c r="Y30" i="24"/>
  <c r="X43" i="1"/>
  <c r="Z43" i="1" s="1"/>
  <c r="X45" i="1"/>
  <c r="Z45" i="1" s="1"/>
  <c r="X46" i="1" s="1"/>
  <c r="AL8" i="18"/>
  <c r="P10" i="18"/>
  <c r="AH34" i="18"/>
  <c r="X34" i="1"/>
  <c r="Y34" i="1" s="1"/>
  <c r="AF16" i="18"/>
  <c r="P16" i="18"/>
  <c r="X47" i="1"/>
  <c r="X35" i="1"/>
  <c r="N40" i="1"/>
  <c r="X33" i="1"/>
  <c r="AJ21" i="19"/>
  <c r="AB34" i="18"/>
  <c r="AF8" i="18"/>
  <c r="Z8" i="18"/>
  <c r="N16" i="18"/>
  <c r="V26" i="18"/>
  <c r="AL32" i="18"/>
  <c r="X38" i="1"/>
  <c r="Y38" i="1" s="1"/>
  <c r="Z28" i="19"/>
  <c r="N39" i="1"/>
  <c r="T32" i="18"/>
  <c r="AL24" i="18"/>
  <c r="T40" i="18"/>
  <c r="V18" i="18"/>
  <c r="J10" i="18"/>
  <c r="AH42" i="18"/>
  <c r="P34" i="18"/>
  <c r="X36" i="1"/>
  <c r="AL16" i="18"/>
  <c r="N24" i="18"/>
  <c r="T24" i="18"/>
  <c r="AF32" i="18"/>
  <c r="P18" i="18"/>
  <c r="J34" i="18"/>
  <c r="V42" i="18"/>
  <c r="V24" i="18"/>
  <c r="AH40" i="18"/>
  <c r="R51" i="19"/>
  <c r="I42" i="1"/>
  <c r="X42" i="1" s="1"/>
  <c r="X30" i="1"/>
  <c r="I40" i="1"/>
  <c r="X40" i="1" s="1"/>
  <c r="AB18" i="18"/>
  <c r="V34" i="18"/>
  <c r="AB26" i="18"/>
  <c r="V10" i="18"/>
  <c r="AB10" i="18"/>
  <c r="J26" i="18"/>
  <c r="AB42" i="18"/>
  <c r="P42" i="18"/>
  <c r="AH26" i="18"/>
  <c r="AH18" i="18"/>
  <c r="J18" i="18"/>
  <c r="AH10" i="18"/>
  <c r="X39" i="1"/>
  <c r="Z39" i="1" s="1"/>
  <c r="AB24" i="18"/>
  <c r="R32" i="18"/>
  <c r="AJ32" i="18"/>
  <c r="L32" i="18"/>
  <c r="M38" i="1"/>
  <c r="AB38" i="1" s="1"/>
  <c r="AA38" i="1" s="1"/>
  <c r="L24" i="18"/>
  <c r="R16" i="18"/>
  <c r="L16" i="18"/>
  <c r="AJ16" i="18"/>
  <c r="AD8" i="18"/>
  <c r="X8" i="18"/>
  <c r="R40" i="18"/>
  <c r="AJ24" i="18"/>
  <c r="AD40" i="18"/>
  <c r="R24" i="18"/>
  <c r="X40" i="18"/>
  <c r="L40" i="18"/>
  <c r="AD32" i="18"/>
  <c r="AD24" i="18"/>
  <c r="AJ8" i="18"/>
  <c r="AJ40" i="18"/>
  <c r="L8" i="18"/>
  <c r="N38" i="1"/>
  <c r="X16" i="18"/>
  <c r="AD16" i="18"/>
  <c r="R8" i="18"/>
  <c r="X24" i="18"/>
  <c r="X32" i="18"/>
  <c r="J32" i="18"/>
  <c r="AB40" i="18"/>
  <c r="M37" i="1"/>
  <c r="AB37" i="1" s="1"/>
  <c r="AA37" i="1" s="1"/>
  <c r="P24" i="18"/>
  <c r="V32" i="18"/>
  <c r="AH24" i="18"/>
  <c r="AB32" i="18"/>
  <c r="P8" i="18"/>
  <c r="AH32" i="18"/>
  <c r="J16" i="18"/>
  <c r="V40" i="18"/>
  <c r="AH16" i="18"/>
  <c r="AH8" i="18"/>
  <c r="AB8" i="18"/>
  <c r="N37" i="1"/>
  <c r="V8" i="18"/>
  <c r="J40" i="18"/>
  <c r="J24" i="18"/>
  <c r="AB16" i="18"/>
  <c r="P32" i="18"/>
  <c r="M39" i="1"/>
  <c r="AB39" i="1" s="1"/>
  <c r="AA39" i="1" s="1"/>
  <c r="T8" i="18"/>
  <c r="Z32" i="18"/>
  <c r="AL40" i="18"/>
  <c r="T16" i="18"/>
  <c r="N40" i="18"/>
  <c r="AF24" i="18"/>
  <c r="Z40" i="18"/>
  <c r="Z16" i="18"/>
  <c r="N32" i="18"/>
  <c r="N8" i="18"/>
  <c r="AF40" i="18"/>
  <c r="Z24" i="18"/>
  <c r="J8" i="18"/>
  <c r="P40" i="18"/>
  <c r="V16" i="18"/>
  <c r="X37" i="1"/>
  <c r="X51" i="19"/>
  <c r="N6" i="19"/>
  <c r="AC26" i="19"/>
  <c r="X31" i="1"/>
  <c r="X44" i="1"/>
  <c r="Y43" i="1" l="1"/>
  <c r="Y45" i="1"/>
  <c r="AJ27" i="19"/>
  <c r="Z40" i="1"/>
  <c r="Y40" i="1"/>
  <c r="AC40" i="1" s="1"/>
  <c r="AK23" i="19"/>
  <c r="Z38" i="1"/>
  <c r="R54" i="19"/>
  <c r="X41" i="19"/>
  <c r="AF53" i="19"/>
  <c r="L11" i="19"/>
  <c r="R31" i="19"/>
  <c r="X11" i="19"/>
  <c r="AD41" i="19"/>
  <c r="L31" i="19"/>
  <c r="R41" i="19"/>
  <c r="L41" i="19"/>
  <c r="AJ41" i="19"/>
  <c r="AJ51" i="19"/>
  <c r="AD11" i="19"/>
  <c r="Z34" i="1"/>
  <c r="X31" i="19"/>
  <c r="R21" i="19"/>
  <c r="AD31" i="19"/>
  <c r="L21" i="19"/>
  <c r="R11" i="19"/>
  <c r="X21" i="19"/>
  <c r="AD21" i="19"/>
  <c r="AD51" i="19"/>
  <c r="L51" i="19"/>
  <c r="AJ11" i="19"/>
  <c r="AJ31" i="19"/>
  <c r="X27" i="19"/>
  <c r="AD7" i="19"/>
  <c r="R17" i="19"/>
  <c r="AJ47" i="19"/>
  <c r="L7" i="19"/>
  <c r="X37" i="19"/>
  <c r="AF18" i="19"/>
  <c r="R47" i="19"/>
  <c r="AD47" i="19"/>
  <c r="O55" i="19"/>
  <c r="Q8" i="19"/>
  <c r="L27" i="19"/>
  <c r="R7" i="19"/>
  <c r="X47" i="19"/>
  <c r="X45" i="19"/>
  <c r="X7" i="19"/>
  <c r="R37" i="19"/>
  <c r="AJ37" i="19"/>
  <c r="X17" i="19"/>
  <c r="AD17" i="19"/>
  <c r="Z38" i="19"/>
  <c r="AI46" i="19"/>
  <c r="AF46" i="19"/>
  <c r="T36" i="19"/>
  <c r="AD37" i="19"/>
  <c r="L17" i="19"/>
  <c r="AJ17" i="19"/>
  <c r="L37" i="19"/>
  <c r="AM25" i="19"/>
  <c r="AI16" i="19"/>
  <c r="Z26" i="19"/>
  <c r="AA45" i="19"/>
  <c r="R27" i="19"/>
  <c r="AJ7" i="19"/>
  <c r="AD27" i="19"/>
  <c r="L47" i="19"/>
  <c r="W6" i="19"/>
  <c r="AC36" i="19"/>
  <c r="T6" i="19"/>
  <c r="AG15" i="19"/>
  <c r="T18" i="19"/>
  <c r="U55" i="19"/>
  <c r="Z8" i="19"/>
  <c r="N48" i="19"/>
  <c r="Q26" i="19"/>
  <c r="K46" i="19"/>
  <c r="Z16" i="19"/>
  <c r="AF16" i="19"/>
  <c r="Y39" i="1"/>
  <c r="AB31" i="19" s="1"/>
  <c r="W16" i="19"/>
  <c r="AL26" i="19"/>
  <c r="AL36" i="19"/>
  <c r="AJ44" i="19"/>
  <c r="AG45" i="19"/>
  <c r="N28" i="19"/>
  <c r="AG36" i="19"/>
  <c r="AM26" i="19"/>
  <c r="O36" i="19"/>
  <c r="AG16" i="19"/>
  <c r="AA16" i="19"/>
  <c r="AA26" i="19"/>
  <c r="O26" i="19"/>
  <c r="N8" i="19"/>
  <c r="AL38" i="19"/>
  <c r="N18" i="19"/>
  <c r="T28" i="19"/>
  <c r="AM35" i="19"/>
  <c r="O25" i="19"/>
  <c r="AG55" i="19"/>
  <c r="AM55" i="19"/>
  <c r="O35" i="19"/>
  <c r="AA25" i="19"/>
  <c r="U15" i="19"/>
  <c r="O45" i="19"/>
  <c r="U25" i="19"/>
  <c r="Q16" i="19"/>
  <c r="Q6" i="19"/>
  <c r="AC6" i="19"/>
  <c r="AI36" i="19"/>
  <c r="K26" i="19"/>
  <c r="AC46" i="19"/>
  <c r="AI6" i="19"/>
  <c r="AL46" i="19"/>
  <c r="T16" i="19"/>
  <c r="AF26" i="19"/>
  <c r="AF6" i="19"/>
  <c r="U45" i="19"/>
  <c r="AA15" i="19"/>
  <c r="T8" i="19"/>
  <c r="AF38" i="19"/>
  <c r="AA35" i="19"/>
  <c r="O15" i="19"/>
  <c r="AL18" i="19"/>
  <c r="T38" i="19"/>
  <c r="T48" i="19"/>
  <c r="AM15" i="19"/>
  <c r="W36" i="19"/>
  <c r="K36" i="19"/>
  <c r="AC16" i="19"/>
  <c r="Q46" i="19"/>
  <c r="Q36" i="19"/>
  <c r="AG35" i="19"/>
  <c r="U35" i="19"/>
  <c r="AL48" i="19"/>
  <c r="AF28" i="19"/>
  <c r="N38" i="19"/>
  <c r="AL8" i="19"/>
  <c r="K16" i="19"/>
  <c r="K6" i="19"/>
  <c r="AI26" i="19"/>
  <c r="W46" i="19"/>
  <c r="W26" i="19"/>
  <c r="AL6" i="19"/>
  <c r="T26" i="19"/>
  <c r="T46" i="19"/>
  <c r="N26" i="19"/>
  <c r="Z36" i="19"/>
  <c r="AG25" i="19"/>
  <c r="AL28" i="19"/>
  <c r="AA55" i="19"/>
  <c r="AM45" i="19"/>
  <c r="AF8" i="19"/>
  <c r="Z18" i="19"/>
  <c r="Z48" i="19"/>
  <c r="AF48" i="19"/>
  <c r="L38" i="19"/>
  <c r="O16" i="19"/>
  <c r="U6" i="19"/>
  <c r="O46" i="19"/>
  <c r="U36" i="19"/>
  <c r="AA46" i="19"/>
  <c r="AM6" i="19"/>
  <c r="S39" i="19"/>
  <c r="AC53" i="19"/>
  <c r="AI53" i="19"/>
  <c r="AC33" i="19"/>
  <c r="K53" i="19"/>
  <c r="W33" i="19"/>
  <c r="Q43" i="19"/>
  <c r="K23" i="19"/>
  <c r="K13" i="19"/>
  <c r="AI33" i="19"/>
  <c r="AC23" i="19"/>
  <c r="W13" i="19"/>
  <c r="AI43" i="19"/>
  <c r="Q53" i="19"/>
  <c r="AC13" i="19"/>
  <c r="AI13" i="19"/>
  <c r="K43" i="19"/>
  <c r="Q13" i="19"/>
  <c r="AC43" i="19"/>
  <c r="Q33" i="19"/>
  <c r="Q23" i="19"/>
  <c r="W43" i="19"/>
  <c r="AI23" i="19"/>
  <c r="W53" i="19"/>
  <c r="K33" i="19"/>
  <c r="W23" i="19"/>
  <c r="Q51" i="19"/>
  <c r="U16" i="19"/>
  <c r="AM36" i="19"/>
  <c r="U46" i="19"/>
  <c r="AA36" i="19"/>
  <c r="AG6" i="19"/>
  <c r="N16" i="19"/>
  <c r="Z6" i="19"/>
  <c r="N36" i="19"/>
  <c r="N46" i="19"/>
  <c r="AF36" i="19"/>
  <c r="Z42" i="1"/>
  <c r="Y42" i="1"/>
  <c r="Y30" i="1"/>
  <c r="Z30" i="1"/>
  <c r="AG46" i="19"/>
  <c r="AA6" i="19"/>
  <c r="AG26" i="19"/>
  <c r="AM16" i="19"/>
  <c r="U26" i="19"/>
  <c r="AM46" i="19"/>
  <c r="O6" i="19"/>
  <c r="AL16" i="19"/>
  <c r="Z46" i="19"/>
  <c r="AD24" i="19"/>
  <c r="X34" i="19"/>
  <c r="AJ34" i="19"/>
  <c r="L54" i="19"/>
  <c r="Y13" i="19"/>
  <c r="S43" i="19"/>
  <c r="AE43" i="19"/>
  <c r="S13" i="19"/>
  <c r="S53" i="19"/>
  <c r="Y33" i="19"/>
  <c r="M23" i="19"/>
  <c r="AE53" i="19"/>
  <c r="Y23" i="19"/>
  <c r="AE13" i="19"/>
  <c r="AK33" i="19"/>
  <c r="M13" i="19"/>
  <c r="AE33" i="19"/>
  <c r="AK53" i="19"/>
  <c r="AK13" i="19"/>
  <c r="Y53" i="19"/>
  <c r="S23" i="19"/>
  <c r="M53" i="19"/>
  <c r="AK43" i="19"/>
  <c r="J40" i="19"/>
  <c r="V20" i="19"/>
  <c r="J50" i="19"/>
  <c r="P50" i="19"/>
  <c r="J10" i="19"/>
  <c r="V10" i="19"/>
  <c r="V40" i="19"/>
  <c r="V30" i="19"/>
  <c r="AH10" i="19"/>
  <c r="AB40" i="19"/>
  <c r="AB10" i="19"/>
  <c r="AB20" i="19"/>
  <c r="P20" i="19"/>
  <c r="AB30" i="19"/>
  <c r="P10" i="19"/>
  <c r="AH30" i="19"/>
  <c r="J20" i="19"/>
  <c r="AB50" i="19"/>
  <c r="AH40" i="19"/>
  <c r="P40" i="19"/>
  <c r="AH20" i="19"/>
  <c r="P30" i="19"/>
  <c r="AH50" i="19"/>
  <c r="V50" i="19"/>
  <c r="J30" i="19"/>
  <c r="AC38" i="1"/>
  <c r="M49" i="19"/>
  <c r="AK49" i="19"/>
  <c r="AK9" i="19"/>
  <c r="AE29" i="19"/>
  <c r="M29" i="19"/>
  <c r="AK29" i="19"/>
  <c r="AE9" i="19"/>
  <c r="S49" i="19"/>
  <c r="AE49" i="19"/>
  <c r="AE39" i="19"/>
  <c r="Y39" i="19"/>
  <c r="M39" i="19"/>
  <c r="S9" i="19"/>
  <c r="N39" i="19"/>
  <c r="AL29" i="19"/>
  <c r="AL9" i="19"/>
  <c r="N19" i="19"/>
  <c r="Z29" i="19"/>
  <c r="T19" i="19"/>
  <c r="AF19" i="19"/>
  <c r="AF9" i="19"/>
  <c r="Z39" i="19"/>
  <c r="T49" i="19"/>
  <c r="AF29" i="19"/>
  <c r="AF39" i="19"/>
  <c r="N29" i="19"/>
  <c r="N49" i="19"/>
  <c r="T9" i="19"/>
  <c r="AL19" i="19"/>
  <c r="AL39" i="19"/>
  <c r="Z9" i="19"/>
  <c r="T39" i="19"/>
  <c r="AL49" i="19"/>
  <c r="N9" i="19"/>
  <c r="Z19" i="19"/>
  <c r="T29" i="19"/>
  <c r="Z49" i="19"/>
  <c r="AF49" i="19"/>
  <c r="Y31" i="1"/>
  <c r="Z31" i="1"/>
  <c r="X32" i="1" s="1"/>
  <c r="Y32" i="1" s="1"/>
  <c r="Y37" i="1"/>
  <c r="Z37" i="1"/>
  <c r="AA48" i="19"/>
  <c r="AG18" i="19"/>
  <c r="AG28" i="19"/>
  <c r="U38" i="19"/>
  <c r="U28" i="19"/>
  <c r="AM28" i="19"/>
  <c r="AM38" i="19"/>
  <c r="AG48" i="19"/>
  <c r="AA8" i="19"/>
  <c r="AM8" i="19"/>
  <c r="O38" i="19"/>
  <c r="O18" i="19"/>
  <c r="U48" i="19"/>
  <c r="AM18" i="19"/>
  <c r="U18" i="19"/>
  <c r="AA38" i="19"/>
  <c r="U8" i="19"/>
  <c r="O28" i="19"/>
  <c r="O8" i="19"/>
  <c r="AM48" i="19"/>
  <c r="AA18" i="19"/>
  <c r="AG8" i="19"/>
  <c r="AG38" i="19"/>
  <c r="AA28" i="19"/>
  <c r="O48" i="19"/>
  <c r="O30" i="19"/>
  <c r="AM10" i="19"/>
  <c r="AA10" i="19"/>
  <c r="AA30" i="19"/>
  <c r="AA20" i="19"/>
  <c r="AM50" i="19"/>
  <c r="AM20" i="19"/>
  <c r="U40" i="19"/>
  <c r="AG40" i="19"/>
  <c r="AG10" i="19"/>
  <c r="U10" i="19"/>
  <c r="O20" i="19"/>
  <c r="AA50" i="19"/>
  <c r="O50" i="19"/>
  <c r="O40" i="19"/>
  <c r="AG50" i="19"/>
  <c r="AA40" i="19"/>
  <c r="AG30" i="19"/>
  <c r="U20" i="19"/>
  <c r="O10" i="19"/>
  <c r="AM40" i="19"/>
  <c r="U50" i="19"/>
  <c r="U30" i="19"/>
  <c r="AM30" i="19"/>
  <c r="AG20" i="19"/>
  <c r="Z46" i="1"/>
  <c r="Y46" i="1"/>
  <c r="Z47" i="19"/>
  <c r="Z17" i="19"/>
  <c r="AF27" i="19"/>
  <c r="T27" i="19"/>
  <c r="N47" i="19"/>
  <c r="AF17" i="19"/>
  <c r="Z7" i="19"/>
  <c r="T7" i="19"/>
  <c r="AF7" i="19"/>
  <c r="Z37" i="19"/>
  <c r="Z27" i="19"/>
  <c r="AL27" i="19"/>
  <c r="T47" i="19"/>
  <c r="AL37" i="19"/>
  <c r="AF37" i="19"/>
  <c r="AF47" i="19"/>
  <c r="T37" i="19"/>
  <c r="AL7" i="19"/>
  <c r="N27" i="19"/>
  <c r="N17" i="19"/>
  <c r="N7" i="19"/>
  <c r="T17" i="19"/>
  <c r="AL17" i="19"/>
  <c r="AL47" i="19"/>
  <c r="N37" i="19"/>
  <c r="T10" i="19"/>
  <c r="Z20" i="19"/>
  <c r="T40" i="19"/>
  <c r="AL40" i="19"/>
  <c r="N10" i="19"/>
  <c r="T30" i="19"/>
  <c r="AF10" i="19"/>
  <c r="AF50" i="19"/>
  <c r="AF40" i="19"/>
  <c r="AL20" i="19"/>
  <c r="Z50" i="19"/>
  <c r="Z30" i="19"/>
  <c r="Z40" i="19"/>
  <c r="T20" i="19"/>
  <c r="T50" i="19"/>
  <c r="AF30" i="19"/>
  <c r="Z10" i="19"/>
  <c r="AL50" i="19"/>
  <c r="AL10" i="19"/>
  <c r="AL30" i="19"/>
  <c r="N20" i="19"/>
  <c r="N30" i="19"/>
  <c r="N40" i="19"/>
  <c r="N50" i="19"/>
  <c r="AF20" i="19"/>
  <c r="AH42" i="19" l="1"/>
  <c r="AB52" i="19"/>
  <c r="W38" i="19"/>
  <c r="X55" i="19"/>
  <c r="X25" i="19"/>
  <c r="P52" i="19"/>
  <c r="P41" i="19"/>
  <c r="AB12" i="19"/>
  <c r="J42" i="19"/>
  <c r="AH12" i="19"/>
  <c r="J32" i="19"/>
  <c r="P32" i="19"/>
  <c r="J52" i="19"/>
  <c r="V32" i="19"/>
  <c r="AB32" i="19"/>
  <c r="P22" i="19"/>
  <c r="V12" i="19"/>
  <c r="AB42" i="19"/>
  <c r="AH52" i="19"/>
  <c r="V52" i="19"/>
  <c r="J12" i="19"/>
  <c r="P12" i="19"/>
  <c r="AH22" i="19"/>
  <c r="J22" i="19"/>
  <c r="V42" i="19"/>
  <c r="V22" i="19"/>
  <c r="AB22" i="19"/>
  <c r="AH32" i="19"/>
  <c r="P42" i="19"/>
  <c r="AC39" i="1"/>
  <c r="P21" i="19"/>
  <c r="X44" i="19"/>
  <c r="L44" i="19"/>
  <c r="T43" i="19"/>
  <c r="N23" i="19"/>
  <c r="T53" i="19"/>
  <c r="M43" i="19"/>
  <c r="M33" i="19"/>
  <c r="Y43" i="19"/>
  <c r="S33" i="19"/>
  <c r="AE23" i="19"/>
  <c r="AF33" i="19"/>
  <c r="Z13" i="19"/>
  <c r="AL53" i="19"/>
  <c r="N43" i="19"/>
  <c r="AL23" i="19"/>
  <c r="T33" i="19"/>
  <c r="N53" i="19"/>
  <c r="Z53" i="19"/>
  <c r="AF13" i="19"/>
  <c r="Z33" i="19"/>
  <c r="AL13" i="19"/>
  <c r="AL43" i="19"/>
  <c r="N13" i="19"/>
  <c r="T13" i="19"/>
  <c r="AF23" i="19"/>
  <c r="AL33" i="19"/>
  <c r="AF43" i="19"/>
  <c r="Z43" i="19"/>
  <c r="Z23" i="19"/>
  <c r="N33" i="19"/>
  <c r="T23" i="19"/>
  <c r="AJ54" i="19"/>
  <c r="X54" i="19"/>
  <c r="L24" i="19"/>
  <c r="R14" i="19"/>
  <c r="X24" i="19"/>
  <c r="R44" i="19"/>
  <c r="L14" i="19"/>
  <c r="R24" i="19"/>
  <c r="R34" i="19"/>
  <c r="AD44" i="19"/>
  <c r="AD14" i="19"/>
  <c r="X14" i="19"/>
  <c r="AJ24" i="19"/>
  <c r="L34" i="19"/>
  <c r="AD54" i="19"/>
  <c r="AJ14" i="19"/>
  <c r="AD34" i="19"/>
  <c r="L45" i="19"/>
  <c r="R45" i="19"/>
  <c r="AJ15" i="19"/>
  <c r="AD15" i="19"/>
  <c r="AD45" i="19"/>
  <c r="R35" i="19"/>
  <c r="AD25" i="19"/>
  <c r="AD55" i="19"/>
  <c r="R15" i="19"/>
  <c r="K28" i="19"/>
  <c r="AI48" i="19"/>
  <c r="AC8" i="19"/>
  <c r="R55" i="19"/>
  <c r="Q48" i="19"/>
  <c r="Q28" i="19"/>
  <c r="AD38" i="19"/>
  <c r="AI28" i="19"/>
  <c r="W28" i="19"/>
  <c r="M9" i="19"/>
  <c r="S29" i="19"/>
  <c r="Y49" i="19"/>
  <c r="Y29" i="19"/>
  <c r="Y9" i="19"/>
  <c r="Q38" i="19"/>
  <c r="K48" i="19"/>
  <c r="Q18" i="19"/>
  <c r="R28" i="19"/>
  <c r="Z32" i="1"/>
  <c r="K8" i="19"/>
  <c r="W48" i="19"/>
  <c r="L25" i="19"/>
  <c r="AJ25" i="19"/>
  <c r="X35" i="19"/>
  <c r="AJ28" i="19"/>
  <c r="L55" i="19"/>
  <c r="V51" i="19"/>
  <c r="AB51" i="19"/>
  <c r="AJ45" i="19"/>
  <c r="W18" i="19"/>
  <c r="AC48" i="19"/>
  <c r="AI8" i="19"/>
  <c r="AI38" i="19"/>
  <c r="AC38" i="19"/>
  <c r="L35" i="19"/>
  <c r="AJ35" i="19"/>
  <c r="X48" i="19"/>
  <c r="AJ55" i="19"/>
  <c r="L15" i="19"/>
  <c r="R25" i="19"/>
  <c r="L18" i="19"/>
  <c r="AD35" i="19"/>
  <c r="AH21" i="19"/>
  <c r="AH51" i="19"/>
  <c r="K18" i="19"/>
  <c r="AC28" i="19"/>
  <c r="X15" i="19"/>
  <c r="W8" i="19"/>
  <c r="AI18" i="19"/>
  <c r="K38" i="19"/>
  <c r="AC18" i="19"/>
  <c r="X38" i="19"/>
  <c r="AD48" i="19"/>
  <c r="X8" i="19"/>
  <c r="R48" i="19"/>
  <c r="L8" i="19"/>
  <c r="J21" i="19"/>
  <c r="J41" i="19"/>
  <c r="J11" i="19"/>
  <c r="AB41" i="19"/>
  <c r="J31" i="19"/>
  <c r="V21" i="19"/>
  <c r="AB21" i="19"/>
  <c r="AK19" i="19"/>
  <c r="S19" i="19"/>
  <c r="AK39" i="19"/>
  <c r="Y19" i="19"/>
  <c r="AE19" i="19"/>
  <c r="M19" i="19"/>
  <c r="AD8" i="19"/>
  <c r="AJ38" i="19"/>
  <c r="AD28" i="19"/>
  <c r="L28" i="19"/>
  <c r="AJ18" i="19"/>
  <c r="P11" i="19"/>
  <c r="AH31" i="19"/>
  <c r="AH11" i="19"/>
  <c r="J51" i="19"/>
  <c r="AH41" i="19"/>
  <c r="V31" i="19"/>
  <c r="X18" i="19"/>
  <c r="X28" i="19"/>
  <c r="R38" i="19"/>
  <c r="L48" i="19"/>
  <c r="AD18" i="19"/>
  <c r="AJ8" i="19"/>
  <c r="R8" i="19"/>
  <c r="AJ48" i="19"/>
  <c r="V11" i="19"/>
  <c r="V41" i="19"/>
  <c r="P51" i="19"/>
  <c r="AB11" i="19"/>
  <c r="P31" i="19"/>
  <c r="R18" i="19"/>
  <c r="AG13" i="19"/>
  <c r="U53" i="19"/>
  <c r="AA23" i="19"/>
  <c r="O13" i="19"/>
  <c r="O43" i="19"/>
  <c r="AM23" i="19"/>
  <c r="U13" i="19"/>
  <c r="AM53" i="19"/>
  <c r="AA13" i="19"/>
  <c r="AM13" i="19"/>
  <c r="U43" i="19"/>
  <c r="AA33" i="19"/>
  <c r="AM33" i="19"/>
  <c r="U33" i="19"/>
  <c r="O23" i="19"/>
  <c r="AG53" i="19"/>
  <c r="AG33" i="19"/>
  <c r="AA43" i="19"/>
  <c r="AG23" i="19"/>
  <c r="U23" i="19"/>
  <c r="AM43" i="19"/>
  <c r="O53" i="19"/>
  <c r="O33" i="19"/>
  <c r="AA53" i="19"/>
  <c r="AG43" i="19"/>
  <c r="AD36" i="19"/>
  <c r="AJ26" i="19"/>
  <c r="R26" i="19"/>
  <c r="R6" i="19"/>
  <c r="AJ16" i="19"/>
  <c r="L16" i="19"/>
  <c r="X16" i="19"/>
  <c r="AD46" i="19"/>
  <c r="AD16" i="19"/>
  <c r="X36" i="19"/>
  <c r="R16" i="19"/>
  <c r="AD26" i="19"/>
  <c r="L36" i="19"/>
  <c r="X26" i="19"/>
  <c r="X6" i="19"/>
  <c r="L6" i="19"/>
  <c r="R36" i="19"/>
  <c r="AJ46" i="19"/>
  <c r="L46" i="19"/>
  <c r="AD6" i="19"/>
  <c r="AJ6" i="19"/>
  <c r="AJ36" i="19"/>
  <c r="L26" i="19"/>
  <c r="R46" i="19"/>
  <c r="X46" i="19"/>
  <c r="S16" i="19"/>
  <c r="AK16" i="19"/>
  <c r="S6" i="19"/>
  <c r="Y46" i="19"/>
  <c r="M36" i="19"/>
  <c r="S26" i="19"/>
  <c r="M6" i="19"/>
  <c r="Y6" i="19"/>
  <c r="Y26" i="19"/>
  <c r="Y16" i="19"/>
  <c r="AE6" i="19"/>
  <c r="M16" i="19"/>
  <c r="AE46" i="19"/>
  <c r="AK36" i="19"/>
  <c r="AE16" i="19"/>
  <c r="AK6" i="19"/>
  <c r="Y36" i="19"/>
  <c r="S36" i="19"/>
  <c r="S46" i="19"/>
  <c r="AE26" i="19"/>
  <c r="AK46" i="19"/>
  <c r="M46" i="19"/>
  <c r="M26" i="19"/>
  <c r="AE36" i="19"/>
  <c r="AK26" i="19"/>
  <c r="AI41" i="19"/>
  <c r="AI51" i="19"/>
  <c r="K31" i="19"/>
  <c r="K51" i="19"/>
  <c r="AC31" i="19"/>
  <c r="W21" i="19"/>
  <c r="AC41" i="19"/>
  <c r="K21" i="19"/>
  <c r="Q11" i="19"/>
  <c r="AC11" i="19"/>
  <c r="W51" i="19"/>
  <c r="Q41" i="19"/>
  <c r="Q21" i="19"/>
  <c r="W11" i="19"/>
  <c r="AI21" i="19"/>
  <c r="K41" i="19"/>
  <c r="K11" i="19"/>
  <c r="AI11" i="19"/>
  <c r="W31" i="19"/>
  <c r="AI31" i="19"/>
  <c r="Q31" i="19"/>
  <c r="AC21" i="19"/>
  <c r="AC51" i="19"/>
  <c r="W41" i="19"/>
  <c r="L23" i="19"/>
  <c r="AJ13" i="19"/>
  <c r="AJ23" i="19"/>
  <c r="AJ43" i="19"/>
  <c r="AJ53" i="19"/>
  <c r="AD23" i="19"/>
  <c r="X13" i="19"/>
  <c r="R33" i="19"/>
  <c r="AD13" i="19"/>
  <c r="R43" i="19"/>
  <c r="R53" i="19"/>
  <c r="L53" i="19"/>
  <c r="X53" i="19"/>
  <c r="R13" i="19"/>
  <c r="AD43" i="19"/>
  <c r="X33" i="19"/>
  <c r="AJ33" i="19"/>
  <c r="AD33" i="19"/>
  <c r="X43" i="19"/>
  <c r="AD53" i="19"/>
  <c r="X23" i="19"/>
  <c r="L43" i="19"/>
  <c r="L13" i="19"/>
  <c r="L33" i="19"/>
  <c r="R23" i="19"/>
  <c r="M41" i="19"/>
  <c r="AE21" i="19"/>
  <c r="Y31" i="19"/>
  <c r="S31" i="19"/>
  <c r="AE31" i="19"/>
  <c r="M51" i="19"/>
  <c r="AK11" i="19"/>
  <c r="AK31" i="19"/>
  <c r="AE51" i="19"/>
  <c r="Y51" i="19"/>
  <c r="S21" i="19"/>
  <c r="M21" i="19"/>
  <c r="S51" i="19"/>
  <c r="AE41" i="19"/>
  <c r="Y41" i="19"/>
  <c r="S11" i="19"/>
  <c r="AE11" i="19"/>
  <c r="AK51" i="19"/>
  <c r="M31" i="19"/>
  <c r="Y21" i="19"/>
  <c r="M11" i="19"/>
  <c r="AK41" i="19"/>
  <c r="S41" i="19"/>
  <c r="Y11" i="19"/>
  <c r="AK21" i="19"/>
  <c r="S24" i="19"/>
  <c r="Y54" i="19"/>
  <c r="M24" i="19"/>
  <c r="M34" i="19"/>
  <c r="AK24" i="19"/>
  <c r="AE24" i="19"/>
  <c r="M44" i="19"/>
  <c r="Y24" i="19"/>
  <c r="M14" i="19"/>
  <c r="AE54" i="19"/>
  <c r="AK54" i="19"/>
  <c r="AK44" i="19"/>
  <c r="S34" i="19"/>
  <c r="AE34" i="19"/>
  <c r="M54" i="19"/>
  <c r="AE14" i="19"/>
  <c r="S54" i="19"/>
  <c r="Y14" i="19"/>
  <c r="AK14" i="19"/>
  <c r="Y44" i="19"/>
  <c r="S44" i="19"/>
  <c r="S14" i="19"/>
  <c r="AK34" i="19"/>
  <c r="AE44" i="19"/>
  <c r="Y34" i="19"/>
  <c r="AE38" i="19"/>
  <c r="S28" i="19"/>
  <c r="AK38" i="19"/>
  <c r="Y18" i="19"/>
  <c r="AE28" i="19"/>
  <c r="AE18" i="19"/>
  <c r="Y48" i="19"/>
  <c r="M18" i="19"/>
  <c r="Y38" i="19"/>
  <c r="AK48" i="19"/>
  <c r="S38" i="19"/>
  <c r="AK18" i="19"/>
  <c r="AE48" i="19"/>
  <c r="S48" i="19"/>
  <c r="M8" i="19"/>
  <c r="S8" i="19"/>
  <c r="AE8" i="19"/>
  <c r="M28" i="19"/>
  <c r="S18" i="19"/>
  <c r="M38" i="19"/>
  <c r="AK8" i="19"/>
  <c r="AK28" i="19"/>
  <c r="Y8" i="19"/>
  <c r="M48" i="19"/>
  <c r="Y28" i="19"/>
  <c r="M17" i="19"/>
  <c r="Y27" i="19"/>
  <c r="AE7" i="19"/>
  <c r="S37" i="19"/>
  <c r="AE37" i="19"/>
  <c r="S47" i="19"/>
  <c r="AK47" i="19"/>
  <c r="Y47" i="19"/>
  <c r="M47" i="19"/>
  <c r="M7" i="19"/>
  <c r="AK37" i="19"/>
  <c r="AK27" i="19"/>
  <c r="M37" i="19"/>
  <c r="Y7" i="19"/>
  <c r="AK7" i="19"/>
  <c r="AE47" i="19"/>
  <c r="S27" i="19"/>
  <c r="Y17" i="19"/>
  <c r="AK17" i="19"/>
  <c r="M27" i="19"/>
  <c r="S7" i="19"/>
  <c r="S17" i="19"/>
  <c r="AE27" i="19"/>
  <c r="Y37" i="19"/>
  <c r="AE17" i="19"/>
  <c r="R9" i="19"/>
  <c r="R19" i="19"/>
  <c r="AD9" i="19"/>
  <c r="AJ29" i="19"/>
  <c r="AD39" i="19"/>
  <c r="X19" i="19"/>
  <c r="AD49" i="19"/>
  <c r="R49" i="19"/>
  <c r="X9" i="19"/>
  <c r="X39" i="19"/>
  <c r="AD29" i="19"/>
  <c r="L39" i="19"/>
  <c r="L19" i="19"/>
  <c r="R39" i="19"/>
  <c r="X29" i="19"/>
  <c r="AJ9" i="19"/>
  <c r="X49" i="19"/>
  <c r="AJ19" i="19"/>
  <c r="AJ39" i="19"/>
  <c r="AJ49" i="19"/>
  <c r="L49" i="19"/>
  <c r="L29" i="19"/>
  <c r="AD19" i="19"/>
  <c r="L9" i="19"/>
  <c r="R29" i="19"/>
  <c r="K39" i="19"/>
  <c r="W9" i="19"/>
  <c r="AC9" i="19"/>
  <c r="Q39" i="19"/>
  <c r="AI39" i="19"/>
  <c r="AC29" i="19"/>
  <c r="Q9" i="19"/>
  <c r="AC39" i="19"/>
  <c r="Q49" i="19"/>
  <c r="W39" i="19"/>
  <c r="K29" i="19"/>
  <c r="K49" i="19"/>
  <c r="AI49" i="19"/>
  <c r="AI9" i="19"/>
  <c r="K9" i="19"/>
  <c r="AI19" i="19"/>
  <c r="AI29" i="19"/>
  <c r="Q29" i="19"/>
  <c r="K19" i="19"/>
  <c r="W29" i="19"/>
  <c r="W19" i="19"/>
  <c r="AC19" i="19"/>
  <c r="AC49" i="19"/>
  <c r="W49" i="19"/>
  <c r="Q19" i="19"/>
  <c r="AG24" i="19"/>
  <c r="AG34" i="19"/>
  <c r="AA54" i="19"/>
  <c r="AM24" i="19"/>
  <c r="U54" i="19"/>
  <c r="U34" i="19"/>
  <c r="O54" i="19"/>
  <c r="O44" i="19"/>
  <c r="O34" i="19"/>
  <c r="U14" i="19"/>
  <c r="AM54" i="19"/>
  <c r="AG44" i="19"/>
  <c r="U24" i="19"/>
  <c r="U44" i="19"/>
  <c r="O24" i="19"/>
  <c r="AA44" i="19"/>
  <c r="AM44" i="19"/>
  <c r="AG14" i="19"/>
  <c r="AA24" i="19"/>
  <c r="AA34" i="19"/>
  <c r="O14" i="19"/>
  <c r="AM34" i="19"/>
  <c r="AA14" i="19"/>
  <c r="AM14" i="19"/>
  <c r="AG54" i="19"/>
  <c r="AJ10" i="19"/>
  <c r="AJ40" i="19"/>
  <c r="AJ30" i="19"/>
  <c r="L40" i="19"/>
  <c r="R10" i="19"/>
  <c r="R40" i="19"/>
  <c r="X10" i="19"/>
  <c r="AJ20" i="19"/>
  <c r="AJ50" i="19"/>
  <c r="X20" i="19"/>
  <c r="X40" i="19"/>
  <c r="L10" i="19"/>
  <c r="R20" i="19"/>
  <c r="AD20" i="19"/>
  <c r="L30" i="19"/>
  <c r="R30" i="19"/>
  <c r="X30" i="19"/>
  <c r="L50" i="19"/>
  <c r="AD40" i="19"/>
  <c r="AD30" i="19"/>
  <c r="L20" i="19"/>
  <c r="AD10" i="19"/>
  <c r="AD50" i="19"/>
  <c r="X50" i="19"/>
  <c r="R50" i="19"/>
  <c r="AC37" i="1"/>
  <c r="P39" i="19"/>
  <c r="V9" i="19"/>
  <c r="V29" i="19"/>
  <c r="P49" i="19"/>
  <c r="AH39" i="19"/>
  <c r="AB19" i="19"/>
  <c r="AH49" i="19"/>
  <c r="AH9" i="19"/>
  <c r="AB49" i="19"/>
  <c r="V49" i="19"/>
  <c r="J9" i="19"/>
  <c r="P9" i="19"/>
  <c r="J29" i="19"/>
  <c r="AB29" i="19"/>
  <c r="V19" i="19"/>
  <c r="J39" i="19"/>
  <c r="AB9" i="19"/>
  <c r="J19" i="19"/>
  <c r="J49" i="19"/>
  <c r="AH19" i="19"/>
  <c r="V39" i="19"/>
  <c r="P19" i="19"/>
  <c r="AH29" i="19"/>
  <c r="AB39" i="19"/>
  <c r="P29" i="19"/>
  <c r="AE40" i="19"/>
  <c r="Y20" i="19"/>
  <c r="AK10" i="19"/>
  <c r="AE30" i="19"/>
  <c r="AE20" i="19"/>
  <c r="S30" i="19"/>
  <c r="M50" i="19"/>
  <c r="AK30" i="19"/>
  <c r="M30" i="19"/>
  <c r="Y50" i="19"/>
  <c r="AK40" i="19"/>
  <c r="M40" i="19"/>
  <c r="Y40" i="19"/>
  <c r="AE50" i="19"/>
  <c r="AK50" i="19"/>
  <c r="Y30" i="19"/>
  <c r="M10" i="19"/>
  <c r="S40" i="19"/>
  <c r="S50" i="19"/>
  <c r="AE10" i="19"/>
  <c r="M20" i="19"/>
  <c r="S20" i="19"/>
  <c r="AK20" i="19"/>
  <c r="S10" i="19"/>
  <c r="Y10" i="19"/>
  <c r="AG37" i="19"/>
  <c r="U27" i="19"/>
  <c r="AA47" i="19"/>
  <c r="AM37" i="19"/>
  <c r="AA27" i="19"/>
  <c r="AG17" i="19"/>
  <c r="AG47" i="19"/>
  <c r="O37" i="19"/>
  <c r="O27" i="19"/>
  <c r="AG27" i="19"/>
  <c r="AA17" i="19"/>
  <c r="AM27" i="19"/>
  <c r="O47" i="19"/>
  <c r="U7" i="19"/>
  <c r="O17" i="19"/>
  <c r="U37" i="19"/>
  <c r="AM7" i="19"/>
  <c r="O7" i="19"/>
  <c r="U17" i="19"/>
  <c r="AM47" i="19"/>
  <c r="AA37" i="19"/>
  <c r="AG7" i="19"/>
  <c r="AA7" i="19"/>
  <c r="U47" i="19"/>
  <c r="AM17" i="19"/>
  <c r="AC14" i="19"/>
  <c r="Q24" i="19"/>
  <c r="K54" i="19"/>
  <c r="AC24" i="19"/>
  <c r="Q44" i="19"/>
  <c r="Q34" i="19"/>
  <c r="K34" i="19"/>
  <c r="AI54" i="19"/>
  <c r="W24" i="19"/>
  <c r="W14" i="19"/>
  <c r="AI24" i="19"/>
  <c r="K14" i="19"/>
  <c r="Q54" i="19"/>
  <c r="K24" i="19"/>
  <c r="K44" i="19"/>
  <c r="AC44" i="19"/>
  <c r="W44" i="19"/>
  <c r="W54" i="19"/>
  <c r="AI44" i="19"/>
  <c r="Q14" i="19"/>
  <c r="AC54" i="19"/>
  <c r="AC34" i="19"/>
  <c r="AI14" i="19"/>
  <c r="AI34" i="19"/>
  <c r="W34" i="19"/>
  <c r="AF31" i="19"/>
  <c r="AF21" i="19"/>
  <c r="N21" i="19"/>
  <c r="AF11" i="19"/>
  <c r="AL51" i="19"/>
  <c r="Z51" i="19"/>
  <c r="AF41" i="19"/>
  <c r="Z41" i="19"/>
  <c r="N31" i="19"/>
  <c r="T21" i="19"/>
  <c r="N41" i="19"/>
  <c r="T51" i="19"/>
  <c r="T31" i="19"/>
  <c r="T11" i="19"/>
  <c r="N11" i="19"/>
  <c r="AL21" i="19"/>
  <c r="Z11" i="19"/>
  <c r="AL11" i="19"/>
  <c r="Z31" i="19"/>
  <c r="T41" i="19"/>
  <c r="AL41" i="19"/>
  <c r="N51" i="19"/>
  <c r="Z21" i="19"/>
  <c r="AF51" i="19"/>
  <c r="AL31" i="19"/>
  <c r="AF54" i="19"/>
  <c r="AF44" i="19"/>
  <c r="T24" i="19"/>
  <c r="Z44" i="19"/>
  <c r="T34" i="19"/>
  <c r="Z54" i="19"/>
  <c r="Z34" i="19"/>
  <c r="AL34" i="19"/>
  <c r="T44" i="19"/>
  <c r="N24" i="19"/>
  <c r="Z24" i="19"/>
  <c r="Z14" i="19"/>
  <c r="AL54" i="19"/>
  <c r="AF34" i="19"/>
  <c r="N14" i="19"/>
  <c r="AL44" i="19"/>
  <c r="T14" i="19"/>
  <c r="AF24" i="19"/>
  <c r="T54" i="19"/>
  <c r="N44" i="19"/>
  <c r="AL24" i="19"/>
  <c r="AL14" i="19"/>
  <c r="AF14" i="19"/>
  <c r="N34" i="19"/>
  <c r="N54" i="19"/>
  <c r="AK15" i="19"/>
  <c r="M25" i="19"/>
  <c r="M15" i="19"/>
  <c r="AE55" i="19"/>
  <c r="AK35" i="19"/>
  <c r="AE35" i="19"/>
  <c r="AK55" i="19"/>
  <c r="S35" i="19"/>
  <c r="M35" i="19"/>
  <c r="AE15" i="19"/>
  <c r="S15" i="19"/>
  <c r="M55" i="19"/>
  <c r="S55" i="19"/>
  <c r="Y15" i="19"/>
  <c r="S25" i="19"/>
  <c r="AK25" i="19"/>
  <c r="AE45" i="19"/>
  <c r="Y45" i="19"/>
  <c r="Y35" i="19"/>
  <c r="Y25" i="19"/>
  <c r="S45" i="19"/>
  <c r="Y55" i="19"/>
  <c r="AK45" i="19"/>
  <c r="AE25" i="19"/>
  <c r="M45" i="19"/>
  <c r="AA31" i="19"/>
  <c r="AM11" i="19"/>
  <c r="AM51" i="19"/>
  <c r="U41" i="19"/>
  <c r="AA21" i="19"/>
  <c r="AA11" i="19"/>
  <c r="O11" i="19"/>
  <c r="AG51" i="19"/>
  <c r="AM21" i="19"/>
  <c r="U51" i="19"/>
  <c r="O51" i="19"/>
  <c r="U21" i="19"/>
  <c r="U11" i="19"/>
  <c r="AM41" i="19"/>
  <c r="AG21" i="19"/>
  <c r="AA41" i="19"/>
  <c r="AG11" i="19"/>
  <c r="O41" i="19"/>
  <c r="O31" i="19"/>
  <c r="O21" i="19"/>
  <c r="AG31" i="19"/>
  <c r="AM31" i="19"/>
  <c r="AA51" i="19"/>
  <c r="AG41" i="19"/>
  <c r="U31" i="19"/>
  <c r="AC50" i="19"/>
  <c r="K40" i="19"/>
  <c r="K10" i="19"/>
  <c r="AI20" i="19"/>
  <c r="K20" i="19"/>
  <c r="AI30" i="19"/>
  <c r="AC40" i="19"/>
  <c r="W50" i="19"/>
  <c r="Q40" i="19"/>
  <c r="AI40" i="19"/>
  <c r="AC20" i="19"/>
  <c r="Q10" i="19"/>
  <c r="W20" i="19"/>
  <c r="AI50" i="19"/>
  <c r="AC10" i="19"/>
  <c r="W30" i="19"/>
  <c r="Q30" i="19"/>
  <c r="K50" i="19"/>
  <c r="Q20" i="19"/>
  <c r="K30" i="19"/>
  <c r="W10" i="19"/>
  <c r="W40" i="19"/>
  <c r="Q50" i="19"/>
  <c r="AI10" i="19"/>
  <c r="AC30" i="19"/>
  <c r="Z35" i="19"/>
  <c r="T35" i="19"/>
  <c r="N35" i="19"/>
  <c r="T15" i="19"/>
  <c r="AF45" i="19"/>
  <c r="AF55" i="19"/>
  <c r="AL55" i="19"/>
  <c r="N45" i="19"/>
  <c r="AL35" i="19"/>
  <c r="AL45" i="19"/>
  <c r="N15" i="19"/>
  <c r="Z45" i="19"/>
  <c r="T45" i="19"/>
  <c r="Z25" i="19"/>
  <c r="T25" i="19"/>
  <c r="N55" i="19"/>
  <c r="N25" i="19"/>
  <c r="AL25" i="19"/>
  <c r="AF25" i="19"/>
  <c r="AF15" i="19"/>
  <c r="Z15" i="19"/>
  <c r="Z55" i="19"/>
  <c r="AF35" i="19"/>
  <c r="T55" i="19"/>
  <c r="AL15" i="19"/>
  <c r="O39" i="19"/>
  <c r="U29" i="19"/>
  <c r="U39" i="19"/>
  <c r="O19" i="19"/>
  <c r="AM9" i="19"/>
  <c r="U19" i="19"/>
  <c r="U49" i="19"/>
  <c r="AM49" i="19"/>
  <c r="AA49" i="19"/>
  <c r="AA29" i="19"/>
  <c r="AG29" i="19"/>
  <c r="O49" i="19"/>
  <c r="AM39" i="19"/>
  <c r="U9" i="19"/>
  <c r="AM19" i="19"/>
  <c r="AA19" i="19"/>
  <c r="AM29" i="19"/>
  <c r="AA9" i="19"/>
  <c r="AG49" i="19"/>
  <c r="AG9" i="19"/>
  <c r="O9" i="19"/>
  <c r="AG39" i="19"/>
  <c r="O29" i="19"/>
  <c r="AG19" i="19"/>
  <c r="AA39" i="19"/>
  <c r="K54" i="24" l="1"/>
  <c r="L54" i="24" s="1"/>
  <c r="K48" i="24"/>
  <c r="M48" i="24" s="1"/>
  <c r="AB48" i="24" s="1"/>
  <c r="AA48" i="24" s="1"/>
  <c r="AC48" i="24" s="1"/>
  <c r="K50" i="24"/>
  <c r="K30" i="1"/>
  <c r="L30" i="1" s="1"/>
  <c r="K39" i="24"/>
  <c r="L39" i="24" s="1"/>
  <c r="K39" i="1"/>
  <c r="K33" i="24"/>
  <c r="L33" i="24" s="1"/>
  <c r="K45" i="1"/>
  <c r="L45" i="1" s="1"/>
  <c r="K53" i="24"/>
  <c r="K37" i="1"/>
  <c r="K46" i="24"/>
  <c r="K34" i="1"/>
  <c r="L34" i="1" s="1"/>
  <c r="K35" i="24"/>
  <c r="L35" i="24" s="1"/>
  <c r="K42" i="1"/>
  <c r="L42" i="1" s="1"/>
  <c r="K36" i="24"/>
  <c r="L36" i="24" s="1"/>
  <c r="K40" i="1"/>
  <c r="K57" i="24"/>
  <c r="M57" i="24" s="1"/>
  <c r="AB57" i="24" s="1"/>
  <c r="AA57" i="24" s="1"/>
  <c r="AC57" i="24" s="1"/>
  <c r="K38" i="1"/>
  <c r="K52" i="24"/>
  <c r="M52" i="24" s="1"/>
  <c r="AB52" i="24" s="1"/>
  <c r="AA52" i="24" s="1"/>
  <c r="AC52" i="24" s="1"/>
  <c r="K31" i="1"/>
  <c r="L31" i="1" s="1"/>
  <c r="K45" i="24"/>
  <c r="M45" i="24" s="1"/>
  <c r="AB45" i="24" s="1"/>
  <c r="AA45" i="24" s="1"/>
  <c r="AC45" i="24" s="1"/>
  <c r="K43" i="1"/>
  <c r="L43" i="1" s="1"/>
  <c r="K49" i="24"/>
  <c r="K50" i="1"/>
  <c r="L50" i="1" s="1"/>
  <c r="K55" i="24"/>
  <c r="L55" i="24" s="1"/>
  <c r="K48" i="1"/>
  <c r="L48" i="1" s="1"/>
  <c r="K28" i="24"/>
  <c r="L28" i="24" s="1"/>
  <c r="M36" i="24" l="1"/>
  <c r="AB36" i="24" s="1"/>
  <c r="AA36" i="24" s="1"/>
  <c r="AC36" i="24" s="1"/>
  <c r="N36" i="24"/>
  <c r="M35" i="24"/>
  <c r="AB35" i="24" s="1"/>
  <c r="AA35" i="24" s="1"/>
  <c r="AC35" i="24" s="1"/>
  <c r="N35" i="24"/>
  <c r="AF38" i="18"/>
  <c r="N34" i="1"/>
  <c r="AL6" i="18"/>
  <c r="T38" i="18"/>
  <c r="AL30" i="18"/>
  <c r="AF30" i="18"/>
  <c r="N22" i="18"/>
  <c r="Z6" i="18"/>
  <c r="Z38" i="18"/>
  <c r="T14" i="18"/>
  <c r="AL14" i="18"/>
  <c r="T30" i="18"/>
  <c r="T6" i="18"/>
  <c r="AL38" i="18"/>
  <c r="Z14" i="18"/>
  <c r="Z30" i="18"/>
  <c r="AL22" i="18"/>
  <c r="N38" i="18"/>
  <c r="M34" i="1"/>
  <c r="AB34" i="1" s="1"/>
  <c r="AA34" i="1" s="1"/>
  <c r="AF22" i="18"/>
  <c r="T22" i="18"/>
  <c r="N30" i="18"/>
  <c r="Z22" i="18"/>
  <c r="AF14" i="18"/>
  <c r="N6" i="18"/>
  <c r="AF6" i="18"/>
  <c r="N14" i="18"/>
  <c r="M28" i="24"/>
  <c r="AB28" i="24" s="1"/>
  <c r="N28" i="24"/>
  <c r="M48" i="1"/>
  <c r="AB48" i="1" s="1"/>
  <c r="AA48" i="1" s="1"/>
  <c r="AC48" i="1" s="1"/>
  <c r="N48" i="1"/>
  <c r="N55" i="24"/>
  <c r="M55" i="24"/>
  <c r="AB55" i="24" s="1"/>
  <c r="AA55" i="24" s="1"/>
  <c r="AC55" i="24" s="1"/>
  <c r="L34" i="18"/>
  <c r="L26" i="18"/>
  <c r="X26" i="18"/>
  <c r="AD34" i="18"/>
  <c r="R18" i="18"/>
  <c r="AD26" i="18"/>
  <c r="L42" i="18"/>
  <c r="AD18" i="18"/>
  <c r="X18" i="18"/>
  <c r="N42" i="1"/>
  <c r="AJ10" i="18"/>
  <c r="X10" i="18"/>
  <c r="AD10" i="18"/>
  <c r="M42" i="1"/>
  <c r="AB42" i="1" s="1"/>
  <c r="AA42" i="1" s="1"/>
  <c r="AJ34" i="18"/>
  <c r="R34" i="18"/>
  <c r="R42" i="18"/>
  <c r="X34" i="18"/>
  <c r="L18" i="18"/>
  <c r="R26" i="18"/>
  <c r="AJ42" i="18"/>
  <c r="X42" i="18"/>
  <c r="R10" i="18"/>
  <c r="L10" i="18"/>
  <c r="AJ18" i="18"/>
  <c r="AJ26" i="18"/>
  <c r="AD42" i="18"/>
  <c r="N50" i="1"/>
  <c r="M50" i="1"/>
  <c r="AH36" i="18"/>
  <c r="V44" i="18"/>
  <c r="AB20" i="18"/>
  <c r="V20" i="18"/>
  <c r="AH28" i="18"/>
  <c r="AH20" i="18"/>
  <c r="N45" i="1"/>
  <c r="J44" i="18"/>
  <c r="AB12" i="18"/>
  <c r="P20" i="18"/>
  <c r="AB44" i="18"/>
  <c r="M45" i="1"/>
  <c r="AB45" i="1" s="1"/>
  <c r="AH12" i="18"/>
  <c r="P12" i="18"/>
  <c r="V12" i="18"/>
  <c r="P28" i="18"/>
  <c r="J12" i="18"/>
  <c r="AB36" i="18"/>
  <c r="AH44" i="18"/>
  <c r="AB28" i="18"/>
  <c r="J36" i="18"/>
  <c r="P36" i="18"/>
  <c r="V36" i="18"/>
  <c r="J20" i="18"/>
  <c r="P44" i="18"/>
  <c r="V28" i="18"/>
  <c r="J28" i="18"/>
  <c r="M33" i="24"/>
  <c r="AB33" i="24" s="1"/>
  <c r="N33" i="24"/>
  <c r="M43" i="1"/>
  <c r="AB43" i="1" s="1"/>
  <c r="AA43" i="1" s="1"/>
  <c r="AF10" i="18"/>
  <c r="AF42" i="18"/>
  <c r="AL26" i="18"/>
  <c r="T26" i="18"/>
  <c r="N43" i="1"/>
  <c r="Z34" i="18"/>
  <c r="Z10" i="18"/>
  <c r="N26" i="18"/>
  <c r="AL18" i="18"/>
  <c r="N42" i="18"/>
  <c r="Z26" i="18"/>
  <c r="AL34" i="18"/>
  <c r="Z18" i="18"/>
  <c r="AF34" i="18"/>
  <c r="AL10" i="18"/>
  <c r="AF18" i="18"/>
  <c r="T34" i="18"/>
  <c r="N34" i="18"/>
  <c r="N18" i="18"/>
  <c r="Z42" i="18"/>
  <c r="T10" i="18"/>
  <c r="AF26" i="18"/>
  <c r="T18" i="18"/>
  <c r="N10" i="18"/>
  <c r="AL42" i="18"/>
  <c r="T42" i="18"/>
  <c r="M39" i="24"/>
  <c r="AB39" i="24" s="1"/>
  <c r="AA39" i="24" s="1"/>
  <c r="AC39" i="24" s="1"/>
  <c r="N39" i="24"/>
  <c r="V38" i="18"/>
  <c r="V6" i="18"/>
  <c r="M30" i="1"/>
  <c r="AB30" i="1" s="1"/>
  <c r="AA30" i="1" s="1"/>
  <c r="P22" i="18"/>
  <c r="V22" i="18"/>
  <c r="AH14" i="18"/>
  <c r="V30" i="18"/>
  <c r="P38" i="18"/>
  <c r="AH22" i="18"/>
  <c r="J38" i="18"/>
  <c r="AB22" i="18"/>
  <c r="J22" i="18"/>
  <c r="AB30" i="18"/>
  <c r="P30" i="18"/>
  <c r="P14" i="18"/>
  <c r="P6" i="18"/>
  <c r="AB6" i="18"/>
  <c r="AH30" i="18"/>
  <c r="V14" i="18"/>
  <c r="J14" i="18"/>
  <c r="AH38" i="18"/>
  <c r="AB14" i="18"/>
  <c r="N30" i="1"/>
  <c r="AH6" i="18"/>
  <c r="AB38" i="18"/>
  <c r="J6" i="18"/>
  <c r="J30" i="18"/>
  <c r="AD22" i="18"/>
  <c r="AD38" i="18"/>
  <c r="X14" i="18"/>
  <c r="R14" i="18"/>
  <c r="AD6" i="18"/>
  <c r="AJ30" i="18"/>
  <c r="N31" i="1"/>
  <c r="L14" i="18"/>
  <c r="AD14" i="18"/>
  <c r="R38" i="18"/>
  <c r="X22" i="18"/>
  <c r="AJ38" i="18"/>
  <c r="AJ22" i="18"/>
  <c r="AD30" i="18"/>
  <c r="L30" i="18"/>
  <c r="R22" i="18"/>
  <c r="X30" i="18"/>
  <c r="L6" i="18"/>
  <c r="R30" i="18"/>
  <c r="X38" i="18"/>
  <c r="AJ14" i="18"/>
  <c r="AJ6" i="18"/>
  <c r="M31" i="1"/>
  <c r="AB31" i="1" s="1"/>
  <c r="L22" i="18"/>
  <c r="R6" i="18"/>
  <c r="L38" i="18"/>
  <c r="X6" i="18"/>
  <c r="N54" i="24"/>
  <c r="M54" i="24"/>
  <c r="AB54" i="24" s="1"/>
  <c r="AA54" i="24" s="1"/>
  <c r="AC54" i="24" s="1"/>
  <c r="V46" i="19" l="1"/>
  <c r="P16" i="19"/>
  <c r="P26" i="19"/>
  <c r="V36" i="19"/>
  <c r="AH26" i="19"/>
  <c r="P46" i="19"/>
  <c r="V26" i="19"/>
  <c r="P6" i="19"/>
  <c r="AC30" i="1"/>
  <c r="J6" i="19"/>
  <c r="J16" i="19"/>
  <c r="P36" i="19"/>
  <c r="V16" i="19"/>
  <c r="AB46" i="19"/>
  <c r="J46" i="19"/>
  <c r="J36" i="19"/>
  <c r="AB6" i="19"/>
  <c r="AH16" i="19"/>
  <c r="AB26" i="19"/>
  <c r="V6" i="19"/>
  <c r="J26" i="19"/>
  <c r="AH46" i="19"/>
  <c r="AH36" i="19"/>
  <c r="AB36" i="19"/>
  <c r="AH6" i="19"/>
  <c r="AB16" i="19"/>
  <c r="AA33" i="24"/>
  <c r="AC33" i="24" s="1"/>
  <c r="AB34" i="24"/>
  <c r="AA34" i="24" s="1"/>
  <c r="AC34" i="24" s="1"/>
  <c r="AA45" i="1"/>
  <c r="AB46" i="1"/>
  <c r="AA46" i="1" s="1"/>
  <c r="J44" i="19"/>
  <c r="AB54" i="19"/>
  <c r="V44" i="19"/>
  <c r="AC43" i="1"/>
  <c r="J34" i="19"/>
  <c r="P24" i="19"/>
  <c r="AB14" i="19"/>
  <c r="P14" i="19"/>
  <c r="V24" i="19"/>
  <c r="P54" i="19"/>
  <c r="J54" i="19"/>
  <c r="V14" i="19"/>
  <c r="AH44" i="19"/>
  <c r="AB34" i="19"/>
  <c r="J24" i="19"/>
  <c r="AB24" i="19"/>
  <c r="AH14" i="19"/>
  <c r="AB44" i="19"/>
  <c r="V34" i="19"/>
  <c r="J14" i="19"/>
  <c r="P44" i="19"/>
  <c r="AH54" i="19"/>
  <c r="V54" i="19"/>
  <c r="AH34" i="19"/>
  <c r="AH24" i="19"/>
  <c r="P34" i="19"/>
  <c r="AA31" i="1"/>
  <c r="AB32" i="1"/>
  <c r="AA32" i="1" s="1"/>
  <c r="AA28" i="24"/>
  <c r="AC28" i="24" s="1"/>
  <c r="AB29" i="24"/>
  <c r="AA29" i="24" s="1"/>
  <c r="AC29" i="24" s="1"/>
  <c r="AB30" i="24"/>
  <c r="AA30" i="24" s="1"/>
  <c r="AC30" i="24" s="1"/>
  <c r="P38" i="19"/>
  <c r="V28" i="19"/>
  <c r="AH38" i="19"/>
  <c r="AB48" i="19"/>
  <c r="P28" i="19"/>
  <c r="J28" i="19"/>
  <c r="V18" i="19"/>
  <c r="AC34" i="1"/>
  <c r="V48" i="19"/>
  <c r="J8" i="19"/>
  <c r="J48" i="19"/>
  <c r="AB28" i="19"/>
  <c r="AH18" i="19"/>
  <c r="P48" i="19"/>
  <c r="AH48" i="19"/>
  <c r="P8" i="19"/>
  <c r="AB8" i="19"/>
  <c r="J18" i="19"/>
  <c r="P18" i="19"/>
  <c r="AH8" i="19"/>
  <c r="AB18" i="19"/>
  <c r="AB38" i="19"/>
  <c r="AH28" i="19"/>
  <c r="V8" i="19"/>
  <c r="J38" i="19"/>
  <c r="V38" i="19"/>
  <c r="AB23" i="19"/>
  <c r="AC42" i="1"/>
  <c r="V13" i="19"/>
  <c r="J23" i="19"/>
  <c r="P13" i="19"/>
  <c r="V43" i="19"/>
  <c r="J13" i="19"/>
  <c r="AH53" i="19"/>
  <c r="V53" i="19"/>
  <c r="AH23" i="19"/>
  <c r="P33" i="19"/>
  <c r="P43" i="19"/>
  <c r="J33" i="19"/>
  <c r="AB43" i="19"/>
  <c r="V23" i="19"/>
  <c r="J43" i="19"/>
  <c r="AB13" i="19"/>
  <c r="AH13" i="19"/>
  <c r="P53" i="19"/>
  <c r="AH43" i="19"/>
  <c r="AH33" i="19"/>
  <c r="J53" i="19"/>
  <c r="AB33" i="19"/>
  <c r="P23" i="19"/>
  <c r="AB53" i="19"/>
  <c r="V33" i="19"/>
  <c r="K25" i="19" l="1"/>
  <c r="AI35" i="19"/>
  <c r="Q35" i="19"/>
  <c r="K45" i="19"/>
  <c r="AC25" i="19"/>
  <c r="AI15" i="19"/>
  <c r="K55" i="19"/>
  <c r="AC35" i="19"/>
  <c r="W25" i="19"/>
  <c r="AC55" i="19"/>
  <c r="AC15" i="19"/>
  <c r="AI55" i="19"/>
  <c r="AC45" i="19"/>
  <c r="Q45" i="19"/>
  <c r="W35" i="19"/>
  <c r="Q15" i="19"/>
  <c r="AI25" i="19"/>
  <c r="K35" i="19"/>
  <c r="Q55" i="19"/>
  <c r="W45" i="19"/>
  <c r="Q25" i="19"/>
  <c r="AI45" i="19"/>
  <c r="W15" i="19"/>
  <c r="K15" i="19"/>
  <c r="AC46" i="1"/>
  <c r="W55" i="19"/>
  <c r="AB45" i="19"/>
  <c r="P55" i="19"/>
  <c r="AH25" i="19"/>
  <c r="AH45" i="19"/>
  <c r="V15" i="19"/>
  <c r="J25" i="19"/>
  <c r="AH35" i="19"/>
  <c r="V55" i="19"/>
  <c r="V25" i="19"/>
  <c r="AH15" i="19"/>
  <c r="AH55" i="19"/>
  <c r="AB25" i="19"/>
  <c r="P45" i="19"/>
  <c r="AB15" i="19"/>
  <c r="P25" i="19"/>
  <c r="V35" i="19"/>
  <c r="V45" i="19"/>
  <c r="J45" i="19"/>
  <c r="AC45" i="1"/>
  <c r="J35" i="19"/>
  <c r="AB55" i="19"/>
  <c r="P35" i="19"/>
  <c r="J55" i="19"/>
  <c r="AB35" i="19"/>
  <c r="P15" i="19"/>
  <c r="J15" i="19"/>
  <c r="K37" i="19"/>
  <c r="AI7" i="19"/>
  <c r="Q27" i="19"/>
  <c r="AI47" i="19"/>
  <c r="AI27" i="19"/>
  <c r="K17" i="19"/>
  <c r="K7" i="19"/>
  <c r="AC7" i="19"/>
  <c r="W17" i="19"/>
  <c r="Q17" i="19"/>
  <c r="AI17" i="19"/>
  <c r="W7" i="19"/>
  <c r="AC32" i="1"/>
  <c r="W27" i="19"/>
  <c r="AC27" i="19"/>
  <c r="AI37" i="19"/>
  <c r="Q7" i="19"/>
  <c r="Q47" i="19"/>
  <c r="AC37" i="19"/>
  <c r="AC47" i="19"/>
  <c r="W47" i="19"/>
  <c r="K27" i="19"/>
  <c r="Q37" i="19"/>
  <c r="W37" i="19"/>
  <c r="K47" i="19"/>
  <c r="AC17" i="19"/>
  <c r="J7" i="19"/>
  <c r="AH27" i="19"/>
  <c r="V7" i="19"/>
  <c r="V17" i="19"/>
  <c r="AB17" i="19"/>
  <c r="AB47" i="19"/>
  <c r="J17" i="19"/>
  <c r="AB27" i="19"/>
  <c r="J47" i="19"/>
  <c r="V37" i="19"/>
  <c r="AH7" i="19"/>
  <c r="V27" i="19"/>
  <c r="AH37" i="19"/>
  <c r="AB7" i="19"/>
  <c r="P7" i="19"/>
  <c r="V47" i="19"/>
  <c r="J37" i="19"/>
  <c r="J27" i="19"/>
  <c r="AH47" i="19"/>
  <c r="P27" i="19"/>
  <c r="P37" i="19"/>
  <c r="P17" i="19"/>
  <c r="AH17" i="19"/>
  <c r="AC31" i="1"/>
  <c r="AB37" i="19"/>
  <c r="P4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<sst xmlns="http://schemas.openxmlformats.org/spreadsheetml/2006/main" count="936" uniqueCount="449">
  <si>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</si>
  <si>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</si>
  <si>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</si>
  <si>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</si>
  <si>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</si>
  <si>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</si>
  <si>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</si>
  <si>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</si>
  <si>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</si>
  <si>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</si>
  <si>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</si>
  <si>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</si>
  <si>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</si>
  <si>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</si>
  <si>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</si>
  <si>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</si>
  <si>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</si>
  <si>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</si>
  <si>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</si>
  <si>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</si>
  <si>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</si>
  <si>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</si>
  <si>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</si>
  <si>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</si>
  <si>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</si>
  <si>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</si>
  <si>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</si>
  <si>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</si>
  <si>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</si>
  <si>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</si>
  <si>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</si>
  <si>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</si>
  <si>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</si>
  <si>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</si>
  <si>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</si>
  <si>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</si>
  <si>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</si>
  <si>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</si>
  <si>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</si>
  <si>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</si>
  <si>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</si>
  <si>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</si>
  <si>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</si>
  <si>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</si>
  <si>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</si>
  <si>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</si>
  <si>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</si>
  <si>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</si>
  <si>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</si>
  <si>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</si>
  <si>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</si>
  <si>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</si>
  <si>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</si>
  <si>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</si>
  <si>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</si>
  <si>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</si>
  <si>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</si>
  <si>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</si>
  <si>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</si>
  <si>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</si>
  <si>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</si>
  <si>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</si>
  <si>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</si>
  <si>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</si>
  <si>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</si>
  <si>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</si>
  <si>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</si>
  <si>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</si>
  <si>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</si>
  <si>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</si>
  <si>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</si>
  <si>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</si>
  <si>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</si>
  <si>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</si>
  <si>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</si>
  <si>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</si>
  <si>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</si>
  <si>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</si>
  <si>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</si>
  <si>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</si>
  <si>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</si>
  <si>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</si>
  <si>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</si>
  <si>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</si>
  <si>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</si>
  <si>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</si>
  <si>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</si>
  <si>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</si>
  <si>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</si>
  <si>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</si>
  <si>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</si>
  <si>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</si>
  <si>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</si>
  <si>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</si>
  <si>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</si>
  <si>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</si>
  <si>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</si>
  <si>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</si>
  <si>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</si>
  <si>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</si>
  <si>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</si>
  <si>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</si>
  <si>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</si>
  <si>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</si>
  <si>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</si>
  <si>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</si>
  <si>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</si>
  <si>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</si>
  <si>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</si>
  <si>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</si>
  <si>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</si>
  <si>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</si>
  <si>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</si>
  <si>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</si>
  <si>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</si>
  <si>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</si>
  <si>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</si>
  <si>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</si>
  <si>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</si>
  <si>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</si>
  <si>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</si>
  <si>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</si>
  <si>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</si>
  <si>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</si>
  <si>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</si>
  <si>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</si>
  <si>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</si>
  <si>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</si>
  <si>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</si>
  <si>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</si>
  <si>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</si>
  <si>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</si>
  <si>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</si>
  <si>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</si>
  <si>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</si>
  <si>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</si>
  <si>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</si>
  <si>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</si>
  <si>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</si>
  <si>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</si>
  <si>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</si>
  <si>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</si>
  <si>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</si>
  <si>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</si>
  <si>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</si>
  <si>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</si>
  <si>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</si>
  <si>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</si>
  <si>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</si>
  <si>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</si>
  <si>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</si>
  <si>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</si>
  <si>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</si>
  <si>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</si>
  <si>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</si>
  <si>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</si>
  <si>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</si>
  <si>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</si>
  <si>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</si>
  <si>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</si>
  <si>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</si>
  <si>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</si>
  <si>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</si>
  <si>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</si>
  <si>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</si>
  <si>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</si>
  <si>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</si>
  <si>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</si>
  <si>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</si>
  <si>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</si>
  <si>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</si>
  <si>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</si>
  <si>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</si>
  <si>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</si>
  <si>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</si>
  <si>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</si>
  <si>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</si>
  <si>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</si>
  <si>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</si>
  <si>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</si>
  <si>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</si>
  <si>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</si>
  <si>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</si>
  <si>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</si>
  <si>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</si>
  <si>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</si>
  <si>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</si>
  <si>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</si>
  <si>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</si>
  <si>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</si>
  <si>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</si>
  <si>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</si>
  <si>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</si>
  <si>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</si>
  <si>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</si>
  <si>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</si>
  <si>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</si>
  <si>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</si>
  <si>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</si>
  <si>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</si>
  <si>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</si>
  <si>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</si>
  <si>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</si>
  <si>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</si>
  <si>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</si>
  <si>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</si>
  <si>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</si>
  <si>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</si>
  <si>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</si>
  <si>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</si>
  <si>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</si>
  <si>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</si>
  <si>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</si>
  <si>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</si>
  <si>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</si>
  <si>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</si>
  <si>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</si>
  <si>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</si>
  <si>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</si>
  <si>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</si>
  <si>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</si>
  <si>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</si>
  <si>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</si>
  <si>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</si>
  <si>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</si>
  <si>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</si>
  <si>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</si>
  <si>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</si>
  <si>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</si>
  <si>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</si>
  <si>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</si>
  <si>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</si>
  <si>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</si>
  <si>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</si>
  <si>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</si>
  <si>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</si>
  <si>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</si>
  <si>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</si>
  <si>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</si>
  <si>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</si>
  <si>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</si>
  <si>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</si>
  <si>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</si>
  <si>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</si>
  <si>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</si>
  <si>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</si>
  <si>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</si>
  <si>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</si>
  <si>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</si>
  <si>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</si>
  <si>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</si>
  <si>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</si>
  <si>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</si>
  <si>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</si>
  <si>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</si>
  <si>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</si>
  <si>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</si>
  <si>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</si>
  <si>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</si>
  <si>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</si>
  <si>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</si>
  <si>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</si>
  <si>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</si>
  <si>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</si>
  <si>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</si>
  <si>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</si>
  <si>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</si>
  <si>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</si>
  <si>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</si>
  <si>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</si>
  <si>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</si>
  <si>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</si>
  <si>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</si>
  <si>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</si>
  <si>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</si>
  <si>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</si>
  <si>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</si>
  <si>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</si>
  <si>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</si>
  <si>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</si>
  <si>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</si>
  <si>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</si>
  <si>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</si>
  <si>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</si>
  <si>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</si>
  <si>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</si>
  <si>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</si>
  <si>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</si>
  <si>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</si>
  <si>
    <t xml:space="preserve">Gestión Corporativa Institucional - Nivel Central </t>
  </si>
  <si>
    <t>Gestionar, adquirir, suministrar y administrar los bienes y servicios requeridos para el cumplimiento de las funciones de la Entidad, bajo un enfoque de gestión orientada a
resultados y manejo eficaz y eficiente de los recursos físicos, financieros, de personal y ambientales tanto para el Nivel Central como para el Nivel Local de la Secretaría Distrital de Gobierno.</t>
  </si>
  <si>
    <t>Inicia con la formulación de actividades y metas estratégicas y operativas referentes a la ejecución presupuestal, el manejo contable, la adquisición y administración de bienes y/o servicios de la Entidad, hasta la identificación de acciones de mejora; en caso de requerirse; para la sostenibilidad del proceso.</t>
  </si>
  <si>
    <t xml:space="preserve">Gestión Corporativa Institucional - Nivel Local </t>
  </si>
  <si>
    <t>Primera versión de la matriz de riesgos.</t>
  </si>
  <si>
    <t>Se cambia el formato de la matriz y modifica el seguimiento y monitoreo de los riesgos existentes.</t>
  </si>
  <si>
    <t>Se cambio el formato de la matriz.
Se consolidan las matrices de los diferentes procesos: contratación, gestión documental, gestión financiera, gestión de recursos físicos y recursos tecnológicos.
Se incluyeron riesgos documentales, contractuales y se identificaron riesgos de corrupción, a los riesgos financieros se les incluyeron controles .</t>
  </si>
  <si>
    <t>Se incluyeron riesgos del componente de recursos físicos riesgos 12 y 13.
Se modificaron los riesgos contractuales 10 y 11.
Se elimino un riesgo de gestión documental y se crearon dos mas riesgos 15 y 16.
Se modificaron los riesgos del componente de recursos tecnológicos riesgos 19, 20, 21 y 22.
De los riesgos existentes se eliminaron los controles que no se estaban documentando.
Se cambia el formato de la matriz de riesgos.
Se identifican los riesgos ambientales.</t>
  </si>
  <si>
    <t>Elaboración del documento. Reemplaza la matriz de riesgos del proceso de Gestión y Adquisición de Recursos. Se actualizaron todos los elementos de la matriz de riesgo de acuerdo al
objetivo, alcance y servicios del proceso Gerstión Corporativa Institucional, en el nuevo modelo de operación por procesos, así como la alineación con el marco estratégico aprobado por el Decreto 162 de 2017.</t>
  </si>
  <si>
    <t>Ajuste y actualización a la matriz de acuerdo con la guía del DAFP V4 -2018 a través del manual de gestión del riesgo versión 11- 2019, se ingresa las columnas para las características y la evaluación de los controles, estableciendo nuevos controles y ajustando otros en cada uno de ellos, se ajustan las causas y consecuencias de acuerdo con el MGR. se unen los riesgos R1 y R2, los riesgos R3-R4-R5-R6  se ajustan, se eliminan los riesgos R7-R8 ya que existe otro instrumento ambiental por el cual se controlan y se identican dos (2) riesgos el R8 y R9 propuestos por el analista ambiental.  El R9 asociado al Sistema de Gestión Ambiental relacionado con los recursos y adquisición de bienes y servicios del Sistema de Gestión Ambiental, teniendo en cuenta los requisitos de la Norma ISO 14001:2015.
Se llevó a cabo la unificación de riegos del Nivel Central y del Nivel Local</t>
  </si>
  <si>
    <t>Desconocimiento de la normatividad,  las regulaciones en materia contractual y técnica por parte de los servidores que hacen parte del proceso de contratacion en la entidad.</t>
  </si>
  <si>
    <t xml:space="preserve"> Incumplimiento del procedimiento de ingresos y egresos de bienes muebles establecidos en la SDG (GCO-GCI-P002)</t>
  </si>
  <si>
    <t>Falencias en los controles administrativos y de consumo.</t>
  </si>
  <si>
    <t xml:space="preserve">Incumplimiento de  los lineamientos establecidos en la entidad y a la normatividad vigente (sin el lleno de requisitos técnicos y de ley). </t>
  </si>
  <si>
    <t>Los elementos no se han ingresado de manera correcta al almacen</t>
  </si>
  <si>
    <t xml:space="preserve">El (la) almacenista, cada vez que vaya ingresar  bienes de propiedad, planta y equipo, control administrativo y consumo, según su clasificación, verifica que vengan con el recibo a satisfacción del supervisor, verifica el recibo de las cantidades especificadas y que este acorde con el objeto del contrato. El registro de esta actividad se deja en el documento  "Entrada al almacén", el "recibo a satisfacción" y en aplicativo Si capital.  
En caso de evidenciar alguna inconsistencia se debe dejar un acta de reunión y se coordina con el proveedor un nuevo proceso para la entrega de los bienes de acuerdo con las especificaciones que son objeto del contrato. </t>
  </si>
  <si>
    <t xml:space="preserve">La Dirección Financiera en el área de pagos, cada vez que vaya a gestionar el pago del proveedor debe verificar que se cuente con el ingreso al almacén requerido de acuerdo a la información del objeto del contrato.   En caso de identificar que no cuente con el ingreso al almacén, el funcionario notifica al supervisor y devuelve la cuenta, no se tramita la cuenta hasta que no surta este proceso. </t>
  </si>
  <si>
    <t xml:space="preserve"> Se identifique, clasifique, registre y revele información contable en un rubro que no corresponda de forma involuntaria.</t>
  </si>
  <si>
    <t>Inaplicabilidad de la normatividad asociada a esa actividad.</t>
  </si>
  <si>
    <t>Deficiencias en los desarrollos y fallas en los aplicativos contables.</t>
  </si>
  <si>
    <t>Información extemporanea, incompleta o inconsistente sin los soportes correspondientes.</t>
  </si>
  <si>
    <t>El Director Financiero  y equipo asignado tanto en nivel central como en los FDL, para la preparación y presentación de los Estados Financieros de la entidad, mensualmente revisan y verifican que operaciones transaccionales   se reconozcan  con base en la normatividad vigente, mediante el reconocimiento, la clasificación, medición inicial, medición posterior y revelación de los hechos económicos generados en todas las transacciones realizadas por la Secretaria Distrital de Gobierno (SDG) y los Fondos de Desarrollo Local  (FDL) en cumplimiento de su objeto social, con el fin de registrarlos contablemente en forma oportuna, veraz, fidedigna y publicarlos hacia los usuarios internos y externos, dando cumplimiento al  Manual de Políticas de Operación Contable de la SDG GCO-GCI-M002. En caso de presentarse incosistencias en los estados financieros, el Director Financiero o el contador del FDL  gestionará los ajustes según corresponda. Como evidencia quedan los Estados Financieros publicados, los backups de los aplicativos contables, evidencias de reunión y las comunicaciones oficiales.</t>
  </si>
  <si>
    <t>Posiblidad de afectación ambiental negativa por fugas y/o derrames de sustancias peligrosas (insumos de aseo o de mantenimiento de instalaciones),  residuos peligrosos (aceites usados, bombillas fluorescentes, polvillo de tóner, entre otros) e hidrocarburos (parque automotor, plantas eléctricas o transporte en carrotanque).</t>
  </si>
  <si>
    <t xml:space="preserve">Posiblidad de afectación repeputacional por la suscripción de los contratos incumplimiendo  las normas contractuales, documentos y requisitos necesarios. </t>
  </si>
  <si>
    <t xml:space="preserve">Posibilidad de afectación económica por la inadecuada administración de los bienes de propiedad, planta y equipo  y  elementos  de consumo, de acuerdo con la clasificación mediante la legalización en las etapas de ingresos, custodia y egresos en el almacén. </t>
  </si>
  <si>
    <t>Posibilidad de afectación reputacional porque los estados financieros no reflejen la realidad económica y financiera de la Entidad</t>
  </si>
  <si>
    <t>Deficiente almacenamiento y/o manipulación de sustancias peligrosas  (insumos de aseo o de mantenimiento de instalaciones),  residuos peligrosos (aceites usados, bombillas fluorescentes, polvillo de tóner, entre otros) e hidrocarburos (parque automotor, plantas eléctricas o transporte en carrotanque)</t>
  </si>
  <si>
    <t>Desconomicimiento u omisión por parte del personal encargado de las directrices  de manipulación y almacenamiento de residuos y sustancias peligrosas.</t>
  </si>
  <si>
    <t>El profesional ambiental desarrollará inspecciones ambientales, bimestralmente en las áreas de almacenamiento de residuos y sustancias peligrosas, verificando la implementación de los lineamientos establecidos en las instrucciones de gestión integral de residuos peligrosos y manejo de sustancias peligrosas, así como en el Plan de Gestión Integral de Residuos Peligrosos; empleando el formato de inspecciones ambientales internas PLE-PIN-F009. En caso de encontrar incumplimiento se notifica a la Dirección Administrativa mediante comunicación interna a fin de realizar una jornada de socialización de los lineamientos de la gestión de este tipo de residuos y sustancias al personal responsable. Como evidencia quedan las comunicaciones oficiales y el formato PLE-PLIN-F009 diligenciado.</t>
  </si>
  <si>
    <t>Leve</t>
  </si>
  <si>
    <t>Posibilidad de afectación ambiental negativa por la explosión relacionada con almacenamiento de sustancias peligrosas (insumos de aseo y/o de mantenimiento de instalaciones clasificados como inflamables),  residuos peligrosos ( aceites usados del parque automotor derramados en las instalaciones, bombillas fluorescentes, polvillo de tóner, entre otros) e/o hidrocarburos ( provenientes de:parque automotor, plantas eléctricas o transporte de estos).</t>
  </si>
  <si>
    <t>Desconocimiento u omisión por parte del personal encargado de las directrices  de manipulación y almacenamiento de residuos y sustancias peligrosas.</t>
  </si>
  <si>
    <t>Los profesionales ambientales desarrrollarán bimestralmente  inspecciones ambientales  en las áreas de almacenamiento de residuos y sustancias peligrosas, verificando la implementación de los lineamientos establecidos en las instrucciones de gestión integral de residuos peligrosos y manejo de sustancias peligrosas, así como en el Plan de Gestión Integral de Residuos Peligrosos; empleando el formato de inspecciónes ambientales internas PLE-PIN-F009.  En caso de encontrar incumplimiento se notifica a la Dirección Administrativa por comunicación interna para realizar una jornada de socialización de lineamientos de la gestión de este tipo de residuos y sustancias al personal responsable. Como evidencia queda el formato PLE-PIN-F009 diligenciado y las comunicaciones oficiales.</t>
  </si>
  <si>
    <t>Posibilidad de afectación ambiental negativa por la gestión inadecuada de residuos sólidos: aprovechables, no aprovechables, especiales y peligrosos, generados en las actividades institucionales como en la prestación de servicios tercerizados (Proveedores priorizados en el desarrollo de actividades involucradas con la generación de impactos ambientales significativos)
Nota: la gestión de residuos se refiere a las actividades de generación, transporte interno, entre sedes, externo, almacenamiento, aprovechamiento y/o disposición final.</t>
  </si>
  <si>
    <t xml:space="preserve">
Desconocimiento y/o no implementación de los lineamientos indicados en los instructivos relacionados con la gestión integral de residuos,  sustancias peligrosas y plan de gestión integral de residuos peligrosos.</t>
  </si>
  <si>
    <t xml:space="preserve">Debilidad en la ejecución de seguimiento al almacenamiento, entrega, transporte, aprovechamiento, tratamiento y/o disposición final de los residuos generados </t>
  </si>
  <si>
    <t>Los profesionales ambientales realizan seguimiento anual a los gestores o empresas de servicios autorizados a los que se entregan los residuos, dejando constancia en los formatos establecidos de la siguiente manera:
- Residuos aprovechables y no aprovechables: PLE-PIN-F015 Formato registro de información generación de residuos aprovechables y no aprovechables.
- Residuos peligrosos: PLE-PIN-F004 Formato registro de información generación de residuos peligrosos, especiales y de manejo diferenciado/PLE-PIN-F005 
-Formato de evaluación de transporte de residuos- Residuos especiales: PLE-PIN-F005 Formato de evaluación de transporte de residuos
En caso de evidenciar incumplimiento normativo en la entrega de residuos al transportador, no se realizará y se reprogramará hasta tanto se cumplan con los lineamientos indicados para el manejo de residuos.   De otro lado, el profesional ambiental realizará inspecciones ambientales a los proveedores de bienes y servicios priorizados y evaluará en PLE-PIN-F010 Formato inspecciones ambientales a proveedores de productos y servicios tercerizados, la gestión de los residuos generados durante la ejecución del contrato que estén relacionados con el objeto contractual, en caso de encontrar desviaciones se enviará comunicado interno al supervisor del contrato para tomar las medidas pertinentes en el incumplimiento, como evidencia de la ejecución del control quedan los formatos diligenciados.</t>
  </si>
  <si>
    <t>Posibilidad de afectación ambiental negativa por operar parque automotor que no apruebe la revisión técnico mecánica y de gases. (Aplica a las Alcaldías Locales y al nivel central)</t>
  </si>
  <si>
    <t>Falta de planificación en el mantenimiento del parque automotor</t>
  </si>
  <si>
    <t>Inexistencia de presupuesto para realizar la revisión correspondiente.</t>
  </si>
  <si>
    <t>Falta de mantenimiento del parque automotor</t>
  </si>
  <si>
    <t>El profesional ambiental revisa semestralmente que los vehículos que requieran revisión técnico-mecánica este vigente y se reporta en el formulario de seguimiento semestral del informe de verificación de la Secretaría Distrital de Ambiente.  En caso de encontrar incumplimiento se informa por comunicación interna a la Dirección Administrativa el incumplimiento en el caso del nivel central y al área administrativa y financiera en caso de las alcaldías locales y se reitera que el vehículo no debe circular sin la revisión correspondiente y debe remitirse copia del certificado vigente. Como evidencia de la ejecución del control queda el formulario de seguimiento del informe de verificación de la SDA.</t>
  </si>
  <si>
    <t>Posibilidad de afectación reputacional por la limitación en la asignación de presupuesto para ejecución de actividades del Sistema de Gestión Ambiental (Aplica para el nivel central y Alcaldías Locales)</t>
  </si>
  <si>
    <t>No se presentan las necesidades de inversión para el sistema de gestión ambiental en el periodo correspondiente</t>
  </si>
  <si>
    <t>Desconocimiento de las directrices para presentar las necesidades para la asignación de presupuesto</t>
  </si>
  <si>
    <t>El profesional ambiental cada vez que  se inicia la proyección del presupuesto enviará a los integrantes del Comité de Gestión Ambiental para las Alcaldías Locales y Comité Institucional de Gestión y Desempeño para el nivel central la  identificación de las necesidades con el presupuesto proyectado,  de no presentarse la aprobación la autoridad ambiental declarará incumplimiento normativo en su evaluación anual, como evidencia queda el diligenciamiento del  formulario del plan de acción de cada vigencia.</t>
  </si>
  <si>
    <t>Posibilidad de afectación reputacional por la adquisición bienes y servicios priorizados sin incluir los criterios establecidos en la Guía de Contratación Sostenible y la normatividad aplicable. (Aplica para el nivel central y Alcaldías Locales)</t>
  </si>
  <si>
    <t>Desconocimiento de los lineamientos establecidos en la Guía de Contratación Sostenible y matriz normativa ambiental.</t>
  </si>
  <si>
    <t>No se consultan las fichas de contratación sostenible priorizadas para la entidad</t>
  </si>
  <si>
    <t>Falta de seguimiento en la inclusión de criterios sostenibles en el proceso precontractual</t>
  </si>
  <si>
    <t xml:space="preserve">Cada vez que se realice una sesión de Comité de Contratación, cuando corresponda al estudio de procesos de selección, verificará la inclusión de los criterios ambientales en los estudios previos. En caso de no encontrarlos ordenará su inclusión. 
Como evidencia quedan el acta y/o grabación de la sesión del comité. En caso de desviación del control, el comité solicitará subsanar la inclusión de los criterios ambientales en el proceso.
</t>
  </si>
  <si>
    <t>Posibilidad de afectación económica por el inventario de bienes devolutivos con inconsistencias frente a los reportes.</t>
  </si>
  <si>
    <t>Incumplimiento por parte de los servidores del instructivo de entrega del puesto de trabajo (GCO-GTH-IN011)</t>
  </si>
  <si>
    <t xml:space="preserve">Incumplimiento de los lineamientos establecidos para la entrega del puesto de trabajo. </t>
  </si>
  <si>
    <t xml:space="preserve">Falta de controles que aseguren la entrega de los bienes al retiro o traslado de funcionarios. </t>
  </si>
  <si>
    <t>Debido a la emergencia sanitaria se tuvieron que tomar medidas rápidas para asignar bienes.</t>
  </si>
  <si>
    <t>El almacenista cada vez que la Dirección de Gestión del Talento Humano reporta a la Dirección administrativa el retiro o traslado de algún servidor público de planta, contacta mediante correo electrónico institucional al funcionario para informarle el proceso que debe realizar para hacer la entrega de sus bienes a cargo.  Como evidencia quedan los correos institucionales y los formatos de trámite entrega de bienes.</t>
  </si>
  <si>
    <t xml:space="preserve">El almacenista debe verificar que se cumpla con lo establecido en las instrucciones GCO-GCI-IN022 "Instrucciones para Traslado de Elementos" a fin de garantizar que se realice el reintegro o traslado de los bienes.   Como evidencia quedan los formatos asociados al traslado de elementos. </t>
  </si>
  <si>
    <t>Falla en los controles en el aplicativo BOGDATA</t>
  </si>
  <si>
    <t xml:space="preserve">Desconocimiento en los lineamientos de identificación, clasificación y registro de la información presupuestal </t>
  </si>
  <si>
    <t>Deficiencias en los desarrollos, controles y operación del Sistema  de Información Presupuestal Distrital administrado por la SDH</t>
  </si>
  <si>
    <t>El Director Financiero y el equipo asignado del nivel central mensualmente revisan y verifican la ejecución presupuestal con base en la normatividad vigente. En caso de presentarse inconsistencias en la ejecución presupuestal el Director Financiero gestionará los ajustes según corresponda. Como evidencia quedan las ejecuciones presupuestales publicadas, los reportes expedidos a través del Sistema de Información Presupuestal y evidencias de las comunicaciones oficiales.</t>
  </si>
  <si>
    <t>Posibilidad de afectación reputacional por baja ejecución de los recursos programados durante la vigencia en el Plan Anual de Caja - PAC</t>
  </si>
  <si>
    <t>Incumplimiento de la normatividad,  las regulaciones en materia contractual y técnica por parte de los servidores que hacen parte del proceso de planeación y contratacion  en la entidad.</t>
  </si>
  <si>
    <t>Incongruencia  entre lo reprogramado en PAC en el trimestre vs lo recepcionado en el AGDL trimestralmente para pago por parte de los apoyos a la supervisión.</t>
  </si>
  <si>
    <t>Incumplimiento  del calendario establecido por la SDH para la reprogramación del PAC por parte de los apoyos a la supervisión en el control y seguimiento de la ejecucion contractual.</t>
  </si>
  <si>
    <t>Falta de seguimiento y control por parte del apoyo a la supervision en el cumplimiento del contratista para  la entrega de informes dentro de los tiempos establecidos y de acuerdo a las cláusulas de pago.</t>
  </si>
  <si>
    <t>Incumplimiento en la aplicacion del manual de supervsión e interventoría por parte de las personas que ejercen la supervisión contractual o el apoyo a la supervisión o la interventoría.</t>
  </si>
  <si>
    <t>Falta de seguimiento y control en la etapa de ejecucion contractual por parte del supervisor, apoyos a la supervision e interventores</t>
  </si>
  <si>
    <t xml:space="preserve">El supervisor y/o apoyo a la supervisión e interventor del contrato realiza seguimiento y control trimestral a la ejecución de los productos y servicios, a través de reuniones técnicas de seguimiento con sus supervisados, donde se determinan los avances con relación a los cronogramas de ejecución de actividades y entregas de productos, para el giro de los pagos. 
Ante las posibles desviaciones al control, el supervisor y/o apoyo a la supervisión e inverventor solicita oportunamente al Profesional Especializado 222-24 de la  AGDL el ajuste a la reprogramación del PAC mediante correo, a fin de que el responsable de presupuesto realice dicho ajuste en el aplicativo, como evidencia se utiliza el formato de reunión No. GDI-GPD-F029 </t>
  </si>
  <si>
    <t xml:space="preserve">El profesional especializado 222-24 de la AGDL junto con el profesional responsable de presupuesto valida mensualmente el cumplimiento de los pagos programados en el PAC, donde se evalúa la ejecucion los recursos reprogramados durante el trimestre.
Ante las posibles desviaciones del control y seguimiento, el Profesional Especializado de la AGDL generará  las alertas necesarias al alcalde (sa) para la evaluación y formulación de soluciones frente a la posible materialización del riesgo mediante una mesa de trabajo con los involucrados , como evidencia se utiliza el formato de reunión No. GDI-GPD-F029 </t>
  </si>
  <si>
    <t>El supervisor y/o apoyo a la supervisión e interventor del contrato realiza seguimiento y control mensual a la reprogramación del PAC de los supervisados designados, donde se verifique la entrega de los informes para pago dentro de los cronogramas establecidos, para el giro de los pagos,.
Ante las posibles desviaciones al control,  el supervisor y/o apoyo a la supervisión e interventor solicita oportunamente al Profesional Especializado 222-24 de la  AGDL el ajuste a la reprogramación del PAC mediante correo, a fin de que el responsable de presupuesto realice dicho ajuste en el aplicativo y la reprogramacion, como evidencia queda el reporte de los pagos mensuales del aplicativo de tesoreria.</t>
  </si>
  <si>
    <t xml:space="preserve">Posibilidad de afectación económica y reputacional por la inadecuada planeacion para la adquisición de bienes o servicios que incumplan los requisitos técnicos establecidos para suplir las necesidades de los grupos de valor (ciudadanía, usuarios internos). </t>
  </si>
  <si>
    <t>Incumplimiento en la aplicación de la normatividad,  las regulaciones en materia contractual y técnica por parte de los servidores que hacen parte del proceso de contratacion en la entidad.</t>
  </si>
  <si>
    <t>Incumplimiento en la aplicación del  manual de buenas prácticas en la actividad contractual y procedimiento para la adquisición y administración de bienes y servicios por parte del supervisor, apoyos a la supervisión e</t>
  </si>
  <si>
    <t>Cada vez que se realice la formulacion de estudios previos para la adquisicion de bienes y/o servicios el profesional o profesionales designados por el alcalde junto con el profesional de planeacion formulador realizaran una revision integral de los documentos y formatos que conforman el estudio previo dejando evidencias de esta actividad , como evidencia se utiliza el formato de reunión No. GDI-GPD-F029 y o aquellas herramientas informaticas aplicadas a cada metodologia segun cada alcaldia local.</t>
  </si>
  <si>
    <t>Un proceso de contratación el comité de contratación validará que la adquisición de los bienes o servicios cumplan con los requisitos técnicos, financieros y jurídicos establecidos para suplir las necesidades de los grupos de valor (ciudadanía, usuarios internos) y que el proceso precontractual cumpla con el procedimiento  para la adquisición y administración de bienes y servicios. Como evidencia quederán las actas del comité de contratación y todos los documentos precontractuales del proceso sometido al comité.</t>
  </si>
  <si>
    <t>Deficiencias en el proceso de planeacion y elaboración de estudios previos</t>
  </si>
  <si>
    <t>Afectación reputacional por la publicación inoportuna de la documentación que hace parte de los procesos contractuales en las plataformas estatales (SECOP I, SECOP II, Tienda Virtual, Contratación a la Vista, SIPSE).</t>
  </si>
  <si>
    <t>Deficiencia en el seguimiento y control de la documentación contractual que debe ser publicada.</t>
  </si>
  <si>
    <t>Los profesionales de apoyo a la supervisión desconocen el manual de supervisión e interventoría.</t>
  </si>
  <si>
    <t>El Profesional designado por el Alcalde(sa), cada vez que se genere un documento que haga parte del expediente contractual, revisa y/o publica en la plataforma estatal dispuesta para ello de acuerdo a los términos legales, realiza el seguimiento y monitoreo mensualmente, en caso de evidenciarse la no publicación dentro de los términos establecidos deberá informar al Alcalde(sa).
Como evidencia de la ejecución del control queda el registro del seguimiento y la trazabilidad en las plataformas estatales y las comunicaciones oficiales.</t>
  </si>
  <si>
    <t>Afectación reputacional como consecuencia que los estados financieros no reflejen la realidad económica y financiera del FDL</t>
  </si>
  <si>
    <t>El profesional con funciones de contador de los FDL, realiza un cronograma anual con destino a las áreas fuentes de información, estableciendo cuándo y cómo debe ser remitida la información contable base para la preparación y presentación de los Estados Financieros de la entidad. A su vez, mensualmente revisa y verifica que las operaciones transaccionales se reconozcan  con base en la normatividad vigente, mediante el reconocimiento, la clasificación, medición inicial, medición posterior y revelación de los hechos económicos generados en todas las transacciones realizadas por el Fondo de Desarrollo Local  (FDL) en cumplimiento de su objeto social, con el fin de registrarlos contablemente en forma oportuna, veraz, fidedigna y publicarlos hacia los usuarios internos y externos, dando cumplimiento al  Manual de Políticas de Operación Contable de la SDG GCO-GCI-M002. En caso de presentarse fallas en la parte procedimental y/o aplicativos contables el profesional con funciones de contador del FDL solicitará mediante comunicación oficial al(la) alcalde(sa) y demás integrantes de las áreas productoras de la información los ajustes, mantenimiento, capacitaciones, mesas de trabajo y/o retroalimentación según corresponda. Como evidencia quedan los Estados Financieros publicados, los aplicativos, evidencias de reunión, cronograma y las comunicaciones oficiales.</t>
  </si>
  <si>
    <t xml:space="preserve">Incumplimiento a lo establecido por la SDG en sus manuales, procesos, procedimientos y formatos relacionados con el manejo y control de los bienes </t>
  </si>
  <si>
    <t>Desconocimiento de la normatividad asociada a esa actividad.</t>
  </si>
  <si>
    <t>Falta de planeación del contratante y/o el contratista.</t>
  </si>
  <si>
    <t xml:space="preserve"> Incumplimiento en la aplicación del procedimiento de ingresos y egresos de bienes muebles establecidos en la SDG (GCO-GCI-P002)</t>
  </si>
  <si>
    <t>No se cuenta con las condiciones adecuadas para custodiar los elementos</t>
  </si>
  <si>
    <t>Entrega inoportuna de la documentación necesaria para realizar las operaciones propias del área de almacén.</t>
  </si>
  <si>
    <t>Falta de personal suficiente e idóneo para el correcto funcionamiento de la alcaldía.</t>
  </si>
  <si>
    <t>Desconocimiento y/o no implementación de los lineamientos indicados en los instructivos relacionados con la gestión integral de residuos,  sustancias peligrosas y plan de gestión integral de residuos peligrosos.</t>
  </si>
  <si>
    <t>Posibilidad de afectación ambiental negativa por los vertimientos de aguas residuales de interés sanitario y ambiental al alcantarillado sin control por parte de la entidad (Aplica a la Alcaldía Local que tiene a cargo actividades generadoras de vertimientos)</t>
  </si>
  <si>
    <t>Recursos insuficientes o no asignación de recursos para el manejo adecuado de aguas residuales de interés sanitario y ambiental.</t>
  </si>
  <si>
    <t>Ausencia de implementación de buenas prácticas frente a la disposición de sustancias a la red de alcantarillado.</t>
  </si>
  <si>
    <t>El Gestor Ambiental del FDL,  anualmente solicita la asignación de presupuesto para la ejecución de la caracterización anual de vertimientos, a fin de evitar el declaramiento del  incumplimiento normativo y aplicación de multas y sanciones por parte de la SDA, en caso de no realizarse la asignación del presupesto el gestor ambiental informará mediante comunicación oficial  al Alcalde(sa) las consecuencias, como evidencia de la ejecución del control quedan el presupuesto asignado y/o las comunicaciones oficiales.</t>
  </si>
  <si>
    <t>Posibilidad de afectación ambiental negativa por la fuga de gas refrigerante (Aplica a las Alcaldías Locales que cuenten con equipos que operen con este gas)</t>
  </si>
  <si>
    <t>Falta y/o inadecuado mantenimiento preventivo de los aires acondicionados para garantizar su disponibilidad y correcto funcionamiento</t>
  </si>
  <si>
    <t>Falta de tratamiento inmediato al evidenciar fugas de gas refrigerante en los sistemas de  aire acondicionado de las instalaciones.</t>
  </si>
  <si>
    <t>El profesional en la Alcaldía Local responsable del manejo del equipo que emplea gas refrigerante presentará las evidencias del mantenimiento realizado anualmente, en el que se muestra las mediciones de carga correspondientes. En caso de encontrar fugas se deben tratar inmediatamente. Como evidencia de la ejecución del contrato quedan el registro de mantenimiento realizado.</t>
  </si>
  <si>
    <t>Posibilidad de afectación ambiental negativa por operar y/o almacenar plantas eléctricas sin la ejecución de mantenimiento preventivo.   (Aplica a las Alcaldías Locales que cuenten con equipos que operen con estos equipos)</t>
  </si>
  <si>
    <t>Falta de planificación en el mantenimiento de la planta eléctrica</t>
  </si>
  <si>
    <t>Falta de presupuesto para el desarrollo de actividades de mantenimiento.</t>
  </si>
  <si>
    <t>El profesional ambiental en acompañamiento con el profesional responsable del mantenimiento de la planta eléctrica anualmente realiza revisión de la planta eléctrica empleando el PLE-PIN-F013 Formato control fuente fijas, de evidenciar incumplimiento la planta no podrá operar hasta que no se realice el mantenimiento pertinente. Como evidencia de la ejejcucón del control  queda el formato de control de fugas diligenciado.</t>
  </si>
  <si>
    <t>Posibilidad de afectación ambiental negativa por la gestión inadecuada de residuos de construcción y demolición, producto de la ejecución de proyectos para el desarrollo local. (Aplica para Alcaldías Locales)</t>
  </si>
  <si>
    <t>Ausencia o debilidad en los canales de comunicación  con el interventor y falta de control y seguimiento en la ejecución de los proyectos.</t>
  </si>
  <si>
    <t>Desconocimiento de los lineamientos de gestión de los residuos generados en los proyectos por parte de los proovedores/contratistas, supervisor, apoyo a la supervisión e interventoría.</t>
  </si>
  <si>
    <t>El profesional ambiental  del FDL mensualmente  verifica la existencia de los certificados de  aprovechamiento y/o disposición final  de los residuos de construcción y demolición aportados por el contratista . En caso de no contar con los certifcados de  aprovechamiento y/o disposición final se realizará comunicación oficial al supervisor y/o interventor del respectivo contrato a fin de que subsane antes de la liquidación del contrato. Como evidencia quedan las comunicaciones oficiales y  el reporte en el aplicativo web de la SDA.</t>
  </si>
  <si>
    <t>Se ajusta la matriz de riesgo, se describe  el contexto del proceso, se realizó  revisión general de los riesgos identificados, se realizaron ajustes en causas, consecuencias, se valido el análisis del riesgo, revisión de controles, calificación del diseño del control y ajustes en la valoración del riesgo residual. Caso HOLA 166671</t>
  </si>
  <si>
    <t>17 de diciembre de 2007</t>
  </si>
  <si>
    <t>31 de diciembre de 2009</t>
  </si>
  <si>
    <t>14 de mayo de 2013</t>
  </si>
  <si>
    <t>13 de Abril de 2015</t>
  </si>
  <si>
    <t>26 de Diciembre de 2017</t>
  </si>
  <si>
    <t xml:space="preserve">
El (la) almacenista, cada vez que vaya ingresar  bienes de propiedad, planta y equipo, control administrativo y consumo, según su clasificación, verifica que vengan con el recibo a satisfacción del supervisor, verifica el recibo de las cantidades especificadas y que este acorde con el objeto del contrato. Listado casos HOLA de solicitud de ingreso o egreso de bienes al almacen.
En caso de evidenciar alguna inconsistencia se debe elaborar un acta de reunión (GDI-GPD-F029 - Formato evidencia de reunión) y coordinar con el supervisor o apoyo a la supervisión un nuevo proceso para la entrega de los bienes de acuerdo con las especificaciones que son objeto del contrato.</t>
  </si>
  <si>
    <t>Posibilidad de afectación ecónómica y reutacional por inconsistencias en la ejecución presupuestal realizada por la Entidad</t>
  </si>
  <si>
    <t>Desconocimiento de las modificaciones legislativas al estatuto general de contratación, regimenes especiales y cuantías de contratación.</t>
  </si>
  <si>
    <t xml:space="preserve"> Al interior de la Dirección de Contratación se realizan las siguientes actividades de control:
1. En la fase de planeación, a solicitud del área que formula la necesidad de contratación, el Director de Contratación designa a un profesional quien realiza acompañamiento en la construcción jurídica del proceso de selección, con el objetivo de adecuar el requerimiento a la normatividad vigente para la adquisción de que se trate. Como evidencia quedan los correos electrónicos o actas de reunión. 
2. Cada vez que se vaya a adelantar un proceso de selección, el Director de Contratación ordena realizar el reparto a los profesionales considerando su experiencia y conocimientos. Como evidencia queda el registro en la matriz de reparto y en el aplicativo SIPSE.
3. Cada vez que se adelanta un proceso de selección, en cualquier modalidad, cuenta con la revisión preliminar del gestor de contratación, el abogado asignado a cargo, y el flujo de revisión de la plataforma SECOP II que se compone de un abogado revisor y el Director de Contratación. Como evidencia queda el flujo en el SIPSE y en el SECOP II. </t>
  </si>
  <si>
    <t>(Nivel central) Se incluye el R11 asociado a inconsistencias presupuestales. Se realiza análisis del riesgo inherente, se define el control y se realiza la valoración de riesgo residual. Aprobado bajo caso HOLA 227658</t>
  </si>
  <si>
    <t xml:space="preserve">(Nivel central y nivel local) Se realiza actualización de matriz de riesgos de gestión de acuerdo con los lineamientos establecidos en el manual de gestión del riesgo PLE-PIN-M001 versión 6. Se realizó a través de mesa de trabajo a la que asistió el promotor de mejora del proceso y promotores de mejora del nivel local, con el acompañamiento técnico del grupo de riesgos de la Oficina Asesora de Planeación. Se aprobó bajo caso HOLA N. 242241	</t>
  </si>
  <si>
    <t>F2 Se aprovecha eficientemente la infraestructura disponible en cuanto a puestos de trabajo para la Dirección Administrativa y bodegas de almacenamiento de elementos de propiedad de la SDG</t>
  </si>
  <si>
    <t>F3 El personal de planta muestra un alto nivel de compromiso y responsabilidad en sus funciones.</t>
  </si>
  <si>
    <t>F4 Se cuenta con los  procedimientos y formatos vigentes necesarios para adelantar las labores de inventarios y almacén, que cumplen con los parametros básicos.</t>
  </si>
  <si>
    <t xml:space="preserve">F1 Contar con un Manual de Buenas Practicas en la actividad contractual con el fin de definir las directrices y recomendaciones de la Secretaría Distrital de Gobierno para la optimización de los procesos de contratación, la eficiencia en la gestión contractual, la satisfacción adecuada de las necesidades de la entidad en relación con la adquisición de bienes, servicios y obra. </t>
  </si>
  <si>
    <t xml:space="preserve">D1 Falta de actualilzaciones en el Sistema de Información para la Programación, Seguimiento y Evaluación de la Gestión Institucional - SIPSE, debido a que esto retrasa la eficiencia en la actividad contractual de la entidad. </t>
  </si>
  <si>
    <t>F5 Sistema de gestión implementado, que permite identificar diagnósticos y puntos de mejora en el proceso de Gestión Corporativa Institucional.</t>
  </si>
  <si>
    <t>F7 La SDG cuenta con cooperación interinstitucional que permite optimizar procesos internos como contratación y financiera.</t>
  </si>
  <si>
    <t>F11 Implementación de estrategias que permiten el desarrollo de las actividades de los servidores de la Secretaría Distrital de Gobierno a través de la estrategia de trabajo inteligente (trabajo remoto, teletrebajo, entre otras).</t>
  </si>
  <si>
    <t xml:space="preserve">F10 Sistema de Gestión que permite la estandarización de procesos y procedimientos en materia contractual y presupuestal. </t>
  </si>
  <si>
    <t>D2 No se cuenta con el suficiente personal profesional de planta en temas relacionados a infraestructura y manteninimiento.</t>
  </si>
  <si>
    <t>D3 Debilidad en la contratación de personal auxiliar, en la experiencia y conocimientos necesarios para adelantar las actividades de inventarios y almacén.</t>
  </si>
  <si>
    <t>D4 Bajo presupuesto para realizar el mantenimiento preventivo y la revisión tecnico mecanica y de gases al parque automotor, especialmente a nivel local.</t>
  </si>
  <si>
    <t>D5 Existen diferencias en la manera como se desarrollan las actividades entre el nivel central y el nivel local, en ocasiones la diferencia persiste entre el nivel local</t>
  </si>
  <si>
    <t>D6 Dificultad en la continuidad del personal con el conocimiento de los procesos.</t>
  </si>
  <si>
    <t>O1 Incorporación de nuevas tecnologías y herramientas digitales para mejorar la eficiencia y transparencia del proceso de contratación, permitiendo una gestión más ágil.</t>
  </si>
  <si>
    <t>O2 Las actualizaciones normativas a nivel nacional o distrital que subsanan vacíos e inconsistencias jurídicas serán la oportunidad para mejorar los procesos.</t>
  </si>
  <si>
    <t xml:space="preserve">O4 Opciones de mejoramiento en la ejecución de la Política Pública de Transparencia, tomando como referente buenas prácticas de gestión en materia de lucha contra la corrupción. </t>
  </si>
  <si>
    <t>D7 Posibles errores humanos al momento del registro de la información a cargo de la Dirección Financiera, toda vez que no se cuenta con un sistema de información que intregre los procedimientos financieros.</t>
  </si>
  <si>
    <t>A1 Fallos o demoras en aplicativos externos que retrasan procesos internos. El desarrollo de los aplicativos por parte de otras entidades (ejemplo SAP BogData), no permite la integración con los sistemas de información desarrollados por la SDG. Así mismo, se encuentran debilidades en los desarrollos realizados, que generan reprocesos en el desarrollo de las actividades de la Dirección Financiera.</t>
  </si>
  <si>
    <t>O3 El desarrollo de la Inteligencia Artificial podría ayudar a agilizar procesos y tareas de la Dirección Administrativa, automatizando algunas tareas.</t>
  </si>
  <si>
    <t>F6 La infraestructura física de la SDG, que unido a los planes de Talento Humano, facilitan el adecuado desarrollo de las labores y el cumplimiento de metas</t>
  </si>
  <si>
    <t>F8 Conocimiento e innovación en temas relacionados con contratación, financiero y administrativo, que permiten aplicar buenas practicas del sector y ofrecer alternativas de mejora</t>
  </si>
  <si>
    <t>F9 Como principio la SDG ha determinado hacer visible sus procesos de riesgo de soborno y para ello habilita en la página web espacio para denuncia de corrupción (https://www.gobiernobogota.gov.co/atencion-y-servicios-a-la-ciudadania/tramites-opas-otras-consultas/denuncia-actos-corrupcion).</t>
  </si>
  <si>
    <t>A2 Errores y fallas constantes en los aplicativos utilizados para la gestión de Almacén e Inventarios (por ejemplo Si Capital)</t>
  </si>
  <si>
    <t>F12 Implementación de protocolos en materia contractual: Pliegos Tipo con el fin de unificar criterios técnicos, administrativos, jurídicos y financieros en los procesos de contratación, lo que en última medida contribuye en el incremento de la pluralidad de oferentes.</t>
  </si>
  <si>
    <t>A3 Baja aprobación de recursos por parte de la entidad competente (Aprueba y sanciona el presupuesto es el Concejo, quien asigna los recursos es SHD) para inversión a nivel de la SDG.</t>
  </si>
  <si>
    <t>A4 Fuga de Capital Intelectual por falta de recursos y por cambios de política.</t>
  </si>
  <si>
    <t>A5 Cambios en la Administración Distrital que conlleva ajuste en enfoque de proyectos y actividades.</t>
  </si>
  <si>
    <t>O5 Desarrollo de procesos y uso de nuevas tecnologías para mejorar el servicio al interior de la SDG.</t>
  </si>
  <si>
    <t>O6 Opciones de mejoramiento en cada uno de los componentes que mide el ITB, por medio de la mejora y fortalecimiento de los arreglos institucionales enfocados en las dimensiones de visibilidad, institucionalidad y control y sanción.</t>
  </si>
  <si>
    <t>D8 Falta de divulgación de las actualizaciones o cambios en los procesos y procedimientos.</t>
  </si>
  <si>
    <t>D9 Las procesos de capacitación se dejan en personal experto en las labores y no específicamente en la pedagogía, lo que conlleva a que estas no tengan medición de su impacto y seguimiento.</t>
  </si>
  <si>
    <t>D10 La debilidad en el proceso de información acerca de retiros, vacaciones o incapacidades, de los equipos de trabajo interdependencias, conlleva la afecetación en los demás procesos.</t>
  </si>
  <si>
    <t>D11 En el aplicativo contable que genera errores al contabilizar las transacciones en el módulo de álmacen e inventarios y el tiempo de respuesta de soporte técnico no es muy oportuno.</t>
  </si>
  <si>
    <t>D12 Radicación extemporánea de pagos retrasa otros procesos, pero al mismo tiempo al no recibirse las cuentas se puede producir una baja ejecución del PAC.</t>
  </si>
  <si>
    <t>D13 Dificultad en la estandarización de procesos de la administración local.</t>
  </si>
  <si>
    <t>D14 Incumplimiento por parte de los servidores del instructivo de entrega del puesto de trabajo (GCO-GTH-IN011)</t>
  </si>
  <si>
    <t>D15 Demoras en la presentación de informes para el pago de los compromisos adquiridos por la SDG por parte de los contratistas, trae como consecuencia la baja ejecución de los compromisos por ende el aumento de las reservas presupuestales</t>
  </si>
  <si>
    <t>Se realiza actualización del contexto interno y externo con el acompañamiento técnico del grupo de riesgos de la Oficina Asesora de Planeación. Se aprobó bajo caso HOLA No. 36828</t>
  </si>
  <si>
    <t>Gestionar, adquirir, suministrar y administrar los bienes y servicios requeridos para el cumplimiento de las funciones de la Entidad, bajo un enfoque de gestión orientada a resultados y manejo eficaz y eficiente de los recursos físicos, financieros, de personal y ambientales tanto para el Nivel Central como para el Nivel Local de la Secretaría Distrital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</si>
</sst>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20"/>
      <color rgb="FFC00000"/>
      <name val="Arial Narrow"/>
      <family val="2"/>
    </font>
    <font>
      <sz val="12"/>
      <color theme="1"/>
      <name val="Garamond"/>
      <family val="1"/>
    </font>
    <font>
      <sz val="12"/>
      <color rgb="FF000000"/>
      <name val="Garamond"/>
      <family val="1"/>
    </font>
    <font>
      <b/>
      <sz val="28"/>
      <color rgb="FF993300"/>
      <name val="Arial Narrow"/>
      <family val="2"/>
    </font>
    <font>
      <sz val="12"/>
      <name val="Arial Narrow"/>
      <family val="2"/>
    </font>
    <font>
      <b/>
      <sz val="48"/>
      <color rgb="FF993300"/>
      <name val="Arial Narrow"/>
      <family val="2"/>
    </font>
    <font>
      <b/>
      <sz val="18"/>
      <name val="Arial Narrow"/>
      <family val="2"/>
    </font>
    <font>
      <sz val="11"/>
      <color rgb="FF000000"/>
      <name val="Arial Narrow"/>
      <family val="2"/>
    </font>
    <font>
      <b/>
      <sz val="11"/>
      <color rgb="FF000000"/>
      <name val="Arial Narrow"/>
      <family val="2"/>
    </font>
    <font>
      <b/>
      <sz val="11"/>
      <color rgb="FF800000"/>
      <name val="Arial Narrow"/>
      <family val="2"/>
    </font>
    <font>
      <sz val="10"/>
      <color rgb="FFFFFFFF"/>
      <name val="Arial Narrow"/>
      <family val="2"/>
    </font>
    <font>
      <b/>
      <sz val="12"/>
      <color rgb="FFFF0000"/>
      <name val="Arial Narrow"/>
      <family val="2"/>
    </font>
    <font>
      <b/>
      <sz val="9"/>
      <color rgb="FFFFFFFF"/>
      <name val="Arial Narrow"/>
      <family val="2"/>
    </font>
    <font>
      <b/>
      <i/>
      <sz val="14"/>
      <color rgb="FFA6A6A6"/>
      <name val="Arial Narrow"/>
      <family val="2"/>
    </font>
    <font>
      <sz val="9"/>
      <name val="Titillium Web"/>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10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
      <left/>
      <right style="dashed">
        <color theme="9" tint="-0.24994659260841701"/>
      </right>
      <top/>
      <bottom/>
      <diagonal/>
    </border>
    <border>
      <left style="dotted">
        <color rgb="FFFF0000"/>
      </left>
      <right style="dotted">
        <color rgb="FFFF0000"/>
      </right>
      <top style="dotted">
        <color rgb="FFFF0000"/>
      </top>
      <bottom style="dotted">
        <color rgb="FFFF0000"/>
      </bottom>
      <diagonal/>
    </border>
    <border>
      <left style="dotted">
        <color rgb="FFFF0000"/>
      </left>
      <right style="dotted">
        <color rgb="FFFF0000"/>
      </right>
      <top style="dotted">
        <color rgb="FFFF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top style="dotted">
        <color rgb="FFFF0000"/>
      </top>
      <bottom/>
      <diagonal/>
    </border>
    <border>
      <left/>
      <right/>
      <top/>
      <bottom style="dotted">
        <color rgb="FFFF0000"/>
      </bottom>
      <diagonal/>
    </border>
    <border>
      <left/>
      <right/>
      <top style="dotted">
        <color rgb="FFFF0000"/>
      </top>
      <bottom style="dotted">
        <color rgb="FFFF0000"/>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4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37" fillId="0" borderId="0" xfId="0" applyFont="1" applyAlignment="1">
      <alignment vertical="center"/>
    </xf>
    <xf numFmtId="0" fontId="62" fillId="21" borderId="79" xfId="0" applyFont="1" applyFill="1" applyBorder="1" applyAlignment="1">
      <alignment horizontal="center" vertical="center" wrapText="1"/>
    </xf>
    <xf numFmtId="0" fontId="63" fillId="21" borderId="80" xfId="0" applyFont="1" applyFill="1" applyBorder="1" applyAlignment="1">
      <alignment horizontal="center" vertical="center" wrapText="1"/>
    </xf>
    <xf numFmtId="0" fontId="63" fillId="22" borderId="85" xfId="0" applyFont="1" applyFill="1" applyBorder="1" applyAlignment="1">
      <alignment horizontal="center" vertical="center" wrapText="1"/>
    </xf>
    <xf numFmtId="0" fontId="62" fillId="0" borderId="85" xfId="0" applyFont="1" applyBorder="1" applyAlignment="1">
      <alignment horizontal="center" vertical="center" wrapText="1"/>
    </xf>
    <xf numFmtId="0" fontId="63" fillId="22" borderId="84" xfId="0" applyFont="1" applyFill="1" applyBorder="1" applyAlignment="1">
      <alignment horizontal="center" vertical="center" wrapText="1"/>
    </xf>
    <xf numFmtId="0" fontId="62" fillId="0" borderId="84" xfId="0" applyFont="1" applyBorder="1" applyAlignment="1">
      <alignment horizontal="center" vertical="center" wrapText="1"/>
    </xf>
    <xf numFmtId="0" fontId="37" fillId="0" borderId="84" xfId="0" applyFont="1" applyBorder="1" applyAlignment="1">
      <alignment vertical="center" wrapText="1"/>
    </xf>
    <xf numFmtId="0" fontId="37" fillId="0" borderId="84" xfId="0" applyFont="1" applyBorder="1" applyAlignment="1">
      <alignment horizontal="center" vertical="center" wrapText="1"/>
    </xf>
    <xf numFmtId="0" fontId="63" fillId="22" borderId="88" xfId="0" applyFont="1" applyFill="1" applyBorder="1" applyAlignment="1">
      <alignment horizontal="center" vertical="center" wrapText="1"/>
    </xf>
    <xf numFmtId="0" fontId="62" fillId="0" borderId="88"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62" fillId="0" borderId="0" xfId="0" applyFont="1" applyAlignment="1">
      <alignment horizontal="center" vertical="center" wrapText="1"/>
    </xf>
    <xf numFmtId="0" fontId="37" fillId="23" borderId="33" xfId="0" applyFont="1" applyFill="1" applyBorder="1" applyAlignment="1">
      <alignment vertical="center"/>
    </xf>
    <xf numFmtId="0" fontId="62" fillId="0" borderId="89" xfId="0" applyFont="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3" borderId="0" xfId="0" applyFont="1" applyFill="1" applyAlignment="1">
      <alignment horizontal="left" vertical="center"/>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45" fillId="19" borderId="0" xfId="0" applyFont="1" applyFill="1" applyAlignment="1" applyProtection="1">
      <alignment horizontal="left" vertical="center" wrapText="1"/>
      <protection locked="0"/>
    </xf>
    <xf numFmtId="0" fontId="65" fillId="0" borderId="69" xfId="0" applyFont="1" applyBorder="1" applyAlignment="1" applyProtection="1">
      <alignment horizontal="right"/>
      <protection locked="0"/>
    </xf>
    <xf numFmtId="49" fontId="66" fillId="19" borderId="0" xfId="0" applyNumberFormat="1" applyFont="1" applyFill="1" applyAlignment="1" applyProtection="1">
      <alignment vertical="center" wrapText="1"/>
      <protection locked="0"/>
    </xf>
    <xf numFmtId="49" fontId="67" fillId="19" borderId="0" xfId="0" applyNumberFormat="1" applyFont="1" applyFill="1" applyAlignment="1" applyProtection="1">
      <alignment vertical="center" wrapText="1"/>
      <protection locked="0"/>
    </xf>
    <xf numFmtId="0" fontId="68" fillId="19" borderId="0" xfId="0" applyFont="1" applyFill="1" applyProtection="1">
      <protection locked="0"/>
    </xf>
    <xf numFmtId="0" fontId="3" fillId="19" borderId="0" xfId="0" applyFont="1" applyFill="1" applyAlignment="1" applyProtection="1">
      <alignment vertical="center" wrapText="1"/>
      <protection locked="0"/>
    </xf>
    <xf numFmtId="0" fontId="3" fillId="19" borderId="0" xfId="0" applyFont="1" applyFill="1" applyProtection="1">
      <protection locked="0"/>
    </xf>
    <xf numFmtId="0" fontId="3" fillId="19" borderId="0" xfId="0" applyFont="1" applyFill="1" applyAlignment="1" applyProtection="1">
      <alignment horizontal="center"/>
      <protection locked="0"/>
    </xf>
    <xf numFmtId="0" fontId="68" fillId="19" borderId="0" xfId="0" applyFont="1" applyFill="1" applyAlignment="1" applyProtection="1">
      <alignment horizontal="center"/>
      <protection locked="0"/>
    </xf>
    <xf numFmtId="14" fontId="65" fillId="0" borderId="69" xfId="0" applyNumberFormat="1" applyFont="1" applyBorder="1" applyAlignment="1" applyProtection="1">
      <alignment horizontal="right"/>
      <protection locked="0"/>
    </xf>
    <xf numFmtId="0" fontId="69" fillId="19" borderId="0" xfId="0" applyFont="1" applyFill="1" applyAlignment="1" applyProtection="1">
      <alignment vertical="center" wrapText="1"/>
      <protection locked="0"/>
    </xf>
    <xf numFmtId="0" fontId="68" fillId="0" borderId="0" xfId="0" applyFont="1" applyAlignment="1" applyProtection="1">
      <alignment vertical="center" wrapText="1"/>
      <protection locked="0"/>
    </xf>
    <xf numFmtId="0" fontId="68" fillId="19" borderId="0" xfId="0" applyFont="1" applyFill="1" applyAlignment="1" applyProtection="1">
      <alignment horizontal="center" vertical="center" wrapText="1"/>
      <protection locked="0"/>
    </xf>
    <xf numFmtId="0" fontId="70" fillId="19" borderId="0" xfId="0" applyFont="1" applyFill="1" applyAlignment="1" applyProtection="1">
      <alignment horizontal="right" wrapText="1"/>
      <protection locked="0"/>
    </xf>
    <xf numFmtId="0" fontId="68" fillId="19" borderId="0" xfId="0" applyFont="1" applyFill="1" applyAlignment="1" applyProtection="1">
      <alignment vertical="center" wrapText="1"/>
      <protection locked="0"/>
    </xf>
    <xf numFmtId="0" fontId="68" fillId="19" borderId="69" xfId="0" applyFont="1" applyFill="1" applyBorder="1" applyAlignment="1" applyProtection="1">
      <alignment vertical="center" wrapText="1"/>
      <protection locked="0"/>
    </xf>
    <xf numFmtId="0" fontId="45" fillId="19" borderId="0" xfId="0" applyFont="1" applyFill="1" applyAlignment="1" applyProtection="1">
      <alignment horizontal="center" vertical="center" wrapText="1"/>
      <protection locked="0"/>
    </xf>
    <xf numFmtId="0" fontId="68" fillId="19" borderId="0" xfId="0" applyFont="1" applyFill="1" applyAlignment="1" applyProtection="1">
      <alignment horizontal="center" vertical="center"/>
      <protection locked="0"/>
    </xf>
    <xf numFmtId="0" fontId="3" fillId="19" borderId="0" xfId="0" applyFont="1" applyFill="1" applyAlignment="1" applyProtection="1">
      <alignment horizontal="center" vertical="center" wrapText="1"/>
      <protection locked="0"/>
    </xf>
    <xf numFmtId="0" fontId="3" fillId="19" borderId="0" xfId="0" applyFont="1" applyFill="1" applyAlignment="1" applyProtection="1">
      <alignment horizontal="center" vertical="center"/>
      <protection locked="0"/>
    </xf>
    <xf numFmtId="0" fontId="71" fillId="19" borderId="0" xfId="0" applyFont="1" applyFill="1" applyAlignment="1" applyProtection="1">
      <alignment horizontal="center" vertical="center"/>
      <protection locked="0"/>
    </xf>
    <xf numFmtId="0" fontId="72" fillId="19" borderId="0" xfId="0" applyFont="1" applyFill="1" applyAlignment="1" applyProtection="1">
      <alignment horizontal="left" vertical="center"/>
      <protection locked="0"/>
    </xf>
    <xf numFmtId="2" fontId="65" fillId="19" borderId="0" xfId="0" applyNumberFormat="1" applyFont="1" applyFill="1" applyAlignment="1" applyProtection="1">
      <alignment horizontal="center" vertical="center" wrapText="1"/>
      <protection locked="0"/>
    </xf>
    <xf numFmtId="0" fontId="71" fillId="19" borderId="0" xfId="0" applyFont="1" applyFill="1" applyProtection="1">
      <protection locked="0"/>
    </xf>
    <xf numFmtId="0" fontId="71" fillId="19" borderId="0" xfId="0" applyFont="1" applyFill="1" applyAlignment="1" applyProtection="1">
      <alignment horizontal="center"/>
      <protection locked="0"/>
    </xf>
    <xf numFmtId="0" fontId="70" fillId="0" borderId="33" xfId="0" applyFont="1" applyBorder="1" applyAlignment="1" applyProtection="1">
      <alignment horizontal="center" vertical="center" wrapText="1"/>
      <protection locked="0"/>
    </xf>
    <xf numFmtId="0" fontId="73" fillId="20" borderId="0" xfId="0" applyFont="1" applyFill="1" applyAlignment="1" applyProtection="1">
      <alignment horizontal="center" vertical="center" wrapText="1"/>
      <protection locked="0"/>
    </xf>
    <xf numFmtId="2" fontId="65" fillId="20" borderId="0" xfId="0" applyNumberFormat="1" applyFont="1" applyFill="1" applyAlignment="1" applyProtection="1">
      <alignment horizontal="center" vertical="center" wrapText="1"/>
      <protection hidden="1"/>
    </xf>
    <xf numFmtId="0" fontId="52" fillId="20" borderId="0" xfId="0" applyFont="1" applyFill="1" applyAlignment="1" applyProtection="1">
      <alignment horizontal="center" vertical="center" wrapText="1"/>
      <protection hidden="1"/>
    </xf>
    <xf numFmtId="0" fontId="65" fillId="19" borderId="0" xfId="0" applyFont="1" applyFill="1" applyAlignment="1" applyProtection="1">
      <alignment horizontal="left" vertical="center" wrapText="1"/>
      <protection locked="0"/>
    </xf>
    <xf numFmtId="0" fontId="65" fillId="20" borderId="0" xfId="0" applyFont="1" applyFill="1" applyAlignment="1" applyProtection="1">
      <alignment horizontal="center" vertical="justify" wrapText="1"/>
      <protection locked="0"/>
    </xf>
    <xf numFmtId="0" fontId="65" fillId="20" borderId="0" xfId="0" applyFont="1" applyFill="1" applyAlignment="1" applyProtection="1">
      <alignment vertical="justify" wrapText="1"/>
      <protection locked="0"/>
    </xf>
    <xf numFmtId="0" fontId="65" fillId="19" borderId="0" xfId="0" applyFont="1" applyFill="1" applyAlignment="1" applyProtection="1">
      <alignment vertical="justify" wrapText="1"/>
      <protection locked="0"/>
    </xf>
    <xf numFmtId="165" fontId="45" fillId="19" borderId="0" xfId="0" applyNumberFormat="1" applyFont="1" applyFill="1" applyAlignment="1" applyProtection="1">
      <alignment horizontal="center" vertical="center"/>
      <protection locked="0"/>
    </xf>
    <xf numFmtId="0" fontId="68" fillId="0" borderId="0" xfId="0" applyFont="1" applyProtection="1">
      <protection locked="0"/>
    </xf>
    <xf numFmtId="0" fontId="50" fillId="19" borderId="0" xfId="0" applyFont="1" applyFill="1" applyAlignment="1" applyProtection="1">
      <alignment vertical="center" wrapText="1"/>
      <protection locked="0"/>
    </xf>
    <xf numFmtId="0" fontId="65" fillId="19" borderId="33" xfId="0"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64" fontId="1" fillId="9" borderId="2" xfId="1" applyNumberFormat="1" applyFont="1" applyFill="1" applyBorder="1" applyAlignment="1">
      <alignment horizontal="center" vertical="center"/>
    </xf>
    <xf numFmtId="0" fontId="6" fillId="0" borderId="2" xfId="0" applyFont="1" applyBorder="1" applyAlignment="1" applyProtection="1">
      <alignment horizontal="left" vertical="center" wrapText="1"/>
      <protection locked="0"/>
    </xf>
    <xf numFmtId="0" fontId="1" fillId="0" borderId="92"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9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91" xfId="0" applyFont="1" applyBorder="1" applyAlignment="1">
      <alignment horizontal="left" vertical="center" wrapText="1"/>
    </xf>
    <xf numFmtId="0" fontId="1" fillId="0" borderId="8" xfId="0" applyFont="1" applyBorder="1" applyAlignment="1" applyProtection="1">
      <alignment horizontal="left" vertical="center" wrapText="1"/>
      <protection locked="0"/>
    </xf>
    <xf numFmtId="0" fontId="1" fillId="0" borderId="97"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93" xfId="0" applyFont="1" applyBorder="1" applyAlignment="1">
      <alignment horizontal="center" vertical="center" wrapText="1"/>
    </xf>
    <xf numFmtId="14" fontId="1" fillId="0" borderId="93" xfId="0" applyNumberFormat="1" applyFont="1" applyBorder="1" applyAlignment="1">
      <alignment horizontal="center" vertical="center" wrapText="1"/>
    </xf>
    <xf numFmtId="14" fontId="36" fillId="0" borderId="33" xfId="0" applyNumberFormat="1" applyFont="1" applyBorder="1" applyAlignment="1" applyProtection="1">
      <alignment horizontal="center" vertical="center" wrapText="1"/>
      <protection locked="0"/>
    </xf>
    <xf numFmtId="14" fontId="65" fillId="19" borderId="33" xfId="0" applyNumberFormat="1" applyFont="1" applyFill="1" applyBorder="1" applyAlignment="1" applyProtection="1">
      <alignment horizontal="center" vertical="center" wrapText="1"/>
      <protection locked="0"/>
    </xf>
    <xf numFmtId="0" fontId="75" fillId="0" borderId="33" xfId="0" applyFont="1" applyBorder="1" applyAlignment="1">
      <alignment horizontal="left" vertical="top" wrapText="1"/>
    </xf>
    <xf numFmtId="0" fontId="0" fillId="0" borderId="0" xfId="0" applyAlignment="1">
      <alignment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1" fillId="3" borderId="48" xfId="2" applyFont="1" applyFill="1" applyBorder="1" applyAlignment="1">
      <alignment horizontal="center" vertical="center" wrapText="1"/>
    </xf>
    <xf numFmtId="0" fontId="61" fillId="3" borderId="49" xfId="2" applyFont="1" applyFill="1" applyBorder="1" applyAlignment="1">
      <alignment horizontal="center" vertical="center" wrapText="1"/>
    </xf>
    <xf numFmtId="0" fontId="61"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98" xfId="0" applyFont="1" applyFill="1" applyBorder="1" applyAlignment="1">
      <alignment horizontal="center" vertical="center" wrapText="1"/>
    </xf>
    <xf numFmtId="0" fontId="0" fillId="0" borderId="99" xfId="0" applyBorder="1" applyAlignment="1">
      <alignment horizontal="center" vertical="center" wrapText="1"/>
    </xf>
    <xf numFmtId="0" fontId="0" fillId="0" borderId="99" xfId="0" applyBorder="1"/>
    <xf numFmtId="0" fontId="0" fillId="0" borderId="0" xfId="0" applyAlignment="1">
      <alignment wrapText="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protection hidden="1"/>
    </xf>
    <xf numFmtId="0" fontId="1" fillId="0" borderId="8" xfId="0" applyFont="1" applyBorder="1" applyAlignment="1" applyProtection="1">
      <alignment horizontal="center" vertical="center" textRotation="90"/>
      <protection locked="0"/>
    </xf>
    <xf numFmtId="9" fontId="1" fillId="0" borderId="8" xfId="0" applyNumberFormat="1" applyFont="1" applyBorder="1" applyAlignment="1" applyProtection="1">
      <alignment horizontal="center" vertical="center"/>
      <protection hidden="1"/>
    </xf>
    <xf numFmtId="0" fontId="1" fillId="0" borderId="8" xfId="0" applyFont="1" applyBorder="1" applyAlignment="1">
      <alignment horizontal="center" vertical="center"/>
    </xf>
    <xf numFmtId="0" fontId="6" fillId="0" borderId="8"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hidden="1"/>
    </xf>
    <xf numFmtId="0" fontId="1" fillId="0" borderId="2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30" xfId="0" applyFont="1" applyBorder="1" applyAlignment="1" applyProtection="1">
      <alignment horizontal="left" vertical="center" wrapText="1"/>
      <protection locked="0"/>
    </xf>
    <xf numFmtId="0" fontId="1" fillId="0" borderId="90" xfId="0" applyFont="1" applyBorder="1" applyAlignment="1" applyProtection="1">
      <alignment horizontal="left" vertical="center" wrapText="1"/>
      <protection locked="0"/>
    </xf>
    <xf numFmtId="0" fontId="1" fillId="3" borderId="6"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49" fontId="64" fillId="19" borderId="0" xfId="0" applyNumberFormat="1" applyFont="1" applyFill="1" applyAlignment="1" applyProtection="1">
      <alignment horizontal="center" vertical="center" wrapText="1"/>
      <protection locked="0"/>
    </xf>
    <xf numFmtId="2" fontId="65" fillId="20" borderId="0" xfId="0" applyNumberFormat="1" applyFont="1" applyFill="1" applyAlignment="1" applyProtection="1">
      <alignment horizontal="center" vertical="center" wrapText="1"/>
      <protection hidden="1"/>
    </xf>
    <xf numFmtId="0" fontId="65" fillId="20" borderId="0" xfId="0" applyFont="1" applyFill="1" applyAlignment="1" applyProtection="1">
      <alignment horizontal="center" vertical="justify" wrapText="1"/>
      <protection locked="0"/>
    </xf>
    <xf numFmtId="0" fontId="74" fillId="19" borderId="0" xfId="0" applyFont="1" applyFill="1" applyAlignment="1" applyProtection="1">
      <alignment horizontal="left" vertical="top"/>
      <protection locked="0"/>
    </xf>
    <xf numFmtId="0" fontId="70" fillId="0" borderId="75" xfId="0" applyFont="1" applyBorder="1" applyAlignment="1" applyProtection="1">
      <alignment horizontal="center" vertical="center" wrapText="1"/>
      <protection locked="0"/>
    </xf>
    <xf numFmtId="0" fontId="73" fillId="20" borderId="0" xfId="0" applyFont="1" applyFill="1" applyAlignment="1" applyProtection="1">
      <alignment horizontal="center" vertical="center" wrapText="1"/>
      <protection locked="0"/>
    </xf>
    <xf numFmtId="0" fontId="2" fillId="0" borderId="76" xfId="0" applyFont="1" applyBorder="1" applyAlignment="1" applyProtection="1">
      <alignment horizontal="left" vertical="center" wrapText="1"/>
      <protection locked="0"/>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65" fillId="0" borderId="33" xfId="0" applyFont="1" applyBorder="1" applyAlignment="1" applyProtection="1">
      <alignment horizontal="left" vertical="center" wrapText="1"/>
      <protection locked="0"/>
    </xf>
    <xf numFmtId="0" fontId="70" fillId="0" borderId="94" xfId="0" applyFont="1" applyBorder="1" applyAlignment="1" applyProtection="1">
      <alignment horizontal="center" vertical="center" wrapText="1"/>
      <protection locked="0"/>
    </xf>
    <xf numFmtId="0" fontId="70" fillId="0" borderId="69" xfId="0"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32" xfId="0" applyFont="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1" fillId="0" borderId="95" xfId="0" applyFont="1" applyBorder="1" applyAlignment="1" applyProtection="1">
      <alignment horizontal="left" vertical="center" wrapText="1"/>
      <protection locked="0"/>
    </xf>
    <xf numFmtId="0" fontId="1" fillId="0" borderId="96" xfId="0" applyFont="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63" fillId="22" borderId="87" xfId="0" applyFont="1" applyFill="1" applyBorder="1" applyAlignment="1">
      <alignment horizontal="center" vertical="center" wrapText="1"/>
    </xf>
    <xf numFmtId="0" fontId="63" fillId="22" borderId="82" xfId="0" applyFont="1" applyFill="1" applyBorder="1" applyAlignment="1">
      <alignment horizontal="center" vertical="center" wrapText="1"/>
    </xf>
    <xf numFmtId="0" fontId="62" fillId="0" borderId="87" xfId="0" applyFont="1" applyBorder="1" applyAlignment="1">
      <alignment horizontal="center" vertical="center" wrapText="1"/>
    </xf>
    <xf numFmtId="0" fontId="62" fillId="0" borderId="82" xfId="0" applyFont="1" applyBorder="1" applyAlignment="1">
      <alignment horizontal="center" vertical="center" wrapText="1"/>
    </xf>
    <xf numFmtId="0" fontId="63" fillId="21" borderId="86" xfId="0" applyFont="1" applyFill="1" applyBorder="1" applyAlignment="1">
      <alignment horizontal="center" vertical="center" wrapText="1"/>
    </xf>
    <xf numFmtId="0" fontId="63" fillId="21" borderId="81" xfId="0" applyFont="1" applyFill="1" applyBorder="1" applyAlignment="1">
      <alignment horizontal="center" vertical="center" wrapText="1"/>
    </xf>
    <xf numFmtId="0" fontId="63" fillId="21" borderId="80" xfId="0" applyFont="1" applyFill="1" applyBorder="1" applyAlignment="1">
      <alignment horizontal="center" vertical="center" wrapText="1"/>
    </xf>
    <xf numFmtId="0" fontId="63" fillId="22" borderId="83"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75" fillId="0" borderId="100" xfId="0" applyFont="1" applyBorder="1" applyAlignment="1">
      <alignment horizontal="left" vertical="center" wrapText="1"/>
    </xf>
    <xf numFmtId="0" fontId="75" fillId="0" borderId="101" xfId="0" applyFont="1" applyBorder="1" applyAlignment="1">
      <alignment horizontal="left" vertical="center" wrapText="1"/>
    </xf>
    <xf numFmtId="0" fontId="75" fillId="0" borderId="34" xfId="0" applyFont="1" applyBorder="1" applyAlignment="1">
      <alignment horizontal="left" vertical="center" wrapText="1"/>
    </xf>
    <xf numFmtId="0" fontId="65" fillId="19" borderId="0" xfId="0" applyFont="1" applyFill="1" applyBorder="1" applyAlignment="1" applyProtection="1">
      <alignment horizontal="center" vertical="center" wrapText="1"/>
      <protection locked="0"/>
    </xf>
    <xf numFmtId="14" fontId="65" fillId="19" borderId="0" xfId="0" applyNumberFormat="1" applyFont="1" applyFill="1" applyBorder="1" applyAlignment="1" applyProtection="1">
      <alignment horizontal="center" vertical="center" wrapText="1"/>
      <protection locked="0"/>
    </xf>
    <xf numFmtId="0" fontId="65" fillId="0" borderId="0" xfId="0" applyFont="1" applyBorder="1" applyAlignment="1" applyProtection="1">
      <alignment horizontal="lef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72">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CC"/>
      <color rgb="FF301DA3"/>
      <color rgb="FF004F8A"/>
      <color rgb="FFFFFF66"/>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16</xdr:row>
      <xdr:rowOff>0</xdr:rowOff>
    </xdr:from>
    <xdr:to>
      <xdr:col>16</xdr:col>
      <xdr:colOff>320675</xdr:colOff>
      <xdr:row>16</xdr:row>
      <xdr:rowOff>307181</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30</xdr:col>
      <xdr:colOff>1290349</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1188244</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9" name="AutoShape 38" descr="Resultado de imagen para boton agregar icono">
          <a:extLst>
            <a:ext uri="{FF2B5EF4-FFF2-40B4-BE49-F238E27FC236}">
              <a16:creationId xmlns:a16="http://schemas.microsoft.com/office/drawing/2014/main" id="{4EFDB319-33A6-4CDF-8F96-8CB7ED688D6D}"/>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10" name="AutoShape 39" descr="Resultado de imagen para boton agregar icono">
          <a:extLst>
            <a:ext uri="{FF2B5EF4-FFF2-40B4-BE49-F238E27FC236}">
              <a16:creationId xmlns:a16="http://schemas.microsoft.com/office/drawing/2014/main" id="{7264D286-A4BB-4904-B0A7-48AFD63AFA21}"/>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11" name="AutoShape 40" descr="Resultado de imagen para boton agregar icono">
          <a:extLst>
            <a:ext uri="{FF2B5EF4-FFF2-40B4-BE49-F238E27FC236}">
              <a16:creationId xmlns:a16="http://schemas.microsoft.com/office/drawing/2014/main" id="{18C5E980-4691-4285-9522-A49230A2F049}"/>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12" name="AutoShape 42" descr="Z">
          <a:extLst>
            <a:ext uri="{FF2B5EF4-FFF2-40B4-BE49-F238E27FC236}">
              <a16:creationId xmlns:a16="http://schemas.microsoft.com/office/drawing/2014/main" id="{ADA1D3EE-A6A8-4EC3-A87C-8B8DAB621881}"/>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12</xdr:row>
      <xdr:rowOff>127000</xdr:rowOff>
    </xdr:from>
    <xdr:to>
      <xdr:col>16</xdr:col>
      <xdr:colOff>25400</xdr:colOff>
      <xdr:row>12</xdr:row>
      <xdr:rowOff>404278</xdr:rowOff>
    </xdr:to>
    <xdr:sp macro="" textlink="">
      <xdr:nvSpPr>
        <xdr:cNvPr id="13" name="Rectangle 53">
          <a:extLst>
            <a:ext uri="{FF2B5EF4-FFF2-40B4-BE49-F238E27FC236}">
              <a16:creationId xmlns:a16="http://schemas.microsoft.com/office/drawing/2014/main" id="{6B87D123-373B-43FB-8B28-CB49F429B0E6}"/>
            </a:ext>
          </a:extLst>
        </xdr:cNvPr>
        <xdr:cNvSpPr>
          <a:spLocks noChangeArrowheads="1"/>
        </xdr:cNvSpPr>
      </xdr:nvSpPr>
      <xdr:spPr bwMode="auto">
        <a:xfrm>
          <a:off x="31981775" y="57658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16</xdr:col>
      <xdr:colOff>25400</xdr:colOff>
      <xdr:row>11</xdr:row>
      <xdr:rowOff>0</xdr:rowOff>
    </xdr:from>
    <xdr:ext cx="295275" cy="304800"/>
    <xdr:sp macro="" textlink="">
      <xdr:nvSpPr>
        <xdr:cNvPr id="14" name="AutoShape 38" descr="Resultado de imagen para boton agregar icono">
          <a:extLst>
            <a:ext uri="{FF2B5EF4-FFF2-40B4-BE49-F238E27FC236}">
              <a16:creationId xmlns:a16="http://schemas.microsoft.com/office/drawing/2014/main" id="{19C71F22-352E-4CA7-858F-0D14874F04DE}"/>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15" name="AutoShape 39" descr="Resultado de imagen para boton agregar icono">
          <a:extLst>
            <a:ext uri="{FF2B5EF4-FFF2-40B4-BE49-F238E27FC236}">
              <a16:creationId xmlns:a16="http://schemas.microsoft.com/office/drawing/2014/main" id="{4917F462-C624-42B4-87B1-28D2CFE8BAAD}"/>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16" name="AutoShape 40" descr="Resultado de imagen para boton agregar icono">
          <a:extLst>
            <a:ext uri="{FF2B5EF4-FFF2-40B4-BE49-F238E27FC236}">
              <a16:creationId xmlns:a16="http://schemas.microsoft.com/office/drawing/2014/main" id="{CCFC7464-94CA-46C9-8FD3-5FF6721F6016}"/>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17" name="AutoShape 42" descr="Z">
          <a:extLst>
            <a:ext uri="{FF2B5EF4-FFF2-40B4-BE49-F238E27FC236}">
              <a16:creationId xmlns:a16="http://schemas.microsoft.com/office/drawing/2014/main" id="{4F6815C8-8FE6-4663-BC15-61ED35DD7B0A}"/>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8</xdr:row>
      <xdr:rowOff>127000</xdr:rowOff>
    </xdr:from>
    <xdr:ext cx="0" cy="272515"/>
    <xdr:sp macro="" textlink="">
      <xdr:nvSpPr>
        <xdr:cNvPr id="18" name="Rectangle 53">
          <a:extLst>
            <a:ext uri="{FF2B5EF4-FFF2-40B4-BE49-F238E27FC236}">
              <a16:creationId xmlns:a16="http://schemas.microsoft.com/office/drawing/2014/main" id="{1D084A00-2058-4338-A8FC-8B5EFE27147C}"/>
            </a:ext>
          </a:extLst>
        </xdr:cNvPr>
        <xdr:cNvSpPr>
          <a:spLocks noChangeArrowheads="1"/>
        </xdr:cNvSpPr>
      </xdr:nvSpPr>
      <xdr:spPr bwMode="auto">
        <a:xfrm>
          <a:off x="31981775" y="22891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19" name="Rectangle 53">
          <a:extLst>
            <a:ext uri="{FF2B5EF4-FFF2-40B4-BE49-F238E27FC236}">
              <a16:creationId xmlns:a16="http://schemas.microsoft.com/office/drawing/2014/main" id="{49F1DA48-050A-47E0-9DDD-841F10AC939E}"/>
            </a:ext>
          </a:extLst>
        </xdr:cNvPr>
        <xdr:cNvSpPr>
          <a:spLocks noChangeArrowheads="1"/>
        </xdr:cNvSpPr>
      </xdr:nvSpPr>
      <xdr:spPr bwMode="auto">
        <a:xfrm>
          <a:off x="31981775" y="249872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20" name="Rectangle 53">
          <a:extLst>
            <a:ext uri="{FF2B5EF4-FFF2-40B4-BE49-F238E27FC236}">
              <a16:creationId xmlns:a16="http://schemas.microsoft.com/office/drawing/2014/main" id="{E1F18507-1C3A-4F3F-A6DD-6B9E336081E9}"/>
            </a:ext>
          </a:extLst>
        </xdr:cNvPr>
        <xdr:cNvSpPr>
          <a:spLocks noChangeArrowheads="1"/>
        </xdr:cNvSpPr>
      </xdr:nvSpPr>
      <xdr:spPr bwMode="auto">
        <a:xfrm>
          <a:off x="31981775" y="27082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21" name="Rectangle 53">
          <a:extLst>
            <a:ext uri="{FF2B5EF4-FFF2-40B4-BE49-F238E27FC236}">
              <a16:creationId xmlns:a16="http://schemas.microsoft.com/office/drawing/2014/main" id="{94D1C2F2-898E-437E-AD4C-75B069FD578A}"/>
            </a:ext>
          </a:extLst>
        </xdr:cNvPr>
        <xdr:cNvSpPr>
          <a:spLocks noChangeArrowheads="1"/>
        </xdr:cNvSpPr>
      </xdr:nvSpPr>
      <xdr:spPr bwMode="auto">
        <a:xfrm>
          <a:off x="31981775" y="38893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22" name="Rectangle 53">
          <a:extLst>
            <a:ext uri="{FF2B5EF4-FFF2-40B4-BE49-F238E27FC236}">
              <a16:creationId xmlns:a16="http://schemas.microsoft.com/office/drawing/2014/main" id="{5E91D25A-0626-43EB-B62B-98444D280A58}"/>
            </a:ext>
          </a:extLst>
        </xdr:cNvPr>
        <xdr:cNvSpPr>
          <a:spLocks noChangeArrowheads="1"/>
        </xdr:cNvSpPr>
      </xdr:nvSpPr>
      <xdr:spPr bwMode="auto">
        <a:xfrm>
          <a:off x="31981775" y="57658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23" name="Rectangle 53">
          <a:extLst>
            <a:ext uri="{FF2B5EF4-FFF2-40B4-BE49-F238E27FC236}">
              <a16:creationId xmlns:a16="http://schemas.microsoft.com/office/drawing/2014/main" id="{726DACD3-AADB-477A-A977-54735B2D384D}"/>
            </a:ext>
          </a:extLst>
        </xdr:cNvPr>
        <xdr:cNvSpPr>
          <a:spLocks noChangeArrowheads="1"/>
        </xdr:cNvSpPr>
      </xdr:nvSpPr>
      <xdr:spPr bwMode="auto">
        <a:xfrm>
          <a:off x="31981775" y="72040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24" name="Rectangle 53">
          <a:extLst>
            <a:ext uri="{FF2B5EF4-FFF2-40B4-BE49-F238E27FC236}">
              <a16:creationId xmlns:a16="http://schemas.microsoft.com/office/drawing/2014/main" id="{C297FC45-E1D7-458A-9A44-FC1D3DE4B844}"/>
            </a:ext>
          </a:extLst>
        </xdr:cNvPr>
        <xdr:cNvSpPr>
          <a:spLocks noChangeArrowheads="1"/>
        </xdr:cNvSpPr>
      </xdr:nvSpPr>
      <xdr:spPr bwMode="auto">
        <a:xfrm>
          <a:off x="31981775" y="944245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2515"/>
    <xdr:sp macro="" textlink="">
      <xdr:nvSpPr>
        <xdr:cNvPr id="25" name="Rectangle 53">
          <a:extLst>
            <a:ext uri="{FF2B5EF4-FFF2-40B4-BE49-F238E27FC236}">
              <a16:creationId xmlns:a16="http://schemas.microsoft.com/office/drawing/2014/main" id="{83AF77BC-6396-43FC-A70A-49FC592AC83C}"/>
            </a:ext>
          </a:extLst>
        </xdr:cNvPr>
        <xdr:cNvSpPr>
          <a:spLocks noChangeArrowheads="1"/>
        </xdr:cNvSpPr>
      </xdr:nvSpPr>
      <xdr:spPr bwMode="auto">
        <a:xfrm>
          <a:off x="31981775" y="113665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twoCellAnchor editAs="oneCell">
    <xdr:from>
      <xdr:col>16</xdr:col>
      <xdr:colOff>0</xdr:colOff>
      <xdr:row>13</xdr:row>
      <xdr:rowOff>0</xdr:rowOff>
    </xdr:from>
    <xdr:to>
      <xdr:col>16</xdr:col>
      <xdr:colOff>295275</xdr:colOff>
      <xdr:row>13</xdr:row>
      <xdr:rowOff>314827</xdr:rowOff>
    </xdr:to>
    <xdr:sp macro="" textlink="">
      <xdr:nvSpPr>
        <xdr:cNvPr id="26" name="AutoShape 38" descr="Resultado de imagen para boton agregar icono">
          <a:extLst>
            <a:ext uri="{FF2B5EF4-FFF2-40B4-BE49-F238E27FC236}">
              <a16:creationId xmlns:a16="http://schemas.microsoft.com/office/drawing/2014/main" id="{1177ED92-18C3-497E-92F7-3338F17D1CC2}"/>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27" name="AutoShape 39" descr="Resultado de imagen para boton agregar icono">
          <a:extLst>
            <a:ext uri="{FF2B5EF4-FFF2-40B4-BE49-F238E27FC236}">
              <a16:creationId xmlns:a16="http://schemas.microsoft.com/office/drawing/2014/main" id="{B021335E-5F1B-4877-96E2-0793B8C6CADF}"/>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28" name="AutoShape 40" descr="Resultado de imagen para boton agregar icono">
          <a:extLst>
            <a:ext uri="{FF2B5EF4-FFF2-40B4-BE49-F238E27FC236}">
              <a16:creationId xmlns:a16="http://schemas.microsoft.com/office/drawing/2014/main" id="{8A0D0520-6310-4504-8233-AAF088A3ED72}"/>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29" name="AutoShape 42" descr="Z">
          <a:extLst>
            <a:ext uri="{FF2B5EF4-FFF2-40B4-BE49-F238E27FC236}">
              <a16:creationId xmlns:a16="http://schemas.microsoft.com/office/drawing/2014/main" id="{28F6FAC1-7BA2-4086-B943-1875FF34630E}"/>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30" name="Rectangle 53">
          <a:extLst>
            <a:ext uri="{FF2B5EF4-FFF2-40B4-BE49-F238E27FC236}">
              <a16:creationId xmlns:a16="http://schemas.microsoft.com/office/drawing/2014/main" id="{929A3963-A3B4-422C-A997-368AE9E5A18B}"/>
            </a:ext>
          </a:extLst>
        </xdr:cNvPr>
        <xdr:cNvSpPr>
          <a:spLocks noChangeArrowheads="1"/>
        </xdr:cNvSpPr>
      </xdr:nvSpPr>
      <xdr:spPr bwMode="auto">
        <a:xfrm>
          <a:off x="17192625" y="12277725"/>
          <a:ext cx="0" cy="4381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25400</xdr:colOff>
      <xdr:row>16</xdr:row>
      <xdr:rowOff>0</xdr:rowOff>
    </xdr:from>
    <xdr:to>
      <xdr:col>16</xdr:col>
      <xdr:colOff>320675</xdr:colOff>
      <xdr:row>16</xdr:row>
      <xdr:rowOff>307181</xdr:rowOff>
    </xdr:to>
    <xdr:sp macro="" textlink="">
      <xdr:nvSpPr>
        <xdr:cNvPr id="2" name="AutoShape 38" descr="Resultado de imagen para boton agregar icono">
          <a:extLst>
            <a:ext uri="{FF2B5EF4-FFF2-40B4-BE49-F238E27FC236}">
              <a16:creationId xmlns:a16="http://schemas.microsoft.com/office/drawing/2014/main" id="{4D42561A-1F14-4798-80F9-702EEC58DBB6}"/>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 name="AutoShape 39" descr="Resultado de imagen para boton agregar icono">
          <a:extLst>
            <a:ext uri="{FF2B5EF4-FFF2-40B4-BE49-F238E27FC236}">
              <a16:creationId xmlns:a16="http://schemas.microsoft.com/office/drawing/2014/main" id="{667910CE-9123-4013-94FE-5D1DC684EF3D}"/>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4" name="AutoShape 40" descr="Resultado de imagen para boton agregar icono">
          <a:extLst>
            <a:ext uri="{FF2B5EF4-FFF2-40B4-BE49-F238E27FC236}">
              <a16:creationId xmlns:a16="http://schemas.microsoft.com/office/drawing/2014/main" id="{6EFF1D8E-8FE8-4C24-A8D6-9FC3EA9A7049}"/>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 name="AutoShape 42" descr="Z">
          <a:extLst>
            <a:ext uri="{FF2B5EF4-FFF2-40B4-BE49-F238E27FC236}">
              <a16:creationId xmlns:a16="http://schemas.microsoft.com/office/drawing/2014/main" id="{3AB03CE0-1EF5-445B-A2FF-81D6DA18C369}"/>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45015F5-5E17-4D56-969F-F1923C1BE380}"/>
            </a:ext>
          </a:extLst>
        </xdr:cNvPr>
        <xdr:cNvSpPr>
          <a:spLocks noChangeArrowheads="1"/>
        </xdr:cNvSpPr>
      </xdr:nvSpPr>
      <xdr:spPr bwMode="auto">
        <a:xfrm>
          <a:off x="214661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30</xdr:col>
      <xdr:colOff>992692</xdr:colOff>
      <xdr:row>5</xdr:row>
      <xdr:rowOff>95373</xdr:rowOff>
    </xdr:to>
    <xdr:cxnSp macro="">
      <xdr:nvCxnSpPr>
        <xdr:cNvPr id="7" name="Conector recto 6">
          <a:extLst>
            <a:ext uri="{FF2B5EF4-FFF2-40B4-BE49-F238E27FC236}">
              <a16:creationId xmlns:a16="http://schemas.microsoft.com/office/drawing/2014/main" id="{C1D22116-A8B1-48A4-AEF9-23AD164A2C20}"/>
            </a:ext>
          </a:extLst>
        </xdr:cNvPr>
        <xdr:cNvCxnSpPr/>
      </xdr:nvCxnSpPr>
      <xdr:spPr>
        <a:xfrm flipV="1">
          <a:off x="162791" y="1420668"/>
          <a:ext cx="31440870"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1164432</xdr:colOff>
      <xdr:row>5</xdr:row>
      <xdr:rowOff>15261</xdr:rowOff>
    </xdr:to>
    <xdr:pic>
      <xdr:nvPicPr>
        <xdr:cNvPr id="8" name="Imagen 7">
          <a:extLst>
            <a:ext uri="{FF2B5EF4-FFF2-40B4-BE49-F238E27FC236}">
              <a16:creationId xmlns:a16="http://schemas.microsoft.com/office/drawing/2014/main" id="{63063231-3779-4912-9395-DC04B9CB0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7459" y="165101"/>
          <a:ext cx="3274291" cy="1240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9" name="AutoShape 38" descr="Resultado de imagen para boton agregar icono">
          <a:extLst>
            <a:ext uri="{FF2B5EF4-FFF2-40B4-BE49-F238E27FC236}">
              <a16:creationId xmlns:a16="http://schemas.microsoft.com/office/drawing/2014/main" id="{C733A415-A0E9-42C8-BBD6-A6EB2DB76652}"/>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0" name="AutoShape 39" descr="Resultado de imagen para boton agregar icono">
          <a:extLst>
            <a:ext uri="{FF2B5EF4-FFF2-40B4-BE49-F238E27FC236}">
              <a16:creationId xmlns:a16="http://schemas.microsoft.com/office/drawing/2014/main" id="{117BDE7E-076C-4FDE-A1CB-D77487B40515}"/>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1" name="AutoShape 40" descr="Resultado de imagen para boton agregar icono">
          <a:extLst>
            <a:ext uri="{FF2B5EF4-FFF2-40B4-BE49-F238E27FC236}">
              <a16:creationId xmlns:a16="http://schemas.microsoft.com/office/drawing/2014/main" id="{77176F6E-EA77-4263-A49F-C8A2E00BF074}"/>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2" name="AutoShape 42" descr="Z">
          <a:extLst>
            <a:ext uri="{FF2B5EF4-FFF2-40B4-BE49-F238E27FC236}">
              <a16:creationId xmlns:a16="http://schemas.microsoft.com/office/drawing/2014/main" id="{3FDC21C2-E301-408D-9A61-D8CBF833019F}"/>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3" name="AutoShape 38" descr="Resultado de imagen para boton agregar icono">
          <a:extLst>
            <a:ext uri="{FF2B5EF4-FFF2-40B4-BE49-F238E27FC236}">
              <a16:creationId xmlns:a16="http://schemas.microsoft.com/office/drawing/2014/main" id="{80243212-6416-485A-BF1C-506F4F1E274F}"/>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4" name="AutoShape 39" descr="Resultado de imagen para boton agregar icono">
          <a:extLst>
            <a:ext uri="{FF2B5EF4-FFF2-40B4-BE49-F238E27FC236}">
              <a16:creationId xmlns:a16="http://schemas.microsoft.com/office/drawing/2014/main" id="{9473950F-3D56-4D31-9405-C99A1E368BE3}"/>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5" name="AutoShape 40" descr="Resultado de imagen para boton agregar icono">
          <a:extLst>
            <a:ext uri="{FF2B5EF4-FFF2-40B4-BE49-F238E27FC236}">
              <a16:creationId xmlns:a16="http://schemas.microsoft.com/office/drawing/2014/main" id="{512CDD34-1538-482E-9011-3401B070439D}"/>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6" name="AutoShape 42" descr="Z">
          <a:extLst>
            <a:ext uri="{FF2B5EF4-FFF2-40B4-BE49-F238E27FC236}">
              <a16:creationId xmlns:a16="http://schemas.microsoft.com/office/drawing/2014/main" id="{0ABFAC10-0244-475C-A285-A13A4A91010B}"/>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oneCellAnchor>
    <xdr:from>
      <xdr:col>16</xdr:col>
      <xdr:colOff>25400</xdr:colOff>
      <xdr:row>16</xdr:row>
      <xdr:rowOff>127000</xdr:rowOff>
    </xdr:from>
    <xdr:ext cx="0" cy="272515"/>
    <xdr:sp macro="" textlink="">
      <xdr:nvSpPr>
        <xdr:cNvPr id="17" name="Rectangle 53">
          <a:extLst>
            <a:ext uri="{FF2B5EF4-FFF2-40B4-BE49-F238E27FC236}">
              <a16:creationId xmlns:a16="http://schemas.microsoft.com/office/drawing/2014/main" id="{F5E8C0C1-F325-453B-BF99-972598E1DEA3}"/>
            </a:ext>
          </a:extLst>
        </xdr:cNvPr>
        <xdr:cNvSpPr>
          <a:spLocks noChangeArrowheads="1"/>
        </xdr:cNvSpPr>
      </xdr:nvSpPr>
      <xdr:spPr bwMode="auto">
        <a:xfrm>
          <a:off x="22752050" y="126142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twoCellAnchor editAs="oneCell">
    <xdr:from>
      <xdr:col>16</xdr:col>
      <xdr:colOff>0</xdr:colOff>
      <xdr:row>13</xdr:row>
      <xdr:rowOff>0</xdr:rowOff>
    </xdr:from>
    <xdr:to>
      <xdr:col>16</xdr:col>
      <xdr:colOff>295275</xdr:colOff>
      <xdr:row>13</xdr:row>
      <xdr:rowOff>319590</xdr:rowOff>
    </xdr:to>
    <xdr:sp macro="" textlink="">
      <xdr:nvSpPr>
        <xdr:cNvPr id="18" name="AutoShape 38" descr="Resultado de imagen para boton agregar icono">
          <a:extLst>
            <a:ext uri="{FF2B5EF4-FFF2-40B4-BE49-F238E27FC236}">
              <a16:creationId xmlns:a16="http://schemas.microsoft.com/office/drawing/2014/main" id="{D1127956-CF78-4434-9777-E7FDBB80C9F8}"/>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19" name="AutoShape 39" descr="Resultado de imagen para boton agregar icono">
          <a:extLst>
            <a:ext uri="{FF2B5EF4-FFF2-40B4-BE49-F238E27FC236}">
              <a16:creationId xmlns:a16="http://schemas.microsoft.com/office/drawing/2014/main" id="{176AE52F-EDC0-49CA-B26F-FFC8EF8C7025}"/>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0" name="AutoShape 40" descr="Resultado de imagen para boton agregar icono">
          <a:extLst>
            <a:ext uri="{FF2B5EF4-FFF2-40B4-BE49-F238E27FC236}">
              <a16:creationId xmlns:a16="http://schemas.microsoft.com/office/drawing/2014/main" id="{E92B00CB-A48F-4454-92AB-0D3EA1F711E0}"/>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1" name="AutoShape 42" descr="Z">
          <a:extLst>
            <a:ext uri="{FF2B5EF4-FFF2-40B4-BE49-F238E27FC236}">
              <a16:creationId xmlns:a16="http://schemas.microsoft.com/office/drawing/2014/main" id="{B8A33C95-019E-4CDD-810E-982B865CDB79}"/>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22" name="Rectangle 53">
          <a:extLst>
            <a:ext uri="{FF2B5EF4-FFF2-40B4-BE49-F238E27FC236}">
              <a16:creationId xmlns:a16="http://schemas.microsoft.com/office/drawing/2014/main" id="{27FFAD2F-FD32-422B-BD56-EAA26EFD63E7}"/>
            </a:ext>
          </a:extLst>
        </xdr:cNvPr>
        <xdr:cNvSpPr>
          <a:spLocks noChangeArrowheads="1"/>
        </xdr:cNvSpPr>
      </xdr:nvSpPr>
      <xdr:spPr bwMode="auto">
        <a:xfrm>
          <a:off x="17954625" y="13277850"/>
          <a:ext cx="0" cy="4381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3" name="AutoShape 38" descr="Resultado de imagen para boton agregar icono">
          <a:extLst>
            <a:ext uri="{FF2B5EF4-FFF2-40B4-BE49-F238E27FC236}">
              <a16:creationId xmlns:a16="http://schemas.microsoft.com/office/drawing/2014/main" id="{B234E8F4-4E63-4B37-ADFF-28C5AAAF6FE7}"/>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4" name="AutoShape 39" descr="Resultado de imagen para boton agregar icono">
          <a:extLst>
            <a:ext uri="{FF2B5EF4-FFF2-40B4-BE49-F238E27FC236}">
              <a16:creationId xmlns:a16="http://schemas.microsoft.com/office/drawing/2014/main" id="{AC04F8C2-1428-4214-9FA2-B9911F82EF35}"/>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5" name="AutoShape 40" descr="Resultado de imagen para boton agregar icono">
          <a:extLst>
            <a:ext uri="{FF2B5EF4-FFF2-40B4-BE49-F238E27FC236}">
              <a16:creationId xmlns:a16="http://schemas.microsoft.com/office/drawing/2014/main" id="{148519DD-5E89-4C15-97D7-CEB1FF9167DC}"/>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6" name="AutoShape 42" descr="Z">
          <a:extLst>
            <a:ext uri="{FF2B5EF4-FFF2-40B4-BE49-F238E27FC236}">
              <a16:creationId xmlns:a16="http://schemas.microsoft.com/office/drawing/2014/main" id="{A451C637-2DC1-4B85-832F-2D4F5D80908D}"/>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27" name="Rectangle 53">
          <a:extLst>
            <a:ext uri="{FF2B5EF4-FFF2-40B4-BE49-F238E27FC236}">
              <a16:creationId xmlns:a16="http://schemas.microsoft.com/office/drawing/2014/main" id="{EA4898B2-1969-4C52-8E62-67346ABD4037}"/>
            </a:ext>
          </a:extLst>
        </xdr:cNvPr>
        <xdr:cNvSpPr>
          <a:spLocks noChangeArrowheads="1"/>
        </xdr:cNvSpPr>
      </xdr:nvSpPr>
      <xdr:spPr bwMode="auto">
        <a:xfrm>
          <a:off x="17954625" y="13277850"/>
          <a:ext cx="0" cy="4381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28" name="AutoShape 38" descr="Resultado de imagen para boton agregar icono">
          <a:extLst>
            <a:ext uri="{FF2B5EF4-FFF2-40B4-BE49-F238E27FC236}">
              <a16:creationId xmlns:a16="http://schemas.microsoft.com/office/drawing/2014/main" id="{283416CF-40AC-4F2A-BC0A-C63F2E2F3FE9}"/>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29" name="AutoShape 39" descr="Resultado de imagen para boton agregar icono">
          <a:extLst>
            <a:ext uri="{FF2B5EF4-FFF2-40B4-BE49-F238E27FC236}">
              <a16:creationId xmlns:a16="http://schemas.microsoft.com/office/drawing/2014/main" id="{C6581A30-3F34-43AF-AA2C-12832FE22E9A}"/>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0" name="AutoShape 40" descr="Resultado de imagen para boton agregar icono">
          <a:extLst>
            <a:ext uri="{FF2B5EF4-FFF2-40B4-BE49-F238E27FC236}">
              <a16:creationId xmlns:a16="http://schemas.microsoft.com/office/drawing/2014/main" id="{F2A0BE7E-5684-4836-9D56-AECAF20C011F}"/>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1" name="AutoShape 42" descr="Z">
          <a:extLst>
            <a:ext uri="{FF2B5EF4-FFF2-40B4-BE49-F238E27FC236}">
              <a16:creationId xmlns:a16="http://schemas.microsoft.com/office/drawing/2014/main" id="{DABFE25D-FA3E-446E-9E3B-BDB44A56697A}"/>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32" name="Rectangle 53">
          <a:extLst>
            <a:ext uri="{FF2B5EF4-FFF2-40B4-BE49-F238E27FC236}">
              <a16:creationId xmlns:a16="http://schemas.microsoft.com/office/drawing/2014/main" id="{201E02B6-0D74-42DD-8184-0A278AFF6DA0}"/>
            </a:ext>
          </a:extLst>
        </xdr:cNvPr>
        <xdr:cNvSpPr>
          <a:spLocks noChangeArrowheads="1"/>
        </xdr:cNvSpPr>
      </xdr:nvSpPr>
      <xdr:spPr bwMode="auto">
        <a:xfrm>
          <a:off x="22752050"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3" name="AutoShape 38" descr="Resultado de imagen para boton agregar icono">
          <a:extLst>
            <a:ext uri="{FF2B5EF4-FFF2-40B4-BE49-F238E27FC236}">
              <a16:creationId xmlns:a16="http://schemas.microsoft.com/office/drawing/2014/main" id="{4469CCBD-9039-41A5-83EC-FCB45F4CECEC}"/>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4" name="AutoShape 39" descr="Resultado de imagen para boton agregar icono">
          <a:extLst>
            <a:ext uri="{FF2B5EF4-FFF2-40B4-BE49-F238E27FC236}">
              <a16:creationId xmlns:a16="http://schemas.microsoft.com/office/drawing/2014/main" id="{5CD575A0-67D0-4818-8E01-2E3B86247DF8}"/>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5" name="AutoShape 40" descr="Resultado de imagen para boton agregar icono">
          <a:extLst>
            <a:ext uri="{FF2B5EF4-FFF2-40B4-BE49-F238E27FC236}">
              <a16:creationId xmlns:a16="http://schemas.microsoft.com/office/drawing/2014/main" id="{A3474732-530A-443C-AE15-57D2065C3F09}"/>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6" name="AutoShape 42" descr="Z">
          <a:extLst>
            <a:ext uri="{FF2B5EF4-FFF2-40B4-BE49-F238E27FC236}">
              <a16:creationId xmlns:a16="http://schemas.microsoft.com/office/drawing/2014/main" id="{2D4E0C92-0154-4F83-AD00-7A609165CFF6}"/>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12</xdr:row>
      <xdr:rowOff>127000</xdr:rowOff>
    </xdr:from>
    <xdr:to>
      <xdr:col>16</xdr:col>
      <xdr:colOff>25400</xdr:colOff>
      <xdr:row>13</xdr:row>
      <xdr:rowOff>23278</xdr:rowOff>
    </xdr:to>
    <xdr:sp macro="" textlink="">
      <xdr:nvSpPr>
        <xdr:cNvPr id="37" name="Rectangle 53">
          <a:extLst>
            <a:ext uri="{FF2B5EF4-FFF2-40B4-BE49-F238E27FC236}">
              <a16:creationId xmlns:a16="http://schemas.microsoft.com/office/drawing/2014/main" id="{83E69418-F612-486E-B976-25B969F1DD09}"/>
            </a:ext>
          </a:extLst>
        </xdr:cNvPr>
        <xdr:cNvSpPr>
          <a:spLocks noChangeArrowheads="1"/>
        </xdr:cNvSpPr>
      </xdr:nvSpPr>
      <xdr:spPr bwMode="auto">
        <a:xfrm>
          <a:off x="22752050" y="5880100"/>
          <a:ext cx="0" cy="277278"/>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16</xdr:col>
      <xdr:colOff>25400</xdr:colOff>
      <xdr:row>11</xdr:row>
      <xdr:rowOff>0</xdr:rowOff>
    </xdr:from>
    <xdr:ext cx="295275" cy="304800"/>
    <xdr:sp macro="" textlink="">
      <xdr:nvSpPr>
        <xdr:cNvPr id="38" name="AutoShape 38" descr="Resultado de imagen para boton agregar icono">
          <a:extLst>
            <a:ext uri="{FF2B5EF4-FFF2-40B4-BE49-F238E27FC236}">
              <a16:creationId xmlns:a16="http://schemas.microsoft.com/office/drawing/2014/main" id="{028FC257-65E6-4356-AA94-774220DDDB6F}"/>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39" name="AutoShape 39" descr="Resultado de imagen para boton agregar icono">
          <a:extLst>
            <a:ext uri="{FF2B5EF4-FFF2-40B4-BE49-F238E27FC236}">
              <a16:creationId xmlns:a16="http://schemas.microsoft.com/office/drawing/2014/main" id="{ACF88DC7-1D80-4465-BEC1-08852405FF1B}"/>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40" name="AutoShape 40" descr="Resultado de imagen para boton agregar icono">
          <a:extLst>
            <a:ext uri="{FF2B5EF4-FFF2-40B4-BE49-F238E27FC236}">
              <a16:creationId xmlns:a16="http://schemas.microsoft.com/office/drawing/2014/main" id="{CA1F58FB-4ED8-4CD9-9EB1-4AD6EC0314FE}"/>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41" name="AutoShape 42" descr="Z">
          <a:extLst>
            <a:ext uri="{FF2B5EF4-FFF2-40B4-BE49-F238E27FC236}">
              <a16:creationId xmlns:a16="http://schemas.microsoft.com/office/drawing/2014/main" id="{6D832418-6238-4EB1-B569-F01E859B01E8}"/>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8</xdr:row>
      <xdr:rowOff>127000</xdr:rowOff>
    </xdr:from>
    <xdr:ext cx="0" cy="272515"/>
    <xdr:sp macro="" textlink="">
      <xdr:nvSpPr>
        <xdr:cNvPr id="42" name="Rectangle 53">
          <a:extLst>
            <a:ext uri="{FF2B5EF4-FFF2-40B4-BE49-F238E27FC236}">
              <a16:creationId xmlns:a16="http://schemas.microsoft.com/office/drawing/2014/main" id="{C1A43B0A-5A84-479A-B8FA-19807F62D15B}"/>
            </a:ext>
          </a:extLst>
        </xdr:cNvPr>
        <xdr:cNvSpPr>
          <a:spLocks noChangeArrowheads="1"/>
        </xdr:cNvSpPr>
      </xdr:nvSpPr>
      <xdr:spPr bwMode="auto">
        <a:xfrm>
          <a:off x="22752050" y="22891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43" name="Rectangle 53">
          <a:extLst>
            <a:ext uri="{FF2B5EF4-FFF2-40B4-BE49-F238E27FC236}">
              <a16:creationId xmlns:a16="http://schemas.microsoft.com/office/drawing/2014/main" id="{DD7FC2BB-1ED6-4C17-8DCD-96CBDE281295}"/>
            </a:ext>
          </a:extLst>
        </xdr:cNvPr>
        <xdr:cNvSpPr>
          <a:spLocks noChangeArrowheads="1"/>
        </xdr:cNvSpPr>
      </xdr:nvSpPr>
      <xdr:spPr bwMode="auto">
        <a:xfrm>
          <a:off x="22752050" y="249872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44" name="Rectangle 53">
          <a:extLst>
            <a:ext uri="{FF2B5EF4-FFF2-40B4-BE49-F238E27FC236}">
              <a16:creationId xmlns:a16="http://schemas.microsoft.com/office/drawing/2014/main" id="{0ACAE6EE-1D17-4A6B-916E-AF6B009E379E}"/>
            </a:ext>
          </a:extLst>
        </xdr:cNvPr>
        <xdr:cNvSpPr>
          <a:spLocks noChangeArrowheads="1"/>
        </xdr:cNvSpPr>
      </xdr:nvSpPr>
      <xdr:spPr bwMode="auto">
        <a:xfrm>
          <a:off x="22752050" y="29845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45" name="Rectangle 53">
          <a:extLst>
            <a:ext uri="{FF2B5EF4-FFF2-40B4-BE49-F238E27FC236}">
              <a16:creationId xmlns:a16="http://schemas.microsoft.com/office/drawing/2014/main" id="{67467BDA-B5EF-4482-AF51-C468AA413B3D}"/>
            </a:ext>
          </a:extLst>
        </xdr:cNvPr>
        <xdr:cNvSpPr>
          <a:spLocks noChangeArrowheads="1"/>
        </xdr:cNvSpPr>
      </xdr:nvSpPr>
      <xdr:spPr bwMode="auto">
        <a:xfrm>
          <a:off x="22752050" y="413702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46" name="Rectangle 53">
          <a:extLst>
            <a:ext uri="{FF2B5EF4-FFF2-40B4-BE49-F238E27FC236}">
              <a16:creationId xmlns:a16="http://schemas.microsoft.com/office/drawing/2014/main" id="{553AE5D7-3075-4017-BEF8-A043B1E313F8}"/>
            </a:ext>
          </a:extLst>
        </xdr:cNvPr>
        <xdr:cNvSpPr>
          <a:spLocks noChangeArrowheads="1"/>
        </xdr:cNvSpPr>
      </xdr:nvSpPr>
      <xdr:spPr bwMode="auto">
        <a:xfrm>
          <a:off x="22752050" y="58801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47" name="Rectangle 53">
          <a:extLst>
            <a:ext uri="{FF2B5EF4-FFF2-40B4-BE49-F238E27FC236}">
              <a16:creationId xmlns:a16="http://schemas.microsoft.com/office/drawing/2014/main" id="{425222AB-3A1D-41CC-903A-1F5CC6DE746E}"/>
            </a:ext>
          </a:extLst>
        </xdr:cNvPr>
        <xdr:cNvSpPr>
          <a:spLocks noChangeArrowheads="1"/>
        </xdr:cNvSpPr>
      </xdr:nvSpPr>
      <xdr:spPr bwMode="auto">
        <a:xfrm>
          <a:off x="22752050" y="75088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48" name="Rectangle 53">
          <a:extLst>
            <a:ext uri="{FF2B5EF4-FFF2-40B4-BE49-F238E27FC236}">
              <a16:creationId xmlns:a16="http://schemas.microsoft.com/office/drawing/2014/main" id="{0C965A44-9A96-4AC6-8882-34EC48D7312E}"/>
            </a:ext>
          </a:extLst>
        </xdr:cNvPr>
        <xdr:cNvSpPr>
          <a:spLocks noChangeArrowheads="1"/>
        </xdr:cNvSpPr>
      </xdr:nvSpPr>
      <xdr:spPr bwMode="auto">
        <a:xfrm>
          <a:off x="22752050" y="117379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2515"/>
    <xdr:sp macro="" textlink="">
      <xdr:nvSpPr>
        <xdr:cNvPr id="49" name="Rectangle 53">
          <a:extLst>
            <a:ext uri="{FF2B5EF4-FFF2-40B4-BE49-F238E27FC236}">
              <a16:creationId xmlns:a16="http://schemas.microsoft.com/office/drawing/2014/main" id="{C49636C3-6870-4706-A014-BF376E5740AA}"/>
            </a:ext>
          </a:extLst>
        </xdr:cNvPr>
        <xdr:cNvSpPr>
          <a:spLocks noChangeArrowheads="1"/>
        </xdr:cNvSpPr>
      </xdr:nvSpPr>
      <xdr:spPr bwMode="auto">
        <a:xfrm>
          <a:off x="22752050" y="135286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twoCellAnchor editAs="oneCell">
    <xdr:from>
      <xdr:col>16</xdr:col>
      <xdr:colOff>0</xdr:colOff>
      <xdr:row>13</xdr:row>
      <xdr:rowOff>0</xdr:rowOff>
    </xdr:from>
    <xdr:to>
      <xdr:col>16</xdr:col>
      <xdr:colOff>295275</xdr:colOff>
      <xdr:row>13</xdr:row>
      <xdr:rowOff>314827</xdr:rowOff>
    </xdr:to>
    <xdr:sp macro="" textlink="">
      <xdr:nvSpPr>
        <xdr:cNvPr id="50" name="AutoShape 38" descr="Resultado de imagen para boton agregar icono">
          <a:extLst>
            <a:ext uri="{FF2B5EF4-FFF2-40B4-BE49-F238E27FC236}">
              <a16:creationId xmlns:a16="http://schemas.microsoft.com/office/drawing/2014/main" id="{4F37F6C3-9296-4434-919C-022BF2A9708F}"/>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51" name="AutoShape 39" descr="Resultado de imagen para boton agregar icono">
          <a:extLst>
            <a:ext uri="{FF2B5EF4-FFF2-40B4-BE49-F238E27FC236}">
              <a16:creationId xmlns:a16="http://schemas.microsoft.com/office/drawing/2014/main" id="{344CB601-0938-4EA6-8BE6-D8235FFCD38F}"/>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52" name="AutoShape 40" descr="Resultado de imagen para boton agregar icono">
          <a:extLst>
            <a:ext uri="{FF2B5EF4-FFF2-40B4-BE49-F238E27FC236}">
              <a16:creationId xmlns:a16="http://schemas.microsoft.com/office/drawing/2014/main" id="{94F495A9-5347-48A3-AAF2-16F1A450CF29}"/>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53" name="AutoShape 42" descr="Z">
          <a:extLst>
            <a:ext uri="{FF2B5EF4-FFF2-40B4-BE49-F238E27FC236}">
              <a16:creationId xmlns:a16="http://schemas.microsoft.com/office/drawing/2014/main" id="{849BA455-9508-4627-9849-2EFA154E00F8}"/>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54" name="Rectangle 53">
          <a:extLst>
            <a:ext uri="{FF2B5EF4-FFF2-40B4-BE49-F238E27FC236}">
              <a16:creationId xmlns:a16="http://schemas.microsoft.com/office/drawing/2014/main" id="{5C0170CF-05E8-436A-A577-01504E222F61}"/>
            </a:ext>
          </a:extLst>
        </xdr:cNvPr>
        <xdr:cNvSpPr>
          <a:spLocks noChangeArrowheads="1"/>
        </xdr:cNvSpPr>
      </xdr:nvSpPr>
      <xdr:spPr bwMode="auto">
        <a:xfrm>
          <a:off x="22726650" y="5876925"/>
          <a:ext cx="0" cy="3619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5" name="AutoShape 38" descr="Resultado de imagen para boton agregar icono">
          <a:extLst>
            <a:ext uri="{FF2B5EF4-FFF2-40B4-BE49-F238E27FC236}">
              <a16:creationId xmlns:a16="http://schemas.microsoft.com/office/drawing/2014/main" id="{03F87FBF-12CC-4AA4-9B80-32ACD89DDF7C}"/>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6" name="AutoShape 39" descr="Resultado de imagen para boton agregar icono">
          <a:extLst>
            <a:ext uri="{FF2B5EF4-FFF2-40B4-BE49-F238E27FC236}">
              <a16:creationId xmlns:a16="http://schemas.microsoft.com/office/drawing/2014/main" id="{F73D0556-3883-44FF-AC21-B70DFF832700}"/>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7" name="AutoShape 40" descr="Resultado de imagen para boton agregar icono">
          <a:extLst>
            <a:ext uri="{FF2B5EF4-FFF2-40B4-BE49-F238E27FC236}">
              <a16:creationId xmlns:a16="http://schemas.microsoft.com/office/drawing/2014/main" id="{1949A520-8A97-4E37-9B42-24A69AF27751}"/>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8" name="AutoShape 42" descr="Z">
          <a:extLst>
            <a:ext uri="{FF2B5EF4-FFF2-40B4-BE49-F238E27FC236}">
              <a16:creationId xmlns:a16="http://schemas.microsoft.com/office/drawing/2014/main" id="{92F026ED-E7A1-4243-9738-5E668532CA2B}"/>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9" name="AutoShape 38" descr="Resultado de imagen para boton agregar icono">
          <a:extLst>
            <a:ext uri="{FF2B5EF4-FFF2-40B4-BE49-F238E27FC236}">
              <a16:creationId xmlns:a16="http://schemas.microsoft.com/office/drawing/2014/main" id="{2E63AADB-703F-4C5B-99CE-E6061C5C117F}"/>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60" name="AutoShape 39" descr="Resultado de imagen para boton agregar icono">
          <a:extLst>
            <a:ext uri="{FF2B5EF4-FFF2-40B4-BE49-F238E27FC236}">
              <a16:creationId xmlns:a16="http://schemas.microsoft.com/office/drawing/2014/main" id="{4CF0088E-08D9-4B60-80F7-6F88B0912DDF}"/>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61" name="AutoShape 40" descr="Resultado de imagen para boton agregar icono">
          <a:extLst>
            <a:ext uri="{FF2B5EF4-FFF2-40B4-BE49-F238E27FC236}">
              <a16:creationId xmlns:a16="http://schemas.microsoft.com/office/drawing/2014/main" id="{15F47840-67C4-4D6C-90E2-A9832FEEB465}"/>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62" name="AutoShape 42" descr="Z">
          <a:extLst>
            <a:ext uri="{FF2B5EF4-FFF2-40B4-BE49-F238E27FC236}">
              <a16:creationId xmlns:a16="http://schemas.microsoft.com/office/drawing/2014/main" id="{3A1C78C3-871B-47D4-9487-56284E9569CB}"/>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oneCellAnchor>
    <xdr:from>
      <xdr:col>16</xdr:col>
      <xdr:colOff>25400</xdr:colOff>
      <xdr:row>16</xdr:row>
      <xdr:rowOff>127000</xdr:rowOff>
    </xdr:from>
    <xdr:ext cx="0" cy="272515"/>
    <xdr:sp macro="" textlink="">
      <xdr:nvSpPr>
        <xdr:cNvPr id="63" name="Rectangle 53">
          <a:extLst>
            <a:ext uri="{FF2B5EF4-FFF2-40B4-BE49-F238E27FC236}">
              <a16:creationId xmlns:a16="http://schemas.microsoft.com/office/drawing/2014/main" id="{A2A19AF0-8F29-4E78-A6CA-54486E1BCA31}"/>
            </a:ext>
          </a:extLst>
        </xdr:cNvPr>
        <xdr:cNvSpPr>
          <a:spLocks noChangeArrowheads="1"/>
        </xdr:cNvSpPr>
      </xdr:nvSpPr>
      <xdr:spPr bwMode="auto">
        <a:xfrm>
          <a:off x="22752050" y="135286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ACTUALIZACI&#211;N%20MATRICES/Copia%20de%20ple-pin-f001_v3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Copia de ple-pin-f001_v3_0"/>
    </sheetNames>
    <definedNames>
      <definedName name="MostrarFuente_Impacto"/>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71" dataDxfId="370">
  <autoFilter ref="B209:C219" xr:uid="{00000000-0009-0000-0100-000001000000}"/>
  <tableColumns count="2">
    <tableColumn id="1" xr3:uid="{00000000-0010-0000-0000-000001000000}" name="Criterios" dataDxfId="369"/>
    <tableColumn id="2" xr3:uid="{00000000-0010-0000-0000-000002000000}" name="Subcriterios" dataDxfId="36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7" zoomScale="110" zoomScaleNormal="110" workbookViewId="0">
      <selection activeCell="B12" sqref="B12:H12"/>
    </sheetView>
  </sheetViews>
  <sheetFormatPr baseColWidth="10" defaultColWidth="11.42578125" defaultRowHeight="15" x14ac:dyDescent="0.25"/>
  <cols>
    <col min="1" max="1" width="2.7109375" style="82" customWidth="1"/>
    <col min="2" max="3" width="24.7109375" style="82" customWidth="1"/>
    <col min="4" max="4" width="16" style="82" customWidth="1"/>
    <col min="5" max="5" width="24.7109375" style="82" customWidth="1"/>
    <col min="6" max="6" width="27.7109375" style="82" customWidth="1"/>
    <col min="7" max="8" width="24.7109375" style="82" customWidth="1"/>
    <col min="9" max="16384" width="11.42578125" style="82"/>
  </cols>
  <sheetData>
    <row r="4" spans="2:8" ht="7.15" customHeight="1" thickBot="1" x14ac:dyDescent="0.3"/>
    <row r="5" spans="2:8" hidden="1" x14ac:dyDescent="0.25"/>
    <row r="6" spans="2:8" ht="15.75" hidden="1" thickBot="1" x14ac:dyDescent="0.3"/>
    <row r="7" spans="2:8" ht="15.75" hidden="1" thickBot="1" x14ac:dyDescent="0.3"/>
    <row r="8" spans="2:8" ht="1.1499999999999999"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34" t="s">
        <v>0</v>
      </c>
      <c r="C12" s="235"/>
      <c r="D12" s="235"/>
      <c r="E12" s="235"/>
      <c r="F12" s="235"/>
      <c r="G12" s="235"/>
      <c r="H12" s="236"/>
    </row>
    <row r="13" spans="2:8" ht="11.1" customHeight="1" x14ac:dyDescent="0.25">
      <c r="B13" s="83"/>
      <c r="C13" s="84"/>
      <c r="D13" s="84"/>
      <c r="E13" s="84"/>
      <c r="F13" s="84"/>
      <c r="G13" s="84"/>
      <c r="H13" s="85"/>
    </row>
    <row r="14" spans="2:8" ht="29.1" hidden="1" customHeight="1" x14ac:dyDescent="0.25">
      <c r="B14" s="237" t="s">
        <v>210</v>
      </c>
      <c r="C14" s="238"/>
      <c r="D14" s="238"/>
      <c r="E14" s="238"/>
      <c r="F14" s="238"/>
      <c r="G14" s="238"/>
      <c r="H14" s="239"/>
    </row>
    <row r="15" spans="2:8" ht="63" hidden="1" customHeight="1" x14ac:dyDescent="0.25">
      <c r="B15" s="240"/>
      <c r="C15" s="241"/>
      <c r="D15" s="241"/>
      <c r="E15" s="241"/>
      <c r="F15" s="241"/>
      <c r="G15" s="241"/>
      <c r="H15" s="242"/>
    </row>
    <row r="16" spans="2:8" ht="16.5" x14ac:dyDescent="0.25">
      <c r="B16" s="243" t="s">
        <v>1</v>
      </c>
      <c r="C16" s="244"/>
      <c r="D16" s="244"/>
      <c r="E16" s="244"/>
      <c r="F16" s="244"/>
      <c r="G16" s="244"/>
      <c r="H16" s="245"/>
    </row>
    <row r="17" spans="2:8" ht="95.25" customHeight="1" x14ac:dyDescent="0.25">
      <c r="B17" s="253" t="s">
        <v>2</v>
      </c>
      <c r="C17" s="254"/>
      <c r="D17" s="254"/>
      <c r="E17" s="254"/>
      <c r="F17" s="254"/>
      <c r="G17" s="254"/>
      <c r="H17" s="255"/>
    </row>
    <row r="18" spans="2:8" ht="16.5" x14ac:dyDescent="0.25">
      <c r="B18" s="119"/>
      <c r="C18" s="120"/>
      <c r="D18" s="120"/>
      <c r="E18" s="120"/>
      <c r="F18" s="120"/>
      <c r="G18" s="120"/>
      <c r="H18" s="121"/>
    </row>
    <row r="19" spans="2:8" ht="16.5" customHeight="1" x14ac:dyDescent="0.25">
      <c r="B19" s="246" t="s">
        <v>218</v>
      </c>
      <c r="C19" s="247"/>
      <c r="D19" s="247"/>
      <c r="E19" s="247"/>
      <c r="F19" s="247"/>
      <c r="G19" s="247"/>
      <c r="H19" s="248"/>
    </row>
    <row r="20" spans="2:8" ht="44.25" customHeight="1" x14ac:dyDescent="0.25">
      <c r="B20" s="246"/>
      <c r="C20" s="247"/>
      <c r="D20" s="247"/>
      <c r="E20" s="247"/>
      <c r="F20" s="247"/>
      <c r="G20" s="247"/>
      <c r="H20" s="248"/>
    </row>
    <row r="21" spans="2:8" ht="15.75" thickBot="1" x14ac:dyDescent="0.3">
      <c r="B21" s="108"/>
      <c r="C21" s="111"/>
      <c r="D21" s="116"/>
      <c r="E21" s="117"/>
      <c r="F21" s="117"/>
      <c r="G21" s="118"/>
      <c r="H21" s="112"/>
    </row>
    <row r="22" spans="2:8" ht="15.75" thickTop="1" x14ac:dyDescent="0.25">
      <c r="B22" s="108"/>
      <c r="C22" s="249" t="s">
        <v>3</v>
      </c>
      <c r="D22" s="250"/>
      <c r="E22" s="251" t="s">
        <v>4</v>
      </c>
      <c r="F22" s="252"/>
      <c r="G22" s="111"/>
      <c r="H22" s="112"/>
    </row>
    <row r="23" spans="2:8" ht="35.25" customHeight="1" x14ac:dyDescent="0.25">
      <c r="B23" s="108"/>
      <c r="C23" s="221" t="s">
        <v>5</v>
      </c>
      <c r="D23" s="222"/>
      <c r="E23" s="223" t="s">
        <v>6</v>
      </c>
      <c r="F23" s="224"/>
      <c r="G23" s="111"/>
      <c r="H23" s="112"/>
    </row>
    <row r="24" spans="2:8" ht="17.25" customHeight="1" x14ac:dyDescent="0.25">
      <c r="B24" s="108"/>
      <c r="C24" s="221" t="s">
        <v>7</v>
      </c>
      <c r="D24" s="222"/>
      <c r="E24" s="223" t="s">
        <v>8</v>
      </c>
      <c r="F24" s="224"/>
      <c r="G24" s="111"/>
      <c r="H24" s="112"/>
    </row>
    <row r="25" spans="2:8" ht="19.5" customHeight="1" x14ac:dyDescent="0.25">
      <c r="B25" s="108"/>
      <c r="C25" s="221" t="s">
        <v>9</v>
      </c>
      <c r="D25" s="222"/>
      <c r="E25" s="223" t="s">
        <v>10</v>
      </c>
      <c r="F25" s="224"/>
      <c r="G25" s="111"/>
      <c r="H25" s="112"/>
    </row>
    <row r="26" spans="2:8" ht="69.75" customHeight="1" x14ac:dyDescent="0.25">
      <c r="B26" s="108"/>
      <c r="C26" s="221" t="s">
        <v>11</v>
      </c>
      <c r="D26" s="222"/>
      <c r="E26" s="223" t="s">
        <v>12</v>
      </c>
      <c r="F26" s="224"/>
      <c r="G26" s="111"/>
      <c r="H26" s="112"/>
    </row>
    <row r="27" spans="2:8" ht="34.5" customHeight="1" x14ac:dyDescent="0.25">
      <c r="B27" s="108"/>
      <c r="C27" s="225" t="s">
        <v>13</v>
      </c>
      <c r="D27" s="226"/>
      <c r="E27" s="217" t="s">
        <v>14</v>
      </c>
      <c r="F27" s="218"/>
      <c r="G27" s="111"/>
      <c r="H27" s="112"/>
    </row>
    <row r="28" spans="2:8" ht="27.75" customHeight="1" x14ac:dyDescent="0.25">
      <c r="B28" s="108"/>
      <c r="C28" s="225" t="s">
        <v>15</v>
      </c>
      <c r="D28" s="226"/>
      <c r="E28" s="217" t="s">
        <v>16</v>
      </c>
      <c r="F28" s="218"/>
      <c r="G28" s="111"/>
      <c r="H28" s="112"/>
    </row>
    <row r="29" spans="2:8" ht="28.5" customHeight="1" x14ac:dyDescent="0.25">
      <c r="B29" s="108"/>
      <c r="C29" s="225" t="s">
        <v>17</v>
      </c>
      <c r="D29" s="226"/>
      <c r="E29" s="217" t="s">
        <v>18</v>
      </c>
      <c r="F29" s="218"/>
      <c r="G29" s="111"/>
      <c r="H29" s="112"/>
    </row>
    <row r="30" spans="2:8" ht="72.75" customHeight="1" x14ac:dyDescent="0.25">
      <c r="B30" s="108"/>
      <c r="C30" s="225" t="s">
        <v>19</v>
      </c>
      <c r="D30" s="226"/>
      <c r="E30" s="217" t="s">
        <v>20</v>
      </c>
      <c r="F30" s="218"/>
      <c r="G30" s="111"/>
      <c r="H30" s="112"/>
    </row>
    <row r="31" spans="2:8" ht="64.5" customHeight="1" x14ac:dyDescent="0.25">
      <c r="B31" s="108"/>
      <c r="C31" s="225" t="s">
        <v>21</v>
      </c>
      <c r="D31" s="226"/>
      <c r="E31" s="217" t="s">
        <v>22</v>
      </c>
      <c r="F31" s="218"/>
      <c r="G31" s="111"/>
      <c r="H31" s="112"/>
    </row>
    <row r="32" spans="2:8" ht="71.25" customHeight="1" x14ac:dyDescent="0.25">
      <c r="B32" s="108"/>
      <c r="C32" s="225" t="s">
        <v>23</v>
      </c>
      <c r="D32" s="226"/>
      <c r="E32" s="217" t="s">
        <v>24</v>
      </c>
      <c r="F32" s="218"/>
      <c r="G32" s="111"/>
      <c r="H32" s="112"/>
    </row>
    <row r="33" spans="2:8" ht="55.5" customHeight="1" x14ac:dyDescent="0.25">
      <c r="B33" s="108"/>
      <c r="C33" s="219" t="s">
        <v>25</v>
      </c>
      <c r="D33" s="220"/>
      <c r="E33" s="217" t="s">
        <v>26</v>
      </c>
      <c r="F33" s="218"/>
      <c r="G33" s="111"/>
      <c r="H33" s="112"/>
    </row>
    <row r="34" spans="2:8" ht="42" customHeight="1" x14ac:dyDescent="0.25">
      <c r="B34" s="108"/>
      <c r="C34" s="219" t="s">
        <v>27</v>
      </c>
      <c r="D34" s="220"/>
      <c r="E34" s="217" t="s">
        <v>28</v>
      </c>
      <c r="F34" s="218"/>
      <c r="G34" s="111"/>
      <c r="H34" s="112"/>
    </row>
    <row r="35" spans="2:8" ht="59.25" customHeight="1" x14ac:dyDescent="0.25">
      <c r="B35" s="108"/>
      <c r="C35" s="219" t="s">
        <v>29</v>
      </c>
      <c r="D35" s="220"/>
      <c r="E35" s="217" t="s">
        <v>30</v>
      </c>
      <c r="F35" s="218"/>
      <c r="G35" s="111"/>
      <c r="H35" s="112"/>
    </row>
    <row r="36" spans="2:8" ht="23.25" customHeight="1" x14ac:dyDescent="0.25">
      <c r="B36" s="108"/>
      <c r="C36" s="219" t="s">
        <v>31</v>
      </c>
      <c r="D36" s="220"/>
      <c r="E36" s="217" t="s">
        <v>32</v>
      </c>
      <c r="F36" s="218"/>
      <c r="G36" s="111"/>
      <c r="H36" s="112"/>
    </row>
    <row r="37" spans="2:8" ht="30.75" customHeight="1" x14ac:dyDescent="0.25">
      <c r="B37" s="108"/>
      <c r="C37" s="219" t="s">
        <v>33</v>
      </c>
      <c r="D37" s="220"/>
      <c r="E37" s="217" t="s">
        <v>34</v>
      </c>
      <c r="F37" s="218"/>
      <c r="G37" s="111"/>
      <c r="H37" s="112"/>
    </row>
    <row r="38" spans="2:8" ht="35.25" customHeight="1" x14ac:dyDescent="0.25">
      <c r="B38" s="108"/>
      <c r="C38" s="219" t="s">
        <v>35</v>
      </c>
      <c r="D38" s="220"/>
      <c r="E38" s="217" t="s">
        <v>36</v>
      </c>
      <c r="F38" s="218"/>
      <c r="G38" s="111"/>
      <c r="H38" s="112"/>
    </row>
    <row r="39" spans="2:8" ht="33" customHeight="1" x14ac:dyDescent="0.25">
      <c r="B39" s="108"/>
      <c r="C39" s="219" t="s">
        <v>35</v>
      </c>
      <c r="D39" s="220"/>
      <c r="E39" s="217" t="s">
        <v>36</v>
      </c>
      <c r="F39" s="218"/>
      <c r="G39" s="111"/>
      <c r="H39" s="112"/>
    </row>
    <row r="40" spans="2:8" ht="30" customHeight="1" x14ac:dyDescent="0.25">
      <c r="B40" s="108"/>
      <c r="C40" s="219" t="s">
        <v>37</v>
      </c>
      <c r="D40" s="220"/>
      <c r="E40" s="217" t="s">
        <v>38</v>
      </c>
      <c r="F40" s="218"/>
      <c r="G40" s="111"/>
      <c r="H40" s="112"/>
    </row>
    <row r="41" spans="2:8" ht="35.25" customHeight="1" x14ac:dyDescent="0.25">
      <c r="B41" s="108"/>
      <c r="C41" s="219" t="s">
        <v>39</v>
      </c>
      <c r="D41" s="220"/>
      <c r="E41" s="217" t="s">
        <v>40</v>
      </c>
      <c r="F41" s="218"/>
      <c r="G41" s="111"/>
      <c r="H41" s="112"/>
    </row>
    <row r="42" spans="2:8" ht="31.5" customHeight="1" x14ac:dyDescent="0.25">
      <c r="B42" s="108"/>
      <c r="C42" s="219" t="s">
        <v>41</v>
      </c>
      <c r="D42" s="220"/>
      <c r="E42" s="217" t="s">
        <v>42</v>
      </c>
      <c r="F42" s="218"/>
      <c r="G42" s="111"/>
      <c r="H42" s="112"/>
    </row>
    <row r="43" spans="2:8" ht="35.25" customHeight="1" x14ac:dyDescent="0.25">
      <c r="B43" s="108"/>
      <c r="C43" s="219" t="s">
        <v>43</v>
      </c>
      <c r="D43" s="220"/>
      <c r="E43" s="217" t="s">
        <v>44</v>
      </c>
      <c r="F43" s="218"/>
      <c r="G43" s="111"/>
      <c r="H43" s="112"/>
    </row>
    <row r="44" spans="2:8" ht="59.25" customHeight="1" x14ac:dyDescent="0.25">
      <c r="B44" s="108"/>
      <c r="C44" s="219" t="s">
        <v>45</v>
      </c>
      <c r="D44" s="220"/>
      <c r="E44" s="217" t="s">
        <v>46</v>
      </c>
      <c r="F44" s="218"/>
      <c r="G44" s="111"/>
      <c r="H44" s="112"/>
    </row>
    <row r="45" spans="2:8" ht="29.25" customHeight="1" x14ac:dyDescent="0.25">
      <c r="B45" s="108"/>
      <c r="C45" s="219" t="s">
        <v>47</v>
      </c>
      <c r="D45" s="220"/>
      <c r="E45" s="217" t="s">
        <v>48</v>
      </c>
      <c r="F45" s="218"/>
      <c r="G45" s="111"/>
      <c r="H45" s="112"/>
    </row>
    <row r="46" spans="2:8" ht="82.5" customHeight="1" x14ac:dyDescent="0.25">
      <c r="B46" s="108"/>
      <c r="C46" s="219" t="s">
        <v>49</v>
      </c>
      <c r="D46" s="220"/>
      <c r="E46" s="217" t="s">
        <v>50</v>
      </c>
      <c r="F46" s="218"/>
      <c r="G46" s="111"/>
      <c r="H46" s="112"/>
    </row>
    <row r="47" spans="2:8" ht="46.5" customHeight="1" x14ac:dyDescent="0.25">
      <c r="B47" s="108"/>
      <c r="C47" s="219" t="s">
        <v>51</v>
      </c>
      <c r="D47" s="220"/>
      <c r="E47" s="217" t="s">
        <v>52</v>
      </c>
      <c r="F47" s="218"/>
      <c r="G47" s="111"/>
      <c r="H47" s="112"/>
    </row>
    <row r="48" spans="2:8" ht="6.75" customHeight="1" thickBot="1" x14ac:dyDescent="0.3">
      <c r="B48" s="108"/>
      <c r="C48" s="230"/>
      <c r="D48" s="231"/>
      <c r="E48" s="232"/>
      <c r="F48" s="233"/>
      <c r="G48" s="111"/>
      <c r="H48" s="112"/>
    </row>
    <row r="49" spans="2:8" ht="15.75" thickTop="1" x14ac:dyDescent="0.25">
      <c r="B49" s="108"/>
      <c r="C49" s="109"/>
      <c r="D49" s="109"/>
      <c r="E49" s="110"/>
      <c r="F49" s="110"/>
      <c r="G49" s="111"/>
      <c r="H49" s="112"/>
    </row>
    <row r="50" spans="2:8" ht="21" customHeight="1" x14ac:dyDescent="0.25">
      <c r="B50" s="227" t="s">
        <v>53</v>
      </c>
      <c r="C50" s="228"/>
      <c r="D50" s="228"/>
      <c r="E50" s="228"/>
      <c r="F50" s="228"/>
      <c r="G50" s="228"/>
      <c r="H50" s="229"/>
    </row>
    <row r="51" spans="2:8" ht="20.25" customHeight="1" x14ac:dyDescent="0.25">
      <c r="B51" s="227" t="s">
        <v>54</v>
      </c>
      <c r="C51" s="228"/>
      <c r="D51" s="228"/>
      <c r="E51" s="228"/>
      <c r="F51" s="228"/>
      <c r="G51" s="228"/>
      <c r="H51" s="229"/>
    </row>
    <row r="52" spans="2:8" ht="20.25" customHeight="1" x14ac:dyDescent="0.25">
      <c r="B52" s="227" t="s">
        <v>55</v>
      </c>
      <c r="C52" s="228"/>
      <c r="D52" s="228"/>
      <c r="E52" s="228"/>
      <c r="F52" s="228"/>
      <c r="G52" s="228"/>
      <c r="H52" s="229"/>
    </row>
    <row r="53" spans="2:8" ht="20.25" customHeight="1" x14ac:dyDescent="0.25">
      <c r="B53" s="227" t="s">
        <v>56</v>
      </c>
      <c r="C53" s="228"/>
      <c r="D53" s="228"/>
      <c r="E53" s="228"/>
      <c r="F53" s="228"/>
      <c r="G53" s="228"/>
      <c r="H53" s="229"/>
    </row>
    <row r="54" spans="2:8" x14ac:dyDescent="0.25">
      <c r="B54" s="227" t="s">
        <v>57</v>
      </c>
      <c r="C54" s="228"/>
      <c r="D54" s="228"/>
      <c r="E54" s="228"/>
      <c r="F54" s="228"/>
      <c r="G54" s="228"/>
      <c r="H54" s="229"/>
    </row>
    <row r="55" spans="2:8" ht="15.75" thickBot="1" x14ac:dyDescent="0.3">
      <c r="B55" s="113"/>
      <c r="C55" s="114"/>
      <c r="D55" s="114"/>
      <c r="E55" s="114"/>
      <c r="F55" s="114"/>
      <c r="G55" s="114"/>
      <c r="H55" s="115"/>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C2:J16"/>
  <sheetViews>
    <sheetView showGridLines="0" workbookViewId="0">
      <selection activeCell="G16" sqref="G16"/>
    </sheetView>
  </sheetViews>
  <sheetFormatPr baseColWidth="10" defaultColWidth="11.42578125" defaultRowHeight="15.75" x14ac:dyDescent="0.25"/>
  <cols>
    <col min="1" max="3" width="11.42578125" style="127"/>
    <col min="4" max="4" width="25.42578125" style="127" customWidth="1"/>
    <col min="5" max="5" width="22.5703125" style="127" customWidth="1"/>
    <col min="6" max="6" width="23.7109375" style="127" customWidth="1"/>
    <col min="7" max="7" width="45.7109375" style="127" customWidth="1"/>
    <col min="8" max="16384" width="11.42578125" style="127"/>
  </cols>
  <sheetData>
    <row r="2" spans="3:10" ht="16.5" thickBot="1" x14ac:dyDescent="0.3"/>
    <row r="3" spans="3:10" ht="32.25" thickBot="1" x14ac:dyDescent="0.3">
      <c r="C3" s="128" t="s">
        <v>243</v>
      </c>
      <c r="D3" s="129" t="s">
        <v>244</v>
      </c>
      <c r="E3" s="519" t="s">
        <v>245</v>
      </c>
      <c r="F3" s="520"/>
      <c r="G3" s="521"/>
      <c r="J3" s="139" t="s">
        <v>13</v>
      </c>
    </row>
    <row r="4" spans="3:10" x14ac:dyDescent="0.25">
      <c r="C4" s="515">
        <v>1</v>
      </c>
      <c r="D4" s="130" t="s">
        <v>9</v>
      </c>
      <c r="E4" s="131" t="s">
        <v>247</v>
      </c>
      <c r="F4" s="131" t="s">
        <v>249</v>
      </c>
      <c r="G4" s="141" t="s">
        <v>251</v>
      </c>
      <c r="H4" s="142"/>
      <c r="J4" s="140">
        <f>+H4*H6*H9*H11*H13*H15</f>
        <v>0</v>
      </c>
    </row>
    <row r="5" spans="3:10" ht="63.75" thickBot="1" x14ac:dyDescent="0.3">
      <c r="C5" s="516"/>
      <c r="D5" s="132" t="s">
        <v>246</v>
      </c>
      <c r="E5" s="133" t="s">
        <v>248</v>
      </c>
      <c r="F5" s="133" t="s">
        <v>250</v>
      </c>
      <c r="G5" s="135" t="s">
        <v>252</v>
      </c>
    </row>
    <row r="6" spans="3:10" x14ac:dyDescent="0.25">
      <c r="C6" s="515">
        <v>2</v>
      </c>
      <c r="D6" s="130" t="s">
        <v>91</v>
      </c>
      <c r="E6" s="131" t="s">
        <v>255</v>
      </c>
      <c r="F6" s="131" t="s">
        <v>257</v>
      </c>
      <c r="G6" s="141" t="s">
        <v>259</v>
      </c>
      <c r="H6" s="142"/>
    </row>
    <row r="7" spans="3:10" ht="78.75" x14ac:dyDescent="0.25">
      <c r="C7" s="522"/>
      <c r="D7" s="130" t="s">
        <v>253</v>
      </c>
      <c r="E7" s="131" t="s">
        <v>256</v>
      </c>
      <c r="F7" s="131" t="s">
        <v>258</v>
      </c>
      <c r="G7" s="131" t="s">
        <v>260</v>
      </c>
    </row>
    <row r="8" spans="3:10" ht="16.5" thickBot="1" x14ac:dyDescent="0.3">
      <c r="C8" s="516"/>
      <c r="D8" s="132" t="s">
        <v>254</v>
      </c>
      <c r="E8" s="134"/>
      <c r="F8" s="134"/>
      <c r="G8" s="134"/>
    </row>
    <row r="9" spans="3:10" x14ac:dyDescent="0.25">
      <c r="C9" s="515">
        <v>3</v>
      </c>
      <c r="D9" s="130" t="s">
        <v>261</v>
      </c>
      <c r="E9" s="131" t="s">
        <v>263</v>
      </c>
      <c r="F9" s="131" t="s">
        <v>265</v>
      </c>
      <c r="G9" s="141" t="s">
        <v>267</v>
      </c>
      <c r="H9" s="142"/>
    </row>
    <row r="10" spans="3:10" ht="63.75" thickBot="1" x14ac:dyDescent="0.3">
      <c r="C10" s="516"/>
      <c r="D10" s="132" t="s">
        <v>262</v>
      </c>
      <c r="E10" s="133" t="s">
        <v>264</v>
      </c>
      <c r="F10" s="133" t="s">
        <v>266</v>
      </c>
      <c r="G10" s="133" t="s">
        <v>268</v>
      </c>
    </row>
    <row r="11" spans="3:10" x14ac:dyDescent="0.25">
      <c r="C11" s="515">
        <v>4</v>
      </c>
      <c r="D11" s="136" t="s">
        <v>269</v>
      </c>
      <c r="E11" s="137" t="s">
        <v>271</v>
      </c>
      <c r="F11" s="137" t="s">
        <v>272</v>
      </c>
      <c r="G11" s="143" t="s">
        <v>273</v>
      </c>
      <c r="H11" s="142"/>
    </row>
    <row r="12" spans="3:10" ht="111" thickBot="1" x14ac:dyDescent="0.3">
      <c r="C12" s="516"/>
      <c r="D12" s="132" t="s">
        <v>270</v>
      </c>
      <c r="E12" s="133" t="s">
        <v>287</v>
      </c>
      <c r="F12" s="133" t="s">
        <v>286</v>
      </c>
      <c r="G12" s="133" t="s">
        <v>274</v>
      </c>
    </row>
    <row r="13" spans="3:10" x14ac:dyDescent="0.25">
      <c r="C13" s="522">
        <v>5</v>
      </c>
      <c r="D13" s="130" t="s">
        <v>275</v>
      </c>
      <c r="E13" s="131" t="s">
        <v>255</v>
      </c>
      <c r="F13" s="131" t="s">
        <v>278</v>
      </c>
      <c r="G13" s="141" t="s">
        <v>259</v>
      </c>
      <c r="H13" s="142"/>
    </row>
    <row r="14" spans="3:10" ht="79.5" thickBot="1" x14ac:dyDescent="0.3">
      <c r="C14" s="516"/>
      <c r="D14" s="132" t="s">
        <v>276</v>
      </c>
      <c r="E14" s="133" t="s">
        <v>277</v>
      </c>
      <c r="F14" s="133" t="s">
        <v>279</v>
      </c>
      <c r="G14" s="133" t="s">
        <v>280</v>
      </c>
    </row>
    <row r="15" spans="3:10" x14ac:dyDescent="0.25">
      <c r="C15" s="515">
        <v>6</v>
      </c>
      <c r="D15" s="130" t="s">
        <v>281</v>
      </c>
      <c r="E15" s="131" t="s">
        <v>255</v>
      </c>
      <c r="F15" s="517" t="s">
        <v>284</v>
      </c>
      <c r="G15" s="141" t="s">
        <v>259</v>
      </c>
      <c r="H15" s="142"/>
    </row>
    <row r="16" spans="3:10" ht="79.5" thickBot="1" x14ac:dyDescent="0.3">
      <c r="C16" s="516"/>
      <c r="D16" s="132" t="s">
        <v>282</v>
      </c>
      <c r="E16" s="133" t="s">
        <v>283</v>
      </c>
      <c r="F16" s="518"/>
      <c r="G16" s="133" t="s">
        <v>285</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7"/>
    <col min="3" max="3" width="17" style="87" customWidth="1"/>
    <col min="4" max="4" width="14.28515625" style="87"/>
    <col min="5" max="5" width="46" style="87" customWidth="1"/>
    <col min="6" max="16384" width="14.28515625" style="87"/>
  </cols>
  <sheetData>
    <row r="1" spans="2:6" ht="24" customHeight="1" thickBot="1" x14ac:dyDescent="0.25">
      <c r="B1" s="523" t="s">
        <v>159</v>
      </c>
      <c r="C1" s="524"/>
      <c r="D1" s="524"/>
      <c r="E1" s="524"/>
      <c r="F1" s="525"/>
    </row>
    <row r="2" spans="2:6" ht="16.5" thickBot="1" x14ac:dyDescent="0.3">
      <c r="B2" s="88"/>
      <c r="C2" s="88"/>
      <c r="D2" s="88"/>
      <c r="E2" s="88"/>
      <c r="F2" s="88"/>
    </row>
    <row r="3" spans="2:6" ht="16.5" thickBot="1" x14ac:dyDescent="0.25">
      <c r="B3" s="527" t="s">
        <v>160</v>
      </c>
      <c r="C3" s="528"/>
      <c r="D3" s="528"/>
      <c r="E3" s="100" t="s">
        <v>161</v>
      </c>
      <c r="F3" s="101" t="s">
        <v>162</v>
      </c>
    </row>
    <row r="4" spans="2:6" ht="31.5" x14ac:dyDescent="0.2">
      <c r="B4" s="529" t="s">
        <v>163</v>
      </c>
      <c r="C4" s="531" t="s">
        <v>83</v>
      </c>
      <c r="D4" s="89" t="s">
        <v>164</v>
      </c>
      <c r="E4" s="90" t="s">
        <v>165</v>
      </c>
      <c r="F4" s="91">
        <v>0.25</v>
      </c>
    </row>
    <row r="5" spans="2:6" ht="47.25" x14ac:dyDescent="0.2">
      <c r="B5" s="530"/>
      <c r="C5" s="532"/>
      <c r="D5" s="92" t="s">
        <v>166</v>
      </c>
      <c r="E5" s="93" t="s">
        <v>167</v>
      </c>
      <c r="F5" s="94">
        <v>0.15</v>
      </c>
    </row>
    <row r="6" spans="2:6" ht="47.25" x14ac:dyDescent="0.2">
      <c r="B6" s="530"/>
      <c r="C6" s="532"/>
      <c r="D6" s="92" t="s">
        <v>168</v>
      </c>
      <c r="E6" s="93" t="s">
        <v>169</v>
      </c>
      <c r="F6" s="94">
        <v>0.1</v>
      </c>
    </row>
    <row r="7" spans="2:6" ht="63" x14ac:dyDescent="0.2">
      <c r="B7" s="530"/>
      <c r="C7" s="532" t="s">
        <v>84</v>
      </c>
      <c r="D7" s="92" t="s">
        <v>170</v>
      </c>
      <c r="E7" s="93" t="s">
        <v>171</v>
      </c>
      <c r="F7" s="94">
        <v>0.25</v>
      </c>
    </row>
    <row r="8" spans="2:6" ht="31.5" x14ac:dyDescent="0.2">
      <c r="B8" s="530"/>
      <c r="C8" s="532"/>
      <c r="D8" s="92" t="s">
        <v>172</v>
      </c>
      <c r="E8" s="93" t="s">
        <v>173</v>
      </c>
      <c r="F8" s="94">
        <v>0.15</v>
      </c>
    </row>
    <row r="9" spans="2:6" ht="47.25" x14ac:dyDescent="0.2">
      <c r="B9" s="530" t="s">
        <v>174</v>
      </c>
      <c r="C9" s="532" t="s">
        <v>86</v>
      </c>
      <c r="D9" s="92" t="s">
        <v>175</v>
      </c>
      <c r="E9" s="93" t="s">
        <v>176</v>
      </c>
      <c r="F9" s="95" t="s">
        <v>177</v>
      </c>
    </row>
    <row r="10" spans="2:6" ht="63" x14ac:dyDescent="0.2">
      <c r="B10" s="530"/>
      <c r="C10" s="532"/>
      <c r="D10" s="92" t="s">
        <v>178</v>
      </c>
      <c r="E10" s="93" t="s">
        <v>179</v>
      </c>
      <c r="F10" s="95" t="s">
        <v>177</v>
      </c>
    </row>
    <row r="11" spans="2:6" ht="47.25" x14ac:dyDescent="0.2">
      <c r="B11" s="530"/>
      <c r="C11" s="532" t="s">
        <v>87</v>
      </c>
      <c r="D11" s="92" t="s">
        <v>180</v>
      </c>
      <c r="E11" s="93" t="s">
        <v>181</v>
      </c>
      <c r="F11" s="95" t="s">
        <v>177</v>
      </c>
    </row>
    <row r="12" spans="2:6" ht="47.25" x14ac:dyDescent="0.2">
      <c r="B12" s="530"/>
      <c r="C12" s="532"/>
      <c r="D12" s="92" t="s">
        <v>182</v>
      </c>
      <c r="E12" s="93" t="s">
        <v>183</v>
      </c>
      <c r="F12" s="95" t="s">
        <v>177</v>
      </c>
    </row>
    <row r="13" spans="2:6" ht="31.5" x14ac:dyDescent="0.2">
      <c r="B13" s="530"/>
      <c r="C13" s="532" t="s">
        <v>88</v>
      </c>
      <c r="D13" s="92" t="s">
        <v>184</v>
      </c>
      <c r="E13" s="93" t="s">
        <v>185</v>
      </c>
      <c r="F13" s="95" t="s">
        <v>177</v>
      </c>
    </row>
    <row r="14" spans="2:6" ht="32.25" thickBot="1" x14ac:dyDescent="0.25">
      <c r="B14" s="533"/>
      <c r="C14" s="534"/>
      <c r="D14" s="96" t="s">
        <v>186</v>
      </c>
      <c r="E14" s="97" t="s">
        <v>187</v>
      </c>
      <c r="F14" s="98" t="s">
        <v>177</v>
      </c>
    </row>
    <row r="15" spans="2:6" ht="49.5" customHeight="1" x14ac:dyDescent="0.2">
      <c r="B15" s="526" t="s">
        <v>188</v>
      </c>
      <c r="C15" s="526"/>
      <c r="D15" s="526"/>
      <c r="E15" s="526"/>
      <c r="F15" s="526"/>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A21"/>
  <sheetViews>
    <sheetView workbookViewId="0">
      <selection activeCell="A19" sqref="A19"/>
    </sheetView>
  </sheetViews>
  <sheetFormatPr baseColWidth="10" defaultColWidth="11.42578125" defaultRowHeight="12.75" x14ac:dyDescent="0.2"/>
  <cols>
    <col min="1" max="1" width="32.71093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F29"/>
  <sheetViews>
    <sheetView showGridLines="0" topLeftCell="A10" zoomScale="90" zoomScaleNormal="90" workbookViewId="0">
      <selection activeCell="D33" sqref="D33"/>
    </sheetView>
  </sheetViews>
  <sheetFormatPr baseColWidth="10" defaultRowHeight="15" x14ac:dyDescent="0.25"/>
  <cols>
    <col min="2" max="2" width="11.42578125" customWidth="1"/>
    <col min="3" max="3" width="89.5703125" customWidth="1"/>
    <col min="4" max="4" width="99.5703125" customWidth="1"/>
    <col min="6" max="6" width="40.7109375" customWidth="1"/>
  </cols>
  <sheetData>
    <row r="4" spans="2:6" ht="52.5" customHeight="1" x14ac:dyDescent="0.25">
      <c r="B4" s="256" t="s">
        <v>211</v>
      </c>
      <c r="C4" s="256"/>
      <c r="D4" s="256"/>
    </row>
    <row r="5" spans="2:6" ht="6.75" customHeight="1" x14ac:dyDescent="0.25">
      <c r="D5" s="125"/>
    </row>
    <row r="6" spans="2:6" ht="15.75" x14ac:dyDescent="0.25">
      <c r="B6" s="257" t="s">
        <v>212</v>
      </c>
      <c r="C6" s="126" t="s">
        <v>213</v>
      </c>
      <c r="D6" s="126" t="s">
        <v>214</v>
      </c>
    </row>
    <row r="7" spans="2:6" ht="66" x14ac:dyDescent="0.25">
      <c r="B7" s="258"/>
      <c r="C7" s="215" t="s">
        <v>412</v>
      </c>
      <c r="D7" s="215" t="s">
        <v>413</v>
      </c>
    </row>
    <row r="8" spans="2:6" ht="33" x14ac:dyDescent="0.25">
      <c r="B8" s="258"/>
      <c r="C8" s="215" t="s">
        <v>409</v>
      </c>
      <c r="D8" s="215" t="s">
        <v>418</v>
      </c>
    </row>
    <row r="9" spans="2:6" ht="33" x14ac:dyDescent="0.25">
      <c r="B9" s="258"/>
      <c r="C9" s="215" t="s">
        <v>410</v>
      </c>
      <c r="D9" s="215" t="s">
        <v>419</v>
      </c>
    </row>
    <row r="10" spans="2:6" ht="33" x14ac:dyDescent="0.25">
      <c r="B10" s="258"/>
      <c r="C10" s="215" t="s">
        <v>411</v>
      </c>
      <c r="D10" s="215" t="s">
        <v>420</v>
      </c>
      <c r="F10" s="260"/>
    </row>
    <row r="11" spans="2:6" ht="33" x14ac:dyDescent="0.25">
      <c r="B11" s="258"/>
      <c r="C11" s="215" t="s">
        <v>414</v>
      </c>
      <c r="D11" s="215" t="s">
        <v>421</v>
      </c>
      <c r="F11" s="260"/>
    </row>
    <row r="12" spans="2:6" ht="33" x14ac:dyDescent="0.25">
      <c r="B12" s="258"/>
      <c r="C12" s="215" t="s">
        <v>429</v>
      </c>
      <c r="D12" s="215" t="s">
        <v>422</v>
      </c>
      <c r="F12" s="260"/>
    </row>
    <row r="13" spans="2:6" ht="33" x14ac:dyDescent="0.25">
      <c r="B13" s="258"/>
      <c r="C13" s="215" t="s">
        <v>415</v>
      </c>
      <c r="D13" s="215" t="s">
        <v>426</v>
      </c>
      <c r="F13" s="260"/>
    </row>
    <row r="14" spans="2:6" ht="33" x14ac:dyDescent="0.25">
      <c r="B14" s="258"/>
      <c r="C14" s="215" t="s">
        <v>430</v>
      </c>
      <c r="D14" s="215" t="s">
        <v>439</v>
      </c>
      <c r="F14" s="260"/>
    </row>
    <row r="15" spans="2:6" ht="49.5" x14ac:dyDescent="0.25">
      <c r="B15" s="258"/>
      <c r="C15" s="215" t="s">
        <v>431</v>
      </c>
      <c r="D15" s="215" t="s">
        <v>440</v>
      </c>
      <c r="F15" s="260"/>
    </row>
    <row r="16" spans="2:6" ht="33" x14ac:dyDescent="0.25">
      <c r="B16" s="258"/>
      <c r="C16" s="215" t="s">
        <v>417</v>
      </c>
      <c r="D16" s="215" t="s">
        <v>441</v>
      </c>
      <c r="F16" s="216"/>
    </row>
    <row r="17" spans="2:6" ht="33" x14ac:dyDescent="0.25">
      <c r="B17" s="258"/>
      <c r="C17" s="215" t="s">
        <v>416</v>
      </c>
      <c r="D17" s="215" t="s">
        <v>442</v>
      </c>
    </row>
    <row r="18" spans="2:6" ht="49.5" customHeight="1" x14ac:dyDescent="0.25">
      <c r="B18" s="258"/>
      <c r="C18" s="535" t="s">
        <v>433</v>
      </c>
      <c r="D18" s="215" t="s">
        <v>443</v>
      </c>
    </row>
    <row r="19" spans="2:6" ht="16.5" x14ac:dyDescent="0.25">
      <c r="B19" s="259"/>
      <c r="C19" s="536"/>
      <c r="D19" s="215" t="s">
        <v>444</v>
      </c>
    </row>
    <row r="20" spans="2:6" ht="16.5" x14ac:dyDescent="0.25">
      <c r="B20" s="259"/>
      <c r="C20" s="536"/>
      <c r="D20" s="215" t="s">
        <v>445</v>
      </c>
    </row>
    <row r="21" spans="2:6" ht="33" x14ac:dyDescent="0.25">
      <c r="B21" s="259"/>
      <c r="C21" s="537"/>
      <c r="D21" s="215" t="s">
        <v>446</v>
      </c>
    </row>
    <row r="22" spans="2:6" ht="15.75" x14ac:dyDescent="0.25">
      <c r="B22" s="257" t="s">
        <v>215</v>
      </c>
      <c r="C22" s="126" t="s">
        <v>216</v>
      </c>
      <c r="D22" s="126" t="s">
        <v>217</v>
      </c>
    </row>
    <row r="23" spans="2:6" ht="66" x14ac:dyDescent="0.25">
      <c r="B23" s="259"/>
      <c r="C23" s="215" t="s">
        <v>423</v>
      </c>
      <c r="D23" s="215" t="s">
        <v>427</v>
      </c>
      <c r="F23" s="260"/>
    </row>
    <row r="24" spans="2:6" ht="33" x14ac:dyDescent="0.25">
      <c r="B24" s="259"/>
      <c r="C24" s="215" t="s">
        <v>424</v>
      </c>
      <c r="D24" s="215" t="s">
        <v>432</v>
      </c>
      <c r="F24" s="260"/>
    </row>
    <row r="25" spans="2:6" ht="34.5" customHeight="1" x14ac:dyDescent="0.25">
      <c r="B25" s="259"/>
      <c r="C25" s="215" t="s">
        <v>428</v>
      </c>
      <c r="D25" s="215" t="s">
        <v>434</v>
      </c>
      <c r="F25" s="260"/>
    </row>
    <row r="26" spans="2:6" ht="33" x14ac:dyDescent="0.25">
      <c r="B26" s="259"/>
      <c r="C26" s="215" t="s">
        <v>425</v>
      </c>
      <c r="D26" s="215" t="s">
        <v>435</v>
      </c>
      <c r="F26" s="260"/>
    </row>
    <row r="27" spans="2:6" ht="16.5" x14ac:dyDescent="0.25">
      <c r="B27" s="259"/>
      <c r="C27" s="215" t="s">
        <v>437</v>
      </c>
      <c r="D27" s="535" t="s">
        <v>436</v>
      </c>
      <c r="F27" s="260"/>
    </row>
    <row r="28" spans="2:6" ht="49.5" x14ac:dyDescent="0.25">
      <c r="B28" s="259"/>
      <c r="C28" s="215" t="s">
        <v>438</v>
      </c>
      <c r="D28" s="537"/>
      <c r="F28" s="260"/>
    </row>
    <row r="29" spans="2:6" x14ac:dyDescent="0.25">
      <c r="F29" s="260"/>
    </row>
  </sheetData>
  <mergeCells count="7">
    <mergeCell ref="B4:D4"/>
    <mergeCell ref="B6:B21"/>
    <mergeCell ref="B22:B28"/>
    <mergeCell ref="F10:F15"/>
    <mergeCell ref="F23:F29"/>
    <mergeCell ref="C18:C21"/>
    <mergeCell ref="D27:D2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P58"/>
  <sheetViews>
    <sheetView showGridLines="0" tabSelected="1" topLeftCell="A19" zoomScale="90" zoomScaleNormal="90" workbookViewId="0">
      <selection activeCell="C25" sqref="C25:N25"/>
    </sheetView>
  </sheetViews>
  <sheetFormatPr baseColWidth="10" defaultColWidth="11.42578125" defaultRowHeight="16.5" x14ac:dyDescent="0.3"/>
  <cols>
    <col min="1" max="1" width="4" style="2" bestFit="1" customWidth="1"/>
    <col min="2" max="2" width="14.28515625" style="2" customWidth="1"/>
    <col min="3" max="3" width="36.7109375" style="2" customWidth="1"/>
    <col min="4" max="4" width="32" style="2" customWidth="1"/>
    <col min="5" max="5" width="42.7109375" style="1" customWidth="1"/>
    <col min="6" max="6" width="19" style="5" customWidth="1"/>
    <col min="7" max="7" width="17.71093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66.28515625" style="1" customWidth="1"/>
    <col min="17" max="17" width="15.28515625" style="1" bestFit="1" customWidth="1"/>
    <col min="18" max="18" width="6.7109375" style="1" customWidth="1"/>
    <col min="19" max="19" width="12" style="1" customWidth="1"/>
    <col min="20" max="20" width="5.42578125" style="1" customWidth="1"/>
    <col min="21" max="21" width="7.28515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8" width="9.28515625" style="1" customWidth="1"/>
    <col min="29" max="29" width="8.42578125" style="1" customWidth="1"/>
    <col min="30" max="30" width="7.28515625" style="1" customWidth="1"/>
    <col min="31" max="31" width="23" style="1" customWidth="1"/>
    <col min="32" max="32" width="18.7109375" style="1" customWidth="1"/>
    <col min="33" max="33" width="27.7109375" style="1" customWidth="1"/>
    <col min="34" max="34" width="14.7109375" style="1" customWidth="1"/>
    <col min="35" max="35" width="18.42578125" style="1" customWidth="1"/>
    <col min="36" max="36" width="21" style="1" customWidth="1"/>
    <col min="37" max="16384" width="11.42578125" style="1"/>
  </cols>
  <sheetData>
    <row r="1" spans="1:52" ht="37.15" customHeight="1" x14ac:dyDescent="0.3">
      <c r="A1" s="344" t="s">
        <v>229</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155" t="s">
        <v>219</v>
      </c>
      <c r="AG1" s="156" t="s">
        <v>220</v>
      </c>
      <c r="AH1" s="157"/>
      <c r="AI1" s="157"/>
      <c r="AJ1" s="157"/>
      <c r="AK1" s="157"/>
      <c r="AL1" s="158"/>
      <c r="AM1" s="158"/>
      <c r="AN1" s="158"/>
      <c r="AO1" s="158"/>
      <c r="AP1" s="159"/>
      <c r="AQ1" s="159"/>
      <c r="AR1" s="159"/>
      <c r="AS1" s="159"/>
      <c r="AT1" s="159"/>
      <c r="AU1" s="159"/>
      <c r="AV1" s="159"/>
      <c r="AW1" s="159"/>
      <c r="AX1" s="159"/>
      <c r="AY1" s="159"/>
      <c r="AZ1" s="159"/>
    </row>
    <row r="2" spans="1:52" x14ac:dyDescent="0.3">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155" t="s">
        <v>221</v>
      </c>
      <c r="AG2" s="156">
        <v>6</v>
      </c>
      <c r="AH2" s="160"/>
      <c r="AI2" s="161"/>
      <c r="AJ2" s="161"/>
      <c r="AK2" s="162"/>
      <c r="AL2" s="161"/>
      <c r="AM2" s="161"/>
      <c r="AN2" s="159"/>
      <c r="AO2" s="163"/>
      <c r="AP2" s="159"/>
      <c r="AQ2" s="159"/>
      <c r="AR2" s="159"/>
      <c r="AS2" s="159"/>
      <c r="AT2" s="159"/>
      <c r="AU2" s="159"/>
      <c r="AV2" s="159"/>
      <c r="AW2" s="159"/>
      <c r="AX2" s="159"/>
      <c r="AY2" s="159"/>
      <c r="AZ2" s="159"/>
    </row>
    <row r="3" spans="1:52" x14ac:dyDescent="0.3">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155" t="s">
        <v>222</v>
      </c>
      <c r="AG3" s="164" t="s">
        <v>288</v>
      </c>
      <c r="AH3" s="160"/>
      <c r="AI3" s="161"/>
      <c r="AJ3" s="161"/>
      <c r="AK3" s="162"/>
      <c r="AL3" s="161"/>
      <c r="AM3" s="161"/>
      <c r="AN3" s="159"/>
      <c r="AO3" s="163"/>
      <c r="AP3" s="159"/>
      <c r="AQ3" s="159"/>
      <c r="AR3" s="159"/>
      <c r="AS3" s="159"/>
      <c r="AT3" s="159"/>
      <c r="AU3" s="159"/>
      <c r="AV3" s="159"/>
      <c r="AW3" s="159"/>
      <c r="AX3" s="159"/>
      <c r="AY3" s="159"/>
      <c r="AZ3" s="159"/>
    </row>
    <row r="4" spans="1:52" ht="16.149999999999999" customHeight="1" x14ac:dyDescent="0.3">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165" t="s">
        <v>223</v>
      </c>
      <c r="AG4" s="166">
        <v>241903</v>
      </c>
      <c r="AH4" s="160"/>
      <c r="AI4" s="161"/>
      <c r="AJ4" s="161"/>
      <c r="AK4" s="162"/>
      <c r="AL4" s="161"/>
      <c r="AM4" s="161"/>
      <c r="AN4" s="159"/>
      <c r="AO4" s="163"/>
      <c r="AP4" s="159"/>
      <c r="AQ4" s="159"/>
      <c r="AR4" s="159"/>
      <c r="AS4" s="159"/>
      <c r="AT4" s="159"/>
      <c r="AU4" s="159"/>
      <c r="AV4" s="159"/>
      <c r="AW4" s="159"/>
      <c r="AX4" s="159"/>
      <c r="AY4" s="159"/>
      <c r="AZ4" s="159"/>
    </row>
    <row r="5" spans="1:52" ht="24" customHeight="1" x14ac:dyDescent="0.3">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H5" s="160"/>
      <c r="AI5" s="161"/>
      <c r="AJ5" s="161"/>
      <c r="AK5" s="162"/>
      <c r="AL5" s="161"/>
      <c r="AM5" s="161"/>
      <c r="AN5" s="159"/>
      <c r="AO5" s="163"/>
      <c r="AP5" s="159"/>
      <c r="AQ5" s="159"/>
      <c r="AR5" s="159"/>
      <c r="AS5" s="159"/>
      <c r="AT5" s="159"/>
      <c r="AU5" s="159"/>
      <c r="AV5" s="159"/>
      <c r="AW5" s="159"/>
      <c r="AX5" s="159"/>
      <c r="AY5" s="159"/>
      <c r="AZ5" s="159"/>
    </row>
    <row r="6" spans="1:52" x14ac:dyDescent="0.3">
      <c r="A6" s="167"/>
      <c r="B6" s="167"/>
      <c r="C6" s="168"/>
      <c r="D6" s="169"/>
      <c r="E6" s="169"/>
      <c r="F6" s="169"/>
      <c r="G6" s="169"/>
      <c r="H6" s="169"/>
      <c r="I6" s="169"/>
      <c r="J6" s="169"/>
      <c r="K6" s="170"/>
      <c r="L6" s="169"/>
      <c r="M6" s="159"/>
      <c r="N6" s="159"/>
      <c r="O6" s="159"/>
      <c r="P6" s="169"/>
      <c r="Q6" s="167"/>
      <c r="R6" s="167"/>
      <c r="S6" s="167"/>
      <c r="T6" s="171"/>
      <c r="U6" s="171"/>
      <c r="V6" s="171"/>
      <c r="W6" s="171"/>
      <c r="X6" s="171"/>
      <c r="Y6" s="171"/>
      <c r="Z6" s="171"/>
      <c r="AA6" s="172"/>
      <c r="AB6" s="172"/>
      <c r="AC6" s="172"/>
      <c r="AD6" s="172"/>
      <c r="AE6" s="172"/>
      <c r="AH6" s="173"/>
      <c r="AI6" s="174"/>
      <c r="AJ6" s="174"/>
      <c r="AK6" s="174"/>
      <c r="AL6" s="174"/>
      <c r="AM6" s="174"/>
      <c r="AN6" s="175"/>
      <c r="AO6" s="175"/>
      <c r="AP6" s="175"/>
      <c r="AQ6" s="175"/>
      <c r="AR6" s="172"/>
      <c r="AS6" s="172"/>
      <c r="AT6" s="172"/>
      <c r="AU6" s="172"/>
      <c r="AV6" s="172"/>
      <c r="AW6" s="172"/>
      <c r="AX6" s="172"/>
      <c r="AY6" s="172"/>
      <c r="AZ6" s="172"/>
    </row>
    <row r="7" spans="1:52" ht="28.15" customHeight="1" x14ac:dyDescent="0.3">
      <c r="A7" s="176"/>
      <c r="B7" s="176"/>
      <c r="C7" s="159"/>
      <c r="D7" s="159"/>
      <c r="E7" s="159"/>
      <c r="F7" s="159"/>
      <c r="G7" s="159"/>
      <c r="H7" s="159"/>
      <c r="I7" s="159"/>
      <c r="J7" s="159"/>
      <c r="L7" s="159"/>
      <c r="M7" s="159"/>
      <c r="N7" s="348" t="s">
        <v>224</v>
      </c>
      <c r="O7" s="348"/>
      <c r="P7" s="348"/>
      <c r="Q7" s="348"/>
      <c r="R7" s="348"/>
      <c r="S7" s="348"/>
      <c r="T7" s="155"/>
      <c r="U7" s="155"/>
      <c r="V7" s="155"/>
      <c r="W7" s="155"/>
      <c r="X7" s="155"/>
      <c r="Y7" s="155"/>
      <c r="Z7" s="155"/>
      <c r="AA7" s="177"/>
      <c r="AB7" s="177"/>
      <c r="AC7" s="177"/>
      <c r="AD7" s="177"/>
      <c r="AE7" s="177"/>
      <c r="AF7" s="177"/>
      <c r="AG7" s="177"/>
      <c r="AH7" s="160"/>
      <c r="AI7" s="161"/>
      <c r="AJ7" s="161"/>
      <c r="AK7" s="161"/>
      <c r="AL7" s="161"/>
      <c r="AM7" s="161"/>
      <c r="AN7" s="178">
        <v>0</v>
      </c>
      <c r="AO7" s="179"/>
      <c r="AP7" s="178"/>
      <c r="AQ7" s="178"/>
      <c r="AR7" s="159"/>
      <c r="AS7" s="159"/>
      <c r="AT7" s="159"/>
      <c r="AU7" s="159"/>
      <c r="AV7" s="159"/>
      <c r="AW7" s="159"/>
      <c r="AX7" s="159"/>
      <c r="AY7" s="159"/>
      <c r="AZ7" s="159"/>
    </row>
    <row r="8" spans="1:52" ht="16.5" customHeight="1" x14ac:dyDescent="0.3">
      <c r="A8" s="176"/>
      <c r="B8" s="176"/>
      <c r="C8" s="159"/>
      <c r="D8" s="159"/>
      <c r="E8" s="159"/>
      <c r="F8" s="159"/>
      <c r="G8" s="159"/>
      <c r="H8" s="159"/>
      <c r="I8" s="159"/>
      <c r="J8" s="159"/>
      <c r="L8" s="159"/>
      <c r="M8" s="159"/>
      <c r="N8" s="180" t="s">
        <v>225</v>
      </c>
      <c r="O8" s="180" t="s">
        <v>226</v>
      </c>
      <c r="P8" s="354" t="s">
        <v>227</v>
      </c>
      <c r="Q8" s="355"/>
      <c r="R8" s="355"/>
      <c r="S8" s="355"/>
      <c r="T8" s="355"/>
      <c r="U8" s="355"/>
      <c r="V8" s="155"/>
      <c r="W8" s="155"/>
      <c r="X8" s="155"/>
      <c r="Y8" s="155"/>
      <c r="Z8" s="155"/>
      <c r="AA8" s="177"/>
      <c r="AB8" s="177"/>
      <c r="AC8" s="177"/>
      <c r="AD8" s="177"/>
      <c r="AE8" s="177"/>
      <c r="AF8" s="177"/>
      <c r="AG8" s="177"/>
      <c r="AH8" s="160"/>
      <c r="AI8" s="161"/>
      <c r="AJ8" s="161"/>
      <c r="AK8" s="161"/>
      <c r="AL8" s="161"/>
      <c r="AM8" s="161"/>
      <c r="AN8" s="178">
        <v>0</v>
      </c>
      <c r="AO8" s="179"/>
      <c r="AP8" s="178"/>
      <c r="AQ8" s="178"/>
      <c r="AR8" s="159"/>
      <c r="AS8" s="159"/>
      <c r="AT8" s="159"/>
      <c r="AU8" s="159"/>
      <c r="AV8" s="159"/>
      <c r="AW8" s="159"/>
      <c r="AX8" s="159"/>
      <c r="AY8" s="159"/>
      <c r="AZ8" s="159"/>
    </row>
    <row r="9" spans="1:52" x14ac:dyDescent="0.3">
      <c r="A9" s="176"/>
      <c r="B9" s="176"/>
      <c r="C9" s="159"/>
      <c r="D9" s="159"/>
      <c r="E9" s="159"/>
      <c r="F9" s="159"/>
      <c r="G9" s="159"/>
      <c r="H9" s="159"/>
      <c r="I9" s="159"/>
      <c r="J9" s="159"/>
      <c r="L9" s="159"/>
      <c r="M9" s="159"/>
      <c r="N9" s="211">
        <v>1</v>
      </c>
      <c r="O9" s="211" t="s">
        <v>398</v>
      </c>
      <c r="P9" s="350" t="s">
        <v>293</v>
      </c>
      <c r="Q9" s="351"/>
      <c r="R9" s="351"/>
      <c r="S9" s="351"/>
      <c r="T9" s="351"/>
      <c r="U9" s="352"/>
      <c r="V9" s="155"/>
      <c r="W9" s="349"/>
      <c r="X9" s="349"/>
      <c r="Y9" s="349"/>
      <c r="Z9" s="349"/>
      <c r="AA9" s="349"/>
      <c r="AB9" s="349"/>
      <c r="AC9" s="181"/>
      <c r="AD9" s="181"/>
      <c r="AE9" s="181"/>
      <c r="AF9" s="159"/>
      <c r="AG9" s="159"/>
      <c r="AH9" s="160"/>
      <c r="AI9" s="161"/>
      <c r="AJ9" s="161"/>
      <c r="AK9" s="161"/>
      <c r="AL9" s="161"/>
      <c r="AM9" s="161"/>
      <c r="AN9" s="178">
        <v>0</v>
      </c>
      <c r="AO9" s="179"/>
      <c r="AP9" s="178"/>
      <c r="AQ9" s="178"/>
      <c r="AR9" s="159"/>
      <c r="AS9" s="159"/>
      <c r="AT9" s="159"/>
      <c r="AU9" s="159"/>
      <c r="AV9" s="159"/>
      <c r="AW9" s="159"/>
      <c r="AX9" s="159"/>
      <c r="AY9" s="159"/>
      <c r="AZ9" s="159"/>
    </row>
    <row r="10" spans="1:52" ht="38.25" customHeight="1" x14ac:dyDescent="0.3">
      <c r="A10" s="176"/>
      <c r="B10" s="176"/>
      <c r="C10" s="159"/>
      <c r="D10" s="159"/>
      <c r="E10" s="159"/>
      <c r="F10" s="159"/>
      <c r="G10" s="159"/>
      <c r="H10" s="159"/>
      <c r="I10" s="159"/>
      <c r="J10" s="159"/>
      <c r="L10" s="159"/>
      <c r="M10" s="159"/>
      <c r="N10" s="211">
        <v>2</v>
      </c>
      <c r="O10" s="211" t="s">
        <v>399</v>
      </c>
      <c r="P10" s="350" t="s">
        <v>294</v>
      </c>
      <c r="Q10" s="351"/>
      <c r="R10" s="351"/>
      <c r="S10" s="351"/>
      <c r="T10" s="351"/>
      <c r="U10" s="352"/>
      <c r="V10" s="155"/>
      <c r="W10" s="181"/>
      <c r="X10" s="181"/>
      <c r="Y10" s="181"/>
      <c r="Z10" s="181"/>
      <c r="AA10" s="181"/>
      <c r="AB10" s="181"/>
      <c r="AC10" s="181"/>
      <c r="AD10" s="181"/>
      <c r="AE10" s="181"/>
      <c r="AF10" s="159"/>
      <c r="AG10" s="159"/>
      <c r="AH10" s="160"/>
      <c r="AI10" s="161"/>
      <c r="AJ10" s="161"/>
      <c r="AK10" s="161"/>
      <c r="AL10" s="161"/>
      <c r="AM10" s="161"/>
      <c r="AN10" s="178"/>
      <c r="AO10" s="179"/>
      <c r="AP10" s="178"/>
      <c r="AQ10" s="178"/>
      <c r="AR10" s="159"/>
      <c r="AS10" s="159"/>
      <c r="AT10" s="159"/>
      <c r="AU10" s="159"/>
      <c r="AV10" s="159"/>
      <c r="AW10" s="159"/>
      <c r="AX10" s="159"/>
      <c r="AY10" s="159"/>
      <c r="AZ10" s="159"/>
    </row>
    <row r="11" spans="1:52" ht="90.75" customHeight="1" x14ac:dyDescent="0.3">
      <c r="A11" s="176"/>
      <c r="B11" s="176"/>
      <c r="C11" s="159"/>
      <c r="D11" s="159"/>
      <c r="E11" s="159"/>
      <c r="F11" s="159"/>
      <c r="G11" s="159"/>
      <c r="H11" s="159"/>
      <c r="I11" s="159"/>
      <c r="J11" s="159"/>
      <c r="L11" s="159"/>
      <c r="M11" s="159"/>
      <c r="N11" s="211">
        <v>3</v>
      </c>
      <c r="O11" s="211" t="s">
        <v>400</v>
      </c>
      <c r="P11" s="350" t="s">
        <v>295</v>
      </c>
      <c r="Q11" s="351"/>
      <c r="R11" s="351"/>
      <c r="S11" s="351"/>
      <c r="T11" s="351"/>
      <c r="U11" s="352"/>
      <c r="V11" s="155"/>
      <c r="W11" s="181"/>
      <c r="X11" s="181"/>
      <c r="Y11" s="181"/>
      <c r="Z11" s="181"/>
      <c r="AA11" s="181"/>
      <c r="AB11" s="181"/>
      <c r="AC11" s="181"/>
      <c r="AD11" s="181"/>
      <c r="AE11" s="181"/>
      <c r="AF11" s="159"/>
      <c r="AG11" s="159"/>
      <c r="AH11" s="160"/>
      <c r="AI11" s="161"/>
      <c r="AJ11" s="161"/>
      <c r="AK11" s="161"/>
      <c r="AL11" s="161"/>
      <c r="AM11" s="161"/>
      <c r="AN11" s="178"/>
      <c r="AO11" s="179"/>
      <c r="AP11" s="178"/>
      <c r="AQ11" s="178"/>
      <c r="AR11" s="159"/>
      <c r="AS11" s="159"/>
      <c r="AT11" s="159"/>
      <c r="AU11" s="159"/>
      <c r="AV11" s="159"/>
      <c r="AW11" s="159"/>
      <c r="AX11" s="159"/>
      <c r="AY11" s="159"/>
      <c r="AZ11" s="159"/>
    </row>
    <row r="12" spans="1:52" ht="137.25" customHeight="1" x14ac:dyDescent="0.3">
      <c r="A12" s="176"/>
      <c r="B12" s="176"/>
      <c r="C12" s="159"/>
      <c r="D12" s="159"/>
      <c r="E12" s="159"/>
      <c r="F12" s="159"/>
      <c r="G12" s="159"/>
      <c r="H12" s="159"/>
      <c r="I12" s="159"/>
      <c r="J12" s="159"/>
      <c r="L12" s="159"/>
      <c r="M12" s="159"/>
      <c r="N12" s="211">
        <v>4</v>
      </c>
      <c r="O12" s="211" t="s">
        <v>401</v>
      </c>
      <c r="P12" s="350" t="s">
        <v>296</v>
      </c>
      <c r="Q12" s="351"/>
      <c r="R12" s="351"/>
      <c r="S12" s="351"/>
      <c r="T12" s="351"/>
      <c r="U12" s="352"/>
      <c r="V12" s="155"/>
      <c r="W12" s="181"/>
      <c r="X12" s="181"/>
      <c r="Y12" s="181"/>
      <c r="Z12" s="181"/>
      <c r="AA12" s="181"/>
      <c r="AB12" s="181"/>
      <c r="AC12" s="181"/>
      <c r="AD12" s="181"/>
      <c r="AE12" s="181"/>
      <c r="AF12" s="159"/>
      <c r="AG12" s="159"/>
      <c r="AH12" s="160"/>
      <c r="AI12" s="161"/>
      <c r="AJ12" s="161"/>
      <c r="AK12" s="161"/>
      <c r="AL12" s="161"/>
      <c r="AM12" s="161"/>
      <c r="AN12" s="178"/>
      <c r="AO12" s="179"/>
      <c r="AP12" s="178"/>
      <c r="AQ12" s="178"/>
      <c r="AR12" s="159"/>
      <c r="AS12" s="159"/>
      <c r="AT12" s="159"/>
      <c r="AU12" s="159"/>
      <c r="AV12" s="159"/>
      <c r="AW12" s="159"/>
      <c r="AX12" s="159"/>
      <c r="AY12" s="159"/>
      <c r="AZ12" s="159"/>
    </row>
    <row r="13" spans="1:52" ht="128.25" customHeight="1" x14ac:dyDescent="0.3">
      <c r="A13" s="176"/>
      <c r="B13" s="176"/>
      <c r="C13" s="159"/>
      <c r="D13" s="159"/>
      <c r="E13" s="159"/>
      <c r="F13" s="159"/>
      <c r="G13" s="159"/>
      <c r="H13" s="159"/>
      <c r="I13" s="159"/>
      <c r="J13" s="159"/>
      <c r="L13" s="159"/>
      <c r="M13" s="159"/>
      <c r="N13" s="211">
        <v>1</v>
      </c>
      <c r="O13" s="211" t="s">
        <v>402</v>
      </c>
      <c r="P13" s="350" t="s">
        <v>297</v>
      </c>
      <c r="Q13" s="351"/>
      <c r="R13" s="351"/>
      <c r="S13" s="351"/>
      <c r="T13" s="351"/>
      <c r="U13" s="352"/>
      <c r="V13" s="155"/>
      <c r="W13" s="181"/>
      <c r="X13" s="181"/>
      <c r="Y13" s="181"/>
      <c r="Z13" s="181"/>
      <c r="AA13" s="181"/>
      <c r="AB13" s="181"/>
      <c r="AC13" s="181"/>
      <c r="AD13" s="181"/>
      <c r="AE13" s="181"/>
      <c r="AF13" s="159"/>
      <c r="AG13" s="159"/>
      <c r="AH13" s="160"/>
      <c r="AI13" s="161"/>
      <c r="AJ13" s="161"/>
      <c r="AK13" s="161"/>
      <c r="AL13" s="161"/>
      <c r="AM13" s="161"/>
      <c r="AN13" s="178"/>
      <c r="AO13" s="179"/>
      <c r="AP13" s="178"/>
      <c r="AQ13" s="178"/>
      <c r="AR13" s="159"/>
      <c r="AS13" s="159"/>
      <c r="AT13" s="159"/>
      <c r="AU13" s="159"/>
      <c r="AV13" s="159"/>
      <c r="AW13" s="159"/>
      <c r="AX13" s="159"/>
      <c r="AY13" s="159"/>
      <c r="AZ13" s="159"/>
    </row>
    <row r="14" spans="1:52" ht="166.5" customHeight="1" x14ac:dyDescent="0.3">
      <c r="A14" s="176"/>
      <c r="B14" s="176"/>
      <c r="C14" s="159"/>
      <c r="D14" s="159"/>
      <c r="E14" s="159"/>
      <c r="F14" s="159"/>
      <c r="G14" s="159"/>
      <c r="H14" s="159"/>
      <c r="I14" s="159"/>
      <c r="J14" s="159"/>
      <c r="L14" s="159"/>
      <c r="M14" s="159"/>
      <c r="N14" s="211">
        <v>2</v>
      </c>
      <c r="O14" s="212">
        <v>43782</v>
      </c>
      <c r="P14" s="350" t="s">
        <v>298</v>
      </c>
      <c r="Q14" s="351"/>
      <c r="R14" s="351"/>
      <c r="S14" s="351"/>
      <c r="T14" s="351"/>
      <c r="U14" s="352"/>
      <c r="V14" s="155"/>
      <c r="W14" s="181"/>
      <c r="X14" s="181"/>
      <c r="Y14" s="181"/>
      <c r="Z14" s="181"/>
      <c r="AA14" s="181"/>
      <c r="AB14" s="181"/>
      <c r="AC14" s="181"/>
      <c r="AD14" s="181"/>
      <c r="AE14" s="181"/>
      <c r="AF14" s="159"/>
      <c r="AG14" s="159"/>
      <c r="AH14" s="160"/>
      <c r="AI14" s="161"/>
      <c r="AJ14" s="161"/>
      <c r="AK14" s="161"/>
      <c r="AL14" s="161"/>
      <c r="AM14" s="161"/>
      <c r="AN14" s="178"/>
      <c r="AO14" s="179"/>
      <c r="AP14" s="178"/>
      <c r="AQ14" s="178"/>
      <c r="AR14" s="159"/>
      <c r="AS14" s="159"/>
      <c r="AT14" s="159"/>
      <c r="AU14" s="159"/>
      <c r="AV14" s="159"/>
      <c r="AW14" s="159"/>
      <c r="AX14" s="159"/>
      <c r="AY14" s="159"/>
      <c r="AZ14" s="159"/>
    </row>
    <row r="15" spans="1:52" ht="166.5" customHeight="1" x14ac:dyDescent="0.3">
      <c r="A15" s="176"/>
      <c r="B15" s="176"/>
      <c r="C15" s="159"/>
      <c r="D15" s="159"/>
      <c r="E15" s="159"/>
      <c r="F15" s="159"/>
      <c r="G15" s="159"/>
      <c r="H15" s="159"/>
      <c r="I15" s="159"/>
      <c r="J15" s="159"/>
      <c r="L15" s="159"/>
      <c r="M15" s="159"/>
      <c r="N15" s="211">
        <v>3</v>
      </c>
      <c r="O15" s="213">
        <v>44298</v>
      </c>
      <c r="P15" s="350" t="s">
        <v>397</v>
      </c>
      <c r="Q15" s="351"/>
      <c r="R15" s="351"/>
      <c r="S15" s="351"/>
      <c r="T15" s="351"/>
      <c r="U15" s="352"/>
      <c r="V15" s="155"/>
      <c r="W15" s="181"/>
      <c r="X15" s="181"/>
      <c r="Y15" s="181"/>
      <c r="Z15" s="181"/>
      <c r="AA15" s="181"/>
      <c r="AB15" s="181"/>
      <c r="AC15" s="181"/>
      <c r="AD15" s="181"/>
      <c r="AE15" s="181"/>
      <c r="AF15" s="159"/>
      <c r="AG15" s="159"/>
      <c r="AH15" s="160"/>
      <c r="AI15" s="161"/>
      <c r="AJ15" s="161"/>
      <c r="AK15" s="161"/>
      <c r="AL15" s="161"/>
      <c r="AM15" s="161"/>
      <c r="AN15" s="178"/>
      <c r="AO15" s="179"/>
      <c r="AP15" s="178"/>
      <c r="AQ15" s="178"/>
      <c r="AR15" s="159"/>
      <c r="AS15" s="159"/>
      <c r="AT15" s="159"/>
      <c r="AU15" s="159"/>
      <c r="AV15" s="159"/>
      <c r="AW15" s="159"/>
      <c r="AX15" s="159"/>
      <c r="AY15" s="159"/>
      <c r="AZ15" s="159"/>
    </row>
    <row r="16" spans="1:52" ht="141" customHeight="1" x14ac:dyDescent="0.3">
      <c r="A16" s="176"/>
      <c r="B16" s="176"/>
      <c r="C16" s="159"/>
      <c r="D16" s="159"/>
      <c r="E16" s="159"/>
      <c r="F16" s="159"/>
      <c r="G16" s="159"/>
      <c r="H16" s="159"/>
      <c r="I16" s="159"/>
      <c r="J16" s="159"/>
      <c r="L16" s="155"/>
      <c r="M16" s="155"/>
      <c r="N16" s="211">
        <v>4</v>
      </c>
      <c r="O16" s="213">
        <v>44602</v>
      </c>
      <c r="P16" s="350" t="s">
        <v>407</v>
      </c>
      <c r="Q16" s="351"/>
      <c r="R16" s="351"/>
      <c r="S16" s="351"/>
      <c r="T16" s="351"/>
      <c r="U16" s="352"/>
      <c r="V16" s="155"/>
      <c r="W16" s="345"/>
      <c r="X16" s="345"/>
      <c r="Y16" s="345"/>
      <c r="Z16" s="345"/>
      <c r="AA16" s="345"/>
      <c r="AB16" s="345"/>
      <c r="AC16" s="182"/>
      <c r="AD16" s="182"/>
      <c r="AE16" s="183"/>
      <c r="AF16" s="159"/>
      <c r="AG16" s="159"/>
      <c r="AH16" s="160"/>
      <c r="AI16" s="161"/>
      <c r="AJ16" s="161"/>
      <c r="AK16" s="161"/>
      <c r="AL16" s="161"/>
      <c r="AM16" s="161"/>
      <c r="AN16" s="178">
        <v>0</v>
      </c>
      <c r="AO16" s="179"/>
      <c r="AP16" s="178"/>
      <c r="AQ16" s="178"/>
      <c r="AR16" s="159"/>
      <c r="AS16" s="159"/>
      <c r="AT16" s="159"/>
      <c r="AU16" s="159"/>
      <c r="AV16" s="159"/>
      <c r="AW16" s="159"/>
      <c r="AX16" s="159"/>
      <c r="AY16" s="159"/>
      <c r="AZ16" s="159"/>
    </row>
    <row r="17" spans="1:68" ht="82.5" customHeight="1" x14ac:dyDescent="0.3">
      <c r="A17" s="176"/>
      <c r="B17" s="176"/>
      <c r="C17" s="176"/>
      <c r="D17" s="176"/>
      <c r="E17" s="176"/>
      <c r="F17" s="159"/>
      <c r="G17" s="159"/>
      <c r="H17" s="159"/>
      <c r="I17" s="184"/>
      <c r="J17" s="184"/>
      <c r="K17" s="155"/>
      <c r="L17" s="155"/>
      <c r="M17" s="155"/>
      <c r="N17" s="191">
        <v>5</v>
      </c>
      <c r="O17" s="214">
        <v>44680</v>
      </c>
      <c r="P17" s="353" t="s">
        <v>408</v>
      </c>
      <c r="Q17" s="353"/>
      <c r="R17" s="353"/>
      <c r="S17" s="353"/>
      <c r="T17" s="353"/>
      <c r="U17" s="353"/>
      <c r="V17" s="155"/>
      <c r="W17" s="346"/>
      <c r="X17" s="346"/>
      <c r="Y17" s="346"/>
      <c r="Z17" s="346"/>
      <c r="AA17" s="346"/>
      <c r="AB17" s="346"/>
      <c r="AC17" s="185"/>
      <c r="AD17" s="185"/>
      <c r="AE17" s="186"/>
      <c r="AF17" s="187"/>
      <c r="AG17" s="177"/>
      <c r="AH17" s="160"/>
      <c r="AI17" s="161"/>
      <c r="AJ17" s="161"/>
      <c r="AK17" s="161"/>
      <c r="AL17" s="161"/>
      <c r="AM17" s="161"/>
      <c r="AN17" s="178">
        <v>0</v>
      </c>
      <c r="AO17" s="179"/>
      <c r="AP17" s="178"/>
      <c r="AQ17" s="178"/>
      <c r="AR17" s="159"/>
      <c r="AS17" s="159"/>
      <c r="AT17" s="159"/>
      <c r="AU17" s="159"/>
      <c r="AV17" s="159"/>
      <c r="AW17" s="159"/>
      <c r="AX17" s="159"/>
      <c r="AY17" s="159"/>
      <c r="AZ17" s="159"/>
    </row>
    <row r="18" spans="1:68" ht="82.5" customHeight="1" x14ac:dyDescent="0.3">
      <c r="A18" s="176"/>
      <c r="B18" s="176"/>
      <c r="C18" s="176"/>
      <c r="D18" s="176"/>
      <c r="E18" s="176"/>
      <c r="F18" s="159"/>
      <c r="G18" s="159"/>
      <c r="H18" s="159"/>
      <c r="I18" s="184"/>
      <c r="J18" s="184"/>
      <c r="K18" s="155"/>
      <c r="L18" s="155"/>
      <c r="M18" s="155"/>
      <c r="N18" s="191">
        <v>6</v>
      </c>
      <c r="O18" s="214">
        <v>45404</v>
      </c>
      <c r="P18" s="353" t="s">
        <v>447</v>
      </c>
      <c r="Q18" s="353"/>
      <c r="R18" s="353"/>
      <c r="S18" s="353"/>
      <c r="T18" s="353"/>
      <c r="U18" s="353"/>
      <c r="V18" s="155"/>
      <c r="W18" s="185"/>
      <c r="X18" s="185"/>
      <c r="Y18" s="185"/>
      <c r="Z18" s="185"/>
      <c r="AA18" s="185"/>
      <c r="AB18" s="185"/>
      <c r="AC18" s="185"/>
      <c r="AD18" s="185"/>
      <c r="AE18" s="186"/>
      <c r="AF18" s="187"/>
      <c r="AG18" s="177"/>
      <c r="AH18" s="160"/>
      <c r="AI18" s="161"/>
      <c r="AJ18" s="161"/>
      <c r="AK18" s="161"/>
      <c r="AL18" s="161"/>
      <c r="AM18" s="161"/>
      <c r="AN18" s="178"/>
      <c r="AO18" s="179"/>
      <c r="AP18" s="178"/>
      <c r="AQ18" s="178"/>
      <c r="AR18" s="159"/>
      <c r="AS18" s="159"/>
      <c r="AT18" s="159"/>
      <c r="AU18" s="159"/>
      <c r="AV18" s="159"/>
      <c r="AW18" s="159"/>
      <c r="AX18" s="159"/>
      <c r="AY18" s="159"/>
      <c r="AZ18" s="159"/>
    </row>
    <row r="19" spans="1:68" ht="82.5" customHeight="1" x14ac:dyDescent="0.3">
      <c r="A19" s="176"/>
      <c r="B19" s="176"/>
      <c r="C19" s="176"/>
      <c r="D19" s="176"/>
      <c r="E19" s="176"/>
      <c r="F19" s="159"/>
      <c r="G19" s="159"/>
      <c r="H19" s="159"/>
      <c r="I19" s="184"/>
      <c r="J19" s="184"/>
      <c r="K19" s="155"/>
      <c r="L19" s="155"/>
      <c r="M19" s="155"/>
      <c r="N19" s="538"/>
      <c r="O19" s="539"/>
      <c r="P19" s="540"/>
      <c r="Q19" s="540"/>
      <c r="R19" s="540"/>
      <c r="S19" s="540"/>
      <c r="T19" s="540"/>
      <c r="U19" s="540"/>
      <c r="V19" s="155"/>
      <c r="W19" s="185"/>
      <c r="X19" s="185"/>
      <c r="Y19" s="185"/>
      <c r="Z19" s="185"/>
      <c r="AA19" s="185"/>
      <c r="AB19" s="185"/>
      <c r="AC19" s="185"/>
      <c r="AD19" s="185"/>
      <c r="AE19" s="186"/>
      <c r="AF19" s="187"/>
      <c r="AG19" s="177"/>
      <c r="AH19" s="160"/>
      <c r="AI19" s="161"/>
      <c r="AJ19" s="161"/>
      <c r="AK19" s="161"/>
      <c r="AL19" s="161"/>
      <c r="AM19" s="161"/>
      <c r="AN19" s="178"/>
      <c r="AO19" s="179"/>
      <c r="AP19" s="178"/>
      <c r="AQ19" s="178"/>
      <c r="AR19" s="159"/>
      <c r="AS19" s="159"/>
      <c r="AT19" s="159"/>
      <c r="AU19" s="159"/>
      <c r="AV19" s="159"/>
      <c r="AW19" s="159"/>
      <c r="AX19" s="159"/>
      <c r="AY19" s="159"/>
      <c r="AZ19" s="159"/>
    </row>
    <row r="20" spans="1:68" ht="18" x14ac:dyDescent="0.3">
      <c r="A20" s="347" t="s">
        <v>228</v>
      </c>
      <c r="B20" s="347"/>
      <c r="C20" s="347"/>
      <c r="D20" s="347"/>
      <c r="E20" s="347"/>
      <c r="F20" s="347"/>
      <c r="G20" s="347"/>
      <c r="H20" s="347"/>
      <c r="I20" s="347"/>
      <c r="J20" s="347"/>
      <c r="K20" s="155"/>
      <c r="L20" s="155"/>
      <c r="M20" s="155"/>
      <c r="N20" s="155"/>
      <c r="O20" s="188"/>
      <c r="P20" s="155"/>
      <c r="Q20" s="155"/>
      <c r="R20" s="155"/>
      <c r="S20" s="155"/>
      <c r="T20" s="155"/>
      <c r="U20" s="155"/>
      <c r="V20" s="155"/>
      <c r="W20" s="177"/>
      <c r="X20" s="177"/>
      <c r="Y20" s="177"/>
      <c r="Z20" s="177"/>
      <c r="AA20" s="177"/>
      <c r="AB20" s="189"/>
      <c r="AC20" s="189"/>
      <c r="AD20" s="189"/>
      <c r="AE20" s="189"/>
      <c r="AF20" s="190"/>
      <c r="AG20" s="190"/>
      <c r="AH20" s="161"/>
      <c r="AI20" s="161"/>
      <c r="AJ20" s="161"/>
      <c r="AK20" s="161"/>
      <c r="AL20" s="161"/>
      <c r="AM20" s="162"/>
      <c r="AN20" s="178"/>
      <c r="AO20" s="178"/>
      <c r="AP20" s="159"/>
      <c r="AQ20" s="159"/>
      <c r="AR20" s="159"/>
      <c r="AS20" s="159"/>
      <c r="AT20" s="159"/>
      <c r="AU20" s="159"/>
      <c r="AV20" s="159"/>
      <c r="AW20" s="159"/>
      <c r="AX20" s="159"/>
      <c r="AY20" s="159"/>
      <c r="AZ20" s="159"/>
    </row>
    <row r="21" spans="1:68" ht="16.5" customHeight="1" x14ac:dyDescent="0.3">
      <c r="A21" s="311"/>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3"/>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24" customHeight="1" x14ac:dyDescent="0.3">
      <c r="A22" s="314"/>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x14ac:dyDescent="0.3">
      <c r="A23" s="28"/>
      <c r="B23" s="147"/>
      <c r="C23" s="28"/>
      <c r="D23" s="28"/>
      <c r="E23" s="8"/>
      <c r="F23" s="2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26.25" customHeight="1" x14ac:dyDescent="0.3">
      <c r="A24" s="329" t="s">
        <v>58</v>
      </c>
      <c r="B24" s="330"/>
      <c r="C24" s="307" t="s">
        <v>289</v>
      </c>
      <c r="D24" s="308"/>
      <c r="E24" s="308"/>
      <c r="F24" s="308"/>
      <c r="G24" s="308"/>
      <c r="H24" s="308"/>
      <c r="I24" s="308"/>
      <c r="J24" s="308"/>
      <c r="K24" s="308"/>
      <c r="L24" s="308"/>
      <c r="M24" s="308"/>
      <c r="N24" s="309"/>
      <c r="O24" s="310"/>
      <c r="P24" s="310"/>
      <c r="Q24" s="310"/>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49.5" customHeight="1" x14ac:dyDescent="0.3">
      <c r="A25" s="329" t="s">
        <v>59</v>
      </c>
      <c r="B25" s="330"/>
      <c r="C25" s="336" t="s">
        <v>448</v>
      </c>
      <c r="D25" s="308"/>
      <c r="E25" s="308"/>
      <c r="F25" s="308"/>
      <c r="G25" s="308"/>
      <c r="H25" s="308"/>
      <c r="I25" s="308"/>
      <c r="J25" s="308"/>
      <c r="K25" s="308"/>
      <c r="L25" s="308"/>
      <c r="M25" s="308"/>
      <c r="N25" s="309"/>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49.5" customHeight="1" x14ac:dyDescent="0.3">
      <c r="A26" s="329" t="s">
        <v>60</v>
      </c>
      <c r="B26" s="330"/>
      <c r="C26" s="336" t="s">
        <v>291</v>
      </c>
      <c r="D26" s="337"/>
      <c r="E26" s="337"/>
      <c r="F26" s="337"/>
      <c r="G26" s="337"/>
      <c r="H26" s="337"/>
      <c r="I26" s="337"/>
      <c r="J26" s="337"/>
      <c r="K26" s="337"/>
      <c r="L26" s="337"/>
      <c r="M26" s="337"/>
      <c r="N26" s="33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x14ac:dyDescent="0.3">
      <c r="A27" s="317" t="s">
        <v>61</v>
      </c>
      <c r="B27" s="318"/>
      <c r="C27" s="318"/>
      <c r="D27" s="318"/>
      <c r="E27" s="318"/>
      <c r="F27" s="318"/>
      <c r="G27" s="319"/>
      <c r="H27" s="317" t="s">
        <v>62</v>
      </c>
      <c r="I27" s="318"/>
      <c r="J27" s="318"/>
      <c r="K27" s="318"/>
      <c r="L27" s="318"/>
      <c r="M27" s="318"/>
      <c r="N27" s="319"/>
      <c r="O27" s="317" t="s">
        <v>63</v>
      </c>
      <c r="P27" s="318"/>
      <c r="Q27" s="318"/>
      <c r="R27" s="318"/>
      <c r="S27" s="318"/>
      <c r="T27" s="318"/>
      <c r="U27" s="318"/>
      <c r="V27" s="318"/>
      <c r="W27" s="319"/>
      <c r="X27" s="317" t="s">
        <v>64</v>
      </c>
      <c r="Y27" s="318"/>
      <c r="Z27" s="318"/>
      <c r="AA27" s="318"/>
      <c r="AB27" s="318"/>
      <c r="AC27" s="318"/>
      <c r="AD27" s="319"/>
      <c r="AE27" s="317" t="s">
        <v>65</v>
      </c>
      <c r="AF27" s="318"/>
      <c r="AG27" s="318"/>
      <c r="AH27" s="318"/>
      <c r="AI27" s="318"/>
      <c r="AJ27" s="319"/>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6.5" customHeight="1" x14ac:dyDescent="0.3">
      <c r="A28" s="331" t="s">
        <v>66</v>
      </c>
      <c r="B28" s="326" t="s">
        <v>13</v>
      </c>
      <c r="C28" s="327" t="s">
        <v>15</v>
      </c>
      <c r="D28" s="327" t="s">
        <v>17</v>
      </c>
      <c r="E28" s="333" t="s">
        <v>19</v>
      </c>
      <c r="F28" s="328" t="s">
        <v>21</v>
      </c>
      <c r="G28" s="327" t="s">
        <v>67</v>
      </c>
      <c r="H28" s="340" t="s">
        <v>68</v>
      </c>
      <c r="I28" s="341" t="s">
        <v>69</v>
      </c>
      <c r="J28" s="328" t="s">
        <v>70</v>
      </c>
      <c r="K28" s="328" t="s">
        <v>71</v>
      </c>
      <c r="L28" s="343" t="s">
        <v>72</v>
      </c>
      <c r="M28" s="341" t="s">
        <v>69</v>
      </c>
      <c r="N28" s="327" t="s">
        <v>27</v>
      </c>
      <c r="O28" s="334" t="s">
        <v>73</v>
      </c>
      <c r="P28" s="325" t="s">
        <v>29</v>
      </c>
      <c r="Q28" s="328" t="s">
        <v>31</v>
      </c>
      <c r="R28" s="325" t="s">
        <v>74</v>
      </c>
      <c r="S28" s="325"/>
      <c r="T28" s="325"/>
      <c r="U28" s="325"/>
      <c r="V28" s="325"/>
      <c r="W28" s="325"/>
      <c r="X28" s="339" t="s">
        <v>75</v>
      </c>
      <c r="Y28" s="339" t="s">
        <v>76</v>
      </c>
      <c r="Z28" s="339" t="s">
        <v>69</v>
      </c>
      <c r="AA28" s="339" t="s">
        <v>77</v>
      </c>
      <c r="AB28" s="339" t="s">
        <v>69</v>
      </c>
      <c r="AC28" s="339" t="s">
        <v>78</v>
      </c>
      <c r="AD28" s="334" t="s">
        <v>47</v>
      </c>
      <c r="AE28" s="325" t="s">
        <v>65</v>
      </c>
      <c r="AF28" s="325" t="s">
        <v>79</v>
      </c>
      <c r="AG28" s="325" t="s">
        <v>80</v>
      </c>
      <c r="AH28" s="325" t="s">
        <v>81</v>
      </c>
      <c r="AI28" s="325" t="s">
        <v>82</v>
      </c>
      <c r="AJ28" s="325" t="s">
        <v>51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s="4" customFormat="1" ht="94.5" customHeight="1" x14ac:dyDescent="0.25">
      <c r="A29" s="332"/>
      <c r="B29" s="326"/>
      <c r="C29" s="328"/>
      <c r="D29" s="325"/>
      <c r="E29" s="326"/>
      <c r="F29" s="327"/>
      <c r="G29" s="325"/>
      <c r="H29" s="327"/>
      <c r="I29" s="342"/>
      <c r="J29" s="327"/>
      <c r="K29" s="327"/>
      <c r="L29" s="342"/>
      <c r="M29" s="342"/>
      <c r="N29" s="325"/>
      <c r="O29" s="335"/>
      <c r="P29" s="325"/>
      <c r="Q29" s="327"/>
      <c r="R29" s="7" t="s">
        <v>83</v>
      </c>
      <c r="S29" s="7" t="s">
        <v>84</v>
      </c>
      <c r="T29" s="7" t="s">
        <v>85</v>
      </c>
      <c r="U29" s="7" t="s">
        <v>86</v>
      </c>
      <c r="V29" s="7" t="s">
        <v>87</v>
      </c>
      <c r="W29" s="7" t="s">
        <v>88</v>
      </c>
      <c r="X29" s="339"/>
      <c r="Y29" s="339"/>
      <c r="Z29" s="339"/>
      <c r="AA29" s="339"/>
      <c r="AB29" s="339"/>
      <c r="AC29" s="339"/>
      <c r="AD29" s="335"/>
      <c r="AE29" s="325"/>
      <c r="AF29" s="325"/>
      <c r="AG29" s="325"/>
      <c r="AH29" s="325"/>
      <c r="AI29" s="325"/>
      <c r="AJ29" s="3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row>
    <row r="30" spans="1:68" s="3" customFormat="1" ht="276" customHeight="1" x14ac:dyDescent="0.25">
      <c r="A30" s="146">
        <v>1</v>
      </c>
      <c r="B30" s="192" t="s">
        <v>192</v>
      </c>
      <c r="C30" s="202" t="s">
        <v>299</v>
      </c>
      <c r="D30" s="203" t="s">
        <v>405</v>
      </c>
      <c r="E30" s="204" t="s">
        <v>312</v>
      </c>
      <c r="F30" s="150" t="s">
        <v>232</v>
      </c>
      <c r="G30" s="151">
        <v>1000</v>
      </c>
      <c r="H30" s="152" t="str">
        <f>IF(G30&lt;=0,"",IF(G30&lt;=2,"Muy Baja",IF(G30&lt;=24,"Baja",IF(G30&lt;=500,"Media",IF(G30&lt;=5000,"Alta","Muy Alta")))))</f>
        <v>Alta</v>
      </c>
      <c r="I30" s="148">
        <f>IF(H30="","",IF(H30="Muy Baja",0.2,IF(H30="Baja",0.4,IF(H30="Media",0.6,IF(H30="Alta",0.8,IF(H30="Muy Alta",1,))))))</f>
        <v>0.8</v>
      </c>
      <c r="J30" s="153" t="s">
        <v>152</v>
      </c>
      <c r="K30" s="148" t="str">
        <f>IF(NOT(ISERROR(MATCH(J30,'Tabla Impacto'!$B$221:$B$223,0))),'Tabla Impacto'!$F$228&amp;"Por favor no seleccionar los criterios de impacto(Afectación Económica o presupuestal y Pérdida Reputacional)",J30)</f>
        <v xml:space="preserve">     El riesgo afecta la imagen de la entidad a nivel nacional, con efecto publicitarios sostenible a nivel país</v>
      </c>
      <c r="L30" s="152" t="str">
        <f>IF(OR(K30='Tabla Impacto'!$C$11,K30='Tabla Impacto'!$D$11),"Leve",IF(OR(K30='Tabla Impacto'!$C$12,K30='Tabla Impacto'!$D$12),"Menor",IF(OR(K30='Tabla Impacto'!$C$13,K30='Tabla Impacto'!$D$13),"Moderado",IF(OR(K30='Tabla Impacto'!$C$14,K30='Tabla Impacto'!$D$14),"Mayor",IF(OR(K30='Tabla Impacto'!$C$15,K30='Tabla Impacto'!$D$15),"Catastrófico","")))))</f>
        <v>Catastrófico</v>
      </c>
      <c r="M30" s="148">
        <f>IF(L30="","",IF(L30="Leve",0.2,IF(L30="Menor",0.4,IF(L30="Moderado",0.6,IF(L30="Mayor",0.8,IF(L30="Catastrófico",1,))))))</f>
        <v>1</v>
      </c>
      <c r="N30" s="149"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Extremo</v>
      </c>
      <c r="O30" s="6">
        <v>1</v>
      </c>
      <c r="P30" s="201" t="s">
        <v>406</v>
      </c>
      <c r="Q30" s="193" t="str">
        <f>IF(OR(R30="Preventivo",R30="Detectivo"),"Probabilidad",IF(R30="Correctivo","Impacto",""))</f>
        <v>Probabilidad</v>
      </c>
      <c r="R30" s="194" t="s">
        <v>164</v>
      </c>
      <c r="S30" s="194" t="s">
        <v>172</v>
      </c>
      <c r="T30" s="195" t="str">
        <f>IF(AND(R30="Preventivo",S30="Automático"),"50%",IF(AND(R30="Preventivo",S30="Manual"),"40%",IF(AND(R30="Detectivo",S30="Automático"),"40%",IF(AND(R30="Detectivo",S30="Manual"),"30%",IF(AND(R30="Correctivo",S30="Automático"),"35%",IF(AND(R30="Correctivo",S30="Manual"),"25%",""))))))</f>
        <v>40%</v>
      </c>
      <c r="U30" s="194" t="s">
        <v>175</v>
      </c>
      <c r="V30" s="194" t="s">
        <v>180</v>
      </c>
      <c r="W30" s="194" t="s">
        <v>186</v>
      </c>
      <c r="X30" s="138">
        <f>IFERROR(IF(Q30="Probabilidad",(I30-(+I30*T30)),IF(Q30="Impacto",I30,"")),"")</f>
        <v>0.48</v>
      </c>
      <c r="Y30" s="196" t="str">
        <f>IFERROR(IF(X30="","",IF(X30&lt;=0.2,"Muy Baja",IF(X30&lt;=0.4,"Baja",IF(X30&lt;=0.6,"Media",IF(X30&lt;=0.8,"Alta","Muy Alta"))))),"")</f>
        <v>Media</v>
      </c>
      <c r="Z30" s="144">
        <f>+X30</f>
        <v>0.48</v>
      </c>
      <c r="AA30" s="196" t="str">
        <f>IFERROR(IF(AB30="","",IF(AB30&lt;=0.2,"Leve",IF(AB30&lt;=0.4,"Menor",IF(AB30&lt;=0.6,"Moderado",IF(AB30&lt;=0.8,"Mayor","Catastrófico"))))),"")</f>
        <v>Catastrófico</v>
      </c>
      <c r="AB30" s="144">
        <f>IFERROR(IF(Q30="Impacto",(M30-(+M30*T30)),IF(Q30="Probabilidad",M30,"")),"")</f>
        <v>1</v>
      </c>
      <c r="AC30" s="197"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Extremo</v>
      </c>
      <c r="AD30" s="145" t="s">
        <v>189</v>
      </c>
      <c r="AE30" s="122"/>
      <c r="AF30" s="123"/>
      <c r="AG30" s="124"/>
      <c r="AH30" s="124"/>
      <c r="AI30" s="122"/>
      <c r="AJ30" s="123"/>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pans="1:68" ht="150" customHeight="1" x14ac:dyDescent="0.3">
      <c r="A31" s="269">
        <v>2</v>
      </c>
      <c r="B31" s="303" t="s">
        <v>190</v>
      </c>
      <c r="C31" s="205" t="s">
        <v>300</v>
      </c>
      <c r="D31" s="305" t="s">
        <v>303</v>
      </c>
      <c r="E31" s="320" t="s">
        <v>313</v>
      </c>
      <c r="F31" s="286" t="s">
        <v>232</v>
      </c>
      <c r="G31" s="292">
        <v>100</v>
      </c>
      <c r="H31" s="295" t="str">
        <f>IF(G31&lt;=0,"",IF(G31&lt;=2,"Muy Baja",IF(G31&lt;=24,"Baja",IF(G31&lt;=500,"Media",IF(G31&lt;=5000,"Alta","Muy Alta")))))</f>
        <v>Media</v>
      </c>
      <c r="I31" s="282">
        <f>IF(H31="","",IF(H31="Muy Baja",0.2,IF(H31="Baja",0.4,IF(H31="Media",0.6,IF(H31="Alta",0.8,IF(H31="Muy Alta",1,))))))</f>
        <v>0.6</v>
      </c>
      <c r="J31" s="299" t="s">
        <v>142</v>
      </c>
      <c r="K31" s="282" t="str">
        <f>IF(NOT(ISERROR(MATCH(J31,'Tabla Impacto'!$B$221:$B$223,0))),'Tabla Impacto'!$F$228&amp;"Por favor no seleccionar los criterios de impacto(Afectación Económica o presupuestal y Pérdida Reputacional)",J31)</f>
        <v xml:space="preserve">     Afectación menor a 10 SMLMV .</v>
      </c>
      <c r="L31" s="295" t="str">
        <f>IF(OR(K31='Tabla Impacto'!$C$11,K31='Tabla Impacto'!$D$11),"Leve",IF(OR(K31='Tabla Impacto'!$C$12,K31='Tabla Impacto'!$D$12),"Menor",IF(OR(K31='Tabla Impacto'!$C$13,K31='Tabla Impacto'!$D$13),"Moderado",IF(OR(K31='Tabla Impacto'!$C$14,K31='Tabla Impacto'!$D$14),"Mayor",IF(OR(K31='Tabla Impacto'!$C$15,K31='Tabla Impacto'!$D$15),"Catastrófico","")))))</f>
        <v>Leve</v>
      </c>
      <c r="M31" s="282">
        <f>IF(L31="","",IF(L31="Leve",0.2,IF(L31="Menor",0.4,IF(L31="Moderado",0.6,IF(L31="Mayor",0.8,IF(L31="Catastrófico",1,))))))</f>
        <v>0.2</v>
      </c>
      <c r="N31" s="284"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6">
        <v>1</v>
      </c>
      <c r="P31" s="201" t="s">
        <v>304</v>
      </c>
      <c r="Q31" s="193" t="str">
        <f>IF(OR(R31="Preventivo",R31="Detectivo"),"Probabilidad",IF(R31="Correctivo","Impacto",""))</f>
        <v>Probabilidad</v>
      </c>
      <c r="R31" s="194" t="s">
        <v>164</v>
      </c>
      <c r="S31" s="194" t="s">
        <v>170</v>
      </c>
      <c r="T31" s="195" t="str">
        <f>IF(AND(R31="Preventivo",S31="Automático"),"50%",IF(AND(R31="Preventivo",S31="Manual"),"40%",IF(AND(R31="Detectivo",S31="Automático"),"40%",IF(AND(R31="Detectivo",S31="Manual"),"30%",IF(AND(R31="Correctivo",S31="Automático"),"35%",IF(AND(R31="Correctivo",S31="Manual"),"25%",""))))))</f>
        <v>50%</v>
      </c>
      <c r="U31" s="194" t="s">
        <v>175</v>
      </c>
      <c r="V31" s="194" t="s">
        <v>180</v>
      </c>
      <c r="W31" s="194" t="s">
        <v>184</v>
      </c>
      <c r="X31" s="138">
        <f>IFERROR(IF(Q31="Probabilidad",(I31-(+I31*T31)),IF(Q31="Impacto",I31,"")),"")</f>
        <v>0.3</v>
      </c>
      <c r="Y31" s="196" t="str">
        <f>IFERROR(IF(X31="","",IF(X31&lt;=0.2,"Muy Baja",IF(X31&lt;=0.4,"Baja",IF(X31&lt;=0.6,"Media",IF(X31&lt;=0.8,"Alta","Muy Alta"))))),"")</f>
        <v>Baja</v>
      </c>
      <c r="Z31" s="144">
        <f>+X31</f>
        <v>0.3</v>
      </c>
      <c r="AA31" s="196" t="str">
        <f>IFERROR(IF(AB31="","",IF(AB31&lt;=0.2,"Leve",IF(AB31&lt;=0.4,"Menor",IF(AB31&lt;=0.6,"Moderado",IF(AB31&lt;=0.8,"Mayor","Catastrófico"))))),"")</f>
        <v>Leve</v>
      </c>
      <c r="AB31" s="144">
        <f>IFERROR(IF(Q31="Impacto",(M31-(+M31*T31)),IF(Q31="Probabilidad",M31,"")),"")</f>
        <v>0.2</v>
      </c>
      <c r="AC31" s="197"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Bajo</v>
      </c>
      <c r="AD31" s="145" t="s">
        <v>193</v>
      </c>
      <c r="AE31" s="122"/>
      <c r="AF31" s="123"/>
      <c r="AG31" s="124"/>
      <c r="AH31" s="124"/>
      <c r="AI31" s="122"/>
      <c r="AJ31" s="123"/>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0" customHeight="1" x14ac:dyDescent="0.3">
      <c r="A32" s="278"/>
      <c r="B32" s="304"/>
      <c r="C32" s="205" t="s">
        <v>301</v>
      </c>
      <c r="D32" s="306"/>
      <c r="E32" s="321"/>
      <c r="F32" s="287"/>
      <c r="G32" s="293"/>
      <c r="H32" s="296"/>
      <c r="I32" s="283"/>
      <c r="J32" s="300"/>
      <c r="K32" s="283">
        <f>IF(NOT(ISERROR(MATCH(J32,_xlfn.ANCHORARRAY(E37),0))),#REF!&amp;"Por favor no seleccionar los criterios de impacto",J32)</f>
        <v>0</v>
      </c>
      <c r="L32" s="296"/>
      <c r="M32" s="283"/>
      <c r="N32" s="285"/>
      <c r="O32" s="269">
        <v>2</v>
      </c>
      <c r="P32" s="271" t="s">
        <v>305</v>
      </c>
      <c r="Q32" s="273" t="str">
        <f>IF(OR(R32="Preventivo",R32="Detectivo"),"Probabilidad",IF(R32="Correctivo","Impacto",""))</f>
        <v>Probabilidad</v>
      </c>
      <c r="R32" s="267" t="s">
        <v>166</v>
      </c>
      <c r="S32" s="267" t="s">
        <v>172</v>
      </c>
      <c r="T32" s="263" t="str">
        <f>IF(AND(R32="Preventivo",S32="Automático"),"50%",IF(AND(R32="Preventivo",S32="Manual"),"40%",IF(AND(R32="Detectivo",S32="Automático"),"40%",IF(AND(R32="Detectivo",S32="Manual"),"30%",IF(AND(R32="Correctivo",S32="Automático"),"35%",IF(AND(R32="Correctivo",S32="Manual"),"25%",""))))))</f>
        <v>30%</v>
      </c>
      <c r="U32" s="267" t="s">
        <v>175</v>
      </c>
      <c r="V32" s="267" t="s">
        <v>180</v>
      </c>
      <c r="W32" s="267" t="s">
        <v>184</v>
      </c>
      <c r="X32" s="138">
        <f>IFERROR(IF(AND(Q31="Probabilidad",Q32="Probabilidad"),(Z31-(+Z31*T32)),IF(Q32="Probabilidad",(I31-(+I31*T32)),IF(Q32="Impacto",Z31,""))),"")</f>
        <v>0.21</v>
      </c>
      <c r="Y32" s="261" t="str">
        <f>IFERROR(IF(X32="","",IF(X32&lt;=0.2,"Muy Baja",IF(X32&lt;=0.4,"Baja",IF(X32&lt;=0.6,"Media",IF(X32&lt;=0.8,"Alta","Muy Alta"))))),"")</f>
        <v>Baja</v>
      </c>
      <c r="Z32" s="263">
        <f>+X32</f>
        <v>0.21</v>
      </c>
      <c r="AA32" s="261" t="str">
        <f>IFERROR(IF(AB32="","",IF(AB32&lt;=0.2,"Leve",IF(AB32&lt;=0.4,"Menor",IF(AB32&lt;=0.6,"Moderado",IF(AB32&lt;=0.8,"Mayor","Catastrófico"))))),"")</f>
        <v>Leve</v>
      </c>
      <c r="AB32" s="263">
        <f>IFERROR(IF(AND(Q31="Impacto",Q32="Impacto"),(AB31-(+AB31*T32)),IF(Q32="Impacto",(M31-(+M31*T32)),IF(Q32="Probabilidad",AB31,""))),"")</f>
        <v>0.2</v>
      </c>
      <c r="AC32" s="265"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Bajo</v>
      </c>
      <c r="AD32" s="267" t="s">
        <v>189</v>
      </c>
      <c r="AE32" s="122"/>
      <c r="AF32" s="123"/>
      <c r="AG32" s="124"/>
      <c r="AH32" s="124"/>
      <c r="AI32" s="122"/>
      <c r="AJ32" s="123"/>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73.5" customHeight="1" x14ac:dyDescent="0.3">
      <c r="A33" s="278"/>
      <c r="B33" s="304"/>
      <c r="C33" s="205" t="s">
        <v>302</v>
      </c>
      <c r="D33" s="306"/>
      <c r="E33" s="321"/>
      <c r="F33" s="287"/>
      <c r="G33" s="293"/>
      <c r="H33" s="296"/>
      <c r="I33" s="283"/>
      <c r="J33" s="300"/>
      <c r="K33" s="283">
        <f>IF(NOT(ISERROR(MATCH(J33,_xlfn.ANCHORARRAY(#REF!),0))),#REF!&amp;"Por favor no seleccionar los criterios de impacto",J33)</f>
        <v>0</v>
      </c>
      <c r="L33" s="296"/>
      <c r="M33" s="283"/>
      <c r="N33" s="285"/>
      <c r="O33" s="270"/>
      <c r="P33" s="272"/>
      <c r="Q33" s="274"/>
      <c r="R33" s="268"/>
      <c r="S33" s="268"/>
      <c r="T33" s="264"/>
      <c r="U33" s="268"/>
      <c r="V33" s="268"/>
      <c r="W33" s="268"/>
      <c r="X33" s="138" t="str">
        <f>IFERROR(IF(AND(Q32="Probabilidad",Q33="Probabilidad"),(Z32-(+Z32*T33)),IF(AND(Q32="Impacto",Q33="Probabilidad"),(Z31-(+Z31*T33)),IF(Q33="Impacto",Z32,""))),"")</f>
        <v/>
      </c>
      <c r="Y33" s="262"/>
      <c r="Z33" s="264"/>
      <c r="AA33" s="262"/>
      <c r="AB33" s="264"/>
      <c r="AC33" s="266"/>
      <c r="AD33" s="268"/>
      <c r="AE33" s="122"/>
      <c r="AF33" s="123"/>
      <c r="AG33" s="124"/>
      <c r="AH33" s="124"/>
      <c r="AI33" s="122"/>
      <c r="AJ33" s="123"/>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86" customHeight="1" x14ac:dyDescent="0.3">
      <c r="A34" s="269">
        <v>3</v>
      </c>
      <c r="B34" s="303" t="s">
        <v>192</v>
      </c>
      <c r="C34" s="205" t="s">
        <v>306</v>
      </c>
      <c r="D34" s="305" t="s">
        <v>309</v>
      </c>
      <c r="E34" s="320" t="s">
        <v>314</v>
      </c>
      <c r="F34" s="286" t="s">
        <v>232</v>
      </c>
      <c r="G34" s="292">
        <v>12</v>
      </c>
      <c r="H34" s="295" t="str">
        <f>IF(G34&lt;=0,"",IF(G34&lt;=2,"Muy Baja",IF(G34&lt;=24,"Baja",IF(G34&lt;=500,"Media",IF(G34&lt;=5000,"Alta","Muy Alta")))))</f>
        <v>Baja</v>
      </c>
      <c r="I34" s="282">
        <f>IF(H34="","",IF(H34="Muy Baja",0.2,IF(H34="Baja",0.4,IF(H34="Media",0.6,IF(H34="Alta",0.8,IF(H34="Muy Alta",1,))))))</f>
        <v>0.4</v>
      </c>
      <c r="J34" s="299" t="s">
        <v>148</v>
      </c>
      <c r="K34" s="282" t="str">
        <f>IF(NOT(ISERROR(MATCH(J34,'Tabla Impacto'!$B$221:$B$223,0))),'Tabla Impacto'!$F$228&amp;"Por favor no seleccionar los criterios de impacto(Afectación Económica o presupuestal y Pérdida Reputacional)",J34)</f>
        <v xml:space="preserve">     El riesgo afecta la imagen de la entidad con algunos usuarios de relevancia frente al logro de los objetivos</v>
      </c>
      <c r="L34" s="295" t="str">
        <f>IF(OR(K34='Tabla Impacto'!$C$11,K34='Tabla Impacto'!$D$11),"Leve",IF(OR(K34='Tabla Impacto'!$C$12,K34='Tabla Impacto'!$D$12),"Menor",IF(OR(K34='Tabla Impacto'!$C$13,K34='Tabla Impacto'!$D$13),"Moderado",IF(OR(K34='Tabla Impacto'!$C$14,K34='Tabla Impacto'!$D$14),"Mayor",IF(OR(K34='Tabla Impacto'!$C$15,K34='Tabla Impacto'!$D$15),"Catastrófico","")))))</f>
        <v>Moderado</v>
      </c>
      <c r="M34" s="282">
        <f>IF(L34="","",IF(L34="Leve",0.2,IF(L34="Menor",0.4,IF(L34="Moderado",0.6,IF(L34="Mayor",0.8,IF(L34="Catastrófico",1,))))))</f>
        <v>0.6</v>
      </c>
      <c r="N34" s="284"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269">
        <v>1</v>
      </c>
      <c r="P34" s="271" t="s">
        <v>310</v>
      </c>
      <c r="Q34" s="273" t="str">
        <f>IF(OR(R34="Preventivo",R34="Detectivo"),"Probabilidad",IF(R34="Correctivo","Impacto",""))</f>
        <v>Probabilidad</v>
      </c>
      <c r="R34" s="267" t="s">
        <v>164</v>
      </c>
      <c r="S34" s="267" t="s">
        <v>172</v>
      </c>
      <c r="T34" s="263" t="str">
        <f>IF(AND(R34="Preventivo",S34="Automático"),"50%",IF(AND(R34="Preventivo",S34="Manual"),"40%",IF(AND(R34="Detectivo",S34="Automático"),"40%",IF(AND(R34="Detectivo",S34="Manual"),"30%",IF(AND(R34="Correctivo",S34="Automático"),"35%",IF(AND(R34="Correctivo",S34="Manual"),"25%",""))))))</f>
        <v>40%</v>
      </c>
      <c r="U34" s="267" t="s">
        <v>175</v>
      </c>
      <c r="V34" s="267" t="s">
        <v>180</v>
      </c>
      <c r="W34" s="267" t="s">
        <v>184</v>
      </c>
      <c r="X34" s="138">
        <f>IFERROR(IF(Q34="Probabilidad",(I34-(+I34*T34)),IF(Q34="Impacto",I34,"")),"")</f>
        <v>0.24</v>
      </c>
      <c r="Y34" s="261" t="str">
        <f>IFERROR(IF(X34="","",IF(X34&lt;=0.2,"Muy Baja",IF(X34&lt;=0.4,"Baja",IF(X34&lt;=0.6,"Media",IF(X34&lt;=0.8,"Alta","Muy Alta"))))),"")</f>
        <v>Baja</v>
      </c>
      <c r="Z34" s="263">
        <f>+X34</f>
        <v>0.24</v>
      </c>
      <c r="AA34" s="261" t="str">
        <f>IFERROR(IF(AB34="","",IF(AB34&lt;=0.2,"Leve",IF(AB34&lt;=0.4,"Menor",IF(AB34&lt;=0.6,"Moderado",IF(AB34&lt;=0.8,"Mayor","Catastrófico"))))),"")</f>
        <v>Moderado</v>
      </c>
      <c r="AB34" s="263">
        <f>IFERROR(IF(Q34="Impacto",(M34-(+M34*T34)),IF(Q34="Probabilidad",M34,"")),"")</f>
        <v>0.6</v>
      </c>
      <c r="AC34" s="265"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267" t="s">
        <v>189</v>
      </c>
      <c r="AE34" s="356"/>
      <c r="AF34" s="356"/>
      <c r="AG34" s="356"/>
      <c r="AH34" s="356"/>
      <c r="AI34" s="356"/>
      <c r="AJ34" s="35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41.25" customHeight="1" x14ac:dyDescent="0.3">
      <c r="A35" s="278"/>
      <c r="B35" s="304"/>
      <c r="C35" s="205" t="s">
        <v>307</v>
      </c>
      <c r="D35" s="306"/>
      <c r="E35" s="321"/>
      <c r="F35" s="287"/>
      <c r="G35" s="293"/>
      <c r="H35" s="296"/>
      <c r="I35" s="283"/>
      <c r="J35" s="300"/>
      <c r="K35" s="283">
        <f>IF(NOT(ISERROR(MATCH(J35,_xlfn.ANCHORARRAY(E38),0))),#REF!&amp;"Por favor no seleccionar los criterios de impacto",J35)</f>
        <v>0</v>
      </c>
      <c r="L35" s="296"/>
      <c r="M35" s="283"/>
      <c r="N35" s="285"/>
      <c r="O35" s="278"/>
      <c r="P35" s="279"/>
      <c r="Q35" s="280"/>
      <c r="R35" s="276"/>
      <c r="S35" s="276"/>
      <c r="T35" s="277"/>
      <c r="U35" s="276"/>
      <c r="V35" s="276"/>
      <c r="W35" s="276"/>
      <c r="X35" s="200" t="str">
        <f>IFERROR(IF(AND(Q34="Probabilidad",Q35="Probabilidad"),(Z34-(+Z34*T35)),IF(Q35="Probabilidad",(I34-(+I34*T35)),IF(Q35="Impacto",Z34,""))),"")</f>
        <v/>
      </c>
      <c r="Y35" s="281"/>
      <c r="Z35" s="277"/>
      <c r="AA35" s="281"/>
      <c r="AB35" s="277"/>
      <c r="AC35" s="275"/>
      <c r="AD35" s="276"/>
      <c r="AE35" s="357"/>
      <c r="AF35" s="357"/>
      <c r="AG35" s="357"/>
      <c r="AH35" s="357"/>
      <c r="AI35" s="357"/>
      <c r="AJ35" s="357"/>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47.25" customHeight="1" x14ac:dyDescent="0.3">
      <c r="A36" s="278"/>
      <c r="B36" s="304"/>
      <c r="C36" s="205" t="s">
        <v>308</v>
      </c>
      <c r="D36" s="306"/>
      <c r="E36" s="321"/>
      <c r="F36" s="287"/>
      <c r="G36" s="293"/>
      <c r="H36" s="296"/>
      <c r="I36" s="283"/>
      <c r="J36" s="300"/>
      <c r="K36" s="283">
        <f>IF(NOT(ISERROR(MATCH(J36,_xlfn.ANCHORARRAY(#REF!),0))),#REF!&amp;"Por favor no seleccionar los criterios de impacto",J36)</f>
        <v>0</v>
      </c>
      <c r="L36" s="296"/>
      <c r="M36" s="283"/>
      <c r="N36" s="285"/>
      <c r="O36" s="270"/>
      <c r="P36" s="272"/>
      <c r="Q36" s="274"/>
      <c r="R36" s="268"/>
      <c r="S36" s="268"/>
      <c r="T36" s="264"/>
      <c r="U36" s="268"/>
      <c r="V36" s="268"/>
      <c r="W36" s="268"/>
      <c r="X36" s="138" t="str">
        <f>IFERROR(IF(AND(Q35="Probabilidad",Q36="Probabilidad"),(Z35-(+Z35*T36)),IF(AND(Q35="Impacto",Q36="Probabilidad"),(Z34-(+Z34*T36)),IF(Q36="Impacto",Z35,""))),"")</f>
        <v/>
      </c>
      <c r="Y36" s="262"/>
      <c r="Z36" s="264"/>
      <c r="AA36" s="262"/>
      <c r="AB36" s="264"/>
      <c r="AC36" s="266"/>
      <c r="AD36" s="268"/>
      <c r="AE36" s="358"/>
      <c r="AF36" s="358"/>
      <c r="AG36" s="358"/>
      <c r="AH36" s="358"/>
      <c r="AI36" s="358"/>
      <c r="AJ36" s="35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46.25" customHeight="1" x14ac:dyDescent="0.3">
      <c r="A37" s="146">
        <v>4</v>
      </c>
      <c r="B37" s="150" t="s">
        <v>230</v>
      </c>
      <c r="C37" s="206" t="s">
        <v>316</v>
      </c>
      <c r="D37" s="206" t="s">
        <v>315</v>
      </c>
      <c r="E37" s="204" t="s">
        <v>311</v>
      </c>
      <c r="F37" s="150" t="s">
        <v>235</v>
      </c>
      <c r="G37" s="151">
        <v>312</v>
      </c>
      <c r="H37" s="152" t="str">
        <f>IF(G37&lt;=0,"",IF(G37&lt;=2,"Muy Baja",IF(G37&lt;=24,"Baja",IF(G37&lt;=500,"Media",IF(G37&lt;=5000,"Alta","Muy Alta")))))</f>
        <v>Media</v>
      </c>
      <c r="I37" s="148">
        <f>IF(H37="","",IF(H37="Muy Baja",0.2,IF(H37="Baja",0.4,IF(H37="Media",0.6,IF(H37="Alta",0.8,IF(H37="Muy Alta",1,))))))</f>
        <v>0.6</v>
      </c>
      <c r="J37" s="153" t="s">
        <v>237</v>
      </c>
      <c r="K37" s="148" t="str">
        <f>IF(NOT(ISERROR(MATCH(J37,'Tabla Impacto'!$B$221:$B$223,0))),'Tabla Impacto'!$F$228&amp;"Por favor no seleccionar los criterios de impacto(Afectación Económica o presupuestal y Pérdida Reputacional)",J37)</f>
        <v>Entre 1-12.500</v>
      </c>
      <c r="L37" s="152" t="s">
        <v>318</v>
      </c>
      <c r="M37" s="148">
        <f>IF(L37="","",IF(L37="Leve",0.2,IF(L37="Menor",0.4,IF(L37="Moderado",0.6,IF(L37="Mayor",0.8,IF(L37="Catastrófico",1,))))))</f>
        <v>0.2</v>
      </c>
      <c r="N37" s="149"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6">
        <v>1</v>
      </c>
      <c r="P37" s="201" t="s">
        <v>317</v>
      </c>
      <c r="Q37" s="193" t="str">
        <f>IF(OR(R37="Preventivo",R37="Detectivo"),"Probabilidad",IF(R37="Correctivo","Impacto",""))</f>
        <v>Probabilidad</v>
      </c>
      <c r="R37" s="194" t="s">
        <v>166</v>
      </c>
      <c r="S37" s="194" t="s">
        <v>170</v>
      </c>
      <c r="T37" s="195" t="str">
        <f>IF(AND(R37="Preventivo",S37="Automático"),"50%",IF(AND(R37="Preventivo",S37="Manual"),"40%",IF(AND(R37="Detectivo",S37="Automático"),"40%",IF(AND(R37="Detectivo",S37="Manual"),"30%",IF(AND(R37="Correctivo",S37="Automático"),"35%",IF(AND(R37="Correctivo",S37="Manual"),"25%",""))))))</f>
        <v>40%</v>
      </c>
      <c r="U37" s="194" t="s">
        <v>175</v>
      </c>
      <c r="V37" s="194" t="s">
        <v>180</v>
      </c>
      <c r="W37" s="194" t="s">
        <v>184</v>
      </c>
      <c r="X37" s="138">
        <f>IFERROR(IF(Q37="Probabilidad",(I37-(+I37*T37)),IF(Q37="Impacto",I37,"")),"")</f>
        <v>0.36</v>
      </c>
      <c r="Y37" s="196" t="str">
        <f>IFERROR(IF(X37="","",IF(X37&lt;=0.2,"Muy Baja",IF(X37&lt;=0.4,"Baja",IF(X37&lt;=0.6,"Media",IF(X37&lt;=0.8,"Alta","Muy Alta"))))),"")</f>
        <v>Baja</v>
      </c>
      <c r="Z37" s="144">
        <f>+X37</f>
        <v>0.36</v>
      </c>
      <c r="AA37" s="196" t="str">
        <f>IFERROR(IF(AB37="","",IF(AB37&lt;=0.2,"Leve",IF(AB37&lt;=0.4,"Menor",IF(AB37&lt;=0.6,"Moderado",IF(AB37&lt;=0.8,"Mayor","Catastrófico"))))),"")</f>
        <v>Leve</v>
      </c>
      <c r="AB37" s="144">
        <f>IFERROR(IF(Q37="Impacto",(M37-(+M37*T37)),IF(Q37="Probabilidad",M37,"")),"")</f>
        <v>0.2</v>
      </c>
      <c r="AC37" s="197"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Bajo</v>
      </c>
      <c r="AD37" s="145" t="s">
        <v>189</v>
      </c>
      <c r="AE37" s="122"/>
      <c r="AF37" s="123"/>
      <c r="AG37" s="124"/>
      <c r="AH37" s="124"/>
      <c r="AI37" s="122"/>
      <c r="AJ37" s="123"/>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69.5" customHeight="1" x14ac:dyDescent="0.3">
      <c r="A38" s="146">
        <v>5</v>
      </c>
      <c r="B38" s="150" t="s">
        <v>230</v>
      </c>
      <c r="C38" s="206" t="s">
        <v>320</v>
      </c>
      <c r="D38" s="206" t="s">
        <v>315</v>
      </c>
      <c r="E38" s="204" t="s">
        <v>319</v>
      </c>
      <c r="F38" s="150" t="s">
        <v>235</v>
      </c>
      <c r="G38" s="151">
        <v>312</v>
      </c>
      <c r="H38" s="152" t="str">
        <f>IF(G38&lt;=0,"",IF(G38&lt;=2,"Muy Baja",IF(G38&lt;=24,"Baja",IF(G38&lt;=500,"Media",IF(G38&lt;=5000,"Alta","Muy Alta")))))</f>
        <v>Media</v>
      </c>
      <c r="I38" s="148">
        <f>IF(H38="","",IF(H38="Muy Baja",0.2,IF(H38="Baja",0.4,IF(H38="Media",0.6,IF(H38="Alta",0.8,IF(H38="Muy Alta",1,))))))</f>
        <v>0.6</v>
      </c>
      <c r="J38" s="153" t="s">
        <v>240</v>
      </c>
      <c r="K38" s="148" t="str">
        <f>IF(NOT(ISERROR(MATCH(J38,'Tabla Impacto'!$B$221:$B$223,0))),'Tabla Impacto'!$F$228&amp;"Por favor no seleccionar los criterios de impacto(Afectación Económica o presupuestal y Pérdida Reputacional)",J38)</f>
        <v>&gt; 125.000 – 500.000</v>
      </c>
      <c r="L38" s="152" t="s">
        <v>133</v>
      </c>
      <c r="M38" s="148">
        <f>IF(L38="","",IF(L38="Leve",0.2,IF(L38="Menor",0.4,IF(L38="Moderado",0.6,IF(L38="Mayor",0.8,IF(L38="Catastrófico",1,))))))</f>
        <v>0.8</v>
      </c>
      <c r="N38" s="149"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Alto</v>
      </c>
      <c r="O38" s="6">
        <v>1</v>
      </c>
      <c r="P38" s="201" t="s">
        <v>321</v>
      </c>
      <c r="Q38" s="193" t="str">
        <f>IF(OR(R38="Preventivo",R38="Detectivo"),"Probabilidad",IF(R38="Correctivo","Impacto",""))</f>
        <v>Probabilidad</v>
      </c>
      <c r="R38" s="194" t="s">
        <v>166</v>
      </c>
      <c r="S38" s="194" t="s">
        <v>172</v>
      </c>
      <c r="T38" s="195" t="str">
        <f>IF(AND(R38="Preventivo",S38="Automático"),"50%",IF(AND(R38="Preventivo",S38="Manual"),"40%",IF(AND(R38="Detectivo",S38="Automático"),"40%",IF(AND(R38="Detectivo",S38="Manual"),"30%",IF(AND(R38="Correctivo",S38="Automático"),"35%",IF(AND(R38="Correctivo",S38="Manual"),"25%",""))))))</f>
        <v>30%</v>
      </c>
      <c r="U38" s="194" t="s">
        <v>175</v>
      </c>
      <c r="V38" s="194" t="s">
        <v>180</v>
      </c>
      <c r="W38" s="194" t="s">
        <v>184</v>
      </c>
      <c r="X38" s="138">
        <f>IFERROR(IF(Q38="Probabilidad",(I38-(+I38*T38)),IF(Q38="Impacto",I38,"")),"")</f>
        <v>0.42</v>
      </c>
      <c r="Y38" s="196" t="str">
        <f>IFERROR(IF(X38="","",IF(X38&lt;=0.2,"Muy Baja",IF(X38&lt;=0.4,"Baja",IF(X38&lt;=0.6,"Media",IF(X38&lt;=0.8,"Alta","Muy Alta"))))),"")</f>
        <v>Media</v>
      </c>
      <c r="Z38" s="144">
        <f>+X38</f>
        <v>0.42</v>
      </c>
      <c r="AA38" s="196" t="str">
        <f>IFERROR(IF(AB38="","",IF(AB38&lt;=0.2,"Leve",IF(AB38&lt;=0.4,"Menor",IF(AB38&lt;=0.6,"Moderado",IF(AB38&lt;=0.8,"Mayor","Catastrófico"))))),"")</f>
        <v>Mayor</v>
      </c>
      <c r="AB38" s="144">
        <f>IFERROR(IF(Q38="Impacto",(M38-(+M38*T38)),IF(Q38="Probabilidad",M38,"")),"")</f>
        <v>0.8</v>
      </c>
      <c r="AC38" s="197"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Alto</v>
      </c>
      <c r="AD38" s="145" t="s">
        <v>193</v>
      </c>
      <c r="AE38" s="122"/>
      <c r="AF38" s="123"/>
      <c r="AG38" s="124"/>
      <c r="AH38" s="124"/>
      <c r="AI38" s="122"/>
      <c r="AJ38" s="123"/>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295.5" customHeight="1" x14ac:dyDescent="0.3">
      <c r="A39" s="146">
        <v>6</v>
      </c>
      <c r="B39" s="150" t="s">
        <v>230</v>
      </c>
      <c r="C39" s="206" t="s">
        <v>324</v>
      </c>
      <c r="D39" s="206" t="s">
        <v>323</v>
      </c>
      <c r="E39" s="204" t="s">
        <v>322</v>
      </c>
      <c r="F39" s="150" t="s">
        <v>235</v>
      </c>
      <c r="G39" s="151">
        <v>312</v>
      </c>
      <c r="H39" s="152" t="str">
        <f>IF(G39&lt;=0,"",IF(G39&lt;=2,"Muy Baja",IF(G39&lt;=24,"Baja",IF(G39&lt;=500,"Media",IF(G39&lt;=5000,"Alta","Muy Alta")))))</f>
        <v>Media</v>
      </c>
      <c r="I39" s="148">
        <f>IF(H39="","",IF(H39="Muy Baja",0.2,IF(H39="Baja",0.4,IF(H39="Media",0.6,IF(H39="Alta",0.8,IF(H39="Muy Alta",1,))))))</f>
        <v>0.6</v>
      </c>
      <c r="J39" s="153" t="s">
        <v>237</v>
      </c>
      <c r="K39" s="148" t="str">
        <f>IF(NOT(ISERROR(MATCH(J39,'Tabla Impacto'!$B$221:$B$223,0))),'Tabla Impacto'!$F$228&amp;"Por favor no seleccionar los criterios de impacto(Afectación Económica o presupuestal y Pérdida Reputacional)",J39)</f>
        <v>Entre 1-12.500</v>
      </c>
      <c r="L39" s="152" t="s">
        <v>318</v>
      </c>
      <c r="M39" s="148">
        <f>IF(L39="","",IF(L39="Leve",0.2,IF(L39="Menor",0.4,IF(L39="Moderado",0.6,IF(L39="Mayor",0.8,IF(L39="Catastrófico",1,))))))</f>
        <v>0.2</v>
      </c>
      <c r="N39" s="149"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Moderado</v>
      </c>
      <c r="O39" s="6">
        <v>1</v>
      </c>
      <c r="P39" s="201" t="s">
        <v>325</v>
      </c>
      <c r="Q39" s="193" t="str">
        <f>IF(OR(R39="Preventivo",R39="Detectivo"),"Probabilidad",IF(R39="Correctivo","Impacto",""))</f>
        <v>Probabilidad</v>
      </c>
      <c r="R39" s="194" t="s">
        <v>166</v>
      </c>
      <c r="S39" s="194" t="s">
        <v>172</v>
      </c>
      <c r="T39" s="195" t="str">
        <f>IF(AND(R39="Preventivo",S39="Automático"),"50%",IF(AND(R39="Preventivo",S39="Manual"),"40%",IF(AND(R39="Detectivo",S39="Automático"),"40%",IF(AND(R39="Detectivo",S39="Manual"),"30%",IF(AND(R39="Correctivo",S39="Automático"),"35%",IF(AND(R39="Correctivo",S39="Manual"),"25%",""))))))</f>
        <v>30%</v>
      </c>
      <c r="U39" s="194" t="s">
        <v>175</v>
      </c>
      <c r="V39" s="194" t="s">
        <v>180</v>
      </c>
      <c r="W39" s="194" t="s">
        <v>184</v>
      </c>
      <c r="X39" s="138">
        <f>IFERROR(IF(Q39="Probabilidad",(I39-(+I39*T39)),IF(Q39="Impacto",I39,"")),"")</f>
        <v>0.42</v>
      </c>
      <c r="Y39" s="196" t="str">
        <f>IFERROR(IF(X39="","",IF(X39&lt;=0.2,"Muy Baja",IF(X39&lt;=0.4,"Baja",IF(X39&lt;=0.6,"Media",IF(X39&lt;=0.8,"Alta","Muy Alta"))))),"")</f>
        <v>Media</v>
      </c>
      <c r="Z39" s="144">
        <f>+X39</f>
        <v>0.42</v>
      </c>
      <c r="AA39" s="196" t="str">
        <f>IFERROR(IF(AB39="","",IF(AB39&lt;=0.2,"Leve",IF(AB39&lt;=0.4,"Menor",IF(AB39&lt;=0.6,"Moderado",IF(AB39&lt;=0.8,"Mayor","Catastrófico"))))),"")</f>
        <v>Leve</v>
      </c>
      <c r="AB39" s="144">
        <f>IFERROR(IF(Q39="Impacto",(M39-(+M39*T39)),IF(Q39="Probabilidad",M39,"")),"")</f>
        <v>0.2</v>
      </c>
      <c r="AC39" s="197"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Moderado</v>
      </c>
      <c r="AD39" s="145" t="s">
        <v>189</v>
      </c>
      <c r="AE39" s="122"/>
      <c r="AF39" s="123"/>
      <c r="AG39" s="124"/>
      <c r="AH39" s="124"/>
      <c r="AI39" s="122"/>
      <c r="AJ39" s="123"/>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92.25" customHeight="1" x14ac:dyDescent="0.3">
      <c r="A40" s="269">
        <v>7</v>
      </c>
      <c r="B40" s="303" t="s">
        <v>230</v>
      </c>
      <c r="C40" s="207" t="s">
        <v>328</v>
      </c>
      <c r="D40" s="305" t="s">
        <v>327</v>
      </c>
      <c r="E40" s="320" t="s">
        <v>326</v>
      </c>
      <c r="F40" s="286" t="s">
        <v>235</v>
      </c>
      <c r="G40" s="292">
        <v>190</v>
      </c>
      <c r="H40" s="295" t="str">
        <f>IF(G40&lt;=0,"",IF(G40&lt;=2,"Muy Baja",IF(G40&lt;=24,"Baja",IF(G40&lt;=500,"Media",IF(G40&lt;=5000,"Alta","Muy Alta")))))</f>
        <v>Media</v>
      </c>
      <c r="I40" s="282">
        <f>IF(H40="","",IF(H40="Muy Baja",0.2,IF(H40="Baja",0.4,IF(H40="Media",0.6,IF(H40="Alta",0.8,IF(H40="Muy Alta",1,))))))</f>
        <v>0.6</v>
      </c>
      <c r="J40" s="299" t="s">
        <v>237</v>
      </c>
      <c r="K40" s="282" t="str">
        <f>IF(NOT(ISERROR(MATCH(J40,'Tabla Impacto'!$B$221:$B$223,0))),'Tabla Impacto'!$F$228&amp;"Por favor no seleccionar los criterios de impacto(Afectación Económica o presupuestal y Pérdida Reputacional)",J40)</f>
        <v>Entre 1-12.500</v>
      </c>
      <c r="L40" s="295" t="s">
        <v>318</v>
      </c>
      <c r="M40" s="282">
        <f>IF(L40="","",IF(L40="Leve",0.2,IF(L40="Menor",0.4,IF(L40="Moderado",0.6,IF(L40="Mayor",0.8,IF(L40="Catastrófico",1,))))))</f>
        <v>0.2</v>
      </c>
      <c r="N40" s="284"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269">
        <v>1</v>
      </c>
      <c r="P40" s="271" t="s">
        <v>330</v>
      </c>
      <c r="Q40" s="273" t="str">
        <f>IF(OR(R40="Preventivo",R40="Detectivo"),"Probabilidad",IF(R40="Correctivo","Impacto",""))</f>
        <v>Probabilidad</v>
      </c>
      <c r="R40" s="267" t="s">
        <v>164</v>
      </c>
      <c r="S40" s="267" t="s">
        <v>172</v>
      </c>
      <c r="T40" s="263" t="str">
        <f>IF(AND(R40="Preventivo",S40="Automático"),"50%",IF(AND(R40="Preventivo",S40="Manual"),"40%",IF(AND(R40="Detectivo",S40="Automático"),"40%",IF(AND(R40="Detectivo",S40="Manual"),"30%",IF(AND(R40="Correctivo",S40="Automático"),"35%",IF(AND(R40="Correctivo",S40="Manual"),"25%",""))))))</f>
        <v>40%</v>
      </c>
      <c r="U40" s="267" t="s">
        <v>175</v>
      </c>
      <c r="V40" s="267" t="s">
        <v>180</v>
      </c>
      <c r="W40" s="267" t="s">
        <v>184</v>
      </c>
      <c r="X40" s="138">
        <f>IFERROR(IF(Q40="Probabilidad",(I40-(+I40*T40)),IF(Q40="Impacto",I40,"")),"")</f>
        <v>0.36</v>
      </c>
      <c r="Y40" s="261" t="str">
        <f>IFERROR(IF(X40="","",IF(X40&lt;=0.2,"Muy Baja",IF(X40&lt;=0.4,"Baja",IF(X40&lt;=0.6,"Media",IF(X40&lt;=0.8,"Alta","Muy Alta"))))),"")</f>
        <v>Baja</v>
      </c>
      <c r="Z40" s="263">
        <f>+X40</f>
        <v>0.36</v>
      </c>
      <c r="AA40" s="261" t="str">
        <f>IFERROR(IF(AB40="","",IF(AB40&lt;=0.2,"Leve",IF(AB40&lt;=0.4,"Menor",IF(AB40&lt;=0.6,"Moderado",IF(AB40&lt;=0.8,"Mayor","Catastrófico"))))),"")</f>
        <v>Leve</v>
      </c>
      <c r="AB40" s="263">
        <f>IFERROR(IF(Q40="Impacto",(M40-(+M40*T40)),IF(Q40="Probabilidad",M40,"")),"")</f>
        <v>0.2</v>
      </c>
      <c r="AC40" s="265"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Bajo</v>
      </c>
      <c r="AD40" s="267" t="s">
        <v>189</v>
      </c>
      <c r="AE40" s="356"/>
      <c r="AF40" s="356"/>
      <c r="AG40" s="356"/>
      <c r="AH40" s="356"/>
      <c r="AI40" s="356"/>
      <c r="AJ40" s="35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7.5" customHeight="1" x14ac:dyDescent="0.3">
      <c r="A41" s="278"/>
      <c r="B41" s="304"/>
      <c r="C41" s="207" t="s">
        <v>329</v>
      </c>
      <c r="D41" s="306"/>
      <c r="E41" s="321"/>
      <c r="F41" s="287"/>
      <c r="G41" s="293"/>
      <c r="H41" s="296"/>
      <c r="I41" s="283"/>
      <c r="J41" s="300"/>
      <c r="K41" s="283">
        <f>IF(NOT(ISERROR(MATCH(J41,_xlfn.ANCHORARRAY(E43),0))),#REF!&amp;"Por favor no seleccionar los criterios de impacto",J41)</f>
        <v>0</v>
      </c>
      <c r="L41" s="296"/>
      <c r="M41" s="283"/>
      <c r="N41" s="285"/>
      <c r="O41" s="270"/>
      <c r="P41" s="272"/>
      <c r="Q41" s="274"/>
      <c r="R41" s="268"/>
      <c r="S41" s="268"/>
      <c r="T41" s="264"/>
      <c r="U41" s="268"/>
      <c r="V41" s="268"/>
      <c r="W41" s="268"/>
      <c r="X41" s="138" t="str">
        <f>IFERROR(IF(AND(Q40="Probabilidad",Q41="Probabilidad"),(Z40-(+Z40*T41)),IF(Q41="Probabilidad",(I40-(+I40*T41)),IF(Q41="Impacto",Z40,""))),"")</f>
        <v/>
      </c>
      <c r="Y41" s="262"/>
      <c r="Z41" s="264"/>
      <c r="AA41" s="262"/>
      <c r="AB41" s="264"/>
      <c r="AC41" s="266"/>
      <c r="AD41" s="268"/>
      <c r="AE41" s="358"/>
      <c r="AF41" s="358"/>
      <c r="AG41" s="358"/>
      <c r="AH41" s="358"/>
      <c r="AI41" s="358"/>
      <c r="AJ41" s="35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37.25" customHeight="1" x14ac:dyDescent="0.3">
      <c r="A42" s="146">
        <v>8</v>
      </c>
      <c r="B42" s="150" t="s">
        <v>192</v>
      </c>
      <c r="C42" s="208" t="s">
        <v>333</v>
      </c>
      <c r="D42" s="206" t="s">
        <v>332</v>
      </c>
      <c r="E42" s="204" t="s">
        <v>331</v>
      </c>
      <c r="F42" s="150" t="s">
        <v>232</v>
      </c>
      <c r="G42" s="151">
        <v>21</v>
      </c>
      <c r="H42" s="152" t="str">
        <f>IF(G42&lt;=0,"",IF(G42&lt;=2,"Muy Baja",IF(G42&lt;=24,"Baja",IF(G42&lt;=500,"Media",IF(G42&lt;=5000,"Alta","Muy Alta")))))</f>
        <v>Baja</v>
      </c>
      <c r="I42" s="148">
        <f>IF(H42="","",IF(H42="Muy Baja",0.2,IF(H42="Baja",0.4,IF(H42="Media",0.6,IF(H42="Alta",0.8,IF(H42="Muy Alta",1,))))))</f>
        <v>0.4</v>
      </c>
      <c r="J42" s="153" t="s">
        <v>148</v>
      </c>
      <c r="K42" s="148" t="str">
        <f>IF(NOT(ISERROR(MATCH(J42,'Tabla Impacto'!$B$221:$B$223,0))),'Tabla Impacto'!$F$228&amp;"Por favor no seleccionar los criterios de impacto(Afectación Económica o presupuestal y Pérdida Reputacional)",J42)</f>
        <v xml:space="preserve">     El riesgo afecta la imagen de la entidad con algunos usuarios de relevancia frente al logro de los objetivos</v>
      </c>
      <c r="L42" s="152" t="str">
        <f>IF(OR(K42='Tabla Impacto'!$C$11,K42='Tabla Impacto'!$D$11),"Leve",IF(OR(K42='Tabla Impacto'!$C$12,K42='Tabla Impacto'!$D$12),"Menor",IF(OR(K42='Tabla Impacto'!$C$13,K42='Tabla Impacto'!$D$13),"Moderado",IF(OR(K42='Tabla Impacto'!$C$14,K42='Tabla Impacto'!$D$14),"Mayor",IF(OR(K42='Tabla Impacto'!$C$15,K42='Tabla Impacto'!$D$15),"Catastrófico","")))))</f>
        <v>Moderado</v>
      </c>
      <c r="M42" s="148">
        <f>IF(L42="","",IF(L42="Leve",0.2,IF(L42="Menor",0.4,IF(L42="Moderado",0.6,IF(L42="Mayor",0.8,IF(L42="Catastrófico",1,))))))</f>
        <v>0.6</v>
      </c>
      <c r="N42" s="149"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Moderado</v>
      </c>
      <c r="O42" s="6">
        <v>1</v>
      </c>
      <c r="P42" s="201" t="s">
        <v>334</v>
      </c>
      <c r="Q42" s="193" t="str">
        <f>IF(OR(R42="Preventivo",R42="Detectivo"),"Probabilidad",IF(R42="Correctivo","Impacto",""))</f>
        <v>Probabilidad</v>
      </c>
      <c r="R42" s="194" t="s">
        <v>164</v>
      </c>
      <c r="S42" s="194" t="s">
        <v>172</v>
      </c>
      <c r="T42" s="195" t="str">
        <f>IF(AND(R42="Preventivo",S42="Automático"),"50%",IF(AND(R42="Preventivo",S42="Manual"),"40%",IF(AND(R42="Detectivo",S42="Automático"),"40%",IF(AND(R42="Detectivo",S42="Manual"),"30%",IF(AND(R42="Correctivo",S42="Automático"),"35%",IF(AND(R42="Correctivo",S42="Manual"),"25%",""))))))</f>
        <v>40%</v>
      </c>
      <c r="U42" s="194" t="s">
        <v>175</v>
      </c>
      <c r="V42" s="194" t="s">
        <v>180</v>
      </c>
      <c r="W42" s="194" t="s">
        <v>184</v>
      </c>
      <c r="X42" s="138">
        <f>IFERROR(IF(Q42="Probabilidad",(I42-(+I42*T42)),IF(Q42="Impacto",I42,"")),"")</f>
        <v>0.24</v>
      </c>
      <c r="Y42" s="196" t="str">
        <f>IFERROR(IF(X42="","",IF(X42&lt;=0.2,"Muy Baja",IF(X42&lt;=0.4,"Baja",IF(X42&lt;=0.6,"Media",IF(X42&lt;=0.8,"Alta","Muy Alta"))))),"")</f>
        <v>Baja</v>
      </c>
      <c r="Z42" s="144">
        <f>+X42</f>
        <v>0.24</v>
      </c>
      <c r="AA42" s="196" t="str">
        <f>IFERROR(IF(AB42="","",IF(AB42&lt;=0.2,"Leve",IF(AB42&lt;=0.4,"Menor",IF(AB42&lt;=0.6,"Moderado",IF(AB42&lt;=0.8,"Mayor","Catastrófico"))))),"")</f>
        <v>Moderado</v>
      </c>
      <c r="AB42" s="144">
        <f>IFERROR(IF(Q42="Impacto",(M42-(+M42*T42)),IF(Q42="Probabilidad",M42,"")),"")</f>
        <v>0.6</v>
      </c>
      <c r="AC42" s="197"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Moderado</v>
      </c>
      <c r="AD42" s="145" t="s">
        <v>189</v>
      </c>
      <c r="AE42" s="122"/>
      <c r="AF42" s="123"/>
      <c r="AG42" s="124"/>
      <c r="AH42" s="124"/>
      <c r="AI42" s="122"/>
      <c r="AJ42" s="123"/>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11.75" customHeight="1" x14ac:dyDescent="0.3">
      <c r="A43" s="269">
        <v>9</v>
      </c>
      <c r="B43" s="303" t="s">
        <v>192</v>
      </c>
      <c r="C43" s="205" t="s">
        <v>337</v>
      </c>
      <c r="D43" s="305" t="s">
        <v>336</v>
      </c>
      <c r="E43" s="320" t="s">
        <v>335</v>
      </c>
      <c r="F43" s="286" t="s">
        <v>200</v>
      </c>
      <c r="G43" s="292">
        <v>546</v>
      </c>
      <c r="H43" s="295" t="str">
        <f>IF(G43&lt;=0,"",IF(G43&lt;=2,"Muy Baja",IF(G43&lt;=24,"Baja",IF(G43&lt;=500,"Media",IF(G43&lt;=5000,"Alta","Muy Alta")))))</f>
        <v>Alta</v>
      </c>
      <c r="I43" s="282">
        <f>IF(H43="","",IF(H43="Muy Baja",0.2,IF(H43="Baja",0.4,IF(H43="Media",0.6,IF(H43="Alta",0.8,IF(H43="Muy Alta",1,))))))</f>
        <v>0.8</v>
      </c>
      <c r="J43" s="299" t="s">
        <v>148</v>
      </c>
      <c r="K43" s="282" t="str">
        <f>IF(NOT(ISERROR(MATCH(J43,'Tabla Impacto'!$B$221:$B$223,0))),'Tabla Impacto'!$F$228&amp;"Por favor no seleccionar los criterios de impacto(Afectación Económica o presupuestal y Pérdida Reputacional)",J43)</f>
        <v xml:space="preserve">     El riesgo afecta la imagen de la entidad con algunos usuarios de relevancia frente al logro de los objetivos</v>
      </c>
      <c r="L43" s="295" t="str">
        <f>IF(OR(K43='Tabla Impacto'!$C$11,K43='Tabla Impacto'!$D$11),"Leve",IF(OR(K43='Tabla Impacto'!$C$12,K43='Tabla Impacto'!$D$12),"Menor",IF(OR(K43='Tabla Impacto'!$C$13,K43='Tabla Impacto'!$D$13),"Moderado",IF(OR(K43='Tabla Impacto'!$C$14,K43='Tabla Impacto'!$D$14),"Mayor",IF(OR(K43='Tabla Impacto'!$C$15,K43='Tabla Impacto'!$D$15),"Catastrófico","")))))</f>
        <v>Moderado</v>
      </c>
      <c r="M43" s="282">
        <f>IF(L43="","",IF(L43="Leve",0.2,IF(L43="Menor",0.4,IF(L43="Moderado",0.6,IF(L43="Mayor",0.8,IF(L43="Catastrófico",1,))))))</f>
        <v>0.6</v>
      </c>
      <c r="N43" s="284"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Alto</v>
      </c>
      <c r="O43" s="269">
        <v>1</v>
      </c>
      <c r="P43" s="271" t="s">
        <v>339</v>
      </c>
      <c r="Q43" s="273" t="str">
        <f>IF(OR(R43="Preventivo",R43="Detectivo"),"Probabilidad",IF(R43="Correctivo","Impacto",""))</f>
        <v>Probabilidad</v>
      </c>
      <c r="R43" s="267" t="s">
        <v>164</v>
      </c>
      <c r="S43" s="267" t="s">
        <v>172</v>
      </c>
      <c r="T43" s="263" t="str">
        <f>IF(AND(R43="Preventivo",S43="Automático"),"50%",IF(AND(R43="Preventivo",S43="Manual"),"40%",IF(AND(R43="Detectivo",S43="Automático"),"40%",IF(AND(R43="Detectivo",S43="Manual"),"30%",IF(AND(R43="Correctivo",S43="Automático"),"35%",IF(AND(R43="Correctivo",S43="Manual"),"25%",""))))))</f>
        <v>40%</v>
      </c>
      <c r="U43" s="267" t="s">
        <v>175</v>
      </c>
      <c r="V43" s="267" t="s">
        <v>180</v>
      </c>
      <c r="W43" s="267" t="s">
        <v>184</v>
      </c>
      <c r="X43" s="138">
        <f>IFERROR(IF(Q43="Probabilidad",(I43-(+I43*T43)),IF(Q43="Impacto",I43,"")),"")</f>
        <v>0.48</v>
      </c>
      <c r="Y43" s="261" t="str">
        <f>IFERROR(IF(X43="","",IF(X43&lt;=0.2,"Muy Baja",IF(X43&lt;=0.4,"Baja",IF(X43&lt;=0.6,"Media",IF(X43&lt;=0.8,"Alta","Muy Alta"))))),"")</f>
        <v>Media</v>
      </c>
      <c r="Z43" s="263">
        <f>+X43</f>
        <v>0.48</v>
      </c>
      <c r="AA43" s="261" t="str">
        <f>IFERROR(IF(AB43="","",IF(AB43&lt;=0.2,"Leve",IF(AB43&lt;=0.4,"Menor",IF(AB43&lt;=0.6,"Moderado",IF(AB43&lt;=0.8,"Mayor","Catastrófico"))))),"")</f>
        <v>Moderado</v>
      </c>
      <c r="AB43" s="263">
        <f>IFERROR(IF(Q43="Impacto",(M43-(+M43*T43)),IF(Q43="Probabilidad",M43,"")),"")</f>
        <v>0.6</v>
      </c>
      <c r="AC43" s="265"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267" t="s">
        <v>189</v>
      </c>
      <c r="AE43" s="356"/>
      <c r="AF43" s="356"/>
      <c r="AG43" s="356"/>
      <c r="AH43" s="356"/>
      <c r="AI43" s="356"/>
      <c r="AJ43" s="35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70.5" customHeight="1" x14ac:dyDescent="0.3">
      <c r="A44" s="278"/>
      <c r="B44" s="304"/>
      <c r="C44" s="202" t="s">
        <v>338</v>
      </c>
      <c r="D44" s="306"/>
      <c r="E44" s="321"/>
      <c r="F44" s="287"/>
      <c r="G44" s="293"/>
      <c r="H44" s="296"/>
      <c r="I44" s="283"/>
      <c r="J44" s="300"/>
      <c r="K44" s="283">
        <f>IF(NOT(ISERROR(MATCH(J44,_xlfn.ANCHORARRAY(E56),0))),I58&amp;"Por favor no seleccionar los criterios de impacto",J44)</f>
        <v>0</v>
      </c>
      <c r="L44" s="296"/>
      <c r="M44" s="283"/>
      <c r="N44" s="285"/>
      <c r="O44" s="270"/>
      <c r="P44" s="272"/>
      <c r="Q44" s="274"/>
      <c r="R44" s="268"/>
      <c r="S44" s="268"/>
      <c r="T44" s="264"/>
      <c r="U44" s="268"/>
      <c r="V44" s="268"/>
      <c r="W44" s="268"/>
      <c r="X44" s="138" t="str">
        <f>IFERROR(IF(AND(Q43="Probabilidad",Q44="Probabilidad"),(Z43-(+Z43*T44)),IF(Q44="Probabilidad",(I43-(+I43*T44)),IF(Q44="Impacto",Z43,""))),"")</f>
        <v/>
      </c>
      <c r="Y44" s="262"/>
      <c r="Z44" s="264"/>
      <c r="AA44" s="262"/>
      <c r="AB44" s="264"/>
      <c r="AC44" s="266"/>
      <c r="AD44" s="268"/>
      <c r="AE44" s="358"/>
      <c r="AF44" s="358"/>
      <c r="AG44" s="358"/>
      <c r="AH44" s="358"/>
      <c r="AI44" s="358"/>
      <c r="AJ44" s="35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76.5" customHeight="1" x14ac:dyDescent="0.3">
      <c r="A45" s="269">
        <v>10</v>
      </c>
      <c r="B45" s="303" t="s">
        <v>190</v>
      </c>
      <c r="C45" s="205" t="s">
        <v>342</v>
      </c>
      <c r="D45" s="305" t="s">
        <v>341</v>
      </c>
      <c r="E45" s="320" t="s">
        <v>340</v>
      </c>
      <c r="F45" s="286" t="s">
        <v>200</v>
      </c>
      <c r="G45" s="292">
        <v>4000</v>
      </c>
      <c r="H45" s="295" t="str">
        <f>IF(G45&lt;=0,"",IF(G45&lt;=2,"Muy Baja",IF(G45&lt;=24,"Baja",IF(G45&lt;=500,"Media",IF(G45&lt;=5000,"Alta","Muy Alta")))))</f>
        <v>Alta</v>
      </c>
      <c r="I45" s="282">
        <f>IF(H45="","",IF(H45="Muy Baja",0.2,IF(H45="Baja",0.4,IF(H45="Media",0.6,IF(H45="Alta",0.8,IF(H45="Muy Alta",1,))))))</f>
        <v>0.8</v>
      </c>
      <c r="J45" s="299" t="s">
        <v>142</v>
      </c>
      <c r="K45" s="282" t="str">
        <f>IF(NOT(ISERROR(MATCH(J45,'Tabla Impacto'!$B$221:$B$223,0))),'Tabla Impacto'!$F$228&amp;"Por favor no seleccionar los criterios de impacto(Afectación Económica o presupuestal y Pérdida Reputacional)",J45)</f>
        <v xml:space="preserve">     Afectación menor a 10 SMLMV .</v>
      </c>
      <c r="L45" s="295" t="str">
        <f>IF(OR(K45='Tabla Impacto'!$C$11,K45='Tabla Impacto'!$D$11),"Leve",IF(OR(K45='Tabla Impacto'!$C$12,K45='Tabla Impacto'!$D$12),"Menor",IF(OR(K45='Tabla Impacto'!$C$13,K45='Tabla Impacto'!$D$13),"Moderado",IF(OR(K45='Tabla Impacto'!$C$14,K45='Tabla Impacto'!$D$14),"Mayor",IF(OR(K45='Tabla Impacto'!$C$15,K45='Tabla Impacto'!$D$15),"Catastrófico","")))))</f>
        <v>Leve</v>
      </c>
      <c r="M45" s="282">
        <f>IF(L45="","",IF(L45="Leve",0.2,IF(L45="Menor",0.4,IF(L45="Moderado",0.6,IF(L45="Mayor",0.8,IF(L45="Catastrófico",1,))))))</f>
        <v>0.2</v>
      </c>
      <c r="N45" s="284" t="str">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v>Moderado</v>
      </c>
      <c r="O45" s="6">
        <v>1</v>
      </c>
      <c r="P45" s="201" t="s">
        <v>345</v>
      </c>
      <c r="Q45" s="193" t="str">
        <f>IF(OR(R45="Preventivo",R45="Detectivo"),"Probabilidad",IF(R45="Correctivo","Impacto",""))</f>
        <v>Probabilidad</v>
      </c>
      <c r="R45" s="194" t="s">
        <v>164</v>
      </c>
      <c r="S45" s="194" t="s">
        <v>172</v>
      </c>
      <c r="T45" s="195" t="str">
        <f>IF(AND(R45="Preventivo",S45="Automático"),"50%",IF(AND(R45="Preventivo",S45="Manual"),"40%",IF(AND(R45="Detectivo",S45="Automático"),"40%",IF(AND(R45="Detectivo",S45="Manual"),"30%",IF(AND(R45="Correctivo",S45="Automático"),"35%",IF(AND(R45="Correctivo",S45="Manual"),"25%",""))))))</f>
        <v>40%</v>
      </c>
      <c r="U45" s="194" t="s">
        <v>175</v>
      </c>
      <c r="V45" s="194" t="s">
        <v>180</v>
      </c>
      <c r="W45" s="194" t="s">
        <v>184</v>
      </c>
      <c r="X45" s="138">
        <f>IFERROR(IF(Q45="Probabilidad",(I45-(+I45*T45)),IF(Q45="Impacto",I45,"")),"")</f>
        <v>0.48</v>
      </c>
      <c r="Y45" s="196" t="str">
        <f>IFERROR(IF(X45="","",IF(X45&lt;=0.2,"Muy Baja",IF(X45&lt;=0.4,"Baja",IF(X45&lt;=0.6,"Media",IF(X45&lt;=0.8,"Alta","Muy Alta"))))),"")</f>
        <v>Media</v>
      </c>
      <c r="Z45" s="144">
        <f>+X45</f>
        <v>0.48</v>
      </c>
      <c r="AA45" s="196" t="str">
        <f>IFERROR(IF(AB45="","",IF(AB45&lt;=0.2,"Leve",IF(AB45&lt;=0.4,"Menor",IF(AB45&lt;=0.6,"Moderado",IF(AB45&lt;=0.8,"Mayor","Catastrófico"))))),"")</f>
        <v>Leve</v>
      </c>
      <c r="AB45" s="144">
        <f>IFERROR(IF(Q45="Impacto",(M45-(+M45*T45)),IF(Q45="Probabilidad",M45,"")),"")</f>
        <v>0.2</v>
      </c>
      <c r="AC45" s="197"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Moderado</v>
      </c>
      <c r="AD45" s="267" t="s">
        <v>189</v>
      </c>
      <c r="AE45" s="356"/>
      <c r="AF45" s="356"/>
      <c r="AG45" s="356"/>
      <c r="AH45" s="356"/>
      <c r="AI45" s="356"/>
      <c r="AJ45" s="35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81" customHeight="1" x14ac:dyDescent="0.3">
      <c r="A46" s="278"/>
      <c r="B46" s="304"/>
      <c r="C46" s="205" t="s">
        <v>343</v>
      </c>
      <c r="D46" s="306"/>
      <c r="E46" s="321"/>
      <c r="F46" s="287"/>
      <c r="G46" s="293"/>
      <c r="H46" s="296"/>
      <c r="I46" s="283"/>
      <c r="J46" s="300"/>
      <c r="K46" s="283">
        <f>IF(NOT(ISERROR(MATCH(J46,_xlfn.ANCHORARRAY(E62),0))),I64&amp;"Por favor no seleccionar los criterios de impacto",J46)</f>
        <v>0</v>
      </c>
      <c r="L46" s="296"/>
      <c r="M46" s="283"/>
      <c r="N46" s="285"/>
      <c r="O46" s="269">
        <v>2</v>
      </c>
      <c r="P46" s="271" t="s">
        <v>346</v>
      </c>
      <c r="Q46" s="273" t="str">
        <f>IF(OR(R46="Preventivo",R46="Detectivo"),"Probabilidad",IF(R46="Correctivo","Impacto",""))</f>
        <v>Probabilidad</v>
      </c>
      <c r="R46" s="267" t="s">
        <v>164</v>
      </c>
      <c r="S46" s="267" t="s">
        <v>172</v>
      </c>
      <c r="T46" s="263" t="str">
        <f>IF(AND(R46="Preventivo",S46="Automático"),"50%",IF(AND(R46="Preventivo",S46="Manual"),"40%",IF(AND(R46="Detectivo",S46="Automático"),"40%",IF(AND(R46="Detectivo",S46="Manual"),"30%",IF(AND(R46="Correctivo",S46="Automático"),"35%",IF(AND(R46="Correctivo",S46="Manual"),"25%",""))))))</f>
        <v>40%</v>
      </c>
      <c r="U46" s="267" t="s">
        <v>175</v>
      </c>
      <c r="V46" s="267" t="s">
        <v>180</v>
      </c>
      <c r="W46" s="267" t="s">
        <v>184</v>
      </c>
      <c r="X46" s="138">
        <f>IFERROR(IF(AND(Q45="Probabilidad",Q46="Probabilidad"),(Z45-(+Z45*T46)),IF(Q46="Probabilidad",(I45-(+I45*T46)),IF(Q46="Impacto",Z45,""))),"")</f>
        <v>0.28799999999999998</v>
      </c>
      <c r="Y46" s="261" t="str">
        <f>IFERROR(IF(X46="","",IF(X46&lt;=0.2,"Muy Baja",IF(X46&lt;=0.4,"Baja",IF(X46&lt;=0.6,"Media",IF(X46&lt;=0.8,"Alta","Muy Alta"))))),"")</f>
        <v>Baja</v>
      </c>
      <c r="Z46" s="263">
        <f>+X46</f>
        <v>0.28799999999999998</v>
      </c>
      <c r="AA46" s="261" t="str">
        <f>IFERROR(IF(AB46="","",IF(AB46&lt;=0.2,"Leve",IF(AB46&lt;=0.4,"Menor",IF(AB46&lt;=0.6,"Moderado",IF(AB46&lt;=0.8,"Mayor","Catastrófico"))))),"")</f>
        <v>Leve</v>
      </c>
      <c r="AB46" s="263">
        <f>IFERROR(IF(AND(Q45="Impacto",Q46="Impacto"),(AB45-(+AB45*T46)),IF(Q46="Impacto",(M45-(+M45*T46)),IF(Q46="Probabilidad",AB45,""))),"")</f>
        <v>0.2</v>
      </c>
      <c r="AC46" s="265"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Bajo</v>
      </c>
      <c r="AD46" s="276"/>
      <c r="AE46" s="357"/>
      <c r="AF46" s="357"/>
      <c r="AG46" s="357"/>
      <c r="AH46" s="357"/>
      <c r="AI46" s="357"/>
      <c r="AJ46" s="357"/>
    </row>
    <row r="47" spans="1:68" ht="51.75" customHeight="1" x14ac:dyDescent="0.3">
      <c r="A47" s="278"/>
      <c r="B47" s="304"/>
      <c r="C47" s="205" t="s">
        <v>344</v>
      </c>
      <c r="D47" s="306"/>
      <c r="E47" s="321"/>
      <c r="F47" s="287"/>
      <c r="G47" s="293"/>
      <c r="H47" s="296"/>
      <c r="I47" s="283"/>
      <c r="J47" s="300"/>
      <c r="K47" s="283">
        <f>IF(NOT(ISERROR(MATCH(J47,_xlfn.ANCHORARRAY(E63),0))),I65&amp;"Por favor no seleccionar los criterios de impacto",J47)</f>
        <v>0</v>
      </c>
      <c r="L47" s="296"/>
      <c r="M47" s="283"/>
      <c r="N47" s="285"/>
      <c r="O47" s="270"/>
      <c r="P47" s="272"/>
      <c r="Q47" s="274"/>
      <c r="R47" s="268"/>
      <c r="S47" s="268"/>
      <c r="T47" s="264"/>
      <c r="U47" s="268"/>
      <c r="V47" s="268"/>
      <c r="W47" s="268"/>
      <c r="X47" s="138" t="str">
        <f>IFERROR(IF(AND(Q46="Probabilidad",Q47="Probabilidad"),(Z46-(+Z46*T47)),IF(AND(Q46="Impacto",Q47="Probabilidad"),(Z45-(+Z45*T47)),IF(Q47="Impacto",Z46,""))),"")</f>
        <v/>
      </c>
      <c r="Y47" s="262"/>
      <c r="Z47" s="264"/>
      <c r="AA47" s="262"/>
      <c r="AB47" s="264"/>
      <c r="AC47" s="266"/>
      <c r="AD47" s="268"/>
      <c r="AE47" s="358"/>
      <c r="AF47" s="358"/>
      <c r="AG47" s="358"/>
      <c r="AH47" s="358"/>
      <c r="AI47" s="358"/>
      <c r="AJ47" s="358"/>
    </row>
    <row r="48" spans="1:68" ht="117" customHeight="1" x14ac:dyDescent="0.3">
      <c r="A48" s="269">
        <v>11</v>
      </c>
      <c r="B48" s="303" t="s">
        <v>194</v>
      </c>
      <c r="C48" s="205" t="s">
        <v>348</v>
      </c>
      <c r="D48" s="305" t="s">
        <v>349</v>
      </c>
      <c r="E48" s="320" t="s">
        <v>404</v>
      </c>
      <c r="F48" s="286" t="s">
        <v>200</v>
      </c>
      <c r="G48" s="292">
        <v>12</v>
      </c>
      <c r="H48" s="295" t="str">
        <f>IF(G48&lt;=0,"",IF(G48&lt;=2,"Muy Baja",IF(G48&lt;=24,"Baja",IF(G48&lt;=500,"Media",IF(G48&lt;=5000,"Alta","Muy Alta")))))</f>
        <v>Baja</v>
      </c>
      <c r="I48" s="282">
        <f>IF(H48="","",IF(H48="Muy Baja",0.2,IF(H48="Baja",0.4,IF(H48="Media",0.6,IF(H48="Alta",0.8,IF(H48="Muy Alta",1,))))))</f>
        <v>0.4</v>
      </c>
      <c r="J48" s="299" t="s">
        <v>147</v>
      </c>
      <c r="K48" s="282" t="str">
        <f>IF(NOT(ISERROR(MATCH(J48,'Tabla Impacto'!$B$221:$B$223,0))),'Tabla Impacto'!$F$228&amp;"Por favor no seleccionar los criterios de impacto(Afectación Económica o presupuestal y Pérdida Reputacional)",J48)</f>
        <v xml:space="preserve">     Entre 50 y 100 SMLMV </v>
      </c>
      <c r="L48" s="295" t="str">
        <f>IF(OR(K48='Tabla Impacto'!$C$11,K48='Tabla Impacto'!$D$11),"Leve",IF(OR(K48='Tabla Impacto'!$C$12,K48='Tabla Impacto'!$D$12),"Menor",IF(OR(K48='Tabla Impacto'!$C$13,K48='Tabla Impacto'!$D$13),"Moderado",IF(OR(K48='Tabla Impacto'!$C$14,K48='Tabla Impacto'!$D$14),"Mayor",IF(OR(K48='Tabla Impacto'!$C$15,K48='Tabla Impacto'!$D$15),"Catastrófico","")))))</f>
        <v>Moderado</v>
      </c>
      <c r="M48" s="282">
        <f>IF(L48="","",IF(L48="Leve",0.2,IF(L48="Menor",0.4,IF(L48="Moderado",0.6,IF(L48="Mayor",0.8,IF(L48="Catastrófico",1,))))))</f>
        <v>0.6</v>
      </c>
      <c r="N48" s="28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Moderado</v>
      </c>
      <c r="O48" s="269">
        <v>1</v>
      </c>
      <c r="P48" s="271" t="s">
        <v>350</v>
      </c>
      <c r="Q48" s="273" t="str">
        <f>IF(OR(R48="Preventivo",R48="Detectivo"),"Probabilidad",IF(R48="Correctivo","Impacto",""))</f>
        <v>Probabilidad</v>
      </c>
      <c r="R48" s="267" t="s">
        <v>166</v>
      </c>
      <c r="S48" s="267" t="s">
        <v>172</v>
      </c>
      <c r="T48" s="263" t="str">
        <f>IF(AND(R48="Preventivo",S48="Automático"),"50%",IF(AND(R48="Preventivo",S48="Manual"),"40%",IF(AND(R48="Detectivo",S48="Automático"),"40%",IF(AND(R48="Detectivo",S48="Manual"),"30%",IF(AND(R48="Correctivo",S48="Automático"),"35%",IF(AND(R48="Correctivo",S48="Manual"),"25%",""))))))</f>
        <v>30%</v>
      </c>
      <c r="U48" s="267" t="s">
        <v>175</v>
      </c>
      <c r="V48" s="267" t="s">
        <v>180</v>
      </c>
      <c r="W48" s="267" t="s">
        <v>184</v>
      </c>
      <c r="X48" s="138">
        <f>IFERROR(IF(Q48="Probabilidad",(I48-(+I48*T48)),IF(Q48="Impacto",I48,"")),"")</f>
        <v>0.28000000000000003</v>
      </c>
      <c r="Y48" s="261" t="str">
        <f>IFERROR(IF(X48="","",IF(X48&lt;=0.2,"Muy Baja",IF(X48&lt;=0.4,"Baja",IF(X48&lt;=0.6,"Media",IF(X48&lt;=0.8,"Alta","Muy Alta"))))),"")</f>
        <v>Baja</v>
      </c>
      <c r="Z48" s="263">
        <f>+X48</f>
        <v>0.28000000000000003</v>
      </c>
      <c r="AA48" s="261" t="str">
        <f>IFERROR(IF(AB48="","",IF(AB48&lt;=0.2,"Leve",IF(AB48&lt;=0.4,"Menor",IF(AB48&lt;=0.6,"Moderado",IF(AB48&lt;=0.8,"Mayor","Catastrófico"))))),"")</f>
        <v>Moderado</v>
      </c>
      <c r="AB48" s="263">
        <f>IFERROR(IF(Q48="Impacto",(M48-(+M48*T48)),IF(Q48="Probabilidad",M48,"")),"")</f>
        <v>0.6</v>
      </c>
      <c r="AC48" s="265"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Moderado</v>
      </c>
      <c r="AD48" s="267" t="s">
        <v>193</v>
      </c>
      <c r="AE48" s="356"/>
      <c r="AF48" s="356"/>
      <c r="AG48" s="356"/>
      <c r="AH48" s="356"/>
      <c r="AI48" s="356"/>
      <c r="AJ48" s="35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69.75" customHeight="1" x14ac:dyDescent="0.3">
      <c r="A49" s="278"/>
      <c r="B49" s="304"/>
      <c r="C49" s="205" t="s">
        <v>347</v>
      </c>
      <c r="D49" s="306"/>
      <c r="E49" s="321"/>
      <c r="F49" s="287"/>
      <c r="G49" s="293"/>
      <c r="H49" s="296"/>
      <c r="I49" s="283"/>
      <c r="J49" s="300"/>
      <c r="K49" s="283">
        <f>IF(NOT(ISERROR(MATCH(J49,_xlfn.ANCHORARRAY(E68),0))),I70&amp;"Por favor no seleccionar los criterios de impacto",J49)</f>
        <v>0</v>
      </c>
      <c r="L49" s="296"/>
      <c r="M49" s="283"/>
      <c r="N49" s="285"/>
      <c r="O49" s="270"/>
      <c r="P49" s="272"/>
      <c r="Q49" s="274"/>
      <c r="R49" s="268"/>
      <c r="S49" s="268"/>
      <c r="T49" s="264"/>
      <c r="U49" s="268"/>
      <c r="V49" s="268"/>
      <c r="W49" s="268"/>
      <c r="X49" s="138" t="str">
        <f>IFERROR(IF(AND(Q48="Probabilidad",Q49="Probabilidad"),(Z48-(+Z48*T49)),IF(Q49="Probabilidad",(I48-(+I48*T49)),IF(Q49="Impacto",Z48,""))),"")</f>
        <v/>
      </c>
      <c r="Y49" s="262"/>
      <c r="Z49" s="264"/>
      <c r="AA49" s="262"/>
      <c r="AB49" s="264"/>
      <c r="AC49" s="266"/>
      <c r="AD49" s="268"/>
      <c r="AE49" s="358"/>
      <c r="AF49" s="358"/>
      <c r="AG49" s="358"/>
      <c r="AH49" s="358"/>
      <c r="AI49" s="358"/>
      <c r="AJ49" s="358"/>
    </row>
    <row r="50" spans="1:68" ht="21.75" hidden="1" customHeight="1" x14ac:dyDescent="0.3">
      <c r="A50" s="269">
        <v>12</v>
      </c>
      <c r="B50" s="286"/>
      <c r="C50" s="287"/>
      <c r="D50" s="286"/>
      <c r="E50" s="289"/>
      <c r="F50" s="286"/>
      <c r="G50" s="292"/>
      <c r="H50" s="295" t="str">
        <f>IF(G50&lt;=0,"",IF(G50&lt;=2,"Muy Baja",IF(G50&lt;=24,"Baja",IF(G50&lt;=500,"Media",IF(G50&lt;=5000,"Alta","Muy Alta")))))</f>
        <v/>
      </c>
      <c r="I50" s="282" t="str">
        <f>IF(H50="","",IF(H50="Muy Baja",0.2,IF(H50="Baja",0.4,IF(H50="Media",0.6,IF(H50="Alta",0.8,IF(H50="Muy Alta",1,))))))</f>
        <v/>
      </c>
      <c r="J50" s="299"/>
      <c r="K50" s="282">
        <f>IF(NOT(ISERROR(MATCH(J50,'Tabla Impacto'!$B$221:$B$223,0))),'Tabla Impacto'!$F$228&amp;"Por favor no seleccionar los criterios de impacto(Afectación Económica o presupuestal y Pérdida Reputacional)",J50)</f>
        <v>0</v>
      </c>
      <c r="L50" s="295" t="str">
        <f>IF(OR(K50='Tabla Impacto'!$C$11,K50='Tabla Impacto'!$D$11),"Leve",IF(OR(K50='Tabla Impacto'!$C$12,K50='Tabla Impacto'!$D$12),"Menor",IF(OR(K50='Tabla Impacto'!$C$13,K50='Tabla Impacto'!$D$13),"Moderado",IF(OR(K50='Tabla Impacto'!$C$14,K50='Tabla Impacto'!$D$14),"Mayor",IF(OR(K50='Tabla Impacto'!$C$15,K50='Tabla Impacto'!$D$15),"Catastrófico","")))))</f>
        <v/>
      </c>
      <c r="M50" s="282" t="str">
        <f>IF(L50="","",IF(L50="Leve",0.2,IF(L50="Menor",0.4,IF(L50="Moderado",0.6,IF(L50="Mayor",0.8,IF(L50="Catastrófico",1,))))))</f>
        <v/>
      </c>
      <c r="N50" s="284"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6">
        <v>1</v>
      </c>
      <c r="P50" s="198"/>
      <c r="Q50" s="193" t="str">
        <f t="shared" ref="Q50:Q55" si="0">IF(OR(R50="Preventivo",R50="Detectivo"),"Probabilidad",IF(R50="Correctivo","Impacto",""))</f>
        <v/>
      </c>
      <c r="R50" s="194"/>
      <c r="S50" s="194"/>
      <c r="T50" s="195" t="str">
        <f t="shared" ref="T50:T55" si="1">IF(AND(R50="Preventivo",S50="Automático"),"50%",IF(AND(R50="Preventivo",S50="Manual"),"40%",IF(AND(R50="Detectivo",S50="Automático"),"40%",IF(AND(R50="Detectivo",S50="Manual"),"30%",IF(AND(R50="Correctivo",S50="Automático"),"35%",IF(AND(R50="Correctivo",S50="Manual"),"25%",""))))))</f>
        <v/>
      </c>
      <c r="U50" s="194"/>
      <c r="V50" s="194"/>
      <c r="W50" s="194"/>
      <c r="X50" s="138" t="str">
        <f>IFERROR(IF(Q50="Probabilidad",(I50-(+I50*T50)),IF(Q50="Impacto",I50,"")),"")</f>
        <v/>
      </c>
      <c r="Y50" s="196" t="str">
        <f t="shared" ref="Y50:Y55" si="2">IFERROR(IF(X50="","",IF(X50&lt;=0.2,"Muy Baja",IF(X50&lt;=0.4,"Baja",IF(X50&lt;=0.6,"Media",IF(X50&lt;=0.8,"Alta","Muy Alta"))))),"")</f>
        <v/>
      </c>
      <c r="Z50" s="144" t="str">
        <f t="shared" ref="Z50:Z55" si="3">+X50</f>
        <v/>
      </c>
      <c r="AA50" s="196" t="str">
        <f t="shared" ref="AA50:AA55" si="4">IFERROR(IF(AB50="","",IF(AB50&lt;=0.2,"Leve",IF(AB50&lt;=0.4,"Menor",IF(AB50&lt;=0.6,"Moderado",IF(AB50&lt;=0.8,"Mayor","Catastrófico"))))),"")</f>
        <v/>
      </c>
      <c r="AB50" s="144" t="str">
        <f>IFERROR(IF(Q50="Impacto",(M50-(+M50*T50)),IF(Q50="Probabilidad",M50,"")),"")</f>
        <v/>
      </c>
      <c r="AC50" s="197" t="str">
        <f t="shared" ref="AC50:AC55" si="5">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45"/>
      <c r="AE50" s="122"/>
      <c r="AF50" s="123"/>
      <c r="AG50" s="124"/>
      <c r="AH50" s="124"/>
      <c r="AI50" s="122"/>
      <c r="AJ50" s="123"/>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8.75" hidden="1" customHeight="1" x14ac:dyDescent="0.3">
      <c r="A51" s="278"/>
      <c r="B51" s="287"/>
      <c r="C51" s="287"/>
      <c r="D51" s="287"/>
      <c r="E51" s="290"/>
      <c r="F51" s="287"/>
      <c r="G51" s="293"/>
      <c r="H51" s="296"/>
      <c r="I51" s="283"/>
      <c r="J51" s="300"/>
      <c r="K51" s="283">
        <f>IF(NOT(ISERROR(MATCH(J51,_xlfn.ANCHORARRAY(E74),0))),I76&amp;"Por favor no seleccionar los criterios de impacto",J51)</f>
        <v>0</v>
      </c>
      <c r="L51" s="296"/>
      <c r="M51" s="283"/>
      <c r="N51" s="285"/>
      <c r="O51" s="6">
        <v>2</v>
      </c>
      <c r="P51" s="198"/>
      <c r="Q51" s="193" t="str">
        <f t="shared" si="0"/>
        <v/>
      </c>
      <c r="R51" s="194"/>
      <c r="S51" s="194"/>
      <c r="T51" s="195" t="str">
        <f t="shared" si="1"/>
        <v/>
      </c>
      <c r="U51" s="194"/>
      <c r="V51" s="194"/>
      <c r="W51" s="194"/>
      <c r="X51" s="138" t="str">
        <f>IFERROR(IF(AND(Q50="Probabilidad",Q51="Probabilidad"),(Z50-(+Z50*T51)),IF(Q51="Probabilidad",(I50-(+I50*T51)),IF(Q51="Impacto",Z50,""))),"")</f>
        <v/>
      </c>
      <c r="Y51" s="196" t="str">
        <f t="shared" si="2"/>
        <v/>
      </c>
      <c r="Z51" s="144" t="str">
        <f t="shared" si="3"/>
        <v/>
      </c>
      <c r="AA51" s="196" t="str">
        <f t="shared" si="4"/>
        <v/>
      </c>
      <c r="AB51" s="144" t="str">
        <f>IFERROR(IF(AND(Q50="Impacto",Q51="Impacto"),(AB50-(+AB50*T51)),IF(Q51="Impacto",(M50-(+M50*T51)),IF(Q51="Probabilidad",AB50,""))),"")</f>
        <v/>
      </c>
      <c r="AC51" s="197" t="str">
        <f t="shared" si="5"/>
        <v/>
      </c>
      <c r="AD51" s="145"/>
      <c r="AE51" s="122"/>
      <c r="AF51" s="123"/>
      <c r="AG51" s="124"/>
      <c r="AH51" s="124"/>
      <c r="AI51" s="122"/>
      <c r="AJ51" s="123"/>
    </row>
    <row r="52" spans="1:68" ht="27" hidden="1" customHeight="1" x14ac:dyDescent="0.3">
      <c r="A52" s="278"/>
      <c r="B52" s="287"/>
      <c r="C52" s="287"/>
      <c r="D52" s="287"/>
      <c r="E52" s="290"/>
      <c r="F52" s="287"/>
      <c r="G52" s="293"/>
      <c r="H52" s="296"/>
      <c r="I52" s="283"/>
      <c r="J52" s="300"/>
      <c r="K52" s="283">
        <f>IF(NOT(ISERROR(MATCH(J52,_xlfn.ANCHORARRAY(E75),0))),I77&amp;"Por favor no seleccionar los criterios de impacto",J52)</f>
        <v>0</v>
      </c>
      <c r="L52" s="296"/>
      <c r="M52" s="283"/>
      <c r="N52" s="285"/>
      <c r="O52" s="6">
        <v>3</v>
      </c>
      <c r="P52" s="199"/>
      <c r="Q52" s="193" t="str">
        <f t="shared" si="0"/>
        <v/>
      </c>
      <c r="R52" s="194"/>
      <c r="S52" s="194"/>
      <c r="T52" s="195" t="str">
        <f t="shared" si="1"/>
        <v/>
      </c>
      <c r="U52" s="194"/>
      <c r="V52" s="194"/>
      <c r="W52" s="194"/>
      <c r="X52" s="138" t="str">
        <f>IFERROR(IF(AND(Q51="Probabilidad",Q52="Probabilidad"),(Z51-(+Z51*T52)),IF(AND(Q51="Impacto",Q52="Probabilidad"),(Z50-(+Z50*T52)),IF(Q52="Impacto",Z51,""))),"")</f>
        <v/>
      </c>
      <c r="Y52" s="196" t="str">
        <f t="shared" si="2"/>
        <v/>
      </c>
      <c r="Z52" s="144" t="str">
        <f t="shared" si="3"/>
        <v/>
      </c>
      <c r="AA52" s="196" t="str">
        <f t="shared" si="4"/>
        <v/>
      </c>
      <c r="AB52" s="144" t="str">
        <f>IFERROR(IF(AND(Q51="Impacto",Q52="Impacto"),(AB51-(+AB51*T52)),IF(AND(Q51="Probabilidad",Q52="Impacto"),(AB50-(+AB50*T52)),IF(Q52="Probabilidad",AB51,""))),"")</f>
        <v/>
      </c>
      <c r="AC52" s="197" t="str">
        <f t="shared" si="5"/>
        <v/>
      </c>
      <c r="AD52" s="145"/>
      <c r="AE52" s="122"/>
      <c r="AF52" s="123"/>
      <c r="AG52" s="124"/>
      <c r="AH52" s="124"/>
      <c r="AI52" s="122"/>
      <c r="AJ52" s="123"/>
    </row>
    <row r="53" spans="1:68" ht="22.5" hidden="1" customHeight="1" x14ac:dyDescent="0.3">
      <c r="A53" s="278"/>
      <c r="B53" s="287"/>
      <c r="C53" s="287"/>
      <c r="D53" s="287"/>
      <c r="E53" s="290"/>
      <c r="F53" s="287"/>
      <c r="G53" s="293"/>
      <c r="H53" s="296"/>
      <c r="I53" s="283"/>
      <c r="J53" s="300"/>
      <c r="K53" s="283">
        <f>IF(NOT(ISERROR(MATCH(J53,_xlfn.ANCHORARRAY(E76),0))),I78&amp;"Por favor no seleccionar los criterios de impacto",J53)</f>
        <v>0</v>
      </c>
      <c r="L53" s="296"/>
      <c r="M53" s="283"/>
      <c r="N53" s="285"/>
      <c r="O53" s="6">
        <v>4</v>
      </c>
      <c r="P53" s="198"/>
      <c r="Q53" s="193" t="str">
        <f t="shared" si="0"/>
        <v/>
      </c>
      <c r="R53" s="194"/>
      <c r="S53" s="194"/>
      <c r="T53" s="195" t="str">
        <f t="shared" si="1"/>
        <v/>
      </c>
      <c r="U53" s="194"/>
      <c r="V53" s="194"/>
      <c r="W53" s="194"/>
      <c r="X53" s="138" t="str">
        <f>IFERROR(IF(AND(Q52="Probabilidad",Q53="Probabilidad"),(Z52-(+Z52*T53)),IF(AND(Q52="Impacto",Q53="Probabilidad"),(Z51-(+Z51*T53)),IF(Q53="Impacto",Z52,""))),"")</f>
        <v/>
      </c>
      <c r="Y53" s="196" t="str">
        <f t="shared" si="2"/>
        <v/>
      </c>
      <c r="Z53" s="144" t="str">
        <f t="shared" si="3"/>
        <v/>
      </c>
      <c r="AA53" s="196" t="str">
        <f t="shared" si="4"/>
        <v/>
      </c>
      <c r="AB53" s="144" t="str">
        <f>IFERROR(IF(AND(Q52="Impacto",Q53="Impacto"),(AB52-(+AB52*T53)),IF(AND(Q52="Probabilidad",Q53="Impacto"),(AB51-(+AB51*T53)),IF(Q53="Probabilidad",AB52,""))),"")</f>
        <v/>
      </c>
      <c r="AC53" s="197" t="str">
        <f t="shared" si="5"/>
        <v/>
      </c>
      <c r="AD53" s="145"/>
      <c r="AE53" s="122"/>
      <c r="AF53" s="123"/>
      <c r="AG53" s="124"/>
      <c r="AH53" s="124"/>
      <c r="AI53" s="122"/>
      <c r="AJ53" s="123"/>
    </row>
    <row r="54" spans="1:68" ht="23.25" hidden="1" customHeight="1" x14ac:dyDescent="0.3">
      <c r="A54" s="278"/>
      <c r="B54" s="287"/>
      <c r="C54" s="287"/>
      <c r="D54" s="287"/>
      <c r="E54" s="290"/>
      <c r="F54" s="287"/>
      <c r="G54" s="293"/>
      <c r="H54" s="296"/>
      <c r="I54" s="283"/>
      <c r="J54" s="300"/>
      <c r="K54" s="283">
        <f>IF(NOT(ISERROR(MATCH(J54,_xlfn.ANCHORARRAY(E77),0))),I79&amp;"Por favor no seleccionar los criterios de impacto",J54)</f>
        <v>0</v>
      </c>
      <c r="L54" s="296"/>
      <c r="M54" s="283"/>
      <c r="N54" s="285"/>
      <c r="O54" s="6">
        <v>5</v>
      </c>
      <c r="P54" s="198"/>
      <c r="Q54" s="193" t="str">
        <f t="shared" si="0"/>
        <v/>
      </c>
      <c r="R54" s="194"/>
      <c r="S54" s="194"/>
      <c r="T54" s="195" t="str">
        <f t="shared" si="1"/>
        <v/>
      </c>
      <c r="U54" s="194"/>
      <c r="V54" s="194"/>
      <c r="W54" s="194"/>
      <c r="X54" s="138" t="str">
        <f>IFERROR(IF(AND(Q53="Probabilidad",Q54="Probabilidad"),(Z53-(+Z53*T54)),IF(AND(Q53="Impacto",Q54="Probabilidad"),(Z52-(+Z52*T54)),IF(Q54="Impacto",Z53,""))),"")</f>
        <v/>
      </c>
      <c r="Y54" s="196" t="str">
        <f t="shared" si="2"/>
        <v/>
      </c>
      <c r="Z54" s="144" t="str">
        <f t="shared" si="3"/>
        <v/>
      </c>
      <c r="AA54" s="196" t="str">
        <f t="shared" si="4"/>
        <v/>
      </c>
      <c r="AB54" s="144" t="str">
        <f>IFERROR(IF(AND(Q53="Impacto",Q54="Impacto"),(AB53-(+AB53*T54)),IF(AND(Q53="Probabilidad",Q54="Impacto"),(AB52-(+AB52*T54)),IF(Q54="Probabilidad",AB53,""))),"")</f>
        <v/>
      </c>
      <c r="AC54" s="197" t="str">
        <f t="shared" si="5"/>
        <v/>
      </c>
      <c r="AD54" s="145"/>
      <c r="AE54" s="122"/>
      <c r="AF54" s="123"/>
      <c r="AG54" s="124"/>
      <c r="AH54" s="124"/>
      <c r="AI54" s="122"/>
      <c r="AJ54" s="123"/>
    </row>
    <row r="55" spans="1:68" ht="26.25" hidden="1" customHeight="1" x14ac:dyDescent="0.3">
      <c r="A55" s="270"/>
      <c r="B55" s="288"/>
      <c r="C55" s="288"/>
      <c r="D55" s="288"/>
      <c r="E55" s="291"/>
      <c r="F55" s="288"/>
      <c r="G55" s="294"/>
      <c r="H55" s="297"/>
      <c r="I55" s="298"/>
      <c r="J55" s="301"/>
      <c r="K55" s="298">
        <f>IF(NOT(ISERROR(MATCH(J55,_xlfn.ANCHORARRAY(E78),0))),I80&amp;"Por favor no seleccionar los criterios de impacto",J55)</f>
        <v>0</v>
      </c>
      <c r="L55" s="297"/>
      <c r="M55" s="298"/>
      <c r="N55" s="302"/>
      <c r="O55" s="6">
        <v>6</v>
      </c>
      <c r="P55" s="198"/>
      <c r="Q55" s="193" t="str">
        <f t="shared" si="0"/>
        <v/>
      </c>
      <c r="R55" s="194"/>
      <c r="S55" s="194"/>
      <c r="T55" s="195" t="str">
        <f t="shared" si="1"/>
        <v/>
      </c>
      <c r="U55" s="194"/>
      <c r="V55" s="194"/>
      <c r="W55" s="194"/>
      <c r="X55" s="138" t="str">
        <f>IFERROR(IF(AND(Q54="Probabilidad",Q55="Probabilidad"),(Z54-(+Z54*T55)),IF(AND(Q54="Impacto",Q55="Probabilidad"),(Z53-(+Z53*T55)),IF(Q55="Impacto",Z54,""))),"")</f>
        <v/>
      </c>
      <c r="Y55" s="196" t="str">
        <f t="shared" si="2"/>
        <v/>
      </c>
      <c r="Z55" s="144" t="str">
        <f t="shared" si="3"/>
        <v/>
      </c>
      <c r="AA55" s="196" t="str">
        <f t="shared" si="4"/>
        <v/>
      </c>
      <c r="AB55" s="144" t="str">
        <f>IFERROR(IF(AND(Q54="Impacto",Q55="Impacto"),(AB54-(+AB54*T55)),IF(AND(Q54="Probabilidad",Q55="Impacto"),(AB53-(+AB53*T55)),IF(Q55="Probabilidad",AB54,""))),"")</f>
        <v/>
      </c>
      <c r="AC55" s="197" t="str">
        <f t="shared" si="5"/>
        <v/>
      </c>
      <c r="AD55" s="145"/>
      <c r="AE55" s="122"/>
      <c r="AF55" s="123"/>
      <c r="AG55" s="124"/>
      <c r="AH55" s="124"/>
      <c r="AI55" s="122"/>
      <c r="AJ55" s="123"/>
    </row>
    <row r="56" spans="1:68" ht="49.5" customHeight="1" x14ac:dyDescent="0.3">
      <c r="A56" s="6"/>
      <c r="B56" s="322" t="s">
        <v>89</v>
      </c>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4"/>
    </row>
    <row r="58" spans="1:68" x14ac:dyDescent="0.3">
      <c r="A58" s="1"/>
      <c r="B58" s="24"/>
      <c r="C58" s="1"/>
      <c r="D58" s="1"/>
      <c r="F58" s="1"/>
    </row>
  </sheetData>
  <dataConsolidate/>
  <mergeCells count="274">
    <mergeCell ref="AE45:AE47"/>
    <mergeCell ref="AF45:AF47"/>
    <mergeCell ref="AG45:AG47"/>
    <mergeCell ref="AH45:AH47"/>
    <mergeCell ref="AI45:AI47"/>
    <mergeCell ref="AJ45:AJ47"/>
    <mergeCell ref="AE48:AE49"/>
    <mergeCell ref="AF48:AF49"/>
    <mergeCell ref="AG48:AG49"/>
    <mergeCell ref="AH48:AH49"/>
    <mergeCell ref="AI48:AI49"/>
    <mergeCell ref="AJ48:AJ49"/>
    <mergeCell ref="AE34:AE36"/>
    <mergeCell ref="AF34:AF36"/>
    <mergeCell ref="AG34:AG36"/>
    <mergeCell ref="AH34:AH36"/>
    <mergeCell ref="AI34:AI36"/>
    <mergeCell ref="AJ34:AJ36"/>
    <mergeCell ref="AE43:AE44"/>
    <mergeCell ref="AF43:AF44"/>
    <mergeCell ref="AG43:AG44"/>
    <mergeCell ref="AH43:AH44"/>
    <mergeCell ref="AI43:AI44"/>
    <mergeCell ref="AJ43:AJ44"/>
    <mergeCell ref="AH40:AH41"/>
    <mergeCell ref="AI40:AI41"/>
    <mergeCell ref="AJ40:AJ41"/>
    <mergeCell ref="AE40:AE41"/>
    <mergeCell ref="AF40:AF41"/>
    <mergeCell ref="AG40:AG41"/>
    <mergeCell ref="A1:AE5"/>
    <mergeCell ref="W16:AB16"/>
    <mergeCell ref="W17:AB17"/>
    <mergeCell ref="A20:J20"/>
    <mergeCell ref="N7:S7"/>
    <mergeCell ref="W9:AB9"/>
    <mergeCell ref="P9:U9"/>
    <mergeCell ref="P10:U10"/>
    <mergeCell ref="P11:U11"/>
    <mergeCell ref="P12:U12"/>
    <mergeCell ref="P13:U13"/>
    <mergeCell ref="P14:U14"/>
    <mergeCell ref="P15:U15"/>
    <mergeCell ref="P16:U16"/>
    <mergeCell ref="P17:U17"/>
    <mergeCell ref="P8:U8"/>
    <mergeCell ref="P18:U18"/>
    <mergeCell ref="A24:B24"/>
    <mergeCell ref="A25:B25"/>
    <mergeCell ref="A26:B26"/>
    <mergeCell ref="A28:A29"/>
    <mergeCell ref="F28:F29"/>
    <mergeCell ref="E28:E29"/>
    <mergeCell ref="D28:D29"/>
    <mergeCell ref="C28:C29"/>
    <mergeCell ref="AD28:AD29"/>
    <mergeCell ref="C25:N25"/>
    <mergeCell ref="C26:N26"/>
    <mergeCell ref="O28:O29"/>
    <mergeCell ref="AC28:AC29"/>
    <mergeCell ref="AB28:AB29"/>
    <mergeCell ref="X28:X29"/>
    <mergeCell ref="P28:P29"/>
    <mergeCell ref="AA28:AA29"/>
    <mergeCell ref="Y28:Y29"/>
    <mergeCell ref="Z28:Z29"/>
    <mergeCell ref="G28:G29"/>
    <mergeCell ref="H28:H29"/>
    <mergeCell ref="I28:I29"/>
    <mergeCell ref="L28:L29"/>
    <mergeCell ref="M28:M29"/>
    <mergeCell ref="A31:A33"/>
    <mergeCell ref="B31:B33"/>
    <mergeCell ref="D31:D33"/>
    <mergeCell ref="E31:E33"/>
    <mergeCell ref="AE28:AE29"/>
    <mergeCell ref="AJ28:AJ29"/>
    <mergeCell ref="AI28:AI29"/>
    <mergeCell ref="AH28:AH29"/>
    <mergeCell ref="AG28:AG29"/>
    <mergeCell ref="AF28:AF29"/>
    <mergeCell ref="B28:B29"/>
    <mergeCell ref="N28:N29"/>
    <mergeCell ref="J28:J29"/>
    <mergeCell ref="K28:K29"/>
    <mergeCell ref="Q28:Q29"/>
    <mergeCell ref="R28:W28"/>
    <mergeCell ref="T32:T33"/>
    <mergeCell ref="Z32:Z33"/>
    <mergeCell ref="AB32:AB33"/>
    <mergeCell ref="AD32:AD33"/>
    <mergeCell ref="O32:O33"/>
    <mergeCell ref="P32:P33"/>
    <mergeCell ref="Q32:Q33"/>
    <mergeCell ref="R32:R33"/>
    <mergeCell ref="A34:A36"/>
    <mergeCell ref="B34:B36"/>
    <mergeCell ref="D34:D36"/>
    <mergeCell ref="E34:E36"/>
    <mergeCell ref="F34:F36"/>
    <mergeCell ref="G34:G36"/>
    <mergeCell ref="H34:H36"/>
    <mergeCell ref="I34:I36"/>
    <mergeCell ref="J34:J36"/>
    <mergeCell ref="F31:F33"/>
    <mergeCell ref="G31:G33"/>
    <mergeCell ref="H31:H33"/>
    <mergeCell ref="I31:I33"/>
    <mergeCell ref="J31:J33"/>
    <mergeCell ref="M40:M41"/>
    <mergeCell ref="N40:N41"/>
    <mergeCell ref="F40:F41"/>
    <mergeCell ref="G40:G41"/>
    <mergeCell ref="H40:H41"/>
    <mergeCell ref="G43:G44"/>
    <mergeCell ref="H43:H44"/>
    <mergeCell ref="I43:I44"/>
    <mergeCell ref="E48:E49"/>
    <mergeCell ref="F48:F49"/>
    <mergeCell ref="G48:G49"/>
    <mergeCell ref="J40:J41"/>
    <mergeCell ref="K40:K41"/>
    <mergeCell ref="L40:L41"/>
    <mergeCell ref="H48:H49"/>
    <mergeCell ref="I48:I49"/>
    <mergeCell ref="J48:J49"/>
    <mergeCell ref="K48:K49"/>
    <mergeCell ref="L48:L49"/>
    <mergeCell ref="B56:AJ56"/>
    <mergeCell ref="M43:M44"/>
    <mergeCell ref="N43:N44"/>
    <mergeCell ref="A45:A47"/>
    <mergeCell ref="B45:B47"/>
    <mergeCell ref="D45:D47"/>
    <mergeCell ref="E45:E47"/>
    <mergeCell ref="F45:F47"/>
    <mergeCell ref="G45:G47"/>
    <mergeCell ref="H45:H47"/>
    <mergeCell ref="I45:I47"/>
    <mergeCell ref="J45:J47"/>
    <mergeCell ref="K45:K47"/>
    <mergeCell ref="L45:L47"/>
    <mergeCell ref="M45:M47"/>
    <mergeCell ref="N45:N47"/>
    <mergeCell ref="J43:J44"/>
    <mergeCell ref="K43:K44"/>
    <mergeCell ref="L43:L44"/>
    <mergeCell ref="A43:A44"/>
    <mergeCell ref="B43:B44"/>
    <mergeCell ref="D43:D44"/>
    <mergeCell ref="E43:E44"/>
    <mergeCell ref="F43:F44"/>
    <mergeCell ref="C24:N24"/>
    <mergeCell ref="O24:Q24"/>
    <mergeCell ref="A21:AJ22"/>
    <mergeCell ref="A27:G27"/>
    <mergeCell ref="H27:N27"/>
    <mergeCell ref="O27:W27"/>
    <mergeCell ref="X27:AD27"/>
    <mergeCell ref="AE27:AJ27"/>
    <mergeCell ref="I40:I41"/>
    <mergeCell ref="A40:A41"/>
    <mergeCell ref="B40:B41"/>
    <mergeCell ref="D40:D41"/>
    <mergeCell ref="E40:E41"/>
    <mergeCell ref="M34:M36"/>
    <mergeCell ref="N34:N36"/>
    <mergeCell ref="K31:K33"/>
    <mergeCell ref="L31:L33"/>
    <mergeCell ref="M31:M33"/>
    <mergeCell ref="N31:N33"/>
    <mergeCell ref="K34:K36"/>
    <mergeCell ref="L34:L36"/>
    <mergeCell ref="S32:S33"/>
    <mergeCell ref="U32:U33"/>
    <mergeCell ref="V32:V33"/>
    <mergeCell ref="M48:M49"/>
    <mergeCell ref="N48:N49"/>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A48:A49"/>
    <mergeCell ref="B48:B49"/>
    <mergeCell ref="D48:D49"/>
    <mergeCell ref="W32:W33"/>
    <mergeCell ref="Y32:Y33"/>
    <mergeCell ref="AA32:AA33"/>
    <mergeCell ref="AC32:AC33"/>
    <mergeCell ref="O43:O44"/>
    <mergeCell ref="P43:P44"/>
    <mergeCell ref="Q43:Q44"/>
    <mergeCell ref="R43:R44"/>
    <mergeCell ref="O34:O36"/>
    <mergeCell ref="P34:P36"/>
    <mergeCell ref="Q34:Q36"/>
    <mergeCell ref="R34:R36"/>
    <mergeCell ref="S34:S36"/>
    <mergeCell ref="O40:O41"/>
    <mergeCell ref="P40:P41"/>
    <mergeCell ref="Q40:Q41"/>
    <mergeCell ref="R40:R41"/>
    <mergeCell ref="S40:S41"/>
    <mergeCell ref="AA43:AA44"/>
    <mergeCell ref="AB43:AB44"/>
    <mergeCell ref="Y34:Y36"/>
    <mergeCell ref="Z34:Z36"/>
    <mergeCell ref="AA34:AA36"/>
    <mergeCell ref="AB34:AB36"/>
    <mergeCell ref="O46:O47"/>
    <mergeCell ref="P46:P47"/>
    <mergeCell ref="Q46:Q47"/>
    <mergeCell ref="R46:R47"/>
    <mergeCell ref="S46:S47"/>
    <mergeCell ref="U46:U47"/>
    <mergeCell ref="Z46:Z47"/>
    <mergeCell ref="AB46:AB47"/>
    <mergeCell ref="V46:V47"/>
    <mergeCell ref="W46:W47"/>
    <mergeCell ref="Y46:Y47"/>
    <mergeCell ref="AA46:AA47"/>
    <mergeCell ref="AC34:AC36"/>
    <mergeCell ref="AD34:AD36"/>
    <mergeCell ref="T46:T47"/>
    <mergeCell ref="AC46:AC47"/>
    <mergeCell ref="T34:T36"/>
    <mergeCell ref="U34:U36"/>
    <mergeCell ref="V34:V36"/>
    <mergeCell ref="W34:W36"/>
    <mergeCell ref="T40:T41"/>
    <mergeCell ref="U40:U41"/>
    <mergeCell ref="V40:V41"/>
    <mergeCell ref="W40:W41"/>
    <mergeCell ref="AD45:AD47"/>
    <mergeCell ref="AC43:AC44"/>
    <mergeCell ref="AD43:AD44"/>
    <mergeCell ref="Y40:Y41"/>
    <mergeCell ref="Z40:Z41"/>
    <mergeCell ref="AA40:AA41"/>
    <mergeCell ref="AB40:AB41"/>
    <mergeCell ref="AC40:AC41"/>
    <mergeCell ref="AD40:AD41"/>
    <mergeCell ref="O48:O49"/>
    <mergeCell ref="P48:P49"/>
    <mergeCell ref="Q48:Q49"/>
    <mergeCell ref="R48:R49"/>
    <mergeCell ref="S48:S49"/>
    <mergeCell ref="T48:T49"/>
    <mergeCell ref="U48:U49"/>
    <mergeCell ref="V48:V49"/>
    <mergeCell ref="W48:W49"/>
    <mergeCell ref="Y48:Y49"/>
    <mergeCell ref="Z48:Z49"/>
    <mergeCell ref="AA48:AA49"/>
    <mergeCell ref="AB48:AB49"/>
    <mergeCell ref="AC48:AC49"/>
    <mergeCell ref="AD48:AD49"/>
    <mergeCell ref="S43:S44"/>
    <mergeCell ref="T43:T44"/>
    <mergeCell ref="U43:U44"/>
    <mergeCell ref="V43:V44"/>
    <mergeCell ref="W43:W44"/>
    <mergeCell ref="Y43:Y44"/>
    <mergeCell ref="Z43:Z44"/>
  </mergeCells>
  <conditionalFormatting sqref="H30:H31">
    <cfRule type="cellIs" dxfId="367" priority="391" operator="equal">
      <formula>"Muy Alta"</formula>
    </cfRule>
    <cfRule type="cellIs" dxfId="366" priority="392" operator="equal">
      <formula>"Alta"</formula>
    </cfRule>
    <cfRule type="cellIs" dxfId="365" priority="393" operator="equal">
      <formula>"Media"</formula>
    </cfRule>
    <cfRule type="cellIs" dxfId="364" priority="394" operator="equal">
      <formula>"Baja"</formula>
    </cfRule>
    <cfRule type="cellIs" dxfId="363" priority="395" operator="equal">
      <formula>"Muy Baja"</formula>
    </cfRule>
  </conditionalFormatting>
  <conditionalFormatting sqref="H34">
    <cfRule type="cellIs" dxfId="362" priority="293" operator="equal">
      <formula>"Muy Alta"</formula>
    </cfRule>
    <cfRule type="cellIs" dxfId="361" priority="294" operator="equal">
      <formula>"Alta"</formula>
    </cfRule>
    <cfRule type="cellIs" dxfId="360" priority="295" operator="equal">
      <formula>"Media"</formula>
    </cfRule>
    <cfRule type="cellIs" dxfId="359" priority="296" operator="equal">
      <formula>"Baja"</formula>
    </cfRule>
    <cfRule type="cellIs" dxfId="358" priority="297" operator="equal">
      <formula>"Muy Baja"</formula>
    </cfRule>
  </conditionalFormatting>
  <conditionalFormatting sqref="H37:H40">
    <cfRule type="cellIs" dxfId="357" priority="181" operator="equal">
      <formula>"Muy Alta"</formula>
    </cfRule>
    <cfRule type="cellIs" dxfId="356" priority="182" operator="equal">
      <formula>"Alta"</formula>
    </cfRule>
    <cfRule type="cellIs" dxfId="355" priority="183" operator="equal">
      <formula>"Media"</formula>
    </cfRule>
    <cfRule type="cellIs" dxfId="354" priority="184" operator="equal">
      <formula>"Baja"</formula>
    </cfRule>
    <cfRule type="cellIs" dxfId="353" priority="185" operator="equal">
      <formula>"Muy Baja"</formula>
    </cfRule>
  </conditionalFormatting>
  <conditionalFormatting sqref="H42:H43">
    <cfRule type="cellIs" dxfId="352" priority="125" operator="equal">
      <formula>"Muy Alta"</formula>
    </cfRule>
    <cfRule type="cellIs" dxfId="351" priority="126" operator="equal">
      <formula>"Alta"</formula>
    </cfRule>
    <cfRule type="cellIs" dxfId="350" priority="127" operator="equal">
      <formula>"Media"</formula>
    </cfRule>
    <cfRule type="cellIs" dxfId="349" priority="128" operator="equal">
      <formula>"Baja"</formula>
    </cfRule>
    <cfRule type="cellIs" dxfId="348" priority="129" operator="equal">
      <formula>"Muy Baja"</formula>
    </cfRule>
  </conditionalFormatting>
  <conditionalFormatting sqref="H45">
    <cfRule type="cellIs" dxfId="347" priority="97" operator="equal">
      <formula>"Muy Alta"</formula>
    </cfRule>
    <cfRule type="cellIs" dxfId="346" priority="98" operator="equal">
      <formula>"Alta"</formula>
    </cfRule>
    <cfRule type="cellIs" dxfId="345" priority="99" operator="equal">
      <formula>"Media"</formula>
    </cfRule>
    <cfRule type="cellIs" dxfId="344" priority="100" operator="equal">
      <formula>"Baja"</formula>
    </cfRule>
    <cfRule type="cellIs" dxfId="343" priority="101" operator="equal">
      <formula>"Muy Baja"</formula>
    </cfRule>
  </conditionalFormatting>
  <conditionalFormatting sqref="H48">
    <cfRule type="cellIs" dxfId="342" priority="49" operator="equal">
      <formula>"Muy Alta"</formula>
    </cfRule>
    <cfRule type="cellIs" dxfId="341" priority="50" operator="equal">
      <formula>"Alta"</formula>
    </cfRule>
    <cfRule type="cellIs" dxfId="340" priority="51" operator="equal">
      <formula>"Media"</formula>
    </cfRule>
    <cfRule type="cellIs" dxfId="339" priority="52" operator="equal">
      <formula>"Baja"</formula>
    </cfRule>
    <cfRule type="cellIs" dxfId="338" priority="53" operator="equal">
      <formula>"Muy Baja"</formula>
    </cfRule>
  </conditionalFormatting>
  <conditionalFormatting sqref="H50">
    <cfRule type="cellIs" dxfId="337" priority="20" operator="equal">
      <formula>"Muy Alta"</formula>
    </cfRule>
    <cfRule type="cellIs" dxfId="336" priority="21" operator="equal">
      <formula>"Alta"</formula>
    </cfRule>
    <cfRule type="cellIs" dxfId="335" priority="22" operator="equal">
      <formula>"Media"</formula>
    </cfRule>
    <cfRule type="cellIs" dxfId="334" priority="23" operator="equal">
      <formula>"Baja"</formula>
    </cfRule>
    <cfRule type="cellIs" dxfId="333" priority="24" operator="equal">
      <formula>"Muy Baja"</formula>
    </cfRule>
  </conditionalFormatting>
  <conditionalFormatting sqref="K30:K55">
    <cfRule type="containsText" dxfId="332" priority="1" operator="containsText" text="❌">
      <formula>NOT(ISERROR(SEARCH("❌",K30)))</formula>
    </cfRule>
  </conditionalFormatting>
  <conditionalFormatting sqref="L30:L31">
    <cfRule type="cellIs" dxfId="331" priority="63" operator="equal">
      <formula>"Catastrófico"</formula>
    </cfRule>
    <cfRule type="cellIs" dxfId="330" priority="64" operator="equal">
      <formula>"Mayor"</formula>
    </cfRule>
    <cfRule type="cellIs" dxfId="329" priority="65" operator="equal">
      <formula>"Moderado"</formula>
    </cfRule>
    <cfRule type="cellIs" dxfId="328" priority="66" operator="equal">
      <formula>"Menor"</formula>
    </cfRule>
    <cfRule type="cellIs" dxfId="327" priority="67" operator="equal">
      <formula>"Leve"</formula>
    </cfRule>
  </conditionalFormatting>
  <conditionalFormatting sqref="L34 L37:L40 L42:L43 L45">
    <cfRule type="cellIs" dxfId="326" priority="386" operator="equal">
      <formula>"Catastrófico"</formula>
    </cfRule>
    <cfRule type="cellIs" dxfId="325" priority="387" operator="equal">
      <formula>"Mayor"</formula>
    </cfRule>
    <cfRule type="cellIs" dxfId="324" priority="388" operator="equal">
      <formula>"Moderado"</formula>
    </cfRule>
    <cfRule type="cellIs" dxfId="323" priority="389" operator="equal">
      <formula>"Menor"</formula>
    </cfRule>
    <cfRule type="cellIs" dxfId="322" priority="390" operator="equal">
      <formula>"Leve"</formula>
    </cfRule>
  </conditionalFormatting>
  <conditionalFormatting sqref="L48">
    <cfRule type="cellIs" dxfId="321" priority="54" operator="equal">
      <formula>"Catastrófico"</formula>
    </cfRule>
    <cfRule type="cellIs" dxfId="320" priority="55" operator="equal">
      <formula>"Mayor"</formula>
    </cfRule>
    <cfRule type="cellIs" dxfId="319" priority="56" operator="equal">
      <formula>"Moderado"</formula>
    </cfRule>
    <cfRule type="cellIs" dxfId="318" priority="57" operator="equal">
      <formula>"Menor"</formula>
    </cfRule>
    <cfRule type="cellIs" dxfId="317" priority="58" operator="equal">
      <formula>"Leve"</formula>
    </cfRule>
  </conditionalFormatting>
  <conditionalFormatting sqref="L50">
    <cfRule type="cellIs" dxfId="316" priority="25" operator="equal">
      <formula>"Catastrófico"</formula>
    </cfRule>
    <cfRule type="cellIs" dxfId="315" priority="26" operator="equal">
      <formula>"Mayor"</formula>
    </cfRule>
    <cfRule type="cellIs" dxfId="314" priority="27" operator="equal">
      <formula>"Moderado"</formula>
    </cfRule>
    <cfRule type="cellIs" dxfId="313" priority="28" operator="equal">
      <formula>"Menor"</formula>
    </cfRule>
    <cfRule type="cellIs" dxfId="312" priority="29" operator="equal">
      <formula>"Leve"</formula>
    </cfRule>
  </conditionalFormatting>
  <conditionalFormatting sqref="N30:N31">
    <cfRule type="cellIs" dxfId="311" priority="59" operator="equal">
      <formula>"Extremo"</formula>
    </cfRule>
    <cfRule type="cellIs" dxfId="310" priority="60" operator="equal">
      <formula>"Alto"</formula>
    </cfRule>
    <cfRule type="cellIs" dxfId="309" priority="61" operator="equal">
      <formula>"Moderado"</formula>
    </cfRule>
    <cfRule type="cellIs" dxfId="308" priority="62" operator="equal">
      <formula>"Bajo"</formula>
    </cfRule>
  </conditionalFormatting>
  <conditionalFormatting sqref="N34">
    <cfRule type="cellIs" dxfId="307" priority="284" operator="equal">
      <formula>"Extremo"</formula>
    </cfRule>
    <cfRule type="cellIs" dxfId="306" priority="285" operator="equal">
      <formula>"Alto"</formula>
    </cfRule>
    <cfRule type="cellIs" dxfId="305" priority="286" operator="equal">
      <formula>"Moderado"</formula>
    </cfRule>
    <cfRule type="cellIs" dxfId="304" priority="287" operator="equal">
      <formula>"Bajo"</formula>
    </cfRule>
  </conditionalFormatting>
  <conditionalFormatting sqref="N37:N40">
    <cfRule type="cellIs" dxfId="303" priority="172" operator="equal">
      <formula>"Extremo"</formula>
    </cfRule>
    <cfRule type="cellIs" dxfId="302" priority="173" operator="equal">
      <formula>"Alto"</formula>
    </cfRule>
    <cfRule type="cellIs" dxfId="301" priority="174" operator="equal">
      <formula>"Moderado"</formula>
    </cfRule>
    <cfRule type="cellIs" dxfId="300" priority="175" operator="equal">
      <formula>"Bajo"</formula>
    </cfRule>
  </conditionalFormatting>
  <conditionalFormatting sqref="N42:N43">
    <cfRule type="cellIs" dxfId="299" priority="116" operator="equal">
      <formula>"Extremo"</formula>
    </cfRule>
    <cfRule type="cellIs" dxfId="298" priority="117" operator="equal">
      <formula>"Alto"</formula>
    </cfRule>
    <cfRule type="cellIs" dxfId="297" priority="118" operator="equal">
      <formula>"Moderado"</formula>
    </cfRule>
    <cfRule type="cellIs" dxfId="296" priority="119" operator="equal">
      <formula>"Bajo"</formula>
    </cfRule>
  </conditionalFormatting>
  <conditionalFormatting sqref="N45">
    <cfRule type="cellIs" dxfId="295" priority="88" operator="equal">
      <formula>"Extremo"</formula>
    </cfRule>
    <cfRule type="cellIs" dxfId="294" priority="89" operator="equal">
      <formula>"Alto"</formula>
    </cfRule>
    <cfRule type="cellIs" dxfId="293" priority="90" operator="equal">
      <formula>"Moderado"</formula>
    </cfRule>
    <cfRule type="cellIs" dxfId="292" priority="91" operator="equal">
      <formula>"Bajo"</formula>
    </cfRule>
  </conditionalFormatting>
  <conditionalFormatting sqref="N48">
    <cfRule type="cellIs" dxfId="291" priority="45" operator="equal">
      <formula>"Extremo"</formula>
    </cfRule>
    <cfRule type="cellIs" dxfId="290" priority="46" operator="equal">
      <formula>"Alto"</formula>
    </cfRule>
    <cfRule type="cellIs" dxfId="289" priority="47" operator="equal">
      <formula>"Moderado"</formula>
    </cfRule>
    <cfRule type="cellIs" dxfId="288" priority="48" operator="equal">
      <formula>"Bajo"</formula>
    </cfRule>
  </conditionalFormatting>
  <conditionalFormatting sqref="N50">
    <cfRule type="cellIs" dxfId="287" priority="16" operator="equal">
      <formula>"Extremo"</formula>
    </cfRule>
    <cfRule type="cellIs" dxfId="286" priority="17" operator="equal">
      <formula>"Alto"</formula>
    </cfRule>
    <cfRule type="cellIs" dxfId="285" priority="18" operator="equal">
      <formula>"Moderado"</formula>
    </cfRule>
    <cfRule type="cellIs" dxfId="284" priority="19" operator="equal">
      <formula>"Bajo"</formula>
    </cfRule>
  </conditionalFormatting>
  <conditionalFormatting sqref="Y30:Y32">
    <cfRule type="cellIs" dxfId="283" priority="307" operator="equal">
      <formula>"Muy Alta"</formula>
    </cfRule>
    <cfRule type="cellIs" dxfId="282" priority="308" operator="equal">
      <formula>"Alta"</formula>
    </cfRule>
    <cfRule type="cellIs" dxfId="281" priority="309" operator="equal">
      <formula>"Media"</formula>
    </cfRule>
    <cfRule type="cellIs" dxfId="280" priority="310" operator="equal">
      <formula>"Baja"</formula>
    </cfRule>
    <cfRule type="cellIs" dxfId="279" priority="311" operator="equal">
      <formula>"Muy Baja"</formula>
    </cfRule>
  </conditionalFormatting>
  <conditionalFormatting sqref="Y34">
    <cfRule type="cellIs" dxfId="278" priority="279" operator="equal">
      <formula>"Muy Alta"</formula>
    </cfRule>
    <cfRule type="cellIs" dxfId="277" priority="280" operator="equal">
      <formula>"Alta"</formula>
    </cfRule>
    <cfRule type="cellIs" dxfId="276" priority="281" operator="equal">
      <formula>"Media"</formula>
    </cfRule>
    <cfRule type="cellIs" dxfId="275" priority="282" operator="equal">
      <formula>"Baja"</formula>
    </cfRule>
    <cfRule type="cellIs" dxfId="274" priority="283" operator="equal">
      <formula>"Muy Baja"</formula>
    </cfRule>
  </conditionalFormatting>
  <conditionalFormatting sqref="Y37:Y40">
    <cfRule type="cellIs" dxfId="273" priority="167" operator="equal">
      <formula>"Muy Alta"</formula>
    </cfRule>
    <cfRule type="cellIs" dxfId="272" priority="168" operator="equal">
      <formula>"Alta"</formula>
    </cfRule>
    <cfRule type="cellIs" dxfId="271" priority="169" operator="equal">
      <formula>"Media"</formula>
    </cfRule>
    <cfRule type="cellIs" dxfId="270" priority="170" operator="equal">
      <formula>"Baja"</formula>
    </cfRule>
    <cfRule type="cellIs" dxfId="269" priority="171" operator="equal">
      <formula>"Muy Baja"</formula>
    </cfRule>
  </conditionalFormatting>
  <conditionalFormatting sqref="Y42:Y43">
    <cfRule type="cellIs" dxfId="268" priority="111" operator="equal">
      <formula>"Muy Alta"</formula>
    </cfRule>
    <cfRule type="cellIs" dxfId="267" priority="112" operator="equal">
      <formula>"Alta"</formula>
    </cfRule>
    <cfRule type="cellIs" dxfId="266" priority="113" operator="equal">
      <formula>"Media"</formula>
    </cfRule>
    <cfRule type="cellIs" dxfId="265" priority="114" operator="equal">
      <formula>"Baja"</formula>
    </cfRule>
    <cfRule type="cellIs" dxfId="264" priority="115" operator="equal">
      <formula>"Muy Baja"</formula>
    </cfRule>
  </conditionalFormatting>
  <conditionalFormatting sqref="Y45:Y46">
    <cfRule type="cellIs" dxfId="263" priority="83" operator="equal">
      <formula>"Muy Alta"</formula>
    </cfRule>
    <cfRule type="cellIs" dxfId="262" priority="84" operator="equal">
      <formula>"Alta"</formula>
    </cfRule>
    <cfRule type="cellIs" dxfId="261" priority="85" operator="equal">
      <formula>"Media"</formula>
    </cfRule>
    <cfRule type="cellIs" dxfId="260" priority="86" operator="equal">
      <formula>"Baja"</formula>
    </cfRule>
    <cfRule type="cellIs" dxfId="259" priority="87" operator="equal">
      <formula>"Muy Baja"</formula>
    </cfRule>
  </conditionalFormatting>
  <conditionalFormatting sqref="Y48">
    <cfRule type="cellIs" dxfId="258" priority="40" operator="equal">
      <formula>"Muy Alta"</formula>
    </cfRule>
    <cfRule type="cellIs" dxfId="257" priority="41" operator="equal">
      <formula>"Alta"</formula>
    </cfRule>
    <cfRule type="cellIs" dxfId="256" priority="42" operator="equal">
      <formula>"Media"</formula>
    </cfRule>
    <cfRule type="cellIs" dxfId="255" priority="43" operator="equal">
      <formula>"Baja"</formula>
    </cfRule>
    <cfRule type="cellIs" dxfId="254" priority="44" operator="equal">
      <formula>"Muy Baja"</formula>
    </cfRule>
  </conditionalFormatting>
  <conditionalFormatting sqref="Y50:Y55">
    <cfRule type="cellIs" dxfId="253" priority="11" operator="equal">
      <formula>"Muy Alta"</formula>
    </cfRule>
    <cfRule type="cellIs" dxfId="252" priority="12" operator="equal">
      <formula>"Alta"</formula>
    </cfRule>
    <cfRule type="cellIs" dxfId="251" priority="13" operator="equal">
      <formula>"Media"</formula>
    </cfRule>
    <cfRule type="cellIs" dxfId="250" priority="14" operator="equal">
      <formula>"Baja"</formula>
    </cfRule>
    <cfRule type="cellIs" dxfId="249" priority="15" operator="equal">
      <formula>"Muy Baja"</formula>
    </cfRule>
  </conditionalFormatting>
  <conditionalFormatting sqref="AA30:AA32">
    <cfRule type="cellIs" dxfId="248" priority="302" operator="equal">
      <formula>"Catastrófico"</formula>
    </cfRule>
    <cfRule type="cellIs" dxfId="247" priority="303" operator="equal">
      <formula>"Mayor"</formula>
    </cfRule>
    <cfRule type="cellIs" dxfId="246" priority="304" operator="equal">
      <formula>"Moderado"</formula>
    </cfRule>
    <cfRule type="cellIs" dxfId="245" priority="305" operator="equal">
      <formula>"Menor"</formula>
    </cfRule>
    <cfRule type="cellIs" dxfId="244" priority="306" operator="equal">
      <formula>"Leve"</formula>
    </cfRule>
  </conditionalFormatting>
  <conditionalFormatting sqref="AA34">
    <cfRule type="cellIs" dxfId="243" priority="274" operator="equal">
      <formula>"Catastrófico"</formula>
    </cfRule>
    <cfRule type="cellIs" dxfId="242" priority="275" operator="equal">
      <formula>"Mayor"</formula>
    </cfRule>
    <cfRule type="cellIs" dxfId="241" priority="276" operator="equal">
      <formula>"Moderado"</formula>
    </cfRule>
    <cfRule type="cellIs" dxfId="240" priority="277" operator="equal">
      <formula>"Menor"</formula>
    </cfRule>
    <cfRule type="cellIs" dxfId="239" priority="278" operator="equal">
      <formula>"Leve"</formula>
    </cfRule>
  </conditionalFormatting>
  <conditionalFormatting sqref="AA37:AA40">
    <cfRule type="cellIs" dxfId="238" priority="162" operator="equal">
      <formula>"Catastrófico"</formula>
    </cfRule>
    <cfRule type="cellIs" dxfId="237" priority="163" operator="equal">
      <formula>"Mayor"</formula>
    </cfRule>
    <cfRule type="cellIs" dxfId="236" priority="164" operator="equal">
      <formula>"Moderado"</formula>
    </cfRule>
    <cfRule type="cellIs" dxfId="235" priority="165" operator="equal">
      <formula>"Menor"</formula>
    </cfRule>
    <cfRule type="cellIs" dxfId="234" priority="166" operator="equal">
      <formula>"Leve"</formula>
    </cfRule>
  </conditionalFormatting>
  <conditionalFormatting sqref="AA42:AA43">
    <cfRule type="cellIs" dxfId="233" priority="106" operator="equal">
      <formula>"Catastrófico"</formula>
    </cfRule>
    <cfRule type="cellIs" dxfId="232" priority="107" operator="equal">
      <formula>"Mayor"</formula>
    </cfRule>
    <cfRule type="cellIs" dxfId="231" priority="108" operator="equal">
      <formula>"Moderado"</formula>
    </cfRule>
    <cfRule type="cellIs" dxfId="230" priority="109" operator="equal">
      <formula>"Menor"</formula>
    </cfRule>
    <cfRule type="cellIs" dxfId="229" priority="110" operator="equal">
      <formula>"Leve"</formula>
    </cfRule>
  </conditionalFormatting>
  <conditionalFormatting sqref="AA45:AA46">
    <cfRule type="cellIs" dxfId="228" priority="78" operator="equal">
      <formula>"Catastrófico"</formula>
    </cfRule>
    <cfRule type="cellIs" dxfId="227" priority="79" operator="equal">
      <formula>"Mayor"</formula>
    </cfRule>
    <cfRule type="cellIs" dxfId="226" priority="80" operator="equal">
      <formula>"Moderado"</formula>
    </cfRule>
    <cfRule type="cellIs" dxfId="225" priority="81" operator="equal">
      <formula>"Menor"</formula>
    </cfRule>
    <cfRule type="cellIs" dxfId="224" priority="82" operator="equal">
      <formula>"Leve"</formula>
    </cfRule>
  </conditionalFormatting>
  <conditionalFormatting sqref="AA48">
    <cfRule type="cellIs" dxfId="223" priority="35" operator="equal">
      <formula>"Catastrófico"</formula>
    </cfRule>
    <cfRule type="cellIs" dxfId="222" priority="36" operator="equal">
      <formula>"Mayor"</formula>
    </cfRule>
    <cfRule type="cellIs" dxfId="221" priority="37" operator="equal">
      <formula>"Moderado"</formula>
    </cfRule>
    <cfRule type="cellIs" dxfId="220" priority="38" operator="equal">
      <formula>"Menor"</formula>
    </cfRule>
    <cfRule type="cellIs" dxfId="219" priority="39" operator="equal">
      <formula>"Leve"</formula>
    </cfRule>
  </conditionalFormatting>
  <conditionalFormatting sqref="AA50:AA55">
    <cfRule type="cellIs" dxfId="218" priority="6" operator="equal">
      <formula>"Catastrófico"</formula>
    </cfRule>
    <cfRule type="cellIs" dxfId="217" priority="7" operator="equal">
      <formula>"Mayor"</formula>
    </cfRule>
    <cfRule type="cellIs" dxfId="216" priority="8" operator="equal">
      <formula>"Moderado"</formula>
    </cfRule>
    <cfRule type="cellIs" dxfId="215" priority="9" operator="equal">
      <formula>"Menor"</formula>
    </cfRule>
    <cfRule type="cellIs" dxfId="214" priority="10" operator="equal">
      <formula>"Leve"</formula>
    </cfRule>
  </conditionalFormatting>
  <conditionalFormatting sqref="AC30:AC32">
    <cfRule type="cellIs" dxfId="213" priority="298" operator="equal">
      <formula>"Extremo"</formula>
    </cfRule>
    <cfRule type="cellIs" dxfId="212" priority="299" operator="equal">
      <formula>"Alto"</formula>
    </cfRule>
    <cfRule type="cellIs" dxfId="211" priority="300" operator="equal">
      <formula>"Moderado"</formula>
    </cfRule>
    <cfRule type="cellIs" dxfId="210" priority="301" operator="equal">
      <formula>"Bajo"</formula>
    </cfRule>
  </conditionalFormatting>
  <conditionalFormatting sqref="AC34">
    <cfRule type="cellIs" dxfId="209" priority="270" operator="equal">
      <formula>"Extremo"</formula>
    </cfRule>
    <cfRule type="cellIs" dxfId="208" priority="271" operator="equal">
      <formula>"Alto"</formula>
    </cfRule>
    <cfRule type="cellIs" dxfId="207" priority="272" operator="equal">
      <formula>"Moderado"</formula>
    </cfRule>
    <cfRule type="cellIs" dxfId="206" priority="273" operator="equal">
      <formula>"Bajo"</formula>
    </cfRule>
  </conditionalFormatting>
  <conditionalFormatting sqref="AC37:AC40">
    <cfRule type="cellIs" dxfId="205" priority="158" operator="equal">
      <formula>"Extremo"</formula>
    </cfRule>
    <cfRule type="cellIs" dxfId="204" priority="159" operator="equal">
      <formula>"Alto"</formula>
    </cfRule>
    <cfRule type="cellIs" dxfId="203" priority="160" operator="equal">
      <formula>"Moderado"</formula>
    </cfRule>
    <cfRule type="cellIs" dxfId="202" priority="161" operator="equal">
      <formula>"Bajo"</formula>
    </cfRule>
  </conditionalFormatting>
  <conditionalFormatting sqref="AC42:AC43">
    <cfRule type="cellIs" dxfId="201" priority="102" operator="equal">
      <formula>"Extremo"</formula>
    </cfRule>
    <cfRule type="cellIs" dxfId="200" priority="103" operator="equal">
      <formula>"Alto"</formula>
    </cfRule>
    <cfRule type="cellIs" dxfId="199" priority="104" operator="equal">
      <formula>"Moderado"</formula>
    </cfRule>
    <cfRule type="cellIs" dxfId="198" priority="105" operator="equal">
      <formula>"Bajo"</formula>
    </cfRule>
  </conditionalFormatting>
  <conditionalFormatting sqref="AC45:AC46">
    <cfRule type="cellIs" dxfId="197" priority="74" operator="equal">
      <formula>"Extremo"</formula>
    </cfRule>
    <cfRule type="cellIs" dxfId="196" priority="75" operator="equal">
      <formula>"Alto"</formula>
    </cfRule>
    <cfRule type="cellIs" dxfId="195" priority="76" operator="equal">
      <formula>"Moderado"</formula>
    </cfRule>
    <cfRule type="cellIs" dxfId="194" priority="77" operator="equal">
      <formula>"Bajo"</formula>
    </cfRule>
  </conditionalFormatting>
  <conditionalFormatting sqref="AC48">
    <cfRule type="cellIs" dxfId="193" priority="31" operator="equal">
      <formula>"Extremo"</formula>
    </cfRule>
    <cfRule type="cellIs" dxfId="192" priority="32" operator="equal">
      <formula>"Alto"</formula>
    </cfRule>
    <cfRule type="cellIs" dxfId="191" priority="33" operator="equal">
      <formula>"Moderado"</formula>
    </cfRule>
    <cfRule type="cellIs" dxfId="190" priority="34" operator="equal">
      <formula>"Bajo"</formula>
    </cfRule>
  </conditionalFormatting>
  <conditionalFormatting sqref="AC50:AC55">
    <cfRule type="cellIs" dxfId="189" priority="2" operator="equal">
      <formula>"Extremo"</formula>
    </cfRule>
    <cfRule type="cellIs" dxfId="188" priority="3" operator="equal">
      <formula>"Alto"</formula>
    </cfRule>
    <cfRule type="cellIs" dxfId="187" priority="4" operator="equal">
      <formula>"Moderado"</formula>
    </cfRule>
    <cfRule type="cellIs" dxfId="186" priority="5"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'Opciones Tratamiento'!$B$9:$B$10</xm:f>
          </x14:formula1>
          <xm:sqref>AJ30:AJ32 AJ34:AJ35 AJ37:AJ46 AJ48:AJ51 AJ53:AJ54</xm:sqref>
        </x14:dataValidation>
        <x14:dataValidation type="list" allowBlank="1" showInputMessage="1" showErrorMessage="1" xr:uid="{00000000-0002-0000-0200-000001000000}">
          <x14:formula1>
            <xm:f>'Tabla Valoración controles'!$D$4:$D$6</xm:f>
          </x14:formula1>
          <xm:sqref>R37:R40 R30:R32 R34 R45:R46 R42:R43 R48 R50:R55</xm:sqref>
        </x14:dataValidation>
        <x14:dataValidation type="list" allowBlank="1" showInputMessage="1" showErrorMessage="1" xr:uid="{00000000-0002-0000-0200-000002000000}">
          <x14:formula1>
            <xm:f>'Tabla Valoración controles'!$D$7:$D$8</xm:f>
          </x14:formula1>
          <xm:sqref>S37:S40 S30:S32 S34 S45:S46 S42:S43 S48 S50:S55</xm:sqref>
        </x14:dataValidation>
        <x14:dataValidation type="list" allowBlank="1" showInputMessage="1" showErrorMessage="1" xr:uid="{00000000-0002-0000-0200-000003000000}">
          <x14:formula1>
            <xm:f>'Tabla Valoración controles'!$D$9:$D$10</xm:f>
          </x14:formula1>
          <xm:sqref>U37:U40 U30:U32 U34 U45:U46 U42:U43 U48 U50:U55</xm:sqref>
        </x14:dataValidation>
        <x14:dataValidation type="list" allowBlank="1" showInputMessage="1" showErrorMessage="1" xr:uid="{00000000-0002-0000-0200-000004000000}">
          <x14:formula1>
            <xm:f>'Tabla Valoración controles'!$D$11:$D$12</xm:f>
          </x14:formula1>
          <xm:sqref>V37:V40 V30:V32 V34 V45:V46 V42:V43 V48 V50:V55</xm:sqref>
        </x14:dataValidation>
        <x14:dataValidation type="list" allowBlank="1" showInputMessage="1" showErrorMessage="1" xr:uid="{00000000-0002-0000-0200-000005000000}">
          <x14:formula1>
            <xm:f>'Tabla Valoración controles'!$D$13:$D$14</xm:f>
          </x14:formula1>
          <xm:sqref>W37:W40 W30:W32 W34 W45:W46 W42:W43 W48 W50:W55</xm:sqref>
        </x14:dataValidation>
        <x14:dataValidation type="list" allowBlank="1" showInputMessage="1" showErrorMessage="1" xr:uid="{00000000-0002-0000-0200-000006000000}">
          <x14:formula1>
            <xm:f>'Opciones Tratamiento'!$B$2:$B$5</xm:f>
          </x14:formula1>
          <xm:sqref>AD37:AD40 AD30:AD32 AD34 AD42:AD43 AD50:AD55 AD45 AD48</xm:sqref>
        </x14:dataValidation>
        <x14:dataValidation type="custom" allowBlank="1" showInputMessage="1" showErrorMessage="1" error="Recuerde que las acciones se generan bajo la medida de mitigar el riesgo" xr:uid="{00000000-0002-0000-0200-000007000000}">
          <x14:formula1>
            <xm:f>IF(OR(AD30='Opciones Tratamiento'!$B$2,AD30='Opciones Tratamiento'!$B$3,AD30='Opciones Tratamiento'!$B$4),ISBLANK(AD30),ISTEXT(AD30))</xm:f>
          </x14:formula1>
          <xm:sqref>AE37:AE40 AE30:AE34 AE42:AE43 AE45 AE48 AE50:AE55</xm:sqref>
        </x14:dataValidation>
        <x14:dataValidation type="list" allowBlank="1" showInputMessage="1" showErrorMessage="1" xr:uid="{00000000-0002-0000-0200-000008000000}">
          <x14:formula1>
            <xm:f>'Impacto-clasificacion'!$D$3:$D$10</xm:f>
          </x14:formula1>
          <xm:sqref>F30:F42</xm:sqref>
        </x14:dataValidation>
        <x14:dataValidation type="list" allowBlank="1" showInputMessage="1" showErrorMessage="1" xr:uid="{00000000-0002-0000-0200-000009000000}">
          <x14:formula1>
            <xm:f>'Opciones Tratamiento'!$B$13:$B$19</xm:f>
          </x14:formula1>
          <xm:sqref>F43:F55</xm:sqref>
        </x14:dataValidation>
        <x14:dataValidation type="custom" allowBlank="1" showInputMessage="1" showErrorMessage="1" error="Recuerde que las acciones se generan bajo la medida de mitigar el riesgo" xr:uid="{00000000-0002-0000-0200-00000A000000}">
          <x14:formula1>
            <xm:f>IF(OR(AD30='Opciones Tratamiento'!$B$2,AD30='Opciones Tratamiento'!$B$3,AD30='Opciones Tratamiento'!$B$4),ISBLANK(AD30),ISTEXT(AD30))</xm:f>
          </x14:formula1>
          <xm:sqref>AF30:AF55</xm:sqref>
        </x14:dataValidation>
        <x14:dataValidation type="custom" allowBlank="1" showInputMessage="1" showErrorMessage="1" error="Recuerde que las acciones se generan bajo la medida de mitigar el riesgo" xr:uid="{00000000-0002-0000-0200-00000B000000}">
          <x14:formula1>
            <xm:f>IF(OR(AD30='Opciones Tratamiento'!$B$2,AD30='Opciones Tratamiento'!$B$3,AD30='Opciones Tratamiento'!$B$4),ISBLANK(AD30),ISTEXT(AD30))</xm:f>
          </x14:formula1>
          <xm:sqref>AG30:AG55</xm:sqref>
        </x14:dataValidation>
        <x14:dataValidation type="custom" allowBlank="1" showInputMessage="1" showErrorMessage="1" error="Recuerde que las acciones se generan bajo la medida de mitigar el riesgo" xr:uid="{00000000-0002-0000-0200-00000C000000}">
          <x14:formula1>
            <xm:f>IF(OR(AD30='Opciones Tratamiento'!$B$2,AD30='Opciones Tratamiento'!$B$3,AD30='Opciones Tratamiento'!$B$4),ISBLANK(AD30),ISTEXT(AD30))</xm:f>
          </x14:formula1>
          <xm:sqref>AH30:AH55</xm:sqref>
        </x14:dataValidation>
        <x14:dataValidation type="custom" allowBlank="1" showInputMessage="1" showErrorMessage="1" error="Recuerde que las acciones se generan bajo la medida de mitigar el riesgo" xr:uid="{00000000-0002-0000-0200-00000D000000}">
          <x14:formula1>
            <xm:f>IF(OR(AD30='Opciones Tratamiento'!$B$2,AD30='Opciones Tratamiento'!$B$3,AD30='Opciones Tratamiento'!$B$4),ISBLANK(AD30),ISTEXT(AD30))</xm:f>
          </x14:formula1>
          <xm:sqref>AI30:AI55</xm:sqref>
        </x14:dataValidation>
        <x14:dataValidation type="list" allowBlank="1" showInputMessage="1" showErrorMessage="1" xr:uid="{00000000-0002-0000-0200-00000E000000}">
          <x14:formula1>
            <xm:f>'Impacto-clasificacion'!$A$3:$A$6</xm:f>
          </x14:formula1>
          <xm:sqref>B30:B55</xm:sqref>
        </x14:dataValidation>
        <x14:dataValidation type="list" allowBlank="1" showInputMessage="1" showErrorMessage="1" xr:uid="{00000000-0002-0000-0200-00000F000000}">
          <x14:formula1>
            <xm:f>'Tabla Impacto'!$F$210:$F$227</xm:f>
          </x14:formula1>
          <xm:sqref>J30:J55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BP65"/>
  <sheetViews>
    <sheetView showGridLines="0" topLeftCell="B25" zoomScale="90" zoomScaleNormal="90" workbookViewId="0">
      <selection activeCell="C28" sqref="C28"/>
    </sheetView>
  </sheetViews>
  <sheetFormatPr baseColWidth="10" defaultColWidth="11.42578125" defaultRowHeight="16.5" x14ac:dyDescent="0.3"/>
  <cols>
    <col min="1" max="1" width="4" style="2" bestFit="1" customWidth="1"/>
    <col min="2" max="2" width="14.28515625" style="2" customWidth="1"/>
    <col min="3" max="3" width="40.7109375" style="2" customWidth="1"/>
    <col min="4" max="4" width="32.28515625" style="2" customWidth="1"/>
    <col min="5" max="5" width="42.7109375" style="1" customWidth="1"/>
    <col min="6" max="6" width="19" style="5" customWidth="1"/>
    <col min="7" max="7" width="17.71093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66.28515625" style="1" customWidth="1"/>
    <col min="17" max="17" width="15.28515625" style="1" bestFit="1" customWidth="1"/>
    <col min="18" max="18" width="6.7109375" style="1" customWidth="1"/>
    <col min="19" max="19" width="12" style="1" customWidth="1"/>
    <col min="20" max="20" width="5.42578125" style="1" customWidth="1"/>
    <col min="21" max="21" width="7.28515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8" width="9.28515625" style="1" customWidth="1"/>
    <col min="29" max="29" width="8.42578125" style="1" customWidth="1"/>
    <col min="30" max="30" width="7.28515625" style="1" customWidth="1"/>
    <col min="31" max="31" width="23" style="1" customWidth="1"/>
    <col min="32" max="32" width="18.7109375" style="1" customWidth="1"/>
    <col min="33" max="33" width="27.7109375" style="1" customWidth="1"/>
    <col min="34" max="34" width="14.7109375" style="1" customWidth="1"/>
    <col min="35" max="35" width="18.42578125" style="1" customWidth="1"/>
    <col min="36" max="36" width="21" style="1" customWidth="1"/>
    <col min="37" max="16384" width="11.42578125" style="1"/>
  </cols>
  <sheetData>
    <row r="1" spans="1:52" ht="37.15" customHeight="1" x14ac:dyDescent="0.3">
      <c r="A1" s="344" t="s">
        <v>229</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155" t="s">
        <v>219</v>
      </c>
      <c r="AG1" s="156" t="s">
        <v>220</v>
      </c>
      <c r="AH1" s="157"/>
      <c r="AI1" s="157"/>
      <c r="AJ1" s="157"/>
      <c r="AK1" s="157"/>
      <c r="AL1" s="158"/>
      <c r="AM1" s="158"/>
      <c r="AN1" s="158"/>
      <c r="AO1" s="158"/>
      <c r="AP1" s="159"/>
      <c r="AQ1" s="159"/>
      <c r="AR1" s="159"/>
      <c r="AS1" s="159"/>
      <c r="AT1" s="159"/>
      <c r="AU1" s="159"/>
      <c r="AV1" s="159"/>
      <c r="AW1" s="159"/>
      <c r="AX1" s="159"/>
      <c r="AY1" s="159"/>
      <c r="AZ1" s="159"/>
    </row>
    <row r="2" spans="1:52" x14ac:dyDescent="0.3">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155" t="s">
        <v>221</v>
      </c>
      <c r="AG2" s="156">
        <v>6</v>
      </c>
      <c r="AH2" s="160"/>
      <c r="AI2" s="161"/>
      <c r="AJ2" s="161"/>
      <c r="AK2" s="162"/>
      <c r="AL2" s="161"/>
      <c r="AM2" s="161"/>
      <c r="AN2" s="159"/>
      <c r="AO2" s="163"/>
      <c r="AP2" s="159"/>
      <c r="AQ2" s="159"/>
      <c r="AR2" s="159"/>
      <c r="AS2" s="159"/>
      <c r="AT2" s="159"/>
      <c r="AU2" s="159"/>
      <c r="AV2" s="159"/>
      <c r="AW2" s="159"/>
      <c r="AX2" s="159"/>
      <c r="AY2" s="159"/>
      <c r="AZ2" s="159"/>
    </row>
    <row r="3" spans="1:52" x14ac:dyDescent="0.3">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155" t="s">
        <v>222</v>
      </c>
      <c r="AG3" s="164" t="s">
        <v>288</v>
      </c>
      <c r="AH3" s="160"/>
      <c r="AI3" s="161"/>
      <c r="AJ3" s="161"/>
      <c r="AK3" s="162"/>
      <c r="AL3" s="161"/>
      <c r="AM3" s="161"/>
      <c r="AN3" s="159"/>
      <c r="AO3" s="163"/>
      <c r="AP3" s="159"/>
      <c r="AQ3" s="159"/>
      <c r="AR3" s="159"/>
      <c r="AS3" s="159"/>
      <c r="AT3" s="159"/>
      <c r="AU3" s="159"/>
      <c r="AV3" s="159"/>
      <c r="AW3" s="159"/>
      <c r="AX3" s="159"/>
      <c r="AY3" s="159"/>
      <c r="AZ3" s="159"/>
    </row>
    <row r="4" spans="1:52" ht="16.149999999999999" customHeight="1" x14ac:dyDescent="0.3">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165" t="s">
        <v>223</v>
      </c>
      <c r="AG4" s="166">
        <v>241903</v>
      </c>
      <c r="AH4" s="160"/>
      <c r="AI4" s="161"/>
      <c r="AJ4" s="161"/>
      <c r="AK4" s="162"/>
      <c r="AL4" s="161"/>
      <c r="AM4" s="161"/>
      <c r="AN4" s="159"/>
      <c r="AO4" s="163"/>
      <c r="AP4" s="159"/>
      <c r="AQ4" s="159"/>
      <c r="AR4" s="159"/>
      <c r="AS4" s="159"/>
      <c r="AT4" s="159"/>
      <c r="AU4" s="159"/>
      <c r="AV4" s="159"/>
      <c r="AW4" s="159"/>
      <c r="AX4" s="159"/>
      <c r="AY4" s="159"/>
      <c r="AZ4" s="159"/>
    </row>
    <row r="5" spans="1:52" ht="24" customHeight="1" x14ac:dyDescent="0.3">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H5" s="160"/>
      <c r="AI5" s="161"/>
      <c r="AJ5" s="161"/>
      <c r="AK5" s="162"/>
      <c r="AL5" s="161"/>
      <c r="AM5" s="161"/>
      <c r="AN5" s="159"/>
      <c r="AO5" s="163"/>
      <c r="AP5" s="159"/>
      <c r="AQ5" s="159"/>
      <c r="AR5" s="159"/>
      <c r="AS5" s="159"/>
      <c r="AT5" s="159"/>
      <c r="AU5" s="159"/>
      <c r="AV5" s="159"/>
      <c r="AW5" s="159"/>
      <c r="AX5" s="159"/>
      <c r="AY5" s="159"/>
      <c r="AZ5" s="159"/>
    </row>
    <row r="6" spans="1:52" x14ac:dyDescent="0.3">
      <c r="A6" s="167"/>
      <c r="B6" s="167"/>
      <c r="C6" s="168"/>
      <c r="D6" s="169"/>
      <c r="E6" s="169"/>
      <c r="F6" s="169"/>
      <c r="G6" s="169"/>
      <c r="H6" s="169"/>
      <c r="I6" s="169"/>
      <c r="J6" s="169"/>
      <c r="K6" s="170"/>
      <c r="L6" s="169"/>
      <c r="M6" s="159"/>
      <c r="N6" s="159"/>
      <c r="O6" s="159"/>
      <c r="P6" s="169"/>
      <c r="Q6" s="167"/>
      <c r="R6" s="167"/>
      <c r="S6" s="167"/>
      <c r="T6" s="171"/>
      <c r="U6" s="171"/>
      <c r="V6" s="171"/>
      <c r="W6" s="171"/>
      <c r="X6" s="171"/>
      <c r="Y6" s="171"/>
      <c r="Z6" s="171"/>
      <c r="AA6" s="172"/>
      <c r="AB6" s="172"/>
      <c r="AC6" s="172"/>
      <c r="AD6" s="172"/>
      <c r="AE6" s="172"/>
      <c r="AH6" s="173"/>
      <c r="AI6" s="174"/>
      <c r="AJ6" s="174"/>
      <c r="AK6" s="174"/>
      <c r="AL6" s="174"/>
      <c r="AM6" s="174"/>
      <c r="AN6" s="175"/>
      <c r="AO6" s="175"/>
      <c r="AP6" s="175"/>
      <c r="AQ6" s="175"/>
      <c r="AR6" s="172"/>
      <c r="AS6" s="172"/>
      <c r="AT6" s="172"/>
      <c r="AU6" s="172"/>
      <c r="AV6" s="172"/>
      <c r="AW6" s="172"/>
      <c r="AX6" s="172"/>
      <c r="AY6" s="172"/>
      <c r="AZ6" s="172"/>
    </row>
    <row r="7" spans="1:52" ht="28.15" customHeight="1" x14ac:dyDescent="0.3">
      <c r="A7" s="176"/>
      <c r="B7" s="176"/>
      <c r="C7" s="159"/>
      <c r="D7" s="159"/>
      <c r="E7" s="159"/>
      <c r="F7" s="159"/>
      <c r="G7" s="159"/>
      <c r="H7" s="159"/>
      <c r="I7" s="159"/>
      <c r="J7" s="159"/>
      <c r="L7" s="159"/>
      <c r="M7" s="159"/>
      <c r="N7" s="348" t="s">
        <v>224</v>
      </c>
      <c r="O7" s="348"/>
      <c r="P7" s="348"/>
      <c r="Q7" s="348"/>
      <c r="R7" s="348"/>
      <c r="S7" s="348"/>
      <c r="T7" s="155"/>
      <c r="U7" s="155"/>
      <c r="V7" s="155"/>
      <c r="W7" s="155"/>
      <c r="X7" s="155"/>
      <c r="Y7" s="155"/>
      <c r="Z7" s="155"/>
      <c r="AA7" s="177"/>
      <c r="AB7" s="177"/>
      <c r="AC7" s="177"/>
      <c r="AD7" s="177"/>
      <c r="AE7" s="177"/>
      <c r="AF7" s="177"/>
      <c r="AG7" s="177"/>
      <c r="AH7" s="160"/>
      <c r="AI7" s="161"/>
      <c r="AJ7" s="161"/>
      <c r="AK7" s="161"/>
      <c r="AL7" s="161"/>
      <c r="AM7" s="161"/>
      <c r="AN7" s="178">
        <v>0</v>
      </c>
      <c r="AO7" s="179"/>
      <c r="AP7" s="178"/>
      <c r="AQ7" s="178"/>
      <c r="AR7" s="159"/>
      <c r="AS7" s="159"/>
      <c r="AT7" s="159"/>
      <c r="AU7" s="159"/>
      <c r="AV7" s="159"/>
      <c r="AW7" s="159"/>
      <c r="AX7" s="159"/>
      <c r="AY7" s="159"/>
      <c r="AZ7" s="159"/>
    </row>
    <row r="8" spans="1:52" ht="16.5" customHeight="1" x14ac:dyDescent="0.3">
      <c r="A8" s="176"/>
      <c r="B8" s="176"/>
      <c r="C8" s="159"/>
      <c r="D8" s="159"/>
      <c r="E8" s="159"/>
      <c r="F8" s="159"/>
      <c r="G8" s="159"/>
      <c r="H8" s="159"/>
      <c r="I8" s="159"/>
      <c r="J8" s="159"/>
      <c r="L8" s="159"/>
      <c r="M8" s="159"/>
      <c r="N8" s="180" t="s">
        <v>225</v>
      </c>
      <c r="O8" s="180" t="s">
        <v>226</v>
      </c>
      <c r="P8" s="354" t="s">
        <v>227</v>
      </c>
      <c r="Q8" s="355"/>
      <c r="R8" s="355"/>
      <c r="S8" s="355"/>
      <c r="T8" s="355"/>
      <c r="U8" s="355"/>
      <c r="V8" s="155"/>
      <c r="W8" s="155"/>
      <c r="X8" s="155"/>
      <c r="Y8" s="155"/>
      <c r="Z8" s="155"/>
      <c r="AA8" s="177"/>
      <c r="AB8" s="177"/>
      <c r="AC8" s="177"/>
      <c r="AD8" s="177"/>
      <c r="AE8" s="177"/>
      <c r="AF8" s="177"/>
      <c r="AG8" s="177"/>
      <c r="AH8" s="160"/>
      <c r="AI8" s="161"/>
      <c r="AJ8" s="161"/>
      <c r="AK8" s="161"/>
      <c r="AL8" s="161"/>
      <c r="AM8" s="161"/>
      <c r="AN8" s="178">
        <v>0</v>
      </c>
      <c r="AO8" s="179"/>
      <c r="AP8" s="178"/>
      <c r="AQ8" s="178"/>
      <c r="AR8" s="159"/>
      <c r="AS8" s="159"/>
      <c r="AT8" s="159"/>
      <c r="AU8" s="159"/>
      <c r="AV8" s="159"/>
      <c r="AW8" s="159"/>
      <c r="AX8" s="159"/>
      <c r="AY8" s="159"/>
      <c r="AZ8" s="159"/>
    </row>
    <row r="9" spans="1:52" x14ac:dyDescent="0.3">
      <c r="A9" s="176"/>
      <c r="B9" s="176"/>
      <c r="C9" s="159"/>
      <c r="D9" s="159"/>
      <c r="E9" s="159"/>
      <c r="F9" s="159"/>
      <c r="G9" s="159"/>
      <c r="H9" s="159"/>
      <c r="I9" s="159"/>
      <c r="J9" s="159"/>
      <c r="L9" s="159"/>
      <c r="M9" s="159"/>
      <c r="N9" s="211">
        <v>1</v>
      </c>
      <c r="O9" s="211" t="s">
        <v>398</v>
      </c>
      <c r="P9" s="350" t="s">
        <v>293</v>
      </c>
      <c r="Q9" s="351"/>
      <c r="R9" s="351"/>
      <c r="S9" s="351"/>
      <c r="T9" s="351"/>
      <c r="U9" s="352"/>
      <c r="V9" s="155"/>
      <c r="W9" s="349"/>
      <c r="X9" s="349"/>
      <c r="Y9" s="349"/>
      <c r="Z9" s="349"/>
      <c r="AA9" s="349"/>
      <c r="AB9" s="349"/>
      <c r="AC9" s="181"/>
      <c r="AD9" s="181"/>
      <c r="AE9" s="181"/>
      <c r="AF9" s="159"/>
      <c r="AG9" s="159"/>
      <c r="AH9" s="160"/>
      <c r="AI9" s="161"/>
      <c r="AJ9" s="161"/>
      <c r="AK9" s="161"/>
      <c r="AL9" s="161"/>
      <c r="AM9" s="161"/>
      <c r="AN9" s="178">
        <v>0</v>
      </c>
      <c r="AO9" s="179"/>
      <c r="AP9" s="178"/>
      <c r="AQ9" s="178"/>
      <c r="AR9" s="159"/>
      <c r="AS9" s="159"/>
      <c r="AT9" s="159"/>
      <c r="AU9" s="159"/>
      <c r="AV9" s="159"/>
      <c r="AW9" s="159"/>
      <c r="AX9" s="159"/>
      <c r="AY9" s="159"/>
      <c r="AZ9" s="159"/>
    </row>
    <row r="10" spans="1:52" ht="16.5" customHeight="1" x14ac:dyDescent="0.3">
      <c r="A10" s="176"/>
      <c r="B10" s="176"/>
      <c r="C10" s="159"/>
      <c r="D10" s="159"/>
      <c r="E10" s="159"/>
      <c r="F10" s="159"/>
      <c r="G10" s="159"/>
      <c r="H10" s="159"/>
      <c r="I10" s="159"/>
      <c r="J10" s="159"/>
      <c r="L10" s="155"/>
      <c r="M10" s="155"/>
      <c r="N10" s="211">
        <v>2</v>
      </c>
      <c r="O10" s="211" t="s">
        <v>399</v>
      </c>
      <c r="P10" s="350" t="s">
        <v>294</v>
      </c>
      <c r="Q10" s="351"/>
      <c r="R10" s="351"/>
      <c r="S10" s="351"/>
      <c r="T10" s="351"/>
      <c r="U10" s="352"/>
      <c r="V10" s="155"/>
      <c r="W10" s="345"/>
      <c r="X10" s="345"/>
      <c r="Y10" s="345"/>
      <c r="Z10" s="345"/>
      <c r="AA10" s="345"/>
      <c r="AB10" s="345"/>
      <c r="AC10" s="182"/>
      <c r="AD10" s="182"/>
      <c r="AE10" s="183"/>
      <c r="AF10" s="159"/>
      <c r="AG10" s="159"/>
      <c r="AH10" s="160"/>
      <c r="AI10" s="161"/>
      <c r="AJ10" s="161"/>
      <c r="AK10" s="161"/>
      <c r="AL10" s="161"/>
      <c r="AM10" s="161"/>
      <c r="AN10" s="178">
        <v>0</v>
      </c>
      <c r="AO10" s="179"/>
      <c r="AP10" s="178"/>
      <c r="AQ10" s="178"/>
      <c r="AR10" s="159"/>
      <c r="AS10" s="159"/>
      <c r="AT10" s="159"/>
      <c r="AU10" s="159"/>
      <c r="AV10" s="159"/>
      <c r="AW10" s="159"/>
      <c r="AX10" s="159"/>
      <c r="AY10" s="159"/>
      <c r="AZ10" s="159"/>
    </row>
    <row r="11" spans="1:52" ht="16.5" customHeight="1" x14ac:dyDescent="0.3">
      <c r="A11" s="176"/>
      <c r="B11" s="176"/>
      <c r="C11" s="159"/>
      <c r="D11" s="159"/>
      <c r="E11" s="159"/>
      <c r="F11" s="159"/>
      <c r="G11" s="159"/>
      <c r="H11" s="159"/>
      <c r="I11" s="159"/>
      <c r="J11" s="159"/>
      <c r="L11" s="155"/>
      <c r="M11" s="155"/>
      <c r="N11" s="211">
        <v>3</v>
      </c>
      <c r="O11" s="211" t="s">
        <v>400</v>
      </c>
      <c r="P11" s="350" t="s">
        <v>295</v>
      </c>
      <c r="Q11" s="351"/>
      <c r="R11" s="351"/>
      <c r="S11" s="351"/>
      <c r="T11" s="351"/>
      <c r="U11" s="352"/>
      <c r="V11" s="155"/>
      <c r="W11" s="182"/>
      <c r="X11" s="182"/>
      <c r="Y11" s="182"/>
      <c r="Z11" s="182"/>
      <c r="AA11" s="182"/>
      <c r="AB11" s="182"/>
      <c r="AC11" s="182"/>
      <c r="AD11" s="182"/>
      <c r="AE11" s="183"/>
      <c r="AF11" s="159"/>
      <c r="AG11" s="159"/>
      <c r="AH11" s="160"/>
      <c r="AI11" s="161"/>
      <c r="AJ11" s="161"/>
      <c r="AK11" s="161"/>
      <c r="AL11" s="161"/>
      <c r="AM11" s="161"/>
      <c r="AN11" s="178"/>
      <c r="AO11" s="179"/>
      <c r="AP11" s="178"/>
      <c r="AQ11" s="178"/>
      <c r="AR11" s="159"/>
      <c r="AS11" s="159"/>
      <c r="AT11" s="159"/>
      <c r="AU11" s="159"/>
      <c r="AV11" s="159"/>
      <c r="AW11" s="159"/>
      <c r="AX11" s="159"/>
      <c r="AY11" s="159"/>
      <c r="AZ11" s="159"/>
    </row>
    <row r="12" spans="1:52" ht="16.5" customHeight="1" x14ac:dyDescent="0.3">
      <c r="A12" s="176"/>
      <c r="B12" s="176"/>
      <c r="C12" s="159"/>
      <c r="D12" s="159"/>
      <c r="E12" s="159"/>
      <c r="F12" s="159"/>
      <c r="G12" s="159"/>
      <c r="H12" s="159"/>
      <c r="I12" s="159"/>
      <c r="J12" s="159"/>
      <c r="L12" s="155"/>
      <c r="M12" s="155"/>
      <c r="N12" s="211">
        <v>4</v>
      </c>
      <c r="O12" s="211" t="s">
        <v>401</v>
      </c>
      <c r="P12" s="350" t="s">
        <v>296</v>
      </c>
      <c r="Q12" s="351"/>
      <c r="R12" s="351"/>
      <c r="S12" s="351"/>
      <c r="T12" s="351"/>
      <c r="U12" s="352"/>
      <c r="V12" s="155"/>
      <c r="W12" s="182"/>
      <c r="X12" s="182"/>
      <c r="Y12" s="182"/>
      <c r="Z12" s="182"/>
      <c r="AA12" s="182"/>
      <c r="AB12" s="182"/>
      <c r="AC12" s="182"/>
      <c r="AD12" s="182"/>
      <c r="AE12" s="183"/>
      <c r="AF12" s="159"/>
      <c r="AG12" s="159"/>
      <c r="AH12" s="160"/>
      <c r="AI12" s="161"/>
      <c r="AJ12" s="161"/>
      <c r="AK12" s="161"/>
      <c r="AL12" s="161"/>
      <c r="AM12" s="161"/>
      <c r="AN12" s="178"/>
      <c r="AO12" s="179"/>
      <c r="AP12" s="178"/>
      <c r="AQ12" s="178"/>
      <c r="AR12" s="159"/>
      <c r="AS12" s="159"/>
      <c r="AT12" s="159"/>
      <c r="AU12" s="159"/>
      <c r="AV12" s="159"/>
      <c r="AW12" s="159"/>
      <c r="AX12" s="159"/>
      <c r="AY12" s="159"/>
      <c r="AZ12" s="159"/>
    </row>
    <row r="13" spans="1:52" ht="30" customHeight="1" x14ac:dyDescent="0.3">
      <c r="A13" s="176"/>
      <c r="B13" s="176"/>
      <c r="C13" s="159"/>
      <c r="D13" s="159"/>
      <c r="E13" s="159"/>
      <c r="F13" s="159"/>
      <c r="G13" s="159"/>
      <c r="H13" s="159"/>
      <c r="I13" s="159"/>
      <c r="J13" s="159"/>
      <c r="L13" s="155"/>
      <c r="M13" s="155"/>
      <c r="N13" s="211">
        <v>1</v>
      </c>
      <c r="O13" s="211" t="s">
        <v>402</v>
      </c>
      <c r="P13" s="350" t="s">
        <v>297</v>
      </c>
      <c r="Q13" s="351"/>
      <c r="R13" s="351"/>
      <c r="S13" s="351"/>
      <c r="T13" s="351"/>
      <c r="U13" s="352"/>
      <c r="V13" s="155"/>
      <c r="W13" s="182"/>
      <c r="X13" s="182"/>
      <c r="Y13" s="182"/>
      <c r="Z13" s="182"/>
      <c r="AA13" s="182"/>
      <c r="AB13" s="182"/>
      <c r="AC13" s="182"/>
      <c r="AD13" s="182"/>
      <c r="AE13" s="183"/>
      <c r="AF13" s="159"/>
      <c r="AG13" s="159"/>
      <c r="AH13" s="160"/>
      <c r="AI13" s="161"/>
      <c r="AJ13" s="161"/>
      <c r="AK13" s="161"/>
      <c r="AL13" s="161"/>
      <c r="AM13" s="161"/>
      <c r="AN13" s="178"/>
      <c r="AO13" s="179"/>
      <c r="AP13" s="178"/>
      <c r="AQ13" s="178"/>
      <c r="AR13" s="159"/>
      <c r="AS13" s="159"/>
      <c r="AT13" s="159"/>
      <c r="AU13" s="159"/>
      <c r="AV13" s="159"/>
      <c r="AW13" s="159"/>
      <c r="AX13" s="159"/>
      <c r="AY13" s="159"/>
      <c r="AZ13" s="159"/>
    </row>
    <row r="14" spans="1:52" ht="136.5" customHeight="1" x14ac:dyDescent="0.3">
      <c r="A14" s="176"/>
      <c r="B14" s="176"/>
      <c r="C14" s="159"/>
      <c r="D14" s="159"/>
      <c r="E14" s="159"/>
      <c r="F14" s="159"/>
      <c r="G14" s="159"/>
      <c r="H14" s="159"/>
      <c r="I14" s="159"/>
      <c r="J14" s="159"/>
      <c r="L14" s="155"/>
      <c r="M14" s="155"/>
      <c r="N14" s="211">
        <v>2</v>
      </c>
      <c r="O14" s="212">
        <v>43782</v>
      </c>
      <c r="P14" s="350" t="s">
        <v>298</v>
      </c>
      <c r="Q14" s="351"/>
      <c r="R14" s="351"/>
      <c r="S14" s="351"/>
      <c r="T14" s="351"/>
      <c r="U14" s="352"/>
      <c r="V14" s="155"/>
      <c r="W14" s="182"/>
      <c r="X14" s="182"/>
      <c r="Y14" s="182"/>
      <c r="Z14" s="182"/>
      <c r="AA14" s="182"/>
      <c r="AB14" s="182"/>
      <c r="AC14" s="182"/>
      <c r="AD14" s="182"/>
      <c r="AE14" s="183"/>
      <c r="AF14" s="159"/>
      <c r="AG14" s="159"/>
      <c r="AH14" s="160"/>
      <c r="AI14" s="161"/>
      <c r="AJ14" s="161"/>
      <c r="AK14" s="161"/>
      <c r="AL14" s="161"/>
      <c r="AM14" s="161"/>
      <c r="AN14" s="178"/>
      <c r="AO14" s="179"/>
      <c r="AP14" s="178"/>
      <c r="AQ14" s="178"/>
      <c r="AR14" s="159"/>
      <c r="AS14" s="159"/>
      <c r="AT14" s="159"/>
      <c r="AU14" s="159"/>
      <c r="AV14" s="159"/>
      <c r="AW14" s="159"/>
      <c r="AX14" s="159"/>
      <c r="AY14" s="159"/>
      <c r="AZ14" s="159"/>
    </row>
    <row r="15" spans="1:52" ht="61.5" customHeight="1" x14ac:dyDescent="0.3">
      <c r="A15" s="176"/>
      <c r="B15" s="176"/>
      <c r="C15" s="159"/>
      <c r="D15" s="159"/>
      <c r="E15" s="159"/>
      <c r="F15" s="159"/>
      <c r="G15" s="159"/>
      <c r="H15" s="159"/>
      <c r="I15" s="159"/>
      <c r="J15" s="159"/>
      <c r="L15" s="155"/>
      <c r="M15" s="155"/>
      <c r="N15" s="211">
        <v>3</v>
      </c>
      <c r="O15" s="213">
        <v>44298</v>
      </c>
      <c r="P15" s="350" t="s">
        <v>397</v>
      </c>
      <c r="Q15" s="351"/>
      <c r="R15" s="351"/>
      <c r="S15" s="351"/>
      <c r="T15" s="351"/>
      <c r="U15" s="352"/>
      <c r="V15" s="155"/>
      <c r="W15" s="182"/>
      <c r="X15" s="182"/>
      <c r="Y15" s="182"/>
      <c r="Z15" s="182"/>
      <c r="AA15" s="182"/>
      <c r="AB15" s="182"/>
      <c r="AC15" s="182"/>
      <c r="AD15" s="182"/>
      <c r="AE15" s="183"/>
      <c r="AF15" s="159"/>
      <c r="AG15" s="159"/>
      <c r="AH15" s="160"/>
      <c r="AI15" s="161"/>
      <c r="AJ15" s="161"/>
      <c r="AK15" s="161"/>
      <c r="AL15" s="161"/>
      <c r="AM15" s="161"/>
      <c r="AN15" s="178"/>
      <c r="AO15" s="179"/>
      <c r="AP15" s="178"/>
      <c r="AQ15" s="178"/>
      <c r="AR15" s="159"/>
      <c r="AS15" s="159"/>
      <c r="AT15" s="159"/>
      <c r="AU15" s="159"/>
      <c r="AV15" s="159"/>
      <c r="AW15" s="159"/>
      <c r="AX15" s="159"/>
      <c r="AY15" s="159"/>
      <c r="AZ15" s="159"/>
    </row>
    <row r="16" spans="1:52" ht="61.5" customHeight="1" x14ac:dyDescent="0.3">
      <c r="A16" s="176"/>
      <c r="B16" s="176"/>
      <c r="C16" s="159"/>
      <c r="D16" s="159"/>
      <c r="E16" s="159"/>
      <c r="F16" s="159"/>
      <c r="G16" s="159"/>
      <c r="H16" s="159"/>
      <c r="I16" s="159"/>
      <c r="J16" s="159"/>
      <c r="L16" s="155"/>
      <c r="M16" s="155"/>
      <c r="N16" s="211">
        <v>4</v>
      </c>
      <c r="O16" s="213">
        <v>44602</v>
      </c>
      <c r="P16" s="350" t="s">
        <v>407</v>
      </c>
      <c r="Q16" s="351"/>
      <c r="R16" s="351"/>
      <c r="S16" s="351"/>
      <c r="T16" s="351"/>
      <c r="U16" s="352"/>
      <c r="V16" s="155"/>
      <c r="W16" s="182"/>
      <c r="X16" s="182"/>
      <c r="Y16" s="182"/>
      <c r="Z16" s="182"/>
      <c r="AA16" s="182"/>
      <c r="AB16" s="182"/>
      <c r="AC16" s="182"/>
      <c r="AD16" s="182"/>
      <c r="AE16" s="183"/>
      <c r="AF16" s="159"/>
      <c r="AG16" s="159"/>
      <c r="AH16" s="160"/>
      <c r="AI16" s="161"/>
      <c r="AJ16" s="161"/>
      <c r="AK16" s="161"/>
      <c r="AL16" s="161"/>
      <c r="AM16" s="161"/>
      <c r="AN16" s="178"/>
      <c r="AO16" s="179"/>
      <c r="AP16" s="178"/>
      <c r="AQ16" s="178"/>
      <c r="AR16" s="159"/>
      <c r="AS16" s="159"/>
      <c r="AT16" s="159"/>
      <c r="AU16" s="159"/>
      <c r="AV16" s="159"/>
      <c r="AW16" s="159"/>
      <c r="AX16" s="159"/>
      <c r="AY16" s="159"/>
      <c r="AZ16" s="159"/>
    </row>
    <row r="17" spans="1:68" ht="96.75" customHeight="1" x14ac:dyDescent="0.3">
      <c r="A17" s="176"/>
      <c r="B17" s="176"/>
      <c r="C17" s="176"/>
      <c r="D17" s="176"/>
      <c r="E17" s="176"/>
      <c r="F17" s="159"/>
      <c r="G17" s="159"/>
      <c r="H17" s="159"/>
      <c r="I17" s="184"/>
      <c r="J17" s="184"/>
      <c r="K17" s="155"/>
      <c r="L17" s="155"/>
      <c r="M17" s="155"/>
      <c r="N17" s="191">
        <v>5</v>
      </c>
      <c r="O17" s="214">
        <v>44680</v>
      </c>
      <c r="P17" s="353" t="s">
        <v>408</v>
      </c>
      <c r="Q17" s="353"/>
      <c r="R17" s="353"/>
      <c r="S17" s="353"/>
      <c r="T17" s="353"/>
      <c r="U17" s="353"/>
      <c r="V17" s="155"/>
      <c r="W17" s="346"/>
      <c r="X17" s="346"/>
      <c r="Y17" s="346"/>
      <c r="Z17" s="346"/>
      <c r="AA17" s="346"/>
      <c r="AB17" s="346"/>
      <c r="AC17" s="185"/>
      <c r="AD17" s="185"/>
      <c r="AE17" s="186"/>
      <c r="AF17" s="187"/>
      <c r="AG17" s="177"/>
      <c r="AH17" s="160"/>
      <c r="AI17" s="161"/>
      <c r="AJ17" s="161"/>
      <c r="AK17" s="161"/>
      <c r="AL17" s="161"/>
      <c r="AM17" s="161"/>
      <c r="AN17" s="178">
        <v>0</v>
      </c>
      <c r="AO17" s="179"/>
      <c r="AP17" s="178"/>
      <c r="AQ17" s="178"/>
      <c r="AR17" s="159"/>
      <c r="AS17" s="159"/>
      <c r="AT17" s="159"/>
      <c r="AU17" s="159"/>
      <c r="AV17" s="159"/>
      <c r="AW17" s="159"/>
      <c r="AX17" s="159"/>
      <c r="AY17" s="159"/>
      <c r="AZ17" s="159"/>
    </row>
    <row r="18" spans="1:68" ht="18" x14ac:dyDescent="0.3">
      <c r="A18" s="347" t="s">
        <v>228</v>
      </c>
      <c r="B18" s="347"/>
      <c r="C18" s="347"/>
      <c r="D18" s="347"/>
      <c r="E18" s="347"/>
      <c r="F18" s="347"/>
      <c r="G18" s="347"/>
      <c r="H18" s="347"/>
      <c r="I18" s="347"/>
      <c r="J18" s="347"/>
      <c r="K18" s="155"/>
      <c r="L18" s="155"/>
      <c r="M18" s="155"/>
      <c r="N18" s="155"/>
      <c r="O18" s="188"/>
      <c r="P18" s="155"/>
      <c r="Q18" s="155"/>
      <c r="R18" s="155"/>
      <c r="S18" s="155"/>
      <c r="T18" s="155"/>
      <c r="U18" s="155"/>
      <c r="V18" s="155"/>
      <c r="W18" s="177"/>
      <c r="X18" s="177"/>
      <c r="Y18" s="177"/>
      <c r="Z18" s="177"/>
      <c r="AA18" s="177"/>
      <c r="AB18" s="189"/>
      <c r="AC18" s="189"/>
      <c r="AD18" s="189"/>
      <c r="AE18" s="189"/>
      <c r="AF18" s="190"/>
      <c r="AG18" s="190"/>
      <c r="AH18" s="161"/>
      <c r="AI18" s="161"/>
      <c r="AJ18" s="161"/>
      <c r="AK18" s="161"/>
      <c r="AL18" s="161"/>
      <c r="AM18" s="162"/>
      <c r="AN18" s="178"/>
      <c r="AO18" s="178"/>
      <c r="AP18" s="159"/>
      <c r="AQ18" s="159"/>
      <c r="AR18" s="159"/>
      <c r="AS18" s="159"/>
      <c r="AT18" s="159"/>
      <c r="AU18" s="159"/>
      <c r="AV18" s="159"/>
      <c r="AW18" s="159"/>
      <c r="AX18" s="159"/>
      <c r="AY18" s="159"/>
      <c r="AZ18" s="159"/>
    </row>
    <row r="19" spans="1:68" ht="16.5" customHeight="1" x14ac:dyDescent="0.3">
      <c r="A19" s="311"/>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3"/>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24" customHeight="1" x14ac:dyDescent="0.3">
      <c r="A20" s="314"/>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x14ac:dyDescent="0.3">
      <c r="A21" s="28"/>
      <c r="B21" s="147"/>
      <c r="C21" s="28"/>
      <c r="D21" s="28"/>
      <c r="E21" s="8"/>
      <c r="F21" s="2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26.25" customHeight="1" x14ac:dyDescent="0.3">
      <c r="A22" s="329" t="s">
        <v>58</v>
      </c>
      <c r="B22" s="330"/>
      <c r="C22" s="375" t="s">
        <v>292</v>
      </c>
      <c r="D22" s="371"/>
      <c r="E22" s="371"/>
      <c r="F22" s="371"/>
      <c r="G22" s="371"/>
      <c r="H22" s="371"/>
      <c r="I22" s="371"/>
      <c r="J22" s="371"/>
      <c r="K22" s="371"/>
      <c r="L22" s="371"/>
      <c r="M22" s="371"/>
      <c r="N22" s="372"/>
      <c r="O22" s="310"/>
      <c r="P22" s="310"/>
      <c r="Q22" s="310"/>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49.5" customHeight="1" x14ac:dyDescent="0.3">
      <c r="A23" s="329" t="s">
        <v>59</v>
      </c>
      <c r="B23" s="330"/>
      <c r="C23" s="370" t="s">
        <v>290</v>
      </c>
      <c r="D23" s="371"/>
      <c r="E23" s="371"/>
      <c r="F23" s="371"/>
      <c r="G23" s="371"/>
      <c r="H23" s="371"/>
      <c r="I23" s="371"/>
      <c r="J23" s="371"/>
      <c r="K23" s="371"/>
      <c r="L23" s="371"/>
      <c r="M23" s="371"/>
      <c r="N23" s="372"/>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49.5" customHeight="1" x14ac:dyDescent="0.3">
      <c r="A24" s="329" t="s">
        <v>60</v>
      </c>
      <c r="B24" s="330"/>
      <c r="C24" s="370" t="s">
        <v>291</v>
      </c>
      <c r="D24" s="373"/>
      <c r="E24" s="373"/>
      <c r="F24" s="373"/>
      <c r="G24" s="373"/>
      <c r="H24" s="373"/>
      <c r="I24" s="373"/>
      <c r="J24" s="373"/>
      <c r="K24" s="373"/>
      <c r="L24" s="373"/>
      <c r="M24" s="373"/>
      <c r="N24" s="374"/>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x14ac:dyDescent="0.3">
      <c r="A25" s="317" t="s">
        <v>61</v>
      </c>
      <c r="B25" s="318"/>
      <c r="C25" s="318"/>
      <c r="D25" s="318"/>
      <c r="E25" s="318"/>
      <c r="F25" s="318"/>
      <c r="G25" s="319"/>
      <c r="H25" s="317" t="s">
        <v>62</v>
      </c>
      <c r="I25" s="318"/>
      <c r="J25" s="318"/>
      <c r="K25" s="318"/>
      <c r="L25" s="318"/>
      <c r="M25" s="318"/>
      <c r="N25" s="319"/>
      <c r="O25" s="317" t="s">
        <v>63</v>
      </c>
      <c r="P25" s="318"/>
      <c r="Q25" s="318"/>
      <c r="R25" s="318"/>
      <c r="S25" s="318"/>
      <c r="T25" s="318"/>
      <c r="U25" s="318"/>
      <c r="V25" s="318"/>
      <c r="W25" s="319"/>
      <c r="X25" s="317" t="s">
        <v>64</v>
      </c>
      <c r="Y25" s="318"/>
      <c r="Z25" s="318"/>
      <c r="AA25" s="318"/>
      <c r="AB25" s="318"/>
      <c r="AC25" s="318"/>
      <c r="AD25" s="319"/>
      <c r="AE25" s="317" t="s">
        <v>65</v>
      </c>
      <c r="AF25" s="318"/>
      <c r="AG25" s="318"/>
      <c r="AH25" s="318"/>
      <c r="AI25" s="318"/>
      <c r="AJ25" s="319"/>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6.5" customHeight="1" x14ac:dyDescent="0.3">
      <c r="A26" s="331" t="s">
        <v>66</v>
      </c>
      <c r="B26" s="326" t="s">
        <v>13</v>
      </c>
      <c r="C26" s="327" t="s">
        <v>15</v>
      </c>
      <c r="D26" s="327" t="s">
        <v>17</v>
      </c>
      <c r="E26" s="333" t="s">
        <v>19</v>
      </c>
      <c r="F26" s="328" t="s">
        <v>21</v>
      </c>
      <c r="G26" s="327" t="s">
        <v>67</v>
      </c>
      <c r="H26" s="340" t="s">
        <v>68</v>
      </c>
      <c r="I26" s="341" t="s">
        <v>69</v>
      </c>
      <c r="J26" s="328" t="s">
        <v>70</v>
      </c>
      <c r="K26" s="328" t="s">
        <v>71</v>
      </c>
      <c r="L26" s="343" t="s">
        <v>72</v>
      </c>
      <c r="M26" s="341" t="s">
        <v>69</v>
      </c>
      <c r="N26" s="327" t="s">
        <v>27</v>
      </c>
      <c r="O26" s="334" t="s">
        <v>73</v>
      </c>
      <c r="P26" s="325" t="s">
        <v>29</v>
      </c>
      <c r="Q26" s="328" t="s">
        <v>31</v>
      </c>
      <c r="R26" s="325" t="s">
        <v>74</v>
      </c>
      <c r="S26" s="325"/>
      <c r="T26" s="325"/>
      <c r="U26" s="325"/>
      <c r="V26" s="325"/>
      <c r="W26" s="325"/>
      <c r="X26" s="339" t="s">
        <v>75</v>
      </c>
      <c r="Y26" s="339" t="s">
        <v>76</v>
      </c>
      <c r="Z26" s="339" t="s">
        <v>69</v>
      </c>
      <c r="AA26" s="339" t="s">
        <v>77</v>
      </c>
      <c r="AB26" s="339" t="s">
        <v>69</v>
      </c>
      <c r="AC26" s="339" t="s">
        <v>78</v>
      </c>
      <c r="AD26" s="334" t="s">
        <v>47</v>
      </c>
      <c r="AE26" s="325" t="s">
        <v>65</v>
      </c>
      <c r="AF26" s="325" t="s">
        <v>79</v>
      </c>
      <c r="AG26" s="325" t="s">
        <v>80</v>
      </c>
      <c r="AH26" s="325" t="s">
        <v>81</v>
      </c>
      <c r="AI26" s="325" t="s">
        <v>82</v>
      </c>
      <c r="AJ26" s="325" t="s">
        <v>51</v>
      </c>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s="4" customFormat="1" ht="94.5" customHeight="1" x14ac:dyDescent="0.25">
      <c r="A27" s="332"/>
      <c r="B27" s="326"/>
      <c r="C27" s="328"/>
      <c r="D27" s="325"/>
      <c r="E27" s="326"/>
      <c r="F27" s="327"/>
      <c r="G27" s="325"/>
      <c r="H27" s="327"/>
      <c r="I27" s="342"/>
      <c r="J27" s="327"/>
      <c r="K27" s="327"/>
      <c r="L27" s="342"/>
      <c r="M27" s="342"/>
      <c r="N27" s="325"/>
      <c r="O27" s="335"/>
      <c r="P27" s="325"/>
      <c r="Q27" s="327"/>
      <c r="R27" s="7" t="s">
        <v>83</v>
      </c>
      <c r="S27" s="7" t="s">
        <v>84</v>
      </c>
      <c r="T27" s="7" t="s">
        <v>85</v>
      </c>
      <c r="U27" s="7" t="s">
        <v>86</v>
      </c>
      <c r="V27" s="7" t="s">
        <v>87</v>
      </c>
      <c r="W27" s="7" t="s">
        <v>88</v>
      </c>
      <c r="X27" s="339"/>
      <c r="Y27" s="339"/>
      <c r="Z27" s="339"/>
      <c r="AA27" s="339"/>
      <c r="AB27" s="339"/>
      <c r="AC27" s="339"/>
      <c r="AD27" s="335"/>
      <c r="AE27" s="325"/>
      <c r="AF27" s="325"/>
      <c r="AG27" s="325"/>
      <c r="AH27" s="325"/>
      <c r="AI27" s="325"/>
      <c r="AJ27" s="3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row>
    <row r="28" spans="1:68" s="3" customFormat="1" ht="144.75" customHeight="1" x14ac:dyDescent="0.25">
      <c r="A28" s="269">
        <v>1</v>
      </c>
      <c r="B28" s="303" t="s">
        <v>192</v>
      </c>
      <c r="C28" s="205" t="s">
        <v>352</v>
      </c>
      <c r="D28" s="305" t="s">
        <v>357</v>
      </c>
      <c r="E28" s="320" t="s">
        <v>351</v>
      </c>
      <c r="F28" s="286" t="s">
        <v>232</v>
      </c>
      <c r="G28" s="292">
        <v>4</v>
      </c>
      <c r="H28" s="295" t="str">
        <f>IF(G28&lt;=0,"",IF(G28&lt;=2,"Muy Baja",IF(G28&lt;=24,"Baja",IF(G28&lt;=500,"Media",IF(G28&lt;=5000,"Alta","Muy Alta")))))</f>
        <v>Baja</v>
      </c>
      <c r="I28" s="282">
        <f>IF(H28="","",IF(H28="Muy Baja",0.2,IF(H28="Baja",0.4,IF(H28="Media",0.6,IF(H28="Alta",0.8,IF(H28="Muy Alta",1,))))))</f>
        <v>0.4</v>
      </c>
      <c r="J28" s="299" t="s">
        <v>148</v>
      </c>
      <c r="K28" s="282" t="str">
        <f>IF(NOT(ISERROR(MATCH(J28,'Tabla Impacto'!$B$221:$B$223,0))),'Tabla Impacto'!$F$228&amp;"Por favor no seleccionar los criterios de impacto(Afectación Económica o presupuestal y Pérdida Reputacional)",J28)</f>
        <v xml:space="preserve">     El riesgo afecta la imagen de la entidad con algunos usuarios de relevancia frente al logro de los objetivos</v>
      </c>
      <c r="L28" s="295" t="str">
        <f>IF(OR(K28='Tabla Impacto'!$C$11,K28='Tabla Impacto'!$D$11),"Leve",IF(OR(K28='Tabla Impacto'!$C$12,K28='Tabla Impacto'!$D$12),"Menor",IF(OR(K28='Tabla Impacto'!$C$13,K28='Tabla Impacto'!$D$13),"Moderado",IF(OR(K28='Tabla Impacto'!$C$14,K28='Tabla Impacto'!$D$14),"Mayor",IF(OR(K28='Tabla Impacto'!$C$15,K28='Tabla Impacto'!$D$15),"Catastrófico","")))))</f>
        <v>Moderado</v>
      </c>
      <c r="M28" s="282">
        <f>IF(L28="","",IF(L28="Leve",0.2,IF(L28="Menor",0.4,IF(L28="Moderado",0.6,IF(L28="Mayor",0.8,IF(L28="Catastrófico",1,))))))</f>
        <v>0.6</v>
      </c>
      <c r="N28" s="284"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
        <v>1</v>
      </c>
      <c r="P28" s="201" t="s">
        <v>358</v>
      </c>
      <c r="Q28" s="193" t="str">
        <f>IF(OR(R28="Preventivo",R28="Detectivo"),"Probabilidad",IF(R28="Correctivo","Impacto",""))</f>
        <v>Probabilidad</v>
      </c>
      <c r="R28" s="194" t="s">
        <v>164</v>
      </c>
      <c r="S28" s="194" t="s">
        <v>172</v>
      </c>
      <c r="T28" s="195" t="str">
        <f>IF(AND(R28="Preventivo",S28="Automático"),"50%",IF(AND(R28="Preventivo",S28="Manual"),"40%",IF(AND(R28="Detectivo",S28="Automático"),"40%",IF(AND(R28="Detectivo",S28="Manual"),"30%",IF(AND(R28="Correctivo",S28="Automático"),"35%",IF(AND(R28="Correctivo",S28="Manual"),"25%",""))))))</f>
        <v>40%</v>
      </c>
      <c r="U28" s="194" t="s">
        <v>175</v>
      </c>
      <c r="V28" s="194" t="s">
        <v>180</v>
      </c>
      <c r="W28" s="194" t="s">
        <v>184</v>
      </c>
      <c r="X28" s="138">
        <f>IFERROR(IF(Q28="Probabilidad",(I28-(+I28*T28)),IF(Q28="Impacto",I28,"")),"")</f>
        <v>0.24</v>
      </c>
      <c r="Y28" s="196" t="str">
        <f>IFERROR(IF(X28="","",IF(X28&lt;=0.2,"Muy Baja",IF(X28&lt;=0.4,"Baja",IF(X28&lt;=0.6,"Media",IF(X28&lt;=0.8,"Alta","Muy Alta"))))),"")</f>
        <v>Baja</v>
      </c>
      <c r="Z28" s="144">
        <f>+X28</f>
        <v>0.24</v>
      </c>
      <c r="AA28" s="196" t="str">
        <f>IFERROR(IF(AB28="","",IF(AB28&lt;=0.2,"Leve",IF(AB28&lt;=0.4,"Menor",IF(AB28&lt;=0.6,"Moderado",IF(AB28&lt;=0.8,"Mayor","Catastrófico"))))),"")</f>
        <v>Moderado</v>
      </c>
      <c r="AB28" s="144">
        <f>IFERROR(IF(Q28="Impacto",(M28-(+M28*T28)),IF(Q28="Probabilidad",M28,"")),"")</f>
        <v>0.6</v>
      </c>
      <c r="AC28" s="197"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45" t="s">
        <v>189</v>
      </c>
      <c r="AE28" s="122"/>
      <c r="AF28" s="123"/>
      <c r="AG28" s="124"/>
      <c r="AH28" s="124"/>
      <c r="AI28" s="122"/>
      <c r="AJ28" s="123"/>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29" customHeight="1" x14ac:dyDescent="0.3">
      <c r="A29" s="278"/>
      <c r="B29" s="304"/>
      <c r="C29" s="205" t="s">
        <v>353</v>
      </c>
      <c r="D29" s="306"/>
      <c r="E29" s="321"/>
      <c r="F29" s="287"/>
      <c r="G29" s="293"/>
      <c r="H29" s="296"/>
      <c r="I29" s="283"/>
      <c r="J29" s="300"/>
      <c r="K29" s="283">
        <f>IF(NOT(ISERROR(MATCH(J29,_xlfn.ANCHORARRAY(E35),0))),#REF!&amp;"Por favor no seleccionar los criterios de impacto",J29)</f>
        <v>0</v>
      </c>
      <c r="L29" s="296"/>
      <c r="M29" s="283"/>
      <c r="N29" s="285"/>
      <c r="O29" s="6">
        <v>2</v>
      </c>
      <c r="P29" s="201" t="s">
        <v>359</v>
      </c>
      <c r="Q29" s="193" t="str">
        <f>IF(OR(R29="Preventivo",R29="Detectivo"),"Probabilidad",IF(R29="Correctivo","Impacto",""))</f>
        <v>Probabilidad</v>
      </c>
      <c r="R29" s="194" t="s">
        <v>166</v>
      </c>
      <c r="S29" s="194" t="s">
        <v>172</v>
      </c>
      <c r="T29" s="195" t="str">
        <f>IF(AND(R29="Preventivo",S29="Automático"),"50%",IF(AND(R29="Preventivo",S29="Manual"),"40%",IF(AND(R29="Detectivo",S29="Automático"),"40%",IF(AND(R29="Detectivo",S29="Manual"),"30%",IF(AND(R29="Correctivo",S29="Automático"),"35%",IF(AND(R29="Correctivo",S29="Manual"),"25%",""))))))</f>
        <v>30%</v>
      </c>
      <c r="U29" s="194" t="s">
        <v>175</v>
      </c>
      <c r="V29" s="194" t="s">
        <v>180</v>
      </c>
      <c r="W29" s="194" t="s">
        <v>184</v>
      </c>
      <c r="X29" s="138">
        <f>IFERROR(IF(AND(Q28="Probabilidad",Q29="Probabilidad"),(Z28-(+Z28*T29)),IF(Q29="Probabilidad",(I28-(+I28*T29)),IF(Q29="Impacto",Z28,""))),"")</f>
        <v>0.16799999999999998</v>
      </c>
      <c r="Y29" s="196" t="str">
        <f t="shared" ref="Y29:Y34" si="0">IFERROR(IF(X29="","",IF(X29&lt;=0.2,"Muy Baja",IF(X29&lt;=0.4,"Baja",IF(X29&lt;=0.6,"Media",IF(X29&lt;=0.8,"Alta","Muy Alta"))))),"")</f>
        <v>Muy Baja</v>
      </c>
      <c r="Z29" s="144">
        <f>+X29</f>
        <v>0.16799999999999998</v>
      </c>
      <c r="AA29" s="196" t="str">
        <f t="shared" ref="AA29:AA34" si="1">IFERROR(IF(AB29="","",IF(AB29&lt;=0.2,"Leve",IF(AB29&lt;=0.4,"Menor",IF(AB29&lt;=0.6,"Moderado",IF(AB29&lt;=0.8,"Mayor","Catastrófico"))))),"")</f>
        <v>Moderado</v>
      </c>
      <c r="AB29" s="144">
        <f>IFERROR(IF(AND(Q28="Impacto",Q29="Impacto"),(AB28-(+AB28*T29)),IF(Q29="Impacto",(M28-(+M28*T29)),IF(Q29="Probabilidad",AB28,""))),"")</f>
        <v>0.6</v>
      </c>
      <c r="AC29" s="197"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145" t="s">
        <v>189</v>
      </c>
      <c r="AE29" s="122"/>
      <c r="AF29" s="123"/>
      <c r="AG29" s="124"/>
      <c r="AH29" s="124"/>
      <c r="AI29" s="122"/>
      <c r="AJ29" s="123"/>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65" customHeight="1" x14ac:dyDescent="0.3">
      <c r="A30" s="278"/>
      <c r="B30" s="304"/>
      <c r="C30" s="205" t="s">
        <v>354</v>
      </c>
      <c r="D30" s="306"/>
      <c r="E30" s="321"/>
      <c r="F30" s="287"/>
      <c r="G30" s="293"/>
      <c r="H30" s="296"/>
      <c r="I30" s="283"/>
      <c r="J30" s="300"/>
      <c r="K30" s="283">
        <f>IF(NOT(ISERROR(MATCH(J30,_xlfn.ANCHORARRAY(#REF!),0))),#REF!&amp;"Por favor no seleccionar los criterios de impacto",J30)</f>
        <v>0</v>
      </c>
      <c r="L30" s="296"/>
      <c r="M30" s="283"/>
      <c r="N30" s="285"/>
      <c r="O30" s="269">
        <v>3</v>
      </c>
      <c r="P30" s="271" t="s">
        <v>360</v>
      </c>
      <c r="Q30" s="273" t="str">
        <f>IF(OR(R30="Preventivo",R30="Detectivo"),"Probabilidad",IF(R30="Correctivo","Impacto",""))</f>
        <v>Impacto</v>
      </c>
      <c r="R30" s="267" t="s">
        <v>168</v>
      </c>
      <c r="S30" s="267" t="s">
        <v>172</v>
      </c>
      <c r="T30" s="263" t="str">
        <f>IF(AND(R30="Preventivo",S30="Automático"),"50%",IF(AND(R30="Preventivo",S30="Manual"),"40%",IF(AND(R30="Detectivo",S30="Automático"),"40%",IF(AND(R30="Detectivo",S30="Manual"),"30%",IF(AND(R30="Correctivo",S30="Automático"),"35%",IF(AND(R30="Correctivo",S30="Manual"),"25%",""))))))</f>
        <v>25%</v>
      </c>
      <c r="U30" s="267" t="s">
        <v>178</v>
      </c>
      <c r="V30" s="267" t="s">
        <v>180</v>
      </c>
      <c r="W30" s="267" t="s">
        <v>184</v>
      </c>
      <c r="X30" s="138">
        <f>IFERROR(IF(AND(Q29="Probabilidad",Q30="Probabilidad"),(Z29-(+Z29*T30)),IF(AND(Q29="Impacto",Q30="Probabilidad"),(Z28-(+Z28*T30)),IF(Q30="Impacto",Z29,""))),"")</f>
        <v>0.16799999999999998</v>
      </c>
      <c r="Y30" s="261" t="str">
        <f t="shared" si="0"/>
        <v>Muy Baja</v>
      </c>
      <c r="Z30" s="263">
        <f>+X30</f>
        <v>0.16799999999999998</v>
      </c>
      <c r="AA30" s="261" t="str">
        <f t="shared" si="1"/>
        <v>Moderado</v>
      </c>
      <c r="AB30" s="263">
        <f>IFERROR(IF(AND(Q29="Impacto",Q30="Impacto"),(AB29-(+AB29*T30)),IF(AND(Q29="Probabilidad",Q30="Impacto"),(AB28-(+AB28*T30)),IF(Q30="Probabilidad",AB29,""))),"")</f>
        <v>0.44999999999999996</v>
      </c>
      <c r="AC30" s="26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267" t="s">
        <v>189</v>
      </c>
      <c r="AE30" s="356"/>
      <c r="AF30" s="356"/>
      <c r="AG30" s="356"/>
      <c r="AH30" s="356"/>
      <c r="AI30" s="356"/>
      <c r="AJ30" s="35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92.25" customHeight="1" x14ac:dyDescent="0.3">
      <c r="A31" s="278"/>
      <c r="B31" s="304"/>
      <c r="C31" s="205" t="s">
        <v>355</v>
      </c>
      <c r="D31" s="306"/>
      <c r="E31" s="321"/>
      <c r="F31" s="287"/>
      <c r="G31" s="293"/>
      <c r="H31" s="296"/>
      <c r="I31" s="283"/>
      <c r="J31" s="300"/>
      <c r="K31" s="283">
        <f>IF(NOT(ISERROR(MATCH(J31,_xlfn.ANCHORARRAY(#REF!),0))),#REF!&amp;"Por favor no seleccionar los criterios de impacto",J31)</f>
        <v>0</v>
      </c>
      <c r="L31" s="296"/>
      <c r="M31" s="283"/>
      <c r="N31" s="285"/>
      <c r="O31" s="278"/>
      <c r="P31" s="279"/>
      <c r="Q31" s="280"/>
      <c r="R31" s="276"/>
      <c r="S31" s="276"/>
      <c r="T31" s="277"/>
      <c r="U31" s="276"/>
      <c r="V31" s="276"/>
      <c r="W31" s="276"/>
      <c r="X31" s="138" t="str">
        <f>IFERROR(IF(AND(Q30="Probabilidad",Q31="Probabilidad"),(Z30-(+Z30*T31)),IF(AND(Q30="Impacto",Q31="Probabilidad"),(Z29-(+Z29*T31)),IF(Q31="Impacto",Z30,""))),"")</f>
        <v/>
      </c>
      <c r="Y31" s="281"/>
      <c r="Z31" s="277"/>
      <c r="AA31" s="281"/>
      <c r="AB31" s="277"/>
      <c r="AC31" s="275"/>
      <c r="AD31" s="276"/>
      <c r="AE31" s="357"/>
      <c r="AF31" s="357"/>
      <c r="AG31" s="357"/>
      <c r="AH31" s="357"/>
      <c r="AI31" s="357"/>
      <c r="AJ31" s="357"/>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96.75" customHeight="1" x14ac:dyDescent="0.3">
      <c r="A32" s="278"/>
      <c r="B32" s="287"/>
      <c r="C32" s="208" t="s">
        <v>356</v>
      </c>
      <c r="D32" s="360"/>
      <c r="E32" s="321"/>
      <c r="F32" s="287"/>
      <c r="G32" s="293"/>
      <c r="H32" s="296"/>
      <c r="I32" s="283"/>
      <c r="J32" s="300"/>
      <c r="K32" s="283">
        <f>IF(NOT(ISERROR(MATCH(J32,_xlfn.ANCHORARRAY(#REF!),0))),#REF!&amp;"Por favor no seleccionar los criterios de impacto",J32)</f>
        <v>0</v>
      </c>
      <c r="L32" s="296"/>
      <c r="M32" s="283"/>
      <c r="N32" s="285"/>
      <c r="O32" s="270"/>
      <c r="P32" s="272"/>
      <c r="Q32" s="274"/>
      <c r="R32" s="268"/>
      <c r="S32" s="268"/>
      <c r="T32" s="264"/>
      <c r="U32" s="268"/>
      <c r="V32" s="268"/>
      <c r="W32" s="268"/>
      <c r="X32" s="138" t="str">
        <f>IFERROR(IF(AND(Q31="Probabilidad",Q32="Probabilidad"),(Z31-(+Z31*T32)),IF(AND(Q31="Impacto",Q32="Probabilidad"),(Z30-(+Z30*T32)),IF(Q32="Impacto",Z31,""))),"")</f>
        <v/>
      </c>
      <c r="Y32" s="262"/>
      <c r="Z32" s="264"/>
      <c r="AA32" s="262"/>
      <c r="AB32" s="264"/>
      <c r="AC32" s="266"/>
      <c r="AD32" s="268"/>
      <c r="AE32" s="358"/>
      <c r="AF32" s="358"/>
      <c r="AG32" s="358"/>
      <c r="AH32" s="358"/>
      <c r="AI32" s="358"/>
      <c r="AJ32" s="35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11.75" customHeight="1" x14ac:dyDescent="0.3">
      <c r="A33" s="269">
        <v>2</v>
      </c>
      <c r="B33" s="303" t="s">
        <v>194</v>
      </c>
      <c r="C33" s="205" t="s">
        <v>362</v>
      </c>
      <c r="D33" s="305" t="s">
        <v>366</v>
      </c>
      <c r="E33" s="320" t="s">
        <v>361</v>
      </c>
      <c r="F33" s="286" t="s">
        <v>232</v>
      </c>
      <c r="G33" s="292">
        <v>40</v>
      </c>
      <c r="H33" s="295" t="str">
        <f>IF(G33&lt;=0,"",IF(G33&lt;=2,"Muy Baja",IF(G33&lt;=24,"Baja",IF(G33&lt;=500,"Media",IF(G33&lt;=5000,"Alta","Muy Alta")))))</f>
        <v>Media</v>
      </c>
      <c r="I33" s="282">
        <f>IF(H33="","",IF(H33="Muy Baja",0.2,IF(H33="Baja",0.4,IF(H33="Media",0.6,IF(H33="Alta",0.8,IF(H33="Muy Alta",1,))))))</f>
        <v>0.6</v>
      </c>
      <c r="J33" s="299" t="s">
        <v>150</v>
      </c>
      <c r="K33" s="282" t="str">
        <f>IF(NOT(ISERROR(MATCH(J33,'Tabla Impacto'!$B$221:$B$223,0))),'Tabla Impacto'!$F$228&amp;"Por favor no seleccionar los criterios de impacto(Afectación Económica o presupuestal y Pérdida Reputacional)",J33)</f>
        <v xml:space="preserve">     El riesgo afecta la imagen de de la entidad con efecto publicitario sostenido a nivel de sector administrativo, nivel departamental o municipal</v>
      </c>
      <c r="L33" s="295" t="str">
        <f>IF(OR(K33='Tabla Impacto'!$C$11,K33='Tabla Impacto'!$D$11),"Leve",IF(OR(K33='Tabla Impacto'!$C$12,K33='Tabla Impacto'!$D$12),"Menor",IF(OR(K33='Tabla Impacto'!$C$13,K33='Tabla Impacto'!$D$13),"Moderado",IF(OR(K33='Tabla Impacto'!$C$14,K33='Tabla Impacto'!$D$14),"Mayor",IF(OR(K33='Tabla Impacto'!$C$15,K33='Tabla Impacto'!$D$15),"Catastrófico","")))))</f>
        <v>Mayor</v>
      </c>
      <c r="M33" s="282">
        <f>IF(L33="","",IF(L33="Leve",0.2,IF(L33="Menor",0.4,IF(L33="Moderado",0.6,IF(L33="Mayor",0.8,IF(L33="Catastrófico",1,))))))</f>
        <v>0.8</v>
      </c>
      <c r="N33" s="284"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Alto</v>
      </c>
      <c r="O33" s="6">
        <v>1</v>
      </c>
      <c r="P33" s="201" t="s">
        <v>364</v>
      </c>
      <c r="Q33" s="193" t="str">
        <f>IF(OR(R33="Preventivo",R33="Detectivo"),"Probabilidad",IF(R33="Correctivo","Impacto",""))</f>
        <v>Probabilidad</v>
      </c>
      <c r="R33" s="194" t="s">
        <v>164</v>
      </c>
      <c r="S33" s="194" t="s">
        <v>172</v>
      </c>
      <c r="T33" s="195" t="str">
        <f>IF(AND(R33="Preventivo",S33="Automático"),"50%",IF(AND(R33="Preventivo",S33="Manual"),"40%",IF(AND(R33="Detectivo",S33="Automático"),"40%",IF(AND(R33="Detectivo",S33="Manual"),"30%",IF(AND(R33="Correctivo",S33="Automático"),"35%",IF(AND(R33="Correctivo",S33="Manual"),"25%",""))))))</f>
        <v>40%</v>
      </c>
      <c r="U33" s="194" t="s">
        <v>175</v>
      </c>
      <c r="V33" s="194" t="s">
        <v>180</v>
      </c>
      <c r="W33" s="194" t="s">
        <v>186</v>
      </c>
      <c r="X33" s="138">
        <f>IFERROR(IF(Q33="Probabilidad",(I33-(+I33*T33)),IF(Q33="Impacto",I33,"")),"")</f>
        <v>0.36</v>
      </c>
      <c r="Y33" s="196" t="str">
        <f>IFERROR(IF(X33="","",IF(X33&lt;=0.2,"Muy Baja",IF(X33&lt;=0.4,"Baja",IF(X33&lt;=0.6,"Media",IF(X33&lt;=0.8,"Alta","Muy Alta"))))),"")</f>
        <v>Baja</v>
      </c>
      <c r="Z33" s="144">
        <f>+X33</f>
        <v>0.36</v>
      </c>
      <c r="AA33" s="196" t="str">
        <f>IFERROR(IF(AB33="","",IF(AB33&lt;=0.2,"Leve",IF(AB33&lt;=0.4,"Menor",IF(AB33&lt;=0.6,"Moderado",IF(AB33&lt;=0.8,"Mayor","Catastrófico"))))),"")</f>
        <v>Mayor</v>
      </c>
      <c r="AB33" s="144">
        <f>IFERROR(IF(Q33="Impacto",(M33-(+M33*T33)),IF(Q33="Probabilidad",M33,"")),"")</f>
        <v>0.8</v>
      </c>
      <c r="AC33" s="197"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Alto</v>
      </c>
      <c r="AD33" s="145" t="s">
        <v>189</v>
      </c>
      <c r="AE33" s="122"/>
      <c r="AF33" s="123"/>
      <c r="AG33" s="124"/>
      <c r="AH33" s="124"/>
      <c r="AI33" s="122"/>
      <c r="AJ33" s="123"/>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04.25" customHeight="1" x14ac:dyDescent="0.3">
      <c r="A34" s="278"/>
      <c r="B34" s="304"/>
      <c r="C34" s="205" t="s">
        <v>363</v>
      </c>
      <c r="D34" s="306"/>
      <c r="E34" s="321"/>
      <c r="F34" s="287"/>
      <c r="G34" s="293"/>
      <c r="H34" s="296"/>
      <c r="I34" s="283"/>
      <c r="J34" s="300"/>
      <c r="K34" s="283">
        <f>IF(NOT(ISERROR(MATCH(J34,_xlfn.ANCHORARRAY(E36),0))),#REF!&amp;"Por favor no seleccionar los criterios de impacto",J34)</f>
        <v>0</v>
      </c>
      <c r="L34" s="296"/>
      <c r="M34" s="283"/>
      <c r="N34" s="285"/>
      <c r="O34" s="6">
        <v>2</v>
      </c>
      <c r="P34" s="201" t="s">
        <v>365</v>
      </c>
      <c r="Q34" s="193" t="str">
        <f>IF(OR(R34="Preventivo",R34="Detectivo"),"Probabilidad",IF(R34="Correctivo","Impacto",""))</f>
        <v>Probabilidad</v>
      </c>
      <c r="R34" s="194" t="s">
        <v>166</v>
      </c>
      <c r="S34" s="194" t="s">
        <v>172</v>
      </c>
      <c r="T34" s="195" t="str">
        <f>IF(AND(R34="Preventivo",S34="Automático"),"50%",IF(AND(R34="Preventivo",S34="Manual"),"40%",IF(AND(R34="Detectivo",S34="Automático"),"40%",IF(AND(R34="Detectivo",S34="Manual"),"30%",IF(AND(R34="Correctivo",S34="Automático"),"35%",IF(AND(R34="Correctivo",S34="Manual"),"25%",""))))))</f>
        <v>30%</v>
      </c>
      <c r="U34" s="194" t="s">
        <v>175</v>
      </c>
      <c r="V34" s="194" t="s">
        <v>180</v>
      </c>
      <c r="W34" s="194" t="s">
        <v>186</v>
      </c>
      <c r="X34" s="138">
        <f>IFERROR(IF(AND(Q33="Probabilidad",Q34="Probabilidad"),(Z33-(+Z33*T34)),IF(Q34="Probabilidad",(I33-(+I33*T34)),IF(Q34="Impacto",Z33,""))),"")</f>
        <v>0.252</v>
      </c>
      <c r="Y34" s="196" t="str">
        <f t="shared" si="0"/>
        <v>Baja</v>
      </c>
      <c r="Z34" s="144">
        <f>+X34</f>
        <v>0.252</v>
      </c>
      <c r="AA34" s="196" t="str">
        <f t="shared" si="1"/>
        <v>Mayor</v>
      </c>
      <c r="AB34" s="144">
        <f>IFERROR(IF(AND(Q33="Impacto",Q34="Impacto"),(AB33-(+AB33*T34)),IF(Q34="Impacto",(M33-(+M33*T34)),IF(Q34="Probabilidad",AB33,""))),"")</f>
        <v>0.8</v>
      </c>
      <c r="AC34" s="197"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145" t="s">
        <v>189</v>
      </c>
      <c r="AE34" s="122"/>
      <c r="AF34" s="123"/>
      <c r="AG34" s="124"/>
      <c r="AH34" s="124"/>
      <c r="AI34" s="122"/>
      <c r="AJ34" s="123"/>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14.75" customHeight="1" x14ac:dyDescent="0.3">
      <c r="A35" s="146">
        <v>3</v>
      </c>
      <c r="B35" s="150" t="s">
        <v>192</v>
      </c>
      <c r="C35" s="208" t="s">
        <v>369</v>
      </c>
      <c r="D35" s="206" t="s">
        <v>368</v>
      </c>
      <c r="E35" s="204" t="s">
        <v>367</v>
      </c>
      <c r="F35" s="150" t="s">
        <v>232</v>
      </c>
      <c r="G35" s="151">
        <v>4500</v>
      </c>
      <c r="H35" s="152" t="str">
        <f>IF(G35&lt;=0,"",IF(G35&lt;=2,"Muy Baja",IF(G35&lt;=24,"Baja",IF(G35&lt;=500,"Media",IF(G35&lt;=5000,"Alta","Muy Alta")))))</f>
        <v>Alta</v>
      </c>
      <c r="I35" s="148">
        <f>IF(H35="","",IF(H35="Muy Baja",0.2,IF(H35="Baja",0.4,IF(H35="Media",0.6,IF(H35="Alta",0.8,IF(H35="Muy Alta",1,))))))</f>
        <v>0.8</v>
      </c>
      <c r="J35" s="153" t="s">
        <v>148</v>
      </c>
      <c r="K35" s="148" t="str">
        <f>IF(NOT(ISERROR(MATCH(J35,'Tabla Impacto'!$B$221:$B$223,0))),'Tabla Impacto'!$F$228&amp;"Por favor no seleccionar los criterios de impacto(Afectación Económica o presupuestal y Pérdida Reputacional)",J35)</f>
        <v xml:space="preserve">     El riesgo afecta la imagen de la entidad con algunos usuarios de relevancia frente al logro de los objetivos</v>
      </c>
      <c r="L35" s="152" t="str">
        <f>IF(OR(K35='Tabla Impacto'!$C$11,K35='Tabla Impacto'!$D$11),"Leve",IF(OR(K35='Tabla Impacto'!$C$12,K35='Tabla Impacto'!$D$12),"Menor",IF(OR(K35='Tabla Impacto'!$C$13,K35='Tabla Impacto'!$D$13),"Moderado",IF(OR(K35='Tabla Impacto'!$C$14,K35='Tabla Impacto'!$D$14),"Mayor",IF(OR(K35='Tabla Impacto'!$C$15,K35='Tabla Impacto'!$D$15),"Catastrófico","")))))</f>
        <v>Moderado</v>
      </c>
      <c r="M35" s="148">
        <f>IF(L35="","",IF(L35="Leve",0.2,IF(L35="Menor",0.4,IF(L35="Moderado",0.6,IF(L35="Mayor",0.8,IF(L35="Catastrófico",1,))))))</f>
        <v>0.6</v>
      </c>
      <c r="N35" s="149"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Alto</v>
      </c>
      <c r="O35" s="6">
        <v>1</v>
      </c>
      <c r="P35" s="201" t="s">
        <v>370</v>
      </c>
      <c r="Q35" s="193" t="str">
        <f>IF(OR(R35="Preventivo",R35="Detectivo"),"Probabilidad",IF(R35="Correctivo","Impacto",""))</f>
        <v>Probabilidad</v>
      </c>
      <c r="R35" s="194" t="s">
        <v>166</v>
      </c>
      <c r="S35" s="194" t="s">
        <v>172</v>
      </c>
      <c r="T35" s="195" t="str">
        <f>IF(AND(R35="Preventivo",S35="Automático"),"50%",IF(AND(R35="Preventivo",S35="Manual"),"40%",IF(AND(R35="Detectivo",S35="Automático"),"40%",IF(AND(R35="Detectivo",S35="Manual"),"30%",IF(AND(R35="Correctivo",S35="Automático"),"35%",IF(AND(R35="Correctivo",S35="Manual"),"25%",""))))))</f>
        <v>30%</v>
      </c>
      <c r="U35" s="194" t="s">
        <v>175</v>
      </c>
      <c r="V35" s="194" t="s">
        <v>180</v>
      </c>
      <c r="W35" s="194" t="s">
        <v>186</v>
      </c>
      <c r="X35" s="138">
        <f>IFERROR(IF(Q35="Probabilidad",(I35-(+I35*T35)),IF(Q35="Impacto",I35,"")),"")</f>
        <v>0.56000000000000005</v>
      </c>
      <c r="Y35" s="196" t="str">
        <f>IFERROR(IF(X35="","",IF(X35&lt;=0.2,"Muy Baja",IF(X35&lt;=0.4,"Baja",IF(X35&lt;=0.6,"Media",IF(X35&lt;=0.8,"Alta","Muy Alta"))))),"")</f>
        <v>Media</v>
      </c>
      <c r="Z35" s="144">
        <f>+X35</f>
        <v>0.56000000000000005</v>
      </c>
      <c r="AA35" s="196" t="str">
        <f>IFERROR(IF(AB35="","",IF(AB35&lt;=0.2,"Leve",IF(AB35&lt;=0.4,"Menor",IF(AB35&lt;=0.6,"Moderado",IF(AB35&lt;=0.8,"Mayor","Catastrófico"))))),"")</f>
        <v>Moderado</v>
      </c>
      <c r="AB35" s="144">
        <f>IFERROR(IF(Q35="Impacto",(M35-(+M35*T35)),IF(Q35="Probabilidad",M35,"")),"")</f>
        <v>0.6</v>
      </c>
      <c r="AC35" s="197"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145" t="s">
        <v>189</v>
      </c>
      <c r="AE35" s="122"/>
      <c r="AF35" s="123"/>
      <c r="AG35" s="124"/>
      <c r="AH35" s="124"/>
      <c r="AI35" s="122"/>
      <c r="AJ35" s="123"/>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93.5" customHeight="1" x14ac:dyDescent="0.3">
      <c r="A36" s="269">
        <v>4</v>
      </c>
      <c r="B36" s="286" t="s">
        <v>192</v>
      </c>
      <c r="C36" s="209" t="s">
        <v>348</v>
      </c>
      <c r="D36" s="359" t="s">
        <v>349</v>
      </c>
      <c r="E36" s="320" t="s">
        <v>371</v>
      </c>
      <c r="F36" s="286" t="s">
        <v>232</v>
      </c>
      <c r="G36" s="292">
        <v>12</v>
      </c>
      <c r="H36" s="295" t="str">
        <f>IF(G36&lt;=0,"",IF(G36&lt;=2,"Muy Baja",IF(G36&lt;=24,"Baja",IF(G36&lt;=500,"Media",IF(G36&lt;=5000,"Alta","Muy Alta")))))</f>
        <v>Baja</v>
      </c>
      <c r="I36" s="282">
        <f>IF(H36="","",IF(H36="Muy Baja",0.2,IF(H36="Baja",0.4,IF(H36="Media",0.6,IF(H36="Alta",0.8,IF(H36="Muy Alta",1,))))))</f>
        <v>0.4</v>
      </c>
      <c r="J36" s="299" t="s">
        <v>147</v>
      </c>
      <c r="K36" s="282" t="str">
        <f>IF(NOT(ISERROR(MATCH(J36,'Tabla Impacto'!$B$221:$B$223,0))),'Tabla Impacto'!$F$228&amp;"Por favor no seleccionar los criterios de impacto(Afectación Económica o presupuestal y Pérdida Reputacional)",J36)</f>
        <v xml:space="preserve">     Entre 50 y 100 SMLMV </v>
      </c>
      <c r="L36" s="295" t="str">
        <f>IF(OR(K36='Tabla Impacto'!$C$11,K36='Tabla Impacto'!$D$11),"Leve",IF(OR(K36='Tabla Impacto'!$C$12,K36='Tabla Impacto'!$D$12),"Menor",IF(OR(K36='Tabla Impacto'!$C$13,K36='Tabla Impacto'!$D$13),"Moderado",IF(OR(K36='Tabla Impacto'!$C$14,K36='Tabla Impacto'!$D$14),"Mayor",IF(OR(K36='Tabla Impacto'!$C$15,K36='Tabla Impacto'!$D$15),"Catastrófico","")))))</f>
        <v>Moderado</v>
      </c>
      <c r="M36" s="282">
        <f>IF(L36="","",IF(L36="Leve",0.2,IF(L36="Menor",0.4,IF(L36="Moderado",0.6,IF(L36="Mayor",0.8,IF(L36="Catastrófico",1,))))))</f>
        <v>0.6</v>
      </c>
      <c r="N36" s="28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269">
        <v>1</v>
      </c>
      <c r="P36" s="271" t="s">
        <v>372</v>
      </c>
      <c r="Q36" s="273" t="str">
        <f>IF(OR(R36="Preventivo",R36="Detectivo"),"Probabilidad",IF(R36="Correctivo","Impacto",""))</f>
        <v>Probabilidad</v>
      </c>
      <c r="R36" s="267" t="s">
        <v>166</v>
      </c>
      <c r="S36" s="267" t="s">
        <v>172</v>
      </c>
      <c r="T36" s="263" t="str">
        <f>IF(AND(R36="Preventivo",S36="Automático"),"50%",IF(AND(R36="Preventivo",S36="Manual"),"40%",IF(AND(R36="Detectivo",S36="Automático"),"40%",IF(AND(R36="Detectivo",S36="Manual"),"30%",IF(AND(R36="Correctivo",S36="Automático"),"35%",IF(AND(R36="Correctivo",S36="Manual"),"25%",""))))))</f>
        <v>30%</v>
      </c>
      <c r="U36" s="267" t="s">
        <v>175</v>
      </c>
      <c r="V36" s="267" t="s">
        <v>180</v>
      </c>
      <c r="W36" s="267" t="s">
        <v>184</v>
      </c>
      <c r="X36" s="138">
        <f>IFERROR(IF(Q36="Probabilidad",(I36-(+I36*T36)),IF(Q36="Impacto",I36,"")),"")</f>
        <v>0.28000000000000003</v>
      </c>
      <c r="Y36" s="261" t="str">
        <f>IFERROR(IF(X36="","",IF(X36&lt;=0.2,"Muy Baja",IF(X36&lt;=0.4,"Baja",IF(X36&lt;=0.6,"Media",IF(X36&lt;=0.8,"Alta","Muy Alta"))))),"")</f>
        <v>Baja</v>
      </c>
      <c r="Z36" s="263">
        <f>+X36</f>
        <v>0.28000000000000003</v>
      </c>
      <c r="AA36" s="261" t="str">
        <f>IFERROR(IF(AB36="","",IF(AB36&lt;=0.2,"Leve",IF(AB36&lt;=0.4,"Menor",IF(AB36&lt;=0.6,"Moderado",IF(AB36&lt;=0.8,"Mayor","Catastrófico"))))),"")</f>
        <v>Moderado</v>
      </c>
      <c r="AB36" s="263">
        <f>IFERROR(IF(Q36="Impacto",(M36-(+M36*T36)),IF(Q36="Probabilidad",M36,"")),"")</f>
        <v>0.6</v>
      </c>
      <c r="AC36" s="265"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267" t="s">
        <v>193</v>
      </c>
      <c r="AE36" s="356"/>
      <c r="AF36" s="356"/>
      <c r="AG36" s="356"/>
      <c r="AH36" s="356"/>
      <c r="AI36" s="356"/>
      <c r="AJ36" s="35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78.75" customHeight="1" x14ac:dyDescent="0.3">
      <c r="A37" s="278"/>
      <c r="B37" s="287"/>
      <c r="C37" s="376" t="s">
        <v>347</v>
      </c>
      <c r="D37" s="360"/>
      <c r="E37" s="321"/>
      <c r="F37" s="287"/>
      <c r="G37" s="293"/>
      <c r="H37" s="296"/>
      <c r="I37" s="283"/>
      <c r="J37" s="300"/>
      <c r="K37" s="283">
        <f>IF(NOT(ISERROR(MATCH(J37,_xlfn.ANCHORARRAY(E45),0))),#REF!&amp;"Por favor no seleccionar los criterios de impacto",J37)</f>
        <v>0</v>
      </c>
      <c r="L37" s="296"/>
      <c r="M37" s="283"/>
      <c r="N37" s="285"/>
      <c r="O37" s="278"/>
      <c r="P37" s="279"/>
      <c r="Q37" s="280"/>
      <c r="R37" s="276"/>
      <c r="S37" s="276"/>
      <c r="T37" s="277"/>
      <c r="U37" s="276"/>
      <c r="V37" s="276"/>
      <c r="W37" s="276"/>
      <c r="X37" s="138" t="str">
        <f>IFERROR(IF(AND(Q36="Probabilidad",Q37="Probabilidad"),(Z36-(+Z36*T37)),IF(Q37="Probabilidad",(I36-(+I36*T37)),IF(Q37="Impacto",Z36,""))),"")</f>
        <v/>
      </c>
      <c r="Y37" s="281"/>
      <c r="Z37" s="277"/>
      <c r="AA37" s="281"/>
      <c r="AB37" s="277"/>
      <c r="AC37" s="275"/>
      <c r="AD37" s="276"/>
      <c r="AE37" s="357"/>
      <c r="AF37" s="357"/>
      <c r="AG37" s="357"/>
      <c r="AH37" s="357"/>
      <c r="AI37" s="357"/>
      <c r="AJ37" s="357"/>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8" customHeight="1" x14ac:dyDescent="0.3">
      <c r="A38" s="270"/>
      <c r="B38" s="288"/>
      <c r="C38" s="377"/>
      <c r="D38" s="361"/>
      <c r="E38" s="362"/>
      <c r="F38" s="288"/>
      <c r="G38" s="294"/>
      <c r="H38" s="297"/>
      <c r="I38" s="298"/>
      <c r="J38" s="301"/>
      <c r="K38" s="298">
        <f>IF(NOT(ISERROR(MATCH(J38,_xlfn.ANCHORARRAY(#REF!),0))),I46&amp;"Por favor no seleccionar los criterios de impacto",J38)</f>
        <v>0</v>
      </c>
      <c r="L38" s="297"/>
      <c r="M38" s="298"/>
      <c r="N38" s="302"/>
      <c r="O38" s="270"/>
      <c r="P38" s="272"/>
      <c r="Q38" s="274"/>
      <c r="R38" s="268"/>
      <c r="S38" s="268"/>
      <c r="T38" s="264"/>
      <c r="U38" s="268"/>
      <c r="V38" s="268"/>
      <c r="W38" s="268"/>
      <c r="X38" s="138" t="str">
        <f>IFERROR(IF(AND(#REF!="Probabilidad",Q38="Probabilidad"),(#REF!-(+#REF!*T38)),IF(AND(#REF!="Impacto",Q38="Probabilidad"),(#REF!-(+#REF!*T38)),IF(Q38="Impacto",#REF!,""))),"")</f>
        <v/>
      </c>
      <c r="Y38" s="262"/>
      <c r="Z38" s="264"/>
      <c r="AA38" s="262"/>
      <c r="AB38" s="264"/>
      <c r="AC38" s="266"/>
      <c r="AD38" s="268"/>
      <c r="AE38" s="358"/>
      <c r="AF38" s="358"/>
      <c r="AG38" s="358"/>
      <c r="AH38" s="358"/>
      <c r="AI38" s="358"/>
      <c r="AJ38" s="35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68" customHeight="1" x14ac:dyDescent="0.3">
      <c r="A39" s="269">
        <v>5</v>
      </c>
      <c r="B39" s="303" t="s">
        <v>194</v>
      </c>
      <c r="C39" s="205" t="s">
        <v>374</v>
      </c>
      <c r="D39" s="305" t="s">
        <v>373</v>
      </c>
      <c r="E39" s="320" t="s">
        <v>313</v>
      </c>
      <c r="F39" s="286" t="s">
        <v>232</v>
      </c>
      <c r="G39" s="292">
        <v>5001</v>
      </c>
      <c r="H39" s="295" t="str">
        <f>IF(G39&lt;=0,"",IF(G39&lt;=2,"Muy Baja",IF(G39&lt;=24,"Baja",IF(G39&lt;=500,"Media",IF(G39&lt;=5000,"Alta","Muy Alta")))))</f>
        <v>Muy Alta</v>
      </c>
      <c r="I39" s="282">
        <f>IF(H39="","",IF(H39="Muy Baja",0.2,IF(H39="Baja",0.4,IF(H39="Media",0.6,IF(H39="Alta",0.8,IF(H39="Muy Alta",1,))))))</f>
        <v>1</v>
      </c>
      <c r="J39" s="299" t="s">
        <v>148</v>
      </c>
      <c r="K39" s="282" t="str">
        <f>IF(NOT(ISERROR(MATCH(J39,'Tabla Impacto'!$B$221:$B$223,0))),'Tabla Impacto'!$F$228&amp;"Por favor no seleccionar los criterios de impacto(Afectación Económica o presupuestal y Pérdida Reputacional)",J39)</f>
        <v xml:space="preserve">     El riesgo afecta la imagen de la entidad con algunos usuarios de relevancia frente al logro de los objetivos</v>
      </c>
      <c r="L39" s="295" t="str">
        <f>IF(OR(K39='Tabla Impacto'!$C$11,K39='Tabla Impacto'!$D$11),"Leve",IF(OR(K39='Tabla Impacto'!$C$12,K39='Tabla Impacto'!$D$12),"Menor",IF(OR(K39='Tabla Impacto'!$C$13,K39='Tabla Impacto'!$D$13),"Moderado",IF(OR(K39='Tabla Impacto'!$C$14,K39='Tabla Impacto'!$D$14),"Mayor",IF(OR(K39='Tabla Impacto'!$C$15,K39='Tabla Impacto'!$D$15),"Catastrófico","")))))</f>
        <v>Moderado</v>
      </c>
      <c r="M39" s="282">
        <f>IF(L39="","",IF(L39="Leve",0.2,IF(L39="Menor",0.4,IF(L39="Moderado",0.6,IF(L39="Mayor",0.8,IF(L39="Catastrófico",1,))))))</f>
        <v>0.6</v>
      </c>
      <c r="N39" s="284"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Alto</v>
      </c>
      <c r="O39" s="269">
        <v>1</v>
      </c>
      <c r="P39" s="271" t="s">
        <v>403</v>
      </c>
      <c r="Q39" s="273" t="str">
        <f>IF(OR(R39="Preventivo",R39="Detectivo"),"Probabilidad",IF(R39="Correctivo","Impacto",""))</f>
        <v>Probabilidad</v>
      </c>
      <c r="R39" s="267" t="s">
        <v>164</v>
      </c>
      <c r="S39" s="267" t="s">
        <v>172</v>
      </c>
      <c r="T39" s="263" t="str">
        <f>IF(AND(R39="Preventivo",S39="Automático"),"50%",IF(AND(R39="Preventivo",S39="Manual"),"40%",IF(AND(R39="Detectivo",S39="Automático"),"40%",IF(AND(R39="Detectivo",S39="Manual"),"30%",IF(AND(R39="Correctivo",S39="Automático"),"35%",IF(AND(R39="Correctivo",S39="Manual"),"25%",""))))))</f>
        <v>40%</v>
      </c>
      <c r="U39" s="267" t="s">
        <v>175</v>
      </c>
      <c r="V39" s="267" t="s">
        <v>180</v>
      </c>
      <c r="W39" s="267" t="s">
        <v>184</v>
      </c>
      <c r="X39" s="138">
        <f>IFERROR(IF(Q39="Probabilidad",(I39-(+I39*T39)),IF(Q39="Impacto",I39,"")),"")</f>
        <v>0.6</v>
      </c>
      <c r="Y39" s="261" t="str">
        <f>IFERROR(IF(X39="","",IF(X39&lt;=0.2,"Muy Baja",IF(X39&lt;=0.4,"Baja",IF(X39&lt;=0.6,"Media",IF(X39&lt;=0.8,"Alta","Muy Alta"))))),"")</f>
        <v>Media</v>
      </c>
      <c r="Z39" s="263">
        <f>+X39</f>
        <v>0.6</v>
      </c>
      <c r="AA39" s="261" t="str">
        <f>IFERROR(IF(AB39="","",IF(AB39&lt;=0.2,"Leve",IF(AB39&lt;=0.4,"Menor",IF(AB39&lt;=0.6,"Moderado",IF(AB39&lt;=0.8,"Mayor","Catastrófico"))))),"")</f>
        <v>Moderado</v>
      </c>
      <c r="AB39" s="263">
        <f>IFERROR(IF(Q39="Impacto",(M39-(+M39*T39)),IF(Q39="Probabilidad",M39,"")),"")</f>
        <v>0.6</v>
      </c>
      <c r="AC39" s="265"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Moderado</v>
      </c>
      <c r="AD39" s="267" t="s">
        <v>189</v>
      </c>
      <c r="AE39" s="356"/>
      <c r="AF39" s="356"/>
      <c r="AG39" s="356"/>
      <c r="AH39" s="356"/>
      <c r="AI39" s="356"/>
      <c r="AJ39" s="35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24.75" customHeight="1" x14ac:dyDescent="0.3">
      <c r="A40" s="278"/>
      <c r="B40" s="304"/>
      <c r="C40" s="205" t="s">
        <v>375</v>
      </c>
      <c r="D40" s="306"/>
      <c r="E40" s="321"/>
      <c r="F40" s="287"/>
      <c r="G40" s="293"/>
      <c r="H40" s="296"/>
      <c r="I40" s="283"/>
      <c r="J40" s="300"/>
      <c r="K40" s="283">
        <f>IF(NOT(ISERROR(MATCH(J40,_xlfn.ANCHORARRAY(E46),0))),#REF!&amp;"Por favor no seleccionar los criterios de impacto",J40)</f>
        <v>0</v>
      </c>
      <c r="L40" s="296"/>
      <c r="M40" s="283"/>
      <c r="N40" s="285"/>
      <c r="O40" s="278"/>
      <c r="P40" s="279"/>
      <c r="Q40" s="280"/>
      <c r="R40" s="276"/>
      <c r="S40" s="276"/>
      <c r="T40" s="277"/>
      <c r="U40" s="276"/>
      <c r="V40" s="276"/>
      <c r="W40" s="276"/>
      <c r="X40" s="138" t="str">
        <f>IFERROR(IF(AND(Q39="Probabilidad",Q40="Probabilidad"),(Z39-(+Z39*T40)),IF(Q40="Probabilidad",(I39-(+I39*T40)),IF(Q40="Impacto",Z39,""))),"")</f>
        <v/>
      </c>
      <c r="Y40" s="281"/>
      <c r="Z40" s="277"/>
      <c r="AA40" s="281"/>
      <c r="AB40" s="277"/>
      <c r="AC40" s="275"/>
      <c r="AD40" s="276"/>
      <c r="AE40" s="357"/>
      <c r="AF40" s="357"/>
      <c r="AG40" s="357"/>
      <c r="AH40" s="357"/>
      <c r="AI40" s="357"/>
      <c r="AJ40" s="357"/>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57.75" customHeight="1" x14ac:dyDescent="0.3">
      <c r="A41" s="278"/>
      <c r="B41" s="304"/>
      <c r="C41" s="205" t="s">
        <v>379</v>
      </c>
      <c r="D41" s="306"/>
      <c r="E41" s="321"/>
      <c r="F41" s="287"/>
      <c r="G41" s="293"/>
      <c r="H41" s="296"/>
      <c r="I41" s="283"/>
      <c r="J41" s="300"/>
      <c r="K41" s="283">
        <f>IF(NOT(ISERROR(MATCH(J41,_xlfn.ANCHORARRAY(E47),0))),#REF!&amp;"Por favor no seleccionar los criterios de impacto",J41)</f>
        <v>0</v>
      </c>
      <c r="L41" s="296"/>
      <c r="M41" s="283"/>
      <c r="N41" s="285"/>
      <c r="O41" s="278"/>
      <c r="P41" s="279"/>
      <c r="Q41" s="280"/>
      <c r="R41" s="276"/>
      <c r="S41" s="276"/>
      <c r="T41" s="277"/>
      <c r="U41" s="276"/>
      <c r="V41" s="276"/>
      <c r="W41" s="276"/>
      <c r="X41" s="138" t="str">
        <f>IFERROR(IF(AND(Q40="Probabilidad",Q41="Probabilidad"),(Z40-(+Z40*T41)),IF(AND(Q40="Impacto",Q41="Probabilidad"),(Z39-(+Z39*T41)),IF(Q41="Impacto",Z40,""))),"")</f>
        <v/>
      </c>
      <c r="Y41" s="281"/>
      <c r="Z41" s="277"/>
      <c r="AA41" s="281"/>
      <c r="AB41" s="277"/>
      <c r="AC41" s="275"/>
      <c r="AD41" s="276"/>
      <c r="AE41" s="357"/>
      <c r="AF41" s="357"/>
      <c r="AG41" s="357"/>
      <c r="AH41" s="357"/>
      <c r="AI41" s="357"/>
      <c r="AJ41" s="357"/>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58.5" customHeight="1" x14ac:dyDescent="0.3">
      <c r="A42" s="278"/>
      <c r="B42" s="304"/>
      <c r="C42" s="205" t="s">
        <v>376</v>
      </c>
      <c r="D42" s="306"/>
      <c r="E42" s="321"/>
      <c r="F42" s="287"/>
      <c r="G42" s="293"/>
      <c r="H42" s="296"/>
      <c r="I42" s="283"/>
      <c r="J42" s="300"/>
      <c r="K42" s="283">
        <f>IF(NOT(ISERROR(MATCH(J42,_xlfn.ANCHORARRAY(#REF!),0))),#REF!&amp;"Por favor no seleccionar los criterios de impacto",J42)</f>
        <v>0</v>
      </c>
      <c r="L42" s="296"/>
      <c r="M42" s="283"/>
      <c r="N42" s="285"/>
      <c r="O42" s="278"/>
      <c r="P42" s="279"/>
      <c r="Q42" s="280"/>
      <c r="R42" s="276"/>
      <c r="S42" s="276"/>
      <c r="T42" s="277"/>
      <c r="U42" s="276"/>
      <c r="V42" s="276"/>
      <c r="W42" s="276"/>
      <c r="X42" s="138" t="str">
        <f>IFERROR(IF(AND(Q41="Probabilidad",Q42="Probabilidad"),(Z41-(+Z41*T42)),IF(AND(Q41="Impacto",Q42="Probabilidad"),(Z40-(+Z40*T42)),IF(Q42="Impacto",Z41,""))),"")</f>
        <v/>
      </c>
      <c r="Y42" s="281"/>
      <c r="Z42" s="277"/>
      <c r="AA42" s="281"/>
      <c r="AB42" s="277"/>
      <c r="AC42" s="275"/>
      <c r="AD42" s="276"/>
      <c r="AE42" s="357"/>
      <c r="AF42" s="357"/>
      <c r="AG42" s="357"/>
      <c r="AH42" s="357"/>
      <c r="AI42" s="357"/>
      <c r="AJ42" s="357"/>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41.25" customHeight="1" x14ac:dyDescent="0.3">
      <c r="A43" s="278"/>
      <c r="B43" s="304"/>
      <c r="C43" s="205" t="s">
        <v>377</v>
      </c>
      <c r="D43" s="306"/>
      <c r="E43" s="321"/>
      <c r="F43" s="287"/>
      <c r="G43" s="293"/>
      <c r="H43" s="296"/>
      <c r="I43" s="283"/>
      <c r="J43" s="300"/>
      <c r="K43" s="283">
        <f>IF(NOT(ISERROR(MATCH(J43,_xlfn.ANCHORARRAY(#REF!),0))),#REF!&amp;"Por favor no seleccionar los criterios de impacto",J43)</f>
        <v>0</v>
      </c>
      <c r="L43" s="296"/>
      <c r="M43" s="283"/>
      <c r="N43" s="285"/>
      <c r="O43" s="278"/>
      <c r="P43" s="279"/>
      <c r="Q43" s="280"/>
      <c r="R43" s="276"/>
      <c r="S43" s="276"/>
      <c r="T43" s="277"/>
      <c r="U43" s="276"/>
      <c r="V43" s="276"/>
      <c r="W43" s="276"/>
      <c r="X43" s="138" t="str">
        <f>IFERROR(IF(AND(Q42="Probabilidad",Q43="Probabilidad"),(Z42-(+Z42*T43)),IF(AND(Q42="Impacto",Q43="Probabilidad"),(Z41-(+Z41*T43)),IF(Q43="Impacto",Z42,""))),"")</f>
        <v/>
      </c>
      <c r="Y43" s="281"/>
      <c r="Z43" s="277"/>
      <c r="AA43" s="281"/>
      <c r="AB43" s="277"/>
      <c r="AC43" s="275"/>
      <c r="AD43" s="276"/>
      <c r="AE43" s="357"/>
      <c r="AF43" s="357"/>
      <c r="AG43" s="357"/>
      <c r="AH43" s="357"/>
      <c r="AI43" s="357"/>
      <c r="AJ43" s="357"/>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57.75" customHeight="1" x14ac:dyDescent="0.3">
      <c r="A44" s="270"/>
      <c r="B44" s="368"/>
      <c r="C44" s="205" t="s">
        <v>378</v>
      </c>
      <c r="D44" s="369"/>
      <c r="E44" s="362"/>
      <c r="F44" s="288"/>
      <c r="G44" s="294"/>
      <c r="H44" s="297"/>
      <c r="I44" s="298"/>
      <c r="J44" s="301"/>
      <c r="K44" s="298">
        <f>IF(NOT(ISERROR(MATCH(J44,_xlfn.ANCHORARRAY(#REF!),0))),I48&amp;"Por favor no seleccionar los criterios de impacto",J44)</f>
        <v>0</v>
      </c>
      <c r="L44" s="297"/>
      <c r="M44" s="298"/>
      <c r="N44" s="302"/>
      <c r="O44" s="270"/>
      <c r="P44" s="272"/>
      <c r="Q44" s="274"/>
      <c r="R44" s="268"/>
      <c r="S44" s="268"/>
      <c r="T44" s="264"/>
      <c r="U44" s="268"/>
      <c r="V44" s="268"/>
      <c r="W44" s="268"/>
      <c r="X44" s="138" t="str">
        <f>IFERROR(IF(AND(Q43="Probabilidad",Q44="Probabilidad"),(Z43-(+Z43*T44)),IF(AND(Q43="Impacto",Q44="Probabilidad"),(Z42-(+Z42*T44)),IF(Q44="Impacto",Z43,""))),"")</f>
        <v/>
      </c>
      <c r="Y44" s="262"/>
      <c r="Z44" s="264"/>
      <c r="AA44" s="262"/>
      <c r="AB44" s="264"/>
      <c r="AC44" s="266"/>
      <c r="AD44" s="268"/>
      <c r="AE44" s="358"/>
      <c r="AF44" s="358"/>
      <c r="AG44" s="358"/>
      <c r="AH44" s="358"/>
      <c r="AI44" s="358"/>
      <c r="AJ44" s="35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49.25" customHeight="1" x14ac:dyDescent="0.3">
      <c r="A45" s="146">
        <v>6</v>
      </c>
      <c r="B45" s="150" t="s">
        <v>230</v>
      </c>
      <c r="C45" s="208" t="s">
        <v>316</v>
      </c>
      <c r="D45" s="206" t="s">
        <v>315</v>
      </c>
      <c r="E45" s="204" t="s">
        <v>311</v>
      </c>
      <c r="F45" s="150" t="s">
        <v>235</v>
      </c>
      <c r="G45" s="151">
        <v>312</v>
      </c>
      <c r="H45" s="152" t="str">
        <f>IF(G45&lt;=0,"",IF(G45&lt;=2,"Muy Baja",IF(G45&lt;=24,"Baja",IF(G45&lt;=500,"Media",IF(G45&lt;=5000,"Alta","Muy Alta")))))</f>
        <v>Media</v>
      </c>
      <c r="I45" s="148">
        <f>IF(H45="","",IF(H45="Muy Baja",0.2,IF(H45="Baja",0.4,IF(H45="Media",0.6,IF(H45="Alta",0.8,IF(H45="Muy Alta",1,))))))</f>
        <v>0.6</v>
      </c>
      <c r="J45" s="153" t="s">
        <v>237</v>
      </c>
      <c r="K45" s="148" t="str">
        <f>IF(NOT(ISERROR(MATCH(J45,'Tabla Impacto'!$B$221:$B$223,0))),'Tabla Impacto'!$F$228&amp;"Por favor no seleccionar los criterios de impacto(Afectación Económica o presupuestal y Pérdida Reputacional)",J45)</f>
        <v>Entre 1-12.500</v>
      </c>
      <c r="L45" s="152" t="s">
        <v>318</v>
      </c>
      <c r="M45" s="148">
        <f>IF(L45="","",IF(L45="Leve",0.2,IF(L45="Menor",0.4,IF(L45="Moderado",0.6,IF(L45="Mayor",0.8,IF(L45="Catastrófico",1,))))))</f>
        <v>0.2</v>
      </c>
      <c r="N45" s="149" t="str">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v>Moderado</v>
      </c>
      <c r="O45" s="6">
        <v>1</v>
      </c>
      <c r="P45" s="201" t="s">
        <v>317</v>
      </c>
      <c r="Q45" s="193" t="str">
        <f>IF(OR(R45="Preventivo",R45="Detectivo"),"Probabilidad",IF(R45="Correctivo","Impacto",""))</f>
        <v>Probabilidad</v>
      </c>
      <c r="R45" s="194" t="s">
        <v>166</v>
      </c>
      <c r="S45" s="194" t="s">
        <v>172</v>
      </c>
      <c r="T45" s="195" t="str">
        <f>IF(AND(R45="Preventivo",S45="Automático"),"50%",IF(AND(R45="Preventivo",S45="Manual"),"40%",IF(AND(R45="Detectivo",S45="Automático"),"40%",IF(AND(R45="Detectivo",S45="Manual"),"30%",IF(AND(R45="Correctivo",S45="Automático"),"35%",IF(AND(R45="Correctivo",S45="Manual"),"25%",""))))))</f>
        <v>30%</v>
      </c>
      <c r="U45" s="194" t="s">
        <v>175</v>
      </c>
      <c r="V45" s="194" t="s">
        <v>180</v>
      </c>
      <c r="W45" s="194" t="s">
        <v>184</v>
      </c>
      <c r="X45" s="138">
        <f>IFERROR(IF(Q45="Probabilidad",(I45-(+I45*T45)),IF(Q45="Impacto",I45,"")),"")</f>
        <v>0.42</v>
      </c>
      <c r="Y45" s="196" t="str">
        <f>IFERROR(IF(X45="","",IF(X45&lt;=0.2,"Muy Baja",IF(X45&lt;=0.4,"Baja",IF(X45&lt;=0.6,"Media",IF(X45&lt;=0.8,"Alta","Muy Alta"))))),"")</f>
        <v>Media</v>
      </c>
      <c r="Z45" s="144">
        <f>+X45</f>
        <v>0.42</v>
      </c>
      <c r="AA45" s="196" t="str">
        <f>IFERROR(IF(AB45="","",IF(AB45&lt;=0.2,"Leve",IF(AB45&lt;=0.4,"Menor",IF(AB45&lt;=0.6,"Moderado",IF(AB45&lt;=0.8,"Mayor","Catastrófico"))))),"")</f>
        <v>Leve</v>
      </c>
      <c r="AB45" s="144">
        <f>IFERROR(IF(Q45="Impacto",(M45-(+M45*T45)),IF(Q45="Probabilidad",M45,"")),"")</f>
        <v>0.2</v>
      </c>
      <c r="AC45" s="197"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Moderado</v>
      </c>
      <c r="AD45" s="145" t="s">
        <v>189</v>
      </c>
      <c r="AE45" s="122"/>
      <c r="AF45" s="154"/>
      <c r="AG45" s="154"/>
      <c r="AH45" s="154"/>
      <c r="AI45" s="154"/>
      <c r="AJ45" s="15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35.75" customHeight="1" x14ac:dyDescent="0.3">
      <c r="A46" s="269">
        <v>7</v>
      </c>
      <c r="B46" s="286" t="s">
        <v>230</v>
      </c>
      <c r="C46" s="366" t="s">
        <v>320</v>
      </c>
      <c r="D46" s="359" t="s">
        <v>315</v>
      </c>
      <c r="E46" s="320" t="s">
        <v>319</v>
      </c>
      <c r="F46" s="286" t="s">
        <v>235</v>
      </c>
      <c r="G46" s="292">
        <v>312</v>
      </c>
      <c r="H46" s="295" t="str">
        <f>IF(G46&lt;=0,"",IF(G46&lt;=2,"Muy Baja",IF(G46&lt;=24,"Baja",IF(G46&lt;=500,"Media",IF(G46&lt;=5000,"Alta","Muy Alta")))))</f>
        <v>Media</v>
      </c>
      <c r="I46" s="282">
        <f>IF(H46="","",IF(H46="Muy Baja",0.2,IF(H46="Baja",0.4,IF(H46="Media",0.6,IF(H46="Alta",0.8,IF(H46="Muy Alta",1,))))))</f>
        <v>0.6</v>
      </c>
      <c r="J46" s="299" t="s">
        <v>240</v>
      </c>
      <c r="K46" s="282" t="str">
        <f>IF(NOT(ISERROR(MATCH(J46,'Tabla Impacto'!$B$221:$B$223,0))),'Tabla Impacto'!$F$228&amp;"Por favor no seleccionar los criterios de impacto(Afectación Económica o presupuestal y Pérdida Reputacional)",J46)</f>
        <v>&gt; 125.000 – 500.000</v>
      </c>
      <c r="L46" s="295" t="s">
        <v>133</v>
      </c>
      <c r="M46" s="282">
        <f>IF(L46="","",IF(L46="Leve",0.2,IF(L46="Menor",0.4,IF(L46="Moderado",0.6,IF(L46="Mayor",0.8,IF(L46="Catastrófico",1,))))))</f>
        <v>0.8</v>
      </c>
      <c r="N46" s="284"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Alto</v>
      </c>
      <c r="O46" s="269">
        <v>1</v>
      </c>
      <c r="P46" s="271" t="s">
        <v>321</v>
      </c>
      <c r="Q46" s="273" t="str">
        <f>IF(OR(R46="Preventivo",R46="Detectivo"),"Probabilidad",IF(R46="Correctivo","Impacto",""))</f>
        <v>Probabilidad</v>
      </c>
      <c r="R46" s="267" t="s">
        <v>166</v>
      </c>
      <c r="S46" s="267" t="s">
        <v>172</v>
      </c>
      <c r="T46" s="263" t="str">
        <f>IF(AND(R46="Preventivo",S46="Automático"),"50%",IF(AND(R46="Preventivo",S46="Manual"),"40%",IF(AND(R46="Detectivo",S46="Automático"),"40%",IF(AND(R46="Detectivo",S46="Manual"),"30%",IF(AND(R46="Correctivo",S46="Automático"),"35%",IF(AND(R46="Correctivo",S46="Manual"),"25%",""))))))</f>
        <v>30%</v>
      </c>
      <c r="U46" s="267" t="s">
        <v>175</v>
      </c>
      <c r="V46" s="267" t="s">
        <v>180</v>
      </c>
      <c r="W46" s="267" t="s">
        <v>184</v>
      </c>
      <c r="X46" s="138">
        <f>IFERROR(IF(Q46="Probabilidad",(I46-(+I46*T46)),IF(Q46="Impacto",I46,"")),"")</f>
        <v>0.42</v>
      </c>
      <c r="Y46" s="261" t="str">
        <f>IFERROR(IF(X46="","",IF(X46&lt;=0.2,"Muy Baja",IF(X46&lt;=0.4,"Baja",IF(X46&lt;=0.6,"Media",IF(X46&lt;=0.8,"Alta","Muy Alta"))))),"")</f>
        <v>Media</v>
      </c>
      <c r="Z46" s="263">
        <f>+X46</f>
        <v>0.42</v>
      </c>
      <c r="AA46" s="261" t="str">
        <f>IFERROR(IF(AB46="","",IF(AB46&lt;=0.2,"Leve",IF(AB46&lt;=0.4,"Menor",IF(AB46&lt;=0.6,"Moderado",IF(AB46&lt;=0.8,"Mayor","Catastrófico"))))),"")</f>
        <v>Mayor</v>
      </c>
      <c r="AB46" s="263">
        <f>IFERROR(IF(Q46="Impacto",(M46-(+M46*T46)),IF(Q46="Probabilidad",M46,"")),"")</f>
        <v>0.8</v>
      </c>
      <c r="AC46" s="265"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Alto</v>
      </c>
      <c r="AD46" s="267" t="s">
        <v>193</v>
      </c>
      <c r="AE46" s="356"/>
      <c r="AF46" s="356"/>
      <c r="AG46" s="356"/>
      <c r="AH46" s="356"/>
      <c r="AI46" s="356"/>
      <c r="AJ46" s="35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42" customHeight="1" x14ac:dyDescent="0.3">
      <c r="A47" s="278"/>
      <c r="B47" s="287"/>
      <c r="C47" s="367"/>
      <c r="D47" s="360"/>
      <c r="E47" s="321"/>
      <c r="F47" s="287"/>
      <c r="G47" s="293"/>
      <c r="H47" s="296"/>
      <c r="I47" s="283"/>
      <c r="J47" s="300"/>
      <c r="K47" s="283">
        <f>IF(NOT(ISERROR(MATCH(J47,_xlfn.ANCHORARRAY(E49),0))),#REF!&amp;"Por favor no seleccionar los criterios de impacto",J47)</f>
        <v>0</v>
      </c>
      <c r="L47" s="296"/>
      <c r="M47" s="283"/>
      <c r="N47" s="285"/>
      <c r="O47" s="270"/>
      <c r="P47" s="272"/>
      <c r="Q47" s="274"/>
      <c r="R47" s="268"/>
      <c r="S47" s="268"/>
      <c r="T47" s="264"/>
      <c r="U47" s="268"/>
      <c r="V47" s="268"/>
      <c r="W47" s="268"/>
      <c r="X47" s="138" t="str">
        <f>IFERROR(IF(AND(Q46="Probabilidad",Q47="Probabilidad"),(Z46-(+Z46*T47)),IF(Q47="Probabilidad",(I46-(+I46*T47)),IF(Q47="Impacto",Z46,""))),"")</f>
        <v/>
      </c>
      <c r="Y47" s="262"/>
      <c r="Z47" s="264"/>
      <c r="AA47" s="262"/>
      <c r="AB47" s="264"/>
      <c r="AC47" s="266"/>
      <c r="AD47" s="268"/>
      <c r="AE47" s="358"/>
      <c r="AF47" s="358"/>
      <c r="AG47" s="358"/>
      <c r="AH47" s="358"/>
      <c r="AI47" s="358"/>
      <c r="AJ47" s="35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267.75" customHeight="1" x14ac:dyDescent="0.3">
      <c r="A48" s="146">
        <v>8</v>
      </c>
      <c r="B48" s="150" t="s">
        <v>230</v>
      </c>
      <c r="C48" s="206" t="s">
        <v>324</v>
      </c>
      <c r="D48" s="206" t="s">
        <v>380</v>
      </c>
      <c r="E48" s="204" t="s">
        <v>322</v>
      </c>
      <c r="F48" s="150" t="s">
        <v>235</v>
      </c>
      <c r="G48" s="151">
        <v>312</v>
      </c>
      <c r="H48" s="152" t="str">
        <f>IF(G48&lt;=0,"",IF(G48&lt;=2,"Muy Baja",IF(G48&lt;=24,"Baja",IF(G48&lt;=500,"Media",IF(G48&lt;=5000,"Alta","Muy Alta")))))</f>
        <v>Media</v>
      </c>
      <c r="I48" s="148">
        <f>IF(H48="","",IF(H48="Muy Baja",0.2,IF(H48="Baja",0.4,IF(H48="Media",0.6,IF(H48="Alta",0.8,IF(H48="Muy Alta",1,))))))</f>
        <v>0.6</v>
      </c>
      <c r="J48" s="153" t="s">
        <v>237</v>
      </c>
      <c r="K48" s="148" t="str">
        <f>IF(NOT(ISERROR(MATCH(J48,'Tabla Impacto'!$B$221:$B$223,0))),'Tabla Impacto'!$F$228&amp;"Por favor no seleccionar los criterios de impacto(Afectación Económica o presupuestal y Pérdida Reputacional)",J48)</f>
        <v>Entre 1-12.500</v>
      </c>
      <c r="L48" s="152" t="s">
        <v>318</v>
      </c>
      <c r="M48" s="148">
        <f>IF(L48="","",IF(L48="Leve",0.2,IF(L48="Menor",0.4,IF(L48="Moderado",0.6,IF(L48="Mayor",0.8,IF(L48="Catastrófico",1,))))))</f>
        <v>0.2</v>
      </c>
      <c r="N48" s="14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Moderado</v>
      </c>
      <c r="O48" s="6">
        <v>1</v>
      </c>
      <c r="P48" s="201" t="s">
        <v>325</v>
      </c>
      <c r="Q48" s="193" t="str">
        <f t="shared" ref="Q48:Q55" si="2">IF(OR(R48="Preventivo",R48="Detectivo"),"Probabilidad",IF(R48="Correctivo","Impacto",""))</f>
        <v>Probabilidad</v>
      </c>
      <c r="R48" s="194" t="s">
        <v>166</v>
      </c>
      <c r="S48" s="194" t="s">
        <v>172</v>
      </c>
      <c r="T48" s="195" t="str">
        <f>IF(AND(R48="Preventivo",S48="Automático"),"50%",IF(AND(R48="Preventivo",S48="Manual"),"40%",IF(AND(R48="Detectivo",S48="Automático"),"40%",IF(AND(R48="Detectivo",S48="Manual"),"30%",IF(AND(R48="Correctivo",S48="Automático"),"35%",IF(AND(R48="Correctivo",S48="Manual"),"25%",""))))))</f>
        <v>30%</v>
      </c>
      <c r="U48" s="194" t="s">
        <v>175</v>
      </c>
      <c r="V48" s="194" t="s">
        <v>180</v>
      </c>
      <c r="W48" s="194" t="s">
        <v>184</v>
      </c>
      <c r="X48" s="138">
        <f>IFERROR(IF(Q48="Probabilidad",(I48-(+I48*T48)),IF(Q48="Impacto",I48,"")),"")</f>
        <v>0.42</v>
      </c>
      <c r="Y48" s="196" t="str">
        <f>IFERROR(IF(X48="","",IF(X48&lt;=0.2,"Muy Baja",IF(X48&lt;=0.4,"Baja",IF(X48&lt;=0.6,"Media",IF(X48&lt;=0.8,"Alta","Muy Alta"))))),"")</f>
        <v>Media</v>
      </c>
      <c r="Z48" s="144">
        <f>+X48</f>
        <v>0.42</v>
      </c>
      <c r="AA48" s="196" t="str">
        <f>IFERROR(IF(AB48="","",IF(AB48&lt;=0.2,"Leve",IF(AB48&lt;=0.4,"Menor",IF(AB48&lt;=0.6,"Moderado",IF(AB48&lt;=0.8,"Mayor","Catastrófico"))))),"")</f>
        <v>Leve</v>
      </c>
      <c r="AB48" s="144">
        <f t="shared" ref="AB48:AB55" si="3">IFERROR(IF(Q48="Impacto",(M48-(+M48*T48)),IF(Q48="Probabilidad",M48,"")),"")</f>
        <v>0.2</v>
      </c>
      <c r="AC48" s="197"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Moderado</v>
      </c>
      <c r="AD48" s="145" t="s">
        <v>189</v>
      </c>
      <c r="AE48" s="122"/>
      <c r="AF48" s="123"/>
      <c r="AG48" s="124"/>
      <c r="AH48" s="124"/>
      <c r="AI48" s="122"/>
      <c r="AJ48" s="123"/>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43.25" customHeight="1" x14ac:dyDescent="0.3">
      <c r="A49" s="146">
        <v>9</v>
      </c>
      <c r="B49" s="150" t="s">
        <v>230</v>
      </c>
      <c r="C49" s="206" t="s">
        <v>383</v>
      </c>
      <c r="D49" s="206" t="s">
        <v>382</v>
      </c>
      <c r="E49" s="204" t="s">
        <v>381</v>
      </c>
      <c r="F49" s="150" t="s">
        <v>235</v>
      </c>
      <c r="G49" s="151">
        <v>365</v>
      </c>
      <c r="H49" s="152" t="str">
        <f>IF(G49&lt;=0,"",IF(G49&lt;=2,"Muy Baja",IF(G49&lt;=24,"Baja",IF(G49&lt;=500,"Media",IF(G49&lt;=5000,"Alta","Muy Alta")))))</f>
        <v>Media</v>
      </c>
      <c r="I49" s="148">
        <f>IF(H49="","",IF(H49="Muy Baja",0.2,IF(H49="Baja",0.4,IF(H49="Media",0.6,IF(H49="Alta",0.8,IF(H49="Muy Alta",1,))))))</f>
        <v>0.6</v>
      </c>
      <c r="J49" s="153" t="s">
        <v>239</v>
      </c>
      <c r="K49" s="148" t="str">
        <f>IF(NOT(ISERROR(MATCH(J49,'Tabla Impacto'!$B$221:$B$223,0))),'Tabla Impacto'!$F$228&amp;"Por favor no seleccionar los criterios de impacto(Afectación Económica o presupuestal y Pérdida Reputacional)",J49)</f>
        <v>&gt; 25.000 – 125.000</v>
      </c>
      <c r="L49" s="152" t="s">
        <v>97</v>
      </c>
      <c r="M49" s="148">
        <f>IF(L49="","",IF(L49="Leve",0.2,IF(L49="Menor",0.4,IF(L49="Moderado",0.6,IF(L49="Mayor",0.8,IF(L49="Catastrófico",1,))))))</f>
        <v>0.6</v>
      </c>
      <c r="N49" s="149"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6">
        <v>1</v>
      </c>
      <c r="P49" s="201" t="s">
        <v>384</v>
      </c>
      <c r="Q49" s="193" t="str">
        <f t="shared" si="2"/>
        <v>Probabilidad</v>
      </c>
      <c r="R49" s="194" t="s">
        <v>164</v>
      </c>
      <c r="S49" s="194" t="s">
        <v>172</v>
      </c>
      <c r="T49" s="195" t="str">
        <f>IF(AND(R49="Preventivo",S49="Automático"),"50%",IF(AND(R49="Preventivo",S49="Manual"),"40%",IF(AND(R49="Detectivo",S49="Automático"),"40%",IF(AND(R49="Detectivo",S49="Manual"),"30%",IF(AND(R49="Correctivo",S49="Automático"),"35%",IF(AND(R49="Correctivo",S49="Manual"),"25%",""))))))</f>
        <v>40%</v>
      </c>
      <c r="U49" s="194" t="s">
        <v>175</v>
      </c>
      <c r="V49" s="194" t="s">
        <v>180</v>
      </c>
      <c r="W49" s="194" t="s">
        <v>184</v>
      </c>
      <c r="X49" s="138">
        <f>IFERROR(IF(Q49="Probabilidad",(I49-(+I49*T49)),IF(Q49="Impacto",I49,"")),"")</f>
        <v>0.36</v>
      </c>
      <c r="Y49" s="196" t="str">
        <f>IFERROR(IF(X49="","",IF(X49&lt;=0.2,"Muy Baja",IF(X49&lt;=0.4,"Baja",IF(X49&lt;=0.6,"Media",IF(X49&lt;=0.8,"Alta","Muy Alta"))))),"")</f>
        <v>Baja</v>
      </c>
      <c r="Z49" s="144">
        <f>+X49</f>
        <v>0.36</v>
      </c>
      <c r="AA49" s="196" t="str">
        <f>IFERROR(IF(AB49="","",IF(AB49&lt;=0.2,"Leve",IF(AB49&lt;=0.4,"Menor",IF(AB49&lt;=0.6,"Moderado",IF(AB49&lt;=0.8,"Mayor","Catastrófico"))))),"")</f>
        <v>Moderado</v>
      </c>
      <c r="AB49" s="144">
        <f t="shared" si="3"/>
        <v>0.6</v>
      </c>
      <c r="AC49" s="197"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Moderado</v>
      </c>
      <c r="AD49" s="145" t="s">
        <v>189</v>
      </c>
      <c r="AE49" s="122"/>
      <c r="AF49" s="123"/>
      <c r="AG49" s="124"/>
      <c r="AH49" s="124"/>
      <c r="AI49" s="122"/>
      <c r="AJ49" s="123"/>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26.75" customHeight="1" x14ac:dyDescent="0.3">
      <c r="A50" s="269">
        <v>10</v>
      </c>
      <c r="B50" s="303" t="s">
        <v>230</v>
      </c>
      <c r="C50" s="205" t="s">
        <v>328</v>
      </c>
      <c r="D50" s="305" t="s">
        <v>327</v>
      </c>
      <c r="E50" s="320" t="s">
        <v>326</v>
      </c>
      <c r="F50" s="286" t="s">
        <v>235</v>
      </c>
      <c r="G50" s="292">
        <v>190</v>
      </c>
      <c r="H50" s="295" t="str">
        <f>IF(G50&lt;=0,"",IF(G50&lt;=2,"Muy Baja",IF(G50&lt;=24,"Baja",IF(G50&lt;=500,"Media",IF(G50&lt;=5000,"Alta","Muy Alta")))))</f>
        <v>Media</v>
      </c>
      <c r="I50" s="282">
        <f>IF(H50="","",IF(H50="Muy Baja",0.2,IF(H50="Baja",0.4,IF(H50="Media",0.6,IF(H50="Alta",0.8,IF(H50="Muy Alta",1,))))))</f>
        <v>0.6</v>
      </c>
      <c r="J50" s="299" t="s">
        <v>237</v>
      </c>
      <c r="K50" s="282" t="str">
        <f>IF(NOT(ISERROR(MATCH(J50,'Tabla Impacto'!$B$221:$B$223,0))),'Tabla Impacto'!$F$228&amp;"Por favor no seleccionar los criterios de impacto(Afectación Económica o presupuestal y Pérdida Reputacional)",J50)</f>
        <v>Entre 1-12.500</v>
      </c>
      <c r="L50" s="295" t="s">
        <v>318</v>
      </c>
      <c r="M50" s="282">
        <f>IF(L50="","",IF(L50="Leve",0.2,IF(L50="Menor",0.4,IF(L50="Moderado",0.6,IF(L50="Mayor",0.8,IF(L50="Catastrófico",1,))))))</f>
        <v>0.2</v>
      </c>
      <c r="N50" s="284"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Moderado</v>
      </c>
      <c r="O50" s="269">
        <v>1</v>
      </c>
      <c r="P50" s="271" t="s">
        <v>330</v>
      </c>
      <c r="Q50" s="273" t="str">
        <f t="shared" si="2"/>
        <v>Probabilidad</v>
      </c>
      <c r="R50" s="267" t="s">
        <v>164</v>
      </c>
      <c r="S50" s="267" t="s">
        <v>172</v>
      </c>
      <c r="T50" s="263" t="str">
        <f>IF(AND(R50="Preventivo",S50="Automático"),"50%",IF(AND(R50="Preventivo",S50="Manual"),"40%",IF(AND(R50="Detectivo",S50="Automático"),"40%",IF(AND(R50="Detectivo",S50="Manual"),"30%",IF(AND(R50="Correctivo",S50="Automático"),"35%",IF(AND(R50="Correctivo",S50="Manual"),"25%",""))))))</f>
        <v>40%</v>
      </c>
      <c r="U50" s="267" t="s">
        <v>175</v>
      </c>
      <c r="V50" s="267" t="s">
        <v>180</v>
      </c>
      <c r="W50" s="267" t="s">
        <v>184</v>
      </c>
      <c r="X50" s="138">
        <f>IFERROR(IF(Q50="Probabilidad",(I50-(+I50*T50)),IF(Q50="Impacto",I50,"")),"")</f>
        <v>0.36</v>
      </c>
      <c r="Y50" s="261" t="str">
        <f>IFERROR(IF(X50="","",IF(X50&lt;=0.2,"Muy Baja",IF(X50&lt;=0.4,"Baja",IF(X50&lt;=0.6,"Media",IF(X50&lt;=0.8,"Alta","Muy Alta"))))),"")</f>
        <v>Baja</v>
      </c>
      <c r="Z50" s="263">
        <f>+X50</f>
        <v>0.36</v>
      </c>
      <c r="AA50" s="261" t="str">
        <f>IFERROR(IF(AB50="","",IF(AB50&lt;=0.2,"Leve",IF(AB50&lt;=0.4,"Menor",IF(AB50&lt;=0.6,"Moderado",IF(AB50&lt;=0.8,"Mayor","Catastrófico"))))),"")</f>
        <v>Leve</v>
      </c>
      <c r="AB50" s="263">
        <f t="shared" si="3"/>
        <v>0.2</v>
      </c>
      <c r="AC50" s="265"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Bajo</v>
      </c>
      <c r="AD50" s="267" t="s">
        <v>189</v>
      </c>
      <c r="AE50" s="356"/>
      <c r="AF50" s="356"/>
      <c r="AG50" s="356"/>
      <c r="AH50" s="356"/>
      <c r="AI50" s="356"/>
      <c r="AJ50" s="35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3" customHeight="1" x14ac:dyDescent="0.3">
      <c r="A51" s="278"/>
      <c r="B51" s="304"/>
      <c r="C51" s="205" t="s">
        <v>329</v>
      </c>
      <c r="D51" s="306"/>
      <c r="E51" s="321"/>
      <c r="F51" s="287"/>
      <c r="G51" s="293"/>
      <c r="H51" s="296"/>
      <c r="I51" s="283"/>
      <c r="J51" s="300"/>
      <c r="K51" s="283">
        <f>IF(NOT(ISERROR(MATCH(J51,_xlfn.ANCHORARRAY(E69),0))),I71&amp;"Por favor no seleccionar los criterios de impacto",J51)</f>
        <v>0</v>
      </c>
      <c r="L51" s="296"/>
      <c r="M51" s="283"/>
      <c r="N51" s="285"/>
      <c r="O51" s="270"/>
      <c r="P51" s="272"/>
      <c r="Q51" s="274"/>
      <c r="R51" s="268"/>
      <c r="S51" s="268"/>
      <c r="T51" s="264"/>
      <c r="U51" s="268"/>
      <c r="V51" s="268"/>
      <c r="W51" s="268"/>
      <c r="X51" s="138" t="str">
        <f>IFERROR(IF(AND(Q50="Probabilidad",Q51="Probabilidad"),(Z50-(+Z50*T51)),IF(Q51="Probabilidad",(I50-(+I50*T51)),IF(Q51="Impacto",Z50,""))),"")</f>
        <v/>
      </c>
      <c r="Y51" s="262"/>
      <c r="Z51" s="264"/>
      <c r="AA51" s="262"/>
      <c r="AB51" s="264"/>
      <c r="AC51" s="266"/>
      <c r="AD51" s="268"/>
      <c r="AE51" s="358"/>
      <c r="AF51" s="358"/>
      <c r="AG51" s="358"/>
      <c r="AH51" s="358"/>
      <c r="AI51" s="358"/>
      <c r="AJ51" s="358"/>
    </row>
    <row r="52" spans="1:68" ht="123.75" customHeight="1" x14ac:dyDescent="0.3">
      <c r="A52" s="146">
        <v>11</v>
      </c>
      <c r="B52" s="150" t="s">
        <v>230</v>
      </c>
      <c r="C52" s="206" t="s">
        <v>387</v>
      </c>
      <c r="D52" s="206" t="s">
        <v>386</v>
      </c>
      <c r="E52" s="204" t="s">
        <v>385</v>
      </c>
      <c r="F52" s="150" t="s">
        <v>235</v>
      </c>
      <c r="G52" s="151">
        <v>20</v>
      </c>
      <c r="H52" s="152" t="str">
        <f>IF(G52&lt;=0,"",IF(G52&lt;=2,"Muy Baja",IF(G52&lt;=24,"Baja",IF(G52&lt;=500,"Media",IF(G52&lt;=5000,"Alta","Muy Alta")))))</f>
        <v>Baja</v>
      </c>
      <c r="I52" s="148">
        <f>IF(H52="","",IF(H52="Muy Baja",0.2,IF(H52="Baja",0.4,IF(H52="Media",0.6,IF(H52="Alta",0.8,IF(H52="Muy Alta",1,))))))</f>
        <v>0.4</v>
      </c>
      <c r="J52" s="153" t="s">
        <v>237</v>
      </c>
      <c r="K52" s="148" t="str">
        <f>IF(NOT(ISERROR(MATCH(J52,'Tabla Impacto'!$B$221:$B$223,0))),'Tabla Impacto'!$F$228&amp;"Por favor no seleccionar los criterios de impacto(Afectación Económica o presupuestal y Pérdida Reputacional)",J52)</f>
        <v>Entre 1-12.500</v>
      </c>
      <c r="L52" s="152" t="s">
        <v>318</v>
      </c>
      <c r="M52" s="148">
        <f>IF(L52="","",IF(L52="Leve",0.2,IF(L52="Menor",0.4,IF(L52="Moderado",0.6,IF(L52="Mayor",0.8,IF(L52="Catastrófico",1,))))))</f>
        <v>0.2</v>
      </c>
      <c r="N52" s="149"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Bajo</v>
      </c>
      <c r="O52" s="6">
        <v>1</v>
      </c>
      <c r="P52" s="201" t="s">
        <v>388</v>
      </c>
      <c r="Q52" s="193" t="str">
        <f t="shared" si="2"/>
        <v>Probabilidad</v>
      </c>
      <c r="R52" s="194" t="s">
        <v>166</v>
      </c>
      <c r="S52" s="194" t="s">
        <v>172</v>
      </c>
      <c r="T52" s="195" t="str">
        <f>IF(AND(R52="Preventivo",S52="Automático"),"50%",IF(AND(R52="Preventivo",S52="Manual"),"40%",IF(AND(R52="Detectivo",S52="Automático"),"40%",IF(AND(R52="Detectivo",S52="Manual"),"30%",IF(AND(R52="Correctivo",S52="Automático"),"35%",IF(AND(R52="Correctivo",S52="Manual"),"25%",""))))))</f>
        <v>30%</v>
      </c>
      <c r="U52" s="194" t="s">
        <v>178</v>
      </c>
      <c r="V52" s="194" t="s">
        <v>180</v>
      </c>
      <c r="W52" s="194" t="s">
        <v>184</v>
      </c>
      <c r="X52" s="138">
        <f>IFERROR(IF(Q52="Probabilidad",(I52-(+I52*T52)),IF(Q52="Impacto",I52,"")),"")</f>
        <v>0.28000000000000003</v>
      </c>
      <c r="Y52" s="196" t="str">
        <f>IFERROR(IF(X52="","",IF(X52&lt;=0.2,"Muy Baja",IF(X52&lt;=0.4,"Baja",IF(X52&lt;=0.6,"Media",IF(X52&lt;=0.8,"Alta","Muy Alta"))))),"")</f>
        <v>Baja</v>
      </c>
      <c r="Z52" s="144">
        <f>+X52</f>
        <v>0.28000000000000003</v>
      </c>
      <c r="AA52" s="196" t="str">
        <f>IFERROR(IF(AB52="","",IF(AB52&lt;=0.2,"Leve",IF(AB52&lt;=0.4,"Menor",IF(AB52&lt;=0.6,"Moderado",IF(AB52&lt;=0.8,"Mayor","Catastrófico"))))),"")</f>
        <v>Leve</v>
      </c>
      <c r="AB52" s="144">
        <f t="shared" si="3"/>
        <v>0.2</v>
      </c>
      <c r="AC52" s="197"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Bajo</v>
      </c>
      <c r="AD52" s="145" t="s">
        <v>189</v>
      </c>
      <c r="AE52" s="122"/>
      <c r="AF52" s="123"/>
      <c r="AG52" s="124"/>
      <c r="AH52" s="124"/>
      <c r="AI52" s="122"/>
      <c r="AJ52" s="123"/>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25.25" customHeight="1" x14ac:dyDescent="0.3">
      <c r="A53" s="146">
        <v>12</v>
      </c>
      <c r="B53" s="150" t="s">
        <v>230</v>
      </c>
      <c r="C53" s="206" t="s">
        <v>391</v>
      </c>
      <c r="D53" s="206" t="s">
        <v>390</v>
      </c>
      <c r="E53" s="204" t="s">
        <v>389</v>
      </c>
      <c r="F53" s="150" t="s">
        <v>235</v>
      </c>
      <c r="G53" s="151">
        <v>10</v>
      </c>
      <c r="H53" s="152" t="str">
        <f>IF(G53&lt;=0,"",IF(G53&lt;=2,"Muy Baja",IF(G53&lt;=24,"Baja",IF(G53&lt;=500,"Media",IF(G53&lt;=5000,"Alta","Muy Alta")))))</f>
        <v>Baja</v>
      </c>
      <c r="I53" s="148">
        <f>IF(H53="","",IF(H53="Muy Baja",0.2,IF(H53="Baja",0.4,IF(H53="Media",0.6,IF(H53="Alta",0.8,IF(H53="Muy Alta",1,))))))</f>
        <v>0.4</v>
      </c>
      <c r="J53" s="153" t="s">
        <v>237</v>
      </c>
      <c r="K53" s="148" t="str">
        <f>IF(NOT(ISERROR(MATCH(J53,'Tabla Impacto'!$B$221:$B$223,0))),'Tabla Impacto'!$F$228&amp;"Por favor no seleccionar los criterios de impacto(Afectación Económica o presupuestal y Pérdida Reputacional)",J53)</f>
        <v>Entre 1-12.500</v>
      </c>
      <c r="L53" s="152" t="s">
        <v>318</v>
      </c>
      <c r="M53" s="148">
        <f>IF(L53="","",IF(L53="Leve",0.2,IF(L53="Menor",0.4,IF(L53="Moderado",0.6,IF(L53="Mayor",0.8,IF(L53="Catastrófico",1,))))))</f>
        <v>0.2</v>
      </c>
      <c r="N53" s="149"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Bajo</v>
      </c>
      <c r="O53" s="6">
        <v>1</v>
      </c>
      <c r="P53" s="201" t="s">
        <v>392</v>
      </c>
      <c r="Q53" s="193" t="str">
        <f t="shared" si="2"/>
        <v>Probabilidad</v>
      </c>
      <c r="R53" s="194" t="s">
        <v>164</v>
      </c>
      <c r="S53" s="194" t="s">
        <v>172</v>
      </c>
      <c r="T53" s="195" t="str">
        <f>IF(AND(R53="Preventivo",S53="Automático"),"50%",IF(AND(R53="Preventivo",S53="Manual"),"40%",IF(AND(R53="Detectivo",S53="Automático"),"40%",IF(AND(R53="Detectivo",S53="Manual"),"30%",IF(AND(R53="Correctivo",S53="Automático"),"35%",IF(AND(R53="Correctivo",S53="Manual"),"25%",""))))))</f>
        <v>40%</v>
      </c>
      <c r="U53" s="194" t="s">
        <v>175</v>
      </c>
      <c r="V53" s="194" t="s">
        <v>180</v>
      </c>
      <c r="W53" s="194" t="s">
        <v>184</v>
      </c>
      <c r="X53" s="138">
        <f>IFERROR(IF(Q53="Probabilidad",(I53-(+I53*T53)),IF(Q53="Impacto",I53,"")),"")</f>
        <v>0.24</v>
      </c>
      <c r="Y53" s="196" t="str">
        <f>IFERROR(IF(X53="","",IF(X53&lt;=0.2,"Muy Baja",IF(X53&lt;=0.4,"Baja",IF(X53&lt;=0.6,"Media",IF(X53&lt;=0.8,"Alta","Muy Alta"))))),"")</f>
        <v>Baja</v>
      </c>
      <c r="Z53" s="144">
        <f>+X53</f>
        <v>0.24</v>
      </c>
      <c r="AA53" s="196" t="str">
        <f>IFERROR(IF(AB53="","",IF(AB53&lt;=0.2,"Leve",IF(AB53&lt;=0.4,"Menor",IF(AB53&lt;=0.6,"Moderado",IF(AB53&lt;=0.8,"Mayor","Catastrófico"))))),"")</f>
        <v>Leve</v>
      </c>
      <c r="AB53" s="144">
        <f t="shared" si="3"/>
        <v>0.2</v>
      </c>
      <c r="AC53" s="197"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Bajo</v>
      </c>
      <c r="AD53" s="145" t="s">
        <v>189</v>
      </c>
      <c r="AE53" s="122"/>
      <c r="AF53" s="123"/>
      <c r="AG53" s="124"/>
      <c r="AH53" s="124"/>
      <c r="AI53" s="122"/>
      <c r="AJ53" s="123"/>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15.5" customHeight="1" x14ac:dyDescent="0.3">
      <c r="A54" s="146">
        <v>13</v>
      </c>
      <c r="B54" s="150" t="s">
        <v>192</v>
      </c>
      <c r="C54" s="206" t="s">
        <v>333</v>
      </c>
      <c r="D54" s="206" t="s">
        <v>332</v>
      </c>
      <c r="E54" s="204" t="s">
        <v>331</v>
      </c>
      <c r="F54" s="150" t="s">
        <v>200</v>
      </c>
      <c r="G54" s="151">
        <v>21</v>
      </c>
      <c r="H54" s="152" t="str">
        <f>IF(G54&lt;=0,"",IF(G54&lt;=2,"Muy Baja",IF(G54&lt;=24,"Baja",IF(G54&lt;=500,"Media",IF(G54&lt;=5000,"Alta","Muy Alta")))))</f>
        <v>Baja</v>
      </c>
      <c r="I54" s="148">
        <f>IF(H54="","",IF(H54="Muy Baja",0.2,IF(H54="Baja",0.4,IF(H54="Media",0.6,IF(H54="Alta",0.8,IF(H54="Muy Alta",1,))))))</f>
        <v>0.4</v>
      </c>
      <c r="J54" s="153" t="s">
        <v>148</v>
      </c>
      <c r="K54" s="148" t="str">
        <f>IF(NOT(ISERROR(MATCH(J54,'Tabla Impacto'!$B$221:$B$223,0))),'Tabla Impacto'!$F$228&amp;"Por favor no seleccionar los criterios de impacto(Afectación Económica o presupuestal y Pérdida Reputacional)",J54)</f>
        <v xml:space="preserve">     El riesgo afecta la imagen de la entidad con algunos usuarios de relevancia frente al logro de los objetivos</v>
      </c>
      <c r="L54" s="152" t="str">
        <f>IF(OR(K54='Tabla Impacto'!$C$11,K54='Tabla Impacto'!$D$11),"Leve",IF(OR(K54='Tabla Impacto'!$C$12,K54='Tabla Impacto'!$D$12),"Menor",IF(OR(K54='Tabla Impacto'!$C$13,K54='Tabla Impacto'!$D$13),"Moderado",IF(OR(K54='Tabla Impacto'!$C$14,K54='Tabla Impacto'!$D$14),"Mayor",IF(OR(K54='Tabla Impacto'!$C$15,K54='Tabla Impacto'!$D$15),"Catastrófico","")))))</f>
        <v>Moderado</v>
      </c>
      <c r="M54" s="148">
        <f>IF(L54="","",IF(L54="Leve",0.2,IF(L54="Menor",0.4,IF(L54="Moderado",0.6,IF(L54="Mayor",0.8,IF(L54="Catastrófico",1,))))))</f>
        <v>0.6</v>
      </c>
      <c r="N54" s="14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Moderado</v>
      </c>
      <c r="O54" s="6">
        <v>1</v>
      </c>
      <c r="P54" s="201" t="s">
        <v>334</v>
      </c>
      <c r="Q54" s="193" t="str">
        <f t="shared" si="2"/>
        <v>Probabilidad</v>
      </c>
      <c r="R54" s="194" t="s">
        <v>164</v>
      </c>
      <c r="S54" s="194" t="s">
        <v>172</v>
      </c>
      <c r="T54" s="195" t="str">
        <f>IF(AND(R54="Preventivo",S54="Automático"),"50%",IF(AND(R54="Preventivo",S54="Manual"),"40%",IF(AND(R54="Detectivo",S54="Automático"),"40%",IF(AND(R54="Detectivo",S54="Manual"),"30%",IF(AND(R54="Correctivo",S54="Automático"),"35%",IF(AND(R54="Correctivo",S54="Manual"),"25%",""))))))</f>
        <v>40%</v>
      </c>
      <c r="U54" s="194" t="s">
        <v>178</v>
      </c>
      <c r="V54" s="194" t="s">
        <v>180</v>
      </c>
      <c r="W54" s="194" t="s">
        <v>184</v>
      </c>
      <c r="X54" s="138">
        <f>IFERROR(IF(Q54="Probabilidad",(I54-(+I54*T54)),IF(Q54="Impacto",I54,"")),"")</f>
        <v>0.24</v>
      </c>
      <c r="Y54" s="196" t="str">
        <f>IFERROR(IF(X54="","",IF(X54&lt;=0.2,"Muy Baja",IF(X54&lt;=0.4,"Baja",IF(X54&lt;=0.6,"Media",IF(X54&lt;=0.8,"Alta","Muy Alta"))))),"")</f>
        <v>Baja</v>
      </c>
      <c r="Z54" s="144">
        <f>+X54</f>
        <v>0.24</v>
      </c>
      <c r="AA54" s="196" t="str">
        <f>IFERROR(IF(AB54="","",IF(AB54&lt;=0.2,"Leve",IF(AB54&lt;=0.4,"Menor",IF(AB54&lt;=0.6,"Moderado",IF(AB54&lt;=0.8,"Mayor","Catastrófico"))))),"")</f>
        <v>Moderado</v>
      </c>
      <c r="AB54" s="144">
        <f t="shared" si="3"/>
        <v>0.6</v>
      </c>
      <c r="AC54" s="197"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Moderado</v>
      </c>
      <c r="AD54" s="145" t="s">
        <v>189</v>
      </c>
      <c r="AE54" s="122"/>
      <c r="AF54" s="123"/>
      <c r="AG54" s="124"/>
      <c r="AH54" s="124"/>
      <c r="AI54" s="122"/>
      <c r="AJ54" s="123"/>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80.25" customHeight="1" x14ac:dyDescent="0.3">
      <c r="A55" s="269">
        <v>14</v>
      </c>
      <c r="B55" s="286" t="s">
        <v>192</v>
      </c>
      <c r="C55" s="210" t="s">
        <v>337</v>
      </c>
      <c r="D55" s="359" t="s">
        <v>336</v>
      </c>
      <c r="E55" s="320" t="s">
        <v>335</v>
      </c>
      <c r="F55" s="286" t="s">
        <v>200</v>
      </c>
      <c r="G55" s="292">
        <v>546</v>
      </c>
      <c r="H55" s="295" t="str">
        <f>IF(G55&lt;=0,"",IF(G55&lt;=2,"Muy Baja",IF(G55&lt;=24,"Baja",IF(G55&lt;=500,"Media",IF(G55&lt;=5000,"Alta","Muy Alta")))))</f>
        <v>Alta</v>
      </c>
      <c r="I55" s="282">
        <f>IF(H55="","",IF(H55="Muy Baja",0.2,IF(H55="Baja",0.4,IF(H55="Media",0.6,IF(H55="Alta",0.8,IF(H55="Muy Alta",1,))))))</f>
        <v>0.8</v>
      </c>
      <c r="J55" s="299" t="s">
        <v>148</v>
      </c>
      <c r="K55" s="282" t="str">
        <f>IF(NOT(ISERROR(MATCH(J55,'Tabla Impacto'!$B$221:$B$223,0))),'Tabla Impacto'!$F$228&amp;"Por favor no seleccionar los criterios de impacto(Afectación Económica o presupuestal y Pérdida Reputacional)",J55)</f>
        <v xml:space="preserve">     El riesgo afecta la imagen de la entidad con algunos usuarios de relevancia frente al logro de los objetivos</v>
      </c>
      <c r="L55" s="295" t="str">
        <f>IF(OR(K55='Tabla Impacto'!$C$11,K55='Tabla Impacto'!$D$11),"Leve",IF(OR(K55='Tabla Impacto'!$C$12,K55='Tabla Impacto'!$D$12),"Menor",IF(OR(K55='Tabla Impacto'!$C$13,K55='Tabla Impacto'!$D$13),"Moderado",IF(OR(K55='Tabla Impacto'!$C$14,K55='Tabla Impacto'!$D$14),"Mayor",IF(OR(K55='Tabla Impacto'!$C$15,K55='Tabla Impacto'!$D$15),"Catastrófico","")))))</f>
        <v>Moderado</v>
      </c>
      <c r="M55" s="282">
        <f>IF(L55="","",IF(L55="Leve",0.2,IF(L55="Menor",0.4,IF(L55="Moderado",0.6,IF(L55="Mayor",0.8,IF(L55="Catastrófico",1,))))))</f>
        <v>0.6</v>
      </c>
      <c r="N55" s="284"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Alto</v>
      </c>
      <c r="O55" s="269">
        <v>1</v>
      </c>
      <c r="P55" s="271" t="s">
        <v>339</v>
      </c>
      <c r="Q55" s="273" t="str">
        <f t="shared" si="2"/>
        <v>Probabilidad</v>
      </c>
      <c r="R55" s="267" t="s">
        <v>164</v>
      </c>
      <c r="S55" s="267" t="s">
        <v>172</v>
      </c>
      <c r="T55" s="263" t="str">
        <f>IF(AND(R55="Preventivo",S55="Automático"),"50%",IF(AND(R55="Preventivo",S55="Manual"),"40%",IF(AND(R55="Detectivo",S55="Automático"),"40%",IF(AND(R55="Detectivo",S55="Manual"),"30%",IF(AND(R55="Correctivo",S55="Automático"),"35%",IF(AND(R55="Correctivo",S55="Manual"),"25%",""))))))</f>
        <v>40%</v>
      </c>
      <c r="U55" s="267" t="s">
        <v>175</v>
      </c>
      <c r="V55" s="267" t="s">
        <v>180</v>
      </c>
      <c r="W55" s="267" t="s">
        <v>184</v>
      </c>
      <c r="X55" s="138">
        <f>IFERROR(IF(Q55="Probabilidad",(I55-(+I55*T55)),IF(Q55="Impacto",I55,"")),"")</f>
        <v>0.48</v>
      </c>
      <c r="Y55" s="261" t="str">
        <f>IFERROR(IF(X55="","",IF(X55&lt;=0.2,"Muy Baja",IF(X55&lt;=0.4,"Baja",IF(X55&lt;=0.6,"Media",IF(X55&lt;=0.8,"Alta","Muy Alta"))))),"")</f>
        <v>Media</v>
      </c>
      <c r="Z55" s="263">
        <f>+X55</f>
        <v>0.48</v>
      </c>
      <c r="AA55" s="261" t="str">
        <f>IFERROR(IF(AB55="","",IF(AB55&lt;=0.2,"Leve",IF(AB55&lt;=0.4,"Menor",IF(AB55&lt;=0.6,"Moderado",IF(AB55&lt;=0.8,"Mayor","Catastrófico"))))),"")</f>
        <v>Moderado</v>
      </c>
      <c r="AB55" s="263">
        <f t="shared" si="3"/>
        <v>0.6</v>
      </c>
      <c r="AC55" s="265"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Moderado</v>
      </c>
      <c r="AD55" s="267" t="s">
        <v>189</v>
      </c>
      <c r="AE55" s="356"/>
      <c r="AF55" s="356"/>
      <c r="AG55" s="356"/>
      <c r="AH55" s="356"/>
      <c r="AI55" s="356"/>
      <c r="AJ55" s="35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56.25" customHeight="1" x14ac:dyDescent="0.3">
      <c r="A56" s="278"/>
      <c r="B56" s="287"/>
      <c r="C56" s="210" t="s">
        <v>338</v>
      </c>
      <c r="D56" s="360"/>
      <c r="E56" s="321"/>
      <c r="F56" s="287"/>
      <c r="G56" s="293"/>
      <c r="H56" s="296"/>
      <c r="I56" s="283"/>
      <c r="J56" s="300"/>
      <c r="K56" s="283">
        <f>IF(NOT(ISERROR(MATCH(J56,_xlfn.ANCHORARRAY(E93),0))),I95&amp;"Por favor no seleccionar los criterios de impacto",J56)</f>
        <v>0</v>
      </c>
      <c r="L56" s="296"/>
      <c r="M56" s="283"/>
      <c r="N56" s="285"/>
      <c r="O56" s="270"/>
      <c r="P56" s="272"/>
      <c r="Q56" s="274"/>
      <c r="R56" s="268"/>
      <c r="S56" s="268"/>
      <c r="T56" s="264"/>
      <c r="U56" s="268"/>
      <c r="V56" s="268"/>
      <c r="W56" s="268"/>
      <c r="X56" s="138" t="str">
        <f>IFERROR(IF(AND(Q55="Probabilidad",Q56="Probabilidad"),(Z55-(+Z55*T56)),IF(Q56="Probabilidad",(I55-(+I55*T56)),IF(Q56="Impacto",Z55,""))),"")</f>
        <v/>
      </c>
      <c r="Y56" s="262"/>
      <c r="Z56" s="264"/>
      <c r="AA56" s="262"/>
      <c r="AB56" s="264"/>
      <c r="AC56" s="266"/>
      <c r="AD56" s="268"/>
      <c r="AE56" s="358"/>
      <c r="AF56" s="358"/>
      <c r="AG56" s="358"/>
      <c r="AH56" s="358"/>
      <c r="AI56" s="358"/>
      <c r="AJ56" s="358"/>
    </row>
    <row r="57" spans="1:68" ht="114" customHeight="1" x14ac:dyDescent="0.3">
      <c r="A57" s="269">
        <v>15</v>
      </c>
      <c r="B57" s="286" t="s">
        <v>230</v>
      </c>
      <c r="C57" s="359" t="s">
        <v>395</v>
      </c>
      <c r="D57" s="359" t="s">
        <v>394</v>
      </c>
      <c r="E57" s="320" t="s">
        <v>393</v>
      </c>
      <c r="F57" s="286" t="s">
        <v>235</v>
      </c>
      <c r="G57" s="292">
        <v>40</v>
      </c>
      <c r="H57" s="295" t="str">
        <f>IF(G57&lt;=0,"",IF(G57&lt;=2,"Muy Baja",IF(G57&lt;=24,"Baja",IF(G57&lt;=500,"Media",IF(G57&lt;=5000,"Alta","Muy Alta")))))</f>
        <v>Media</v>
      </c>
      <c r="I57" s="282">
        <f>IF(H57="","",IF(H57="Muy Baja",0.2,IF(H57="Baja",0.4,IF(H57="Media",0.6,IF(H57="Alta",0.8,IF(H57="Muy Alta",1,))))))</f>
        <v>0.6</v>
      </c>
      <c r="J57" s="299" t="s">
        <v>237</v>
      </c>
      <c r="K57" s="282" t="str">
        <f>IF(NOT(ISERROR(MATCH(J57,'Tabla Impacto'!$B$221:$B$223,0))),'Tabla Impacto'!$F$228&amp;"Por favor no seleccionar los criterios de impacto(Afectación Económica o presupuestal y Pérdida Reputacional)",J57)</f>
        <v>Entre 1-12.500</v>
      </c>
      <c r="L57" s="295" t="s">
        <v>318</v>
      </c>
      <c r="M57" s="282">
        <f>IF(L57="","",IF(L57="Leve",0.2,IF(L57="Menor",0.4,IF(L57="Moderado",0.6,IF(L57="Mayor",0.8,IF(L57="Catastrófico",1,))))))</f>
        <v>0.2</v>
      </c>
      <c r="N57" s="284"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Moderado</v>
      </c>
      <c r="O57" s="269">
        <v>1</v>
      </c>
      <c r="P57" s="271" t="s">
        <v>396</v>
      </c>
      <c r="Q57" s="273" t="str">
        <f>IF(OR(R57="Preventivo",R57="Detectivo"),"Probabilidad",IF(R57="Correctivo","Impacto",""))</f>
        <v>Probabilidad</v>
      </c>
      <c r="R57" s="267" t="s">
        <v>164</v>
      </c>
      <c r="S57" s="267" t="s">
        <v>172</v>
      </c>
      <c r="T57" s="263" t="str">
        <f>IF(AND(R57="Preventivo",S57="Automático"),"50%",IF(AND(R57="Preventivo",S57="Manual"),"40%",IF(AND(R57="Detectivo",S57="Automático"),"40%",IF(AND(R57="Detectivo",S57="Manual"),"30%",IF(AND(R57="Correctivo",S57="Automático"),"35%",IF(AND(R57="Correctivo",S57="Manual"),"25%",""))))))</f>
        <v>40%</v>
      </c>
      <c r="U57" s="267" t="s">
        <v>175</v>
      </c>
      <c r="V57" s="267" t="s">
        <v>180</v>
      </c>
      <c r="W57" s="267" t="s">
        <v>184</v>
      </c>
      <c r="X57" s="138">
        <f>IFERROR(IF(Q57="Probabilidad",(I57-(+I57*T57)),IF(Q57="Impacto",I57,"")),"")</f>
        <v>0.36</v>
      </c>
      <c r="Y57" s="261" t="str">
        <f>IFERROR(IF(X57="","",IF(X57&lt;=0.2,"Muy Baja",IF(X57&lt;=0.4,"Baja",IF(X57&lt;=0.6,"Media",IF(X57&lt;=0.8,"Alta","Muy Alta"))))),"")</f>
        <v>Baja</v>
      </c>
      <c r="Z57" s="263">
        <f>+X57</f>
        <v>0.36</v>
      </c>
      <c r="AA57" s="261" t="str">
        <f>IFERROR(IF(AB57="","",IF(AB57&lt;=0.2,"Leve",IF(AB57&lt;=0.4,"Menor",IF(AB57&lt;=0.6,"Moderado",IF(AB57&lt;=0.8,"Mayor","Catastrófico"))))),"")</f>
        <v>Leve</v>
      </c>
      <c r="AB57" s="263">
        <f>IFERROR(IF(Q57="Impacto",(M57-(+M57*T57)),IF(Q57="Probabilidad",M57,"")),"")</f>
        <v>0.2</v>
      </c>
      <c r="AC57" s="265"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Bajo</v>
      </c>
      <c r="AD57" s="267" t="s">
        <v>189</v>
      </c>
      <c r="AE57" s="356"/>
      <c r="AF57" s="363"/>
      <c r="AG57" s="363"/>
      <c r="AH57" s="363"/>
      <c r="AI57" s="363"/>
      <c r="AJ57" s="363"/>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3" customHeight="1" x14ac:dyDescent="0.3">
      <c r="A58" s="278"/>
      <c r="B58" s="287"/>
      <c r="C58" s="360"/>
      <c r="D58" s="360"/>
      <c r="E58" s="321"/>
      <c r="F58" s="287"/>
      <c r="G58" s="293"/>
      <c r="H58" s="296"/>
      <c r="I58" s="283"/>
      <c r="J58" s="300"/>
      <c r="K58" s="283">
        <f>IF(NOT(ISERROR(MATCH(J58,_xlfn.ANCHORARRAY(E99),0))),I101&amp;"Por favor no seleccionar los criterios de impacto",J58)</f>
        <v>0</v>
      </c>
      <c r="L58" s="296"/>
      <c r="M58" s="283"/>
      <c r="N58" s="285"/>
      <c r="O58" s="278"/>
      <c r="P58" s="279"/>
      <c r="Q58" s="280"/>
      <c r="R58" s="276"/>
      <c r="S58" s="276"/>
      <c r="T58" s="277"/>
      <c r="U58" s="276"/>
      <c r="V58" s="276"/>
      <c r="W58" s="276"/>
      <c r="X58" s="138" t="str">
        <f>IFERROR(IF(AND(Q57="Probabilidad",Q58="Probabilidad"),(Z57-(+Z57*T58)),IF(Q58="Probabilidad",(I57-(+I57*T58)),IF(Q58="Impacto",Z57,""))),"")</f>
        <v/>
      </c>
      <c r="Y58" s="281"/>
      <c r="Z58" s="277"/>
      <c r="AA58" s="281"/>
      <c r="AB58" s="277"/>
      <c r="AC58" s="275"/>
      <c r="AD58" s="276"/>
      <c r="AE58" s="357"/>
      <c r="AF58" s="364"/>
      <c r="AG58" s="364"/>
      <c r="AH58" s="364"/>
      <c r="AI58" s="364"/>
      <c r="AJ58" s="364"/>
    </row>
    <row r="59" spans="1:68" ht="30.75" customHeight="1" x14ac:dyDescent="0.3">
      <c r="A59" s="278"/>
      <c r="B59" s="287"/>
      <c r="C59" s="360"/>
      <c r="D59" s="360"/>
      <c r="E59" s="321"/>
      <c r="F59" s="287"/>
      <c r="G59" s="293"/>
      <c r="H59" s="296"/>
      <c r="I59" s="283"/>
      <c r="J59" s="300"/>
      <c r="K59" s="283">
        <f>IF(NOT(ISERROR(MATCH(J59,_xlfn.ANCHORARRAY(E100),0))),I102&amp;"Por favor no seleccionar los criterios de impacto",J59)</f>
        <v>0</v>
      </c>
      <c r="L59" s="296"/>
      <c r="M59" s="283"/>
      <c r="N59" s="285"/>
      <c r="O59" s="278"/>
      <c r="P59" s="279"/>
      <c r="Q59" s="280"/>
      <c r="R59" s="276"/>
      <c r="S59" s="276"/>
      <c r="T59" s="277"/>
      <c r="U59" s="276"/>
      <c r="V59" s="276"/>
      <c r="W59" s="276"/>
      <c r="X59" s="138" t="str">
        <f>IFERROR(IF(AND(Q58="Probabilidad",Q59="Probabilidad"),(Z58-(+Z58*T59)),IF(AND(Q58="Impacto",Q59="Probabilidad"),(Z57-(+Z57*T59)),IF(Q59="Impacto",Z58,""))),"")</f>
        <v/>
      </c>
      <c r="Y59" s="281"/>
      <c r="Z59" s="277"/>
      <c r="AA59" s="281"/>
      <c r="AB59" s="277"/>
      <c r="AC59" s="275"/>
      <c r="AD59" s="276"/>
      <c r="AE59" s="357"/>
      <c r="AF59" s="364"/>
      <c r="AG59" s="364"/>
      <c r="AH59" s="364"/>
      <c r="AI59" s="364"/>
      <c r="AJ59" s="364"/>
    </row>
    <row r="60" spans="1:68" ht="30.75" customHeight="1" x14ac:dyDescent="0.3">
      <c r="A60" s="278"/>
      <c r="B60" s="287"/>
      <c r="C60" s="360"/>
      <c r="D60" s="360"/>
      <c r="E60" s="321"/>
      <c r="F60" s="287"/>
      <c r="G60" s="293"/>
      <c r="H60" s="296"/>
      <c r="I60" s="283"/>
      <c r="J60" s="300"/>
      <c r="K60" s="283">
        <f>IF(NOT(ISERROR(MATCH(J60,_xlfn.ANCHORARRAY(E101),0))),I103&amp;"Por favor no seleccionar los criterios de impacto",J60)</f>
        <v>0</v>
      </c>
      <c r="L60" s="296"/>
      <c r="M60" s="283"/>
      <c r="N60" s="285"/>
      <c r="O60" s="278"/>
      <c r="P60" s="279"/>
      <c r="Q60" s="280"/>
      <c r="R60" s="276"/>
      <c r="S60" s="276"/>
      <c r="T60" s="277"/>
      <c r="U60" s="276"/>
      <c r="V60" s="276"/>
      <c r="W60" s="276"/>
      <c r="X60" s="138" t="str">
        <f>IFERROR(IF(AND(Q59="Probabilidad",Q60="Probabilidad"),(Z59-(+Z59*T60)),IF(AND(Q59="Impacto",Q60="Probabilidad"),(Z58-(+Z58*T60)),IF(Q60="Impacto",Z59,""))),"")</f>
        <v/>
      </c>
      <c r="Y60" s="281"/>
      <c r="Z60" s="277"/>
      <c r="AA60" s="281"/>
      <c r="AB60" s="277"/>
      <c r="AC60" s="275"/>
      <c r="AD60" s="276"/>
      <c r="AE60" s="357"/>
      <c r="AF60" s="364"/>
      <c r="AG60" s="364"/>
      <c r="AH60" s="364"/>
      <c r="AI60" s="364"/>
      <c r="AJ60" s="364"/>
    </row>
    <row r="61" spans="1:68" ht="42" customHeight="1" x14ac:dyDescent="0.3">
      <c r="A61" s="278"/>
      <c r="B61" s="287"/>
      <c r="C61" s="360"/>
      <c r="D61" s="360"/>
      <c r="E61" s="321"/>
      <c r="F61" s="287"/>
      <c r="G61" s="293"/>
      <c r="H61" s="296"/>
      <c r="I61" s="283"/>
      <c r="J61" s="300"/>
      <c r="K61" s="283">
        <f>IF(NOT(ISERROR(MATCH(J61,_xlfn.ANCHORARRAY(E102),0))),I104&amp;"Por favor no seleccionar los criterios de impacto",J61)</f>
        <v>0</v>
      </c>
      <c r="L61" s="296"/>
      <c r="M61" s="283"/>
      <c r="N61" s="285"/>
      <c r="O61" s="278"/>
      <c r="P61" s="279"/>
      <c r="Q61" s="280"/>
      <c r="R61" s="276"/>
      <c r="S61" s="276"/>
      <c r="T61" s="277"/>
      <c r="U61" s="276"/>
      <c r="V61" s="276"/>
      <c r="W61" s="276"/>
      <c r="X61" s="138" t="str">
        <f>IFERROR(IF(AND(Q60="Probabilidad",Q61="Probabilidad"),(Z60-(+Z60*T61)),IF(AND(Q60="Impacto",Q61="Probabilidad"),(Z59-(+Z59*T61)),IF(Q61="Impacto",Z60,""))),"")</f>
        <v/>
      </c>
      <c r="Y61" s="281"/>
      <c r="Z61" s="277"/>
      <c r="AA61" s="281"/>
      <c r="AB61" s="277"/>
      <c r="AC61" s="275"/>
      <c r="AD61" s="276"/>
      <c r="AE61" s="357"/>
      <c r="AF61" s="364"/>
      <c r="AG61" s="364"/>
      <c r="AH61" s="364"/>
      <c r="AI61" s="364"/>
      <c r="AJ61" s="364"/>
    </row>
    <row r="62" spans="1:68" ht="44.25" customHeight="1" x14ac:dyDescent="0.3">
      <c r="A62" s="270"/>
      <c r="B62" s="288"/>
      <c r="C62" s="361"/>
      <c r="D62" s="361"/>
      <c r="E62" s="362"/>
      <c r="F62" s="288"/>
      <c r="G62" s="294"/>
      <c r="H62" s="297"/>
      <c r="I62" s="298"/>
      <c r="J62" s="301"/>
      <c r="K62" s="298">
        <f>IF(NOT(ISERROR(MATCH(J62,_xlfn.ANCHORARRAY(E103),0))),I105&amp;"Por favor no seleccionar los criterios de impacto",J62)</f>
        <v>0</v>
      </c>
      <c r="L62" s="297"/>
      <c r="M62" s="298"/>
      <c r="N62" s="302"/>
      <c r="O62" s="270"/>
      <c r="P62" s="272"/>
      <c r="Q62" s="274"/>
      <c r="R62" s="268"/>
      <c r="S62" s="268"/>
      <c r="T62" s="264"/>
      <c r="U62" s="268"/>
      <c r="V62" s="268"/>
      <c r="W62" s="268"/>
      <c r="X62" s="138" t="str">
        <f>IFERROR(IF(AND(Q61="Probabilidad",Q62="Probabilidad"),(Z61-(+Z61*T62)),IF(AND(Q61="Impacto",Q62="Probabilidad"),(Z60-(+Z60*T62)),IF(Q62="Impacto",Z61,""))),"")</f>
        <v/>
      </c>
      <c r="Y62" s="262"/>
      <c r="Z62" s="264"/>
      <c r="AA62" s="262"/>
      <c r="AB62" s="264"/>
      <c r="AC62" s="266"/>
      <c r="AD62" s="268"/>
      <c r="AE62" s="358"/>
      <c r="AF62" s="365"/>
      <c r="AG62" s="365"/>
      <c r="AH62" s="365"/>
      <c r="AI62" s="365"/>
      <c r="AJ62" s="365"/>
    </row>
    <row r="63" spans="1:68" ht="49.5" customHeight="1" x14ac:dyDescent="0.3">
      <c r="A63" s="6"/>
      <c r="B63" s="322" t="s">
        <v>89</v>
      </c>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4"/>
    </row>
    <row r="65" spans="2:2" s="1" customFormat="1" x14ac:dyDescent="0.3">
      <c r="B65" s="24"/>
    </row>
  </sheetData>
  <dataConsolidate/>
  <mergeCells count="315">
    <mergeCell ref="AE39:AE44"/>
    <mergeCell ref="AF39:AF44"/>
    <mergeCell ref="AG39:AG44"/>
    <mergeCell ref="AH39:AH44"/>
    <mergeCell ref="AI39:AI44"/>
    <mergeCell ref="AJ39:AJ44"/>
    <mergeCell ref="O50:O51"/>
    <mergeCell ref="P50:P51"/>
    <mergeCell ref="Q50:Q51"/>
    <mergeCell ref="R50:R51"/>
    <mergeCell ref="S50:S51"/>
    <mergeCell ref="T50:T51"/>
    <mergeCell ref="U50:U51"/>
    <mergeCell ref="V50:V51"/>
    <mergeCell ref="W50:W51"/>
    <mergeCell ref="Y50:Y51"/>
    <mergeCell ref="Z50:Z51"/>
    <mergeCell ref="AA50:AA51"/>
    <mergeCell ref="AB50:AB51"/>
    <mergeCell ref="AC50:AC51"/>
    <mergeCell ref="AD50:AD51"/>
    <mergeCell ref="AE50:AE51"/>
    <mergeCell ref="AF50:AF51"/>
    <mergeCell ref="AG50:AG51"/>
    <mergeCell ref="AE36:AE38"/>
    <mergeCell ref="AF36:AF38"/>
    <mergeCell ref="AG36:AG38"/>
    <mergeCell ref="AH36:AH38"/>
    <mergeCell ref="AI36:AI38"/>
    <mergeCell ref="AJ36:AJ38"/>
    <mergeCell ref="C37:C38"/>
    <mergeCell ref="E28:E32"/>
    <mergeCell ref="F28:F32"/>
    <mergeCell ref="I36:I38"/>
    <mergeCell ref="J36:J38"/>
    <mergeCell ref="K36:K38"/>
    <mergeCell ref="L36:L38"/>
    <mergeCell ref="M36:M38"/>
    <mergeCell ref="N36:N38"/>
    <mergeCell ref="AC30:AC32"/>
    <mergeCell ref="AD30:AD32"/>
    <mergeCell ref="O36:O38"/>
    <mergeCell ref="P36:P38"/>
    <mergeCell ref="Q36:Q38"/>
    <mergeCell ref="R36:R38"/>
    <mergeCell ref="S36:S38"/>
    <mergeCell ref="N33:N34"/>
    <mergeCell ref="M28:M32"/>
    <mergeCell ref="A1:AE5"/>
    <mergeCell ref="N7:S7"/>
    <mergeCell ref="W9:AB9"/>
    <mergeCell ref="W10:AB10"/>
    <mergeCell ref="P8:U8"/>
    <mergeCell ref="AE30:AE32"/>
    <mergeCell ref="AF30:AF32"/>
    <mergeCell ref="AG30:AG32"/>
    <mergeCell ref="AH30:AH32"/>
    <mergeCell ref="A23:B23"/>
    <mergeCell ref="C23:N23"/>
    <mergeCell ref="A24:B24"/>
    <mergeCell ref="C24:N24"/>
    <mergeCell ref="A25:G25"/>
    <mergeCell ref="H25:N25"/>
    <mergeCell ref="W17:AB17"/>
    <mergeCell ref="A18:J18"/>
    <mergeCell ref="A19:AJ20"/>
    <mergeCell ref="A22:B22"/>
    <mergeCell ref="C22:N22"/>
    <mergeCell ref="O22:Q22"/>
    <mergeCell ref="L26:L27"/>
    <mergeCell ref="M26:M27"/>
    <mergeCell ref="O25:W25"/>
    <mergeCell ref="A26:A27"/>
    <mergeCell ref="B26:B27"/>
    <mergeCell ref="C26:C27"/>
    <mergeCell ref="D26:D27"/>
    <mergeCell ref="E26:E27"/>
    <mergeCell ref="F26:F27"/>
    <mergeCell ref="G26:G27"/>
    <mergeCell ref="AE26:AE27"/>
    <mergeCell ref="AF26:AF27"/>
    <mergeCell ref="Y26:Y27"/>
    <mergeCell ref="Z26:Z27"/>
    <mergeCell ref="AA26:AA27"/>
    <mergeCell ref="AB26:AB27"/>
    <mergeCell ref="AC26:AC27"/>
    <mergeCell ref="AD26:AD27"/>
    <mergeCell ref="N26:N27"/>
    <mergeCell ref="O26:O27"/>
    <mergeCell ref="P26:P27"/>
    <mergeCell ref="H26:H27"/>
    <mergeCell ref="AE25:AJ25"/>
    <mergeCell ref="AG26:AG27"/>
    <mergeCell ref="AH26:AH27"/>
    <mergeCell ref="AI26:AI27"/>
    <mergeCell ref="AJ26:AJ27"/>
    <mergeCell ref="AI30:AI32"/>
    <mergeCell ref="AJ30:AJ32"/>
    <mergeCell ref="I26:I27"/>
    <mergeCell ref="J26:J27"/>
    <mergeCell ref="K26:K27"/>
    <mergeCell ref="O30:O32"/>
    <mergeCell ref="P30:P32"/>
    <mergeCell ref="Q30:Q32"/>
    <mergeCell ref="R30:R32"/>
    <mergeCell ref="S30:S32"/>
    <mergeCell ref="V30:V32"/>
    <mergeCell ref="W30:W32"/>
    <mergeCell ref="Y30:Y32"/>
    <mergeCell ref="Z30:Z32"/>
    <mergeCell ref="AA30:AA32"/>
    <mergeCell ref="AB30:AB32"/>
    <mergeCell ref="T30:T32"/>
    <mergeCell ref="U30:U32"/>
    <mergeCell ref="X26:X27"/>
    <mergeCell ref="E33:E34"/>
    <mergeCell ref="F33:F34"/>
    <mergeCell ref="G33:G34"/>
    <mergeCell ref="H33:H34"/>
    <mergeCell ref="N28:N32"/>
    <mergeCell ref="I28:I32"/>
    <mergeCell ref="J28:J32"/>
    <mergeCell ref="K28:K32"/>
    <mergeCell ref="L28:L32"/>
    <mergeCell ref="G28:G32"/>
    <mergeCell ref="H28:H32"/>
    <mergeCell ref="A28:A32"/>
    <mergeCell ref="B28:B32"/>
    <mergeCell ref="D28:D32"/>
    <mergeCell ref="M39:M44"/>
    <mergeCell ref="N39:N44"/>
    <mergeCell ref="G39:G44"/>
    <mergeCell ref="H39:H44"/>
    <mergeCell ref="I39:I44"/>
    <mergeCell ref="J39:J44"/>
    <mergeCell ref="K39:K44"/>
    <mergeCell ref="L39:L44"/>
    <mergeCell ref="A39:A44"/>
    <mergeCell ref="B39:B44"/>
    <mergeCell ref="D39:D44"/>
    <mergeCell ref="E39:E44"/>
    <mergeCell ref="F39:F44"/>
    <mergeCell ref="I33:I34"/>
    <mergeCell ref="J33:J34"/>
    <mergeCell ref="K33:K34"/>
    <mergeCell ref="L33:L34"/>
    <mergeCell ref="M33:M34"/>
    <mergeCell ref="A33:A34"/>
    <mergeCell ref="B33:B34"/>
    <mergeCell ref="D33:D34"/>
    <mergeCell ref="L46:L47"/>
    <mergeCell ref="A46:A47"/>
    <mergeCell ref="B46:B47"/>
    <mergeCell ref="C46:C47"/>
    <mergeCell ref="D46:D47"/>
    <mergeCell ref="E46:E47"/>
    <mergeCell ref="F46:F47"/>
    <mergeCell ref="A36:A38"/>
    <mergeCell ref="B36:B38"/>
    <mergeCell ref="D36:D38"/>
    <mergeCell ref="E36:E38"/>
    <mergeCell ref="F36:F38"/>
    <mergeCell ref="G36:G38"/>
    <mergeCell ref="H36:H38"/>
    <mergeCell ref="J46:J47"/>
    <mergeCell ref="K46:K47"/>
    <mergeCell ref="AG46:AG47"/>
    <mergeCell ref="AH46:AH47"/>
    <mergeCell ref="AI46:AI47"/>
    <mergeCell ref="AJ46:AJ47"/>
    <mergeCell ref="Z46:Z47"/>
    <mergeCell ref="AA46:AA47"/>
    <mergeCell ref="AB46:AB47"/>
    <mergeCell ref="AC46:AC47"/>
    <mergeCell ref="AD46:AD47"/>
    <mergeCell ref="AE46:AE47"/>
    <mergeCell ref="A50:A51"/>
    <mergeCell ref="B50:B51"/>
    <mergeCell ref="D50:D51"/>
    <mergeCell ref="E50:E51"/>
    <mergeCell ref="F50:F51"/>
    <mergeCell ref="G50:G51"/>
    <mergeCell ref="H50:H51"/>
    <mergeCell ref="I50:I51"/>
    <mergeCell ref="AF46:AF47"/>
    <mergeCell ref="S46:S47"/>
    <mergeCell ref="T46:T47"/>
    <mergeCell ref="U46:U47"/>
    <mergeCell ref="V46:V47"/>
    <mergeCell ref="W46:W47"/>
    <mergeCell ref="Y46:Y47"/>
    <mergeCell ref="M46:M47"/>
    <mergeCell ref="N46:N47"/>
    <mergeCell ref="O46:O47"/>
    <mergeCell ref="P46:P47"/>
    <mergeCell ref="Q46:Q47"/>
    <mergeCell ref="R46:R47"/>
    <mergeCell ref="G46:G47"/>
    <mergeCell ref="H46:H47"/>
    <mergeCell ref="I46:I47"/>
    <mergeCell ref="B63:AJ63"/>
    <mergeCell ref="AH50:AH51"/>
    <mergeCell ref="AI50:AI51"/>
    <mergeCell ref="AJ50:AJ51"/>
    <mergeCell ref="AE55:AE56"/>
    <mergeCell ref="AF55:AF56"/>
    <mergeCell ref="AG55:AG56"/>
    <mergeCell ref="AH55:AH56"/>
    <mergeCell ref="AI55:AI56"/>
    <mergeCell ref="AJ55:AJ56"/>
    <mergeCell ref="AE57:AE62"/>
    <mergeCell ref="AF57:AF62"/>
    <mergeCell ref="AG57:AG62"/>
    <mergeCell ref="AH57:AH62"/>
    <mergeCell ref="AI57:AI62"/>
    <mergeCell ref="AJ57:AJ62"/>
    <mergeCell ref="I57:I62"/>
    <mergeCell ref="J57:J62"/>
    <mergeCell ref="K57:K62"/>
    <mergeCell ref="L57:L62"/>
    <mergeCell ref="M57:M62"/>
    <mergeCell ref="N57:N62"/>
    <mergeCell ref="M55:M56"/>
    <mergeCell ref="N55:N56"/>
    <mergeCell ref="A57:A62"/>
    <mergeCell ref="B57:B62"/>
    <mergeCell ref="C57:C62"/>
    <mergeCell ref="D57:D62"/>
    <mergeCell ref="E57:E62"/>
    <mergeCell ref="F57:F62"/>
    <mergeCell ref="G57:G62"/>
    <mergeCell ref="H57:H62"/>
    <mergeCell ref="G55:G56"/>
    <mergeCell ref="H55:H56"/>
    <mergeCell ref="A55:A56"/>
    <mergeCell ref="B55:B56"/>
    <mergeCell ref="D55:D56"/>
    <mergeCell ref="E55:E56"/>
    <mergeCell ref="F55:F56"/>
    <mergeCell ref="I55:I56"/>
    <mergeCell ref="J55:J56"/>
    <mergeCell ref="K55:K56"/>
    <mergeCell ref="L55:L56"/>
    <mergeCell ref="J50:J51"/>
    <mergeCell ref="K50:K51"/>
    <mergeCell ref="L50:L51"/>
    <mergeCell ref="M50:M51"/>
    <mergeCell ref="N50:N51"/>
    <mergeCell ref="P9:U9"/>
    <mergeCell ref="P10:U10"/>
    <mergeCell ref="P11:U11"/>
    <mergeCell ref="P12:U12"/>
    <mergeCell ref="P13:U13"/>
    <mergeCell ref="P14:U14"/>
    <mergeCell ref="P15:U15"/>
    <mergeCell ref="P17:U17"/>
    <mergeCell ref="Q26:Q27"/>
    <mergeCell ref="R26:W26"/>
    <mergeCell ref="P16:U16"/>
    <mergeCell ref="X25:AD25"/>
    <mergeCell ref="AB39:AB44"/>
    <mergeCell ref="AC39:AC44"/>
    <mergeCell ref="AD39:AD44"/>
    <mergeCell ref="AD36:AD38"/>
    <mergeCell ref="P39:P44"/>
    <mergeCell ref="O39:O44"/>
    <mergeCell ref="Q39:Q44"/>
    <mergeCell ref="R39:R44"/>
    <mergeCell ref="S39:S44"/>
    <mergeCell ref="T39:T44"/>
    <mergeCell ref="U39:U44"/>
    <mergeCell ref="V39:V44"/>
    <mergeCell ref="W39:W44"/>
    <mergeCell ref="W36:W38"/>
    <mergeCell ref="Y36:Y38"/>
    <mergeCell ref="Z36:Z38"/>
    <mergeCell ref="AA36:AA38"/>
    <mergeCell ref="AB36:AB38"/>
    <mergeCell ref="AC36:AC38"/>
    <mergeCell ref="T36:T38"/>
    <mergeCell ref="U36:U38"/>
    <mergeCell ref="V36:V38"/>
    <mergeCell ref="P55:P56"/>
    <mergeCell ref="Q55:Q56"/>
    <mergeCell ref="R55:R56"/>
    <mergeCell ref="S55:S56"/>
    <mergeCell ref="T55:T56"/>
    <mergeCell ref="U55:U56"/>
    <mergeCell ref="Y39:Y44"/>
    <mergeCell ref="Z39:Z44"/>
    <mergeCell ref="AA39:AA44"/>
    <mergeCell ref="AD57:AD62"/>
    <mergeCell ref="O55:O56"/>
    <mergeCell ref="W57:W62"/>
    <mergeCell ref="Y57:Y62"/>
    <mergeCell ref="Z57:Z62"/>
    <mergeCell ref="AA57:AA62"/>
    <mergeCell ref="AB57:AB62"/>
    <mergeCell ref="AC57:AC62"/>
    <mergeCell ref="AC55:AC56"/>
    <mergeCell ref="AD55:AD56"/>
    <mergeCell ref="P57:P62"/>
    <mergeCell ref="O57:O62"/>
    <mergeCell ref="Q57:Q62"/>
    <mergeCell ref="R57:R62"/>
    <mergeCell ref="S57:S62"/>
    <mergeCell ref="T57:T62"/>
    <mergeCell ref="U57:U62"/>
    <mergeCell ref="V57:V62"/>
    <mergeCell ref="V55:V56"/>
    <mergeCell ref="W55:W56"/>
    <mergeCell ref="Y55:Y56"/>
    <mergeCell ref="Z55:Z56"/>
    <mergeCell ref="AA55:AA56"/>
    <mergeCell ref="AB55:AB56"/>
  </mergeCells>
  <conditionalFormatting sqref="H28 H33">
    <cfRule type="cellIs" dxfId="185" priority="377" operator="equal">
      <formula>"Muy Alta"</formula>
    </cfRule>
    <cfRule type="cellIs" dxfId="184" priority="378" operator="equal">
      <formula>"Alta"</formula>
    </cfRule>
    <cfRule type="cellIs" dxfId="183" priority="379" operator="equal">
      <formula>"Media"</formula>
    </cfRule>
    <cfRule type="cellIs" dxfId="182" priority="380" operator="equal">
      <formula>"Baja"</formula>
    </cfRule>
    <cfRule type="cellIs" dxfId="181" priority="381" operator="equal">
      <formula>"Muy Baja"</formula>
    </cfRule>
  </conditionalFormatting>
  <conditionalFormatting sqref="H35:H36">
    <cfRule type="cellIs" dxfId="180" priority="312" operator="equal">
      <formula>"Muy Alta"</formula>
    </cfRule>
    <cfRule type="cellIs" dxfId="179" priority="313" operator="equal">
      <formula>"Alta"</formula>
    </cfRule>
    <cfRule type="cellIs" dxfId="178" priority="314" operator="equal">
      <formula>"Media"</formula>
    </cfRule>
    <cfRule type="cellIs" dxfId="177" priority="315" operator="equal">
      <formula>"Baja"</formula>
    </cfRule>
    <cfRule type="cellIs" dxfId="176" priority="316" operator="equal">
      <formula>"Muy Baja"</formula>
    </cfRule>
  </conditionalFormatting>
  <conditionalFormatting sqref="H39">
    <cfRule type="cellIs" dxfId="175" priority="289" operator="equal">
      <formula>"Muy Alta"</formula>
    </cfRule>
    <cfRule type="cellIs" dxfId="174" priority="290" operator="equal">
      <formula>"Alta"</formula>
    </cfRule>
    <cfRule type="cellIs" dxfId="173" priority="291" operator="equal">
      <formula>"Media"</formula>
    </cfRule>
    <cfRule type="cellIs" dxfId="172" priority="292" operator="equal">
      <formula>"Baja"</formula>
    </cfRule>
    <cfRule type="cellIs" dxfId="171" priority="293" operator="equal">
      <formula>"Muy Baja"</formula>
    </cfRule>
  </conditionalFormatting>
  <conditionalFormatting sqref="H45:H46">
    <cfRule type="cellIs" dxfId="170" priority="243" operator="equal">
      <formula>"Muy Alta"</formula>
    </cfRule>
    <cfRule type="cellIs" dxfId="169" priority="244" operator="equal">
      <formula>"Alta"</formula>
    </cfRule>
    <cfRule type="cellIs" dxfId="168" priority="245" operator="equal">
      <formula>"Media"</formula>
    </cfRule>
    <cfRule type="cellIs" dxfId="167" priority="246" operator="equal">
      <formula>"Baja"</formula>
    </cfRule>
    <cfRule type="cellIs" dxfId="166" priority="247" operator="equal">
      <formula>"Muy Baja"</formula>
    </cfRule>
  </conditionalFormatting>
  <conditionalFormatting sqref="H48:H50">
    <cfRule type="cellIs" dxfId="165" priority="174" operator="equal">
      <formula>"Muy Alta"</formula>
    </cfRule>
    <cfRule type="cellIs" dxfId="164" priority="175" operator="equal">
      <formula>"Alta"</formula>
    </cfRule>
    <cfRule type="cellIs" dxfId="163" priority="176" operator="equal">
      <formula>"Media"</formula>
    </cfRule>
    <cfRule type="cellIs" dxfId="162" priority="177" operator="equal">
      <formula>"Baja"</formula>
    </cfRule>
    <cfRule type="cellIs" dxfId="161" priority="178" operator="equal">
      <formula>"Muy Baja"</formula>
    </cfRule>
  </conditionalFormatting>
  <conditionalFormatting sqref="H52:H55">
    <cfRule type="cellIs" dxfId="160" priority="49" operator="equal">
      <formula>"Muy Alta"</formula>
    </cfRule>
    <cfRule type="cellIs" dxfId="159" priority="50" operator="equal">
      <formula>"Alta"</formula>
    </cfRule>
    <cfRule type="cellIs" dxfId="158" priority="51" operator="equal">
      <formula>"Media"</formula>
    </cfRule>
    <cfRule type="cellIs" dxfId="157" priority="52" operator="equal">
      <formula>"Baja"</formula>
    </cfRule>
    <cfRule type="cellIs" dxfId="156" priority="53" operator="equal">
      <formula>"Muy Baja"</formula>
    </cfRule>
  </conditionalFormatting>
  <conditionalFormatting sqref="H57">
    <cfRule type="cellIs" dxfId="155" priority="20" operator="equal">
      <formula>"Muy Alta"</formula>
    </cfRule>
    <cfRule type="cellIs" dxfId="154" priority="21" operator="equal">
      <formula>"Alta"</formula>
    </cfRule>
    <cfRule type="cellIs" dxfId="153" priority="22" operator="equal">
      <formula>"Media"</formula>
    </cfRule>
    <cfRule type="cellIs" dxfId="152" priority="23" operator="equal">
      <formula>"Baja"</formula>
    </cfRule>
    <cfRule type="cellIs" dxfId="151" priority="24" operator="equal">
      <formula>"Muy Baja"</formula>
    </cfRule>
  </conditionalFormatting>
  <conditionalFormatting sqref="K28:K62">
    <cfRule type="containsText" dxfId="150" priority="1" operator="containsText" text="❌">
      <formula>NOT(ISERROR(SEARCH("❌",K28)))</formula>
    </cfRule>
  </conditionalFormatting>
  <conditionalFormatting sqref="L28">
    <cfRule type="cellIs" dxfId="149" priority="150" operator="equal">
      <formula>"Catastrófico"</formula>
    </cfRule>
    <cfRule type="cellIs" dxfId="148" priority="151" operator="equal">
      <formula>"Mayor"</formula>
    </cfRule>
    <cfRule type="cellIs" dxfId="147" priority="152" operator="equal">
      <formula>"Moderado"</formula>
    </cfRule>
    <cfRule type="cellIs" dxfId="146" priority="153" operator="equal">
      <formula>"Menor"</formula>
    </cfRule>
    <cfRule type="cellIs" dxfId="145" priority="154" operator="equal">
      <formula>"Leve"</formula>
    </cfRule>
  </conditionalFormatting>
  <conditionalFormatting sqref="L33 L35:L36 L39 L45:L46 L48:L50">
    <cfRule type="cellIs" dxfId="144" priority="372" operator="equal">
      <formula>"Catastrófico"</formula>
    </cfRule>
    <cfRule type="cellIs" dxfId="143" priority="373" operator="equal">
      <formula>"Mayor"</formula>
    </cfRule>
    <cfRule type="cellIs" dxfId="142" priority="374" operator="equal">
      <formula>"Moderado"</formula>
    </cfRule>
    <cfRule type="cellIs" dxfId="141" priority="375" operator="equal">
      <formula>"Menor"</formula>
    </cfRule>
    <cfRule type="cellIs" dxfId="140" priority="376" operator="equal">
      <formula>"Leve"</formula>
    </cfRule>
  </conditionalFormatting>
  <conditionalFormatting sqref="L52:L55">
    <cfRule type="cellIs" dxfId="139" priority="54" operator="equal">
      <formula>"Catastrófico"</formula>
    </cfRule>
    <cfRule type="cellIs" dxfId="138" priority="55" operator="equal">
      <formula>"Mayor"</formula>
    </cfRule>
    <cfRule type="cellIs" dxfId="137" priority="56" operator="equal">
      <formula>"Moderado"</formula>
    </cfRule>
    <cfRule type="cellIs" dxfId="136" priority="57" operator="equal">
      <formula>"Menor"</formula>
    </cfRule>
    <cfRule type="cellIs" dxfId="135" priority="58" operator="equal">
      <formula>"Leve"</formula>
    </cfRule>
  </conditionalFormatting>
  <conditionalFormatting sqref="L57">
    <cfRule type="cellIs" dxfId="134" priority="25" operator="equal">
      <formula>"Catastrófico"</formula>
    </cfRule>
    <cfRule type="cellIs" dxfId="133" priority="26" operator="equal">
      <formula>"Mayor"</formula>
    </cfRule>
    <cfRule type="cellIs" dxfId="132" priority="27" operator="equal">
      <formula>"Moderado"</formula>
    </cfRule>
    <cfRule type="cellIs" dxfId="131" priority="28" operator="equal">
      <formula>"Menor"</formula>
    </cfRule>
    <cfRule type="cellIs" dxfId="130" priority="29" operator="equal">
      <formula>"Leve"</formula>
    </cfRule>
  </conditionalFormatting>
  <conditionalFormatting sqref="N28">
    <cfRule type="cellIs" dxfId="129" priority="146" operator="equal">
      <formula>"Extremo"</formula>
    </cfRule>
    <cfRule type="cellIs" dxfId="128" priority="147" operator="equal">
      <formula>"Alto"</formula>
    </cfRule>
    <cfRule type="cellIs" dxfId="127" priority="148" operator="equal">
      <formula>"Moderado"</formula>
    </cfRule>
    <cfRule type="cellIs" dxfId="126" priority="149" operator="equal">
      <formula>"Bajo"</formula>
    </cfRule>
  </conditionalFormatting>
  <conditionalFormatting sqref="N33">
    <cfRule type="cellIs" dxfId="125" priority="354" operator="equal">
      <formula>"Extremo"</formula>
    </cfRule>
    <cfRule type="cellIs" dxfId="124" priority="355" operator="equal">
      <formula>"Alto"</formula>
    </cfRule>
    <cfRule type="cellIs" dxfId="123" priority="356" operator="equal">
      <formula>"Moderado"</formula>
    </cfRule>
    <cfRule type="cellIs" dxfId="122" priority="357" operator="equal">
      <formula>"Bajo"</formula>
    </cfRule>
  </conditionalFormatting>
  <conditionalFormatting sqref="N35:N36">
    <cfRule type="cellIs" dxfId="121" priority="308" operator="equal">
      <formula>"Extremo"</formula>
    </cfRule>
    <cfRule type="cellIs" dxfId="120" priority="309" operator="equal">
      <formula>"Alto"</formula>
    </cfRule>
    <cfRule type="cellIs" dxfId="119" priority="310" operator="equal">
      <formula>"Moderado"</formula>
    </cfRule>
    <cfRule type="cellIs" dxfId="118" priority="311" operator="equal">
      <formula>"Bajo"</formula>
    </cfRule>
  </conditionalFormatting>
  <conditionalFormatting sqref="N39">
    <cfRule type="cellIs" dxfId="117" priority="285" operator="equal">
      <formula>"Extremo"</formula>
    </cfRule>
    <cfRule type="cellIs" dxfId="116" priority="286" operator="equal">
      <formula>"Alto"</formula>
    </cfRule>
    <cfRule type="cellIs" dxfId="115" priority="287" operator="equal">
      <formula>"Moderado"</formula>
    </cfRule>
    <cfRule type="cellIs" dxfId="114" priority="288" operator="equal">
      <formula>"Bajo"</formula>
    </cfRule>
  </conditionalFormatting>
  <conditionalFormatting sqref="N45:N46">
    <cfRule type="cellIs" dxfId="113" priority="239" operator="equal">
      <formula>"Extremo"</formula>
    </cfRule>
    <cfRule type="cellIs" dxfId="112" priority="240" operator="equal">
      <formula>"Alto"</formula>
    </cfRule>
    <cfRule type="cellIs" dxfId="111" priority="241" operator="equal">
      <formula>"Moderado"</formula>
    </cfRule>
    <cfRule type="cellIs" dxfId="110" priority="242" operator="equal">
      <formula>"Bajo"</formula>
    </cfRule>
  </conditionalFormatting>
  <conditionalFormatting sqref="N48:N50">
    <cfRule type="cellIs" dxfId="109" priority="170" operator="equal">
      <formula>"Extremo"</formula>
    </cfRule>
    <cfRule type="cellIs" dxfId="108" priority="171" operator="equal">
      <formula>"Alto"</formula>
    </cfRule>
    <cfRule type="cellIs" dxfId="107" priority="172" operator="equal">
      <formula>"Moderado"</formula>
    </cfRule>
    <cfRule type="cellIs" dxfId="106" priority="173" operator="equal">
      <formula>"Bajo"</formula>
    </cfRule>
  </conditionalFormatting>
  <conditionalFormatting sqref="N52:N55">
    <cfRule type="cellIs" dxfId="105" priority="45" operator="equal">
      <formula>"Extremo"</formula>
    </cfRule>
    <cfRule type="cellIs" dxfId="104" priority="46" operator="equal">
      <formula>"Alto"</formula>
    </cfRule>
    <cfRule type="cellIs" dxfId="103" priority="47" operator="equal">
      <formula>"Moderado"</formula>
    </cfRule>
    <cfRule type="cellIs" dxfId="102" priority="48" operator="equal">
      <formula>"Bajo"</formula>
    </cfRule>
  </conditionalFormatting>
  <conditionalFormatting sqref="N57">
    <cfRule type="cellIs" dxfId="101" priority="16" operator="equal">
      <formula>"Extremo"</formula>
    </cfRule>
    <cfRule type="cellIs" dxfId="100" priority="17" operator="equal">
      <formula>"Alto"</formula>
    </cfRule>
    <cfRule type="cellIs" dxfId="99" priority="18" operator="equal">
      <formula>"Moderado"</formula>
    </cfRule>
    <cfRule type="cellIs" dxfId="98" priority="19" operator="equal">
      <formula>"Bajo"</formula>
    </cfRule>
  </conditionalFormatting>
  <conditionalFormatting sqref="Y28:Y30">
    <cfRule type="cellIs" dxfId="97" priority="367" operator="equal">
      <formula>"Muy Alta"</formula>
    </cfRule>
    <cfRule type="cellIs" dxfId="96" priority="368" operator="equal">
      <formula>"Alta"</formula>
    </cfRule>
    <cfRule type="cellIs" dxfId="95" priority="369" operator="equal">
      <formula>"Media"</formula>
    </cfRule>
    <cfRule type="cellIs" dxfId="94" priority="370" operator="equal">
      <formula>"Baja"</formula>
    </cfRule>
    <cfRule type="cellIs" dxfId="93" priority="371" operator="equal">
      <formula>"Muy Baja"</formula>
    </cfRule>
  </conditionalFormatting>
  <conditionalFormatting sqref="Y33:Y36">
    <cfRule type="cellIs" dxfId="92" priority="326" operator="equal">
      <formula>"Muy Alta"</formula>
    </cfRule>
    <cfRule type="cellIs" dxfId="91" priority="327" operator="equal">
      <formula>"Alta"</formula>
    </cfRule>
    <cfRule type="cellIs" dxfId="90" priority="328" operator="equal">
      <formula>"Media"</formula>
    </cfRule>
    <cfRule type="cellIs" dxfId="89" priority="329" operator="equal">
      <formula>"Baja"</formula>
    </cfRule>
    <cfRule type="cellIs" dxfId="88" priority="330" operator="equal">
      <formula>"Muy Baja"</formula>
    </cfRule>
  </conditionalFormatting>
  <conditionalFormatting sqref="Y39">
    <cfRule type="cellIs" dxfId="87" priority="280" operator="equal">
      <formula>"Muy Alta"</formula>
    </cfRule>
    <cfRule type="cellIs" dxfId="86" priority="281" operator="equal">
      <formula>"Alta"</formula>
    </cfRule>
    <cfRule type="cellIs" dxfId="85" priority="282" operator="equal">
      <formula>"Media"</formula>
    </cfRule>
    <cfRule type="cellIs" dxfId="84" priority="283" operator="equal">
      <formula>"Baja"</formula>
    </cfRule>
    <cfRule type="cellIs" dxfId="83" priority="284" operator="equal">
      <formula>"Muy Baja"</formula>
    </cfRule>
  </conditionalFormatting>
  <conditionalFormatting sqref="Y45:Y46">
    <cfRule type="cellIs" dxfId="82" priority="234" operator="equal">
      <formula>"Muy Alta"</formula>
    </cfRule>
    <cfRule type="cellIs" dxfId="81" priority="235" operator="equal">
      <formula>"Alta"</formula>
    </cfRule>
    <cfRule type="cellIs" dxfId="80" priority="236" operator="equal">
      <formula>"Media"</formula>
    </cfRule>
    <cfRule type="cellIs" dxfId="79" priority="237" operator="equal">
      <formula>"Baja"</formula>
    </cfRule>
    <cfRule type="cellIs" dxfId="78" priority="238" operator="equal">
      <formula>"Muy Baja"</formula>
    </cfRule>
  </conditionalFormatting>
  <conditionalFormatting sqref="Y48:Y50">
    <cfRule type="cellIs" dxfId="77" priority="165" operator="equal">
      <formula>"Muy Alta"</formula>
    </cfRule>
    <cfRule type="cellIs" dxfId="76" priority="166" operator="equal">
      <formula>"Alta"</formula>
    </cfRule>
    <cfRule type="cellIs" dxfId="75" priority="167" operator="equal">
      <formula>"Media"</formula>
    </cfRule>
    <cfRule type="cellIs" dxfId="74" priority="168" operator="equal">
      <formula>"Baja"</formula>
    </cfRule>
    <cfRule type="cellIs" dxfId="73" priority="169" operator="equal">
      <formula>"Muy Baja"</formula>
    </cfRule>
  </conditionalFormatting>
  <conditionalFormatting sqref="Y52:Y55">
    <cfRule type="cellIs" dxfId="72" priority="40" operator="equal">
      <formula>"Muy Alta"</formula>
    </cfRule>
    <cfRule type="cellIs" dxfId="71" priority="41" operator="equal">
      <formula>"Alta"</formula>
    </cfRule>
    <cfRule type="cellIs" dxfId="70" priority="42" operator="equal">
      <formula>"Media"</formula>
    </cfRule>
    <cfRule type="cellIs" dxfId="69" priority="43" operator="equal">
      <formula>"Baja"</formula>
    </cfRule>
    <cfRule type="cellIs" dxfId="68" priority="44" operator="equal">
      <formula>"Muy Baja"</formula>
    </cfRule>
  </conditionalFormatting>
  <conditionalFormatting sqref="Y57">
    <cfRule type="cellIs" dxfId="67" priority="11" operator="equal">
      <formula>"Muy Alta"</formula>
    </cfRule>
    <cfRule type="cellIs" dxfId="66" priority="12" operator="equal">
      <formula>"Alta"</formula>
    </cfRule>
    <cfRule type="cellIs" dxfId="65" priority="13" operator="equal">
      <formula>"Media"</formula>
    </cfRule>
    <cfRule type="cellIs" dxfId="64" priority="14" operator="equal">
      <formula>"Baja"</formula>
    </cfRule>
    <cfRule type="cellIs" dxfId="63" priority="15" operator="equal">
      <formula>"Muy Baja"</formula>
    </cfRule>
  </conditionalFormatting>
  <conditionalFormatting sqref="AA28:AA30">
    <cfRule type="cellIs" dxfId="62" priority="362" operator="equal">
      <formula>"Catastrófico"</formula>
    </cfRule>
    <cfRule type="cellIs" dxfId="61" priority="363" operator="equal">
      <formula>"Mayor"</formula>
    </cfRule>
    <cfRule type="cellIs" dxfId="60" priority="364" operator="equal">
      <formula>"Moderado"</formula>
    </cfRule>
    <cfRule type="cellIs" dxfId="59" priority="365" operator="equal">
      <formula>"Menor"</formula>
    </cfRule>
    <cfRule type="cellIs" dxfId="58" priority="366" operator="equal">
      <formula>"Leve"</formula>
    </cfRule>
  </conditionalFormatting>
  <conditionalFormatting sqref="AA33:AA36">
    <cfRule type="cellIs" dxfId="57" priority="321" operator="equal">
      <formula>"Catastrófico"</formula>
    </cfRule>
    <cfRule type="cellIs" dxfId="56" priority="322" operator="equal">
      <formula>"Mayor"</formula>
    </cfRule>
    <cfRule type="cellIs" dxfId="55" priority="323" operator="equal">
      <formula>"Moderado"</formula>
    </cfRule>
    <cfRule type="cellIs" dxfId="54" priority="324" operator="equal">
      <formula>"Menor"</formula>
    </cfRule>
    <cfRule type="cellIs" dxfId="53" priority="325" operator="equal">
      <formula>"Leve"</formula>
    </cfRule>
  </conditionalFormatting>
  <conditionalFormatting sqref="AA39">
    <cfRule type="cellIs" dxfId="52" priority="275" operator="equal">
      <formula>"Catastrófico"</formula>
    </cfRule>
    <cfRule type="cellIs" dxfId="51" priority="276" operator="equal">
      <formula>"Mayor"</formula>
    </cfRule>
    <cfRule type="cellIs" dxfId="50" priority="277" operator="equal">
      <formula>"Moderado"</formula>
    </cfRule>
    <cfRule type="cellIs" dxfId="49" priority="278" operator="equal">
      <formula>"Menor"</formula>
    </cfRule>
    <cfRule type="cellIs" dxfId="48" priority="279" operator="equal">
      <formula>"Leve"</formula>
    </cfRule>
  </conditionalFormatting>
  <conditionalFormatting sqref="AA45:AA46">
    <cfRule type="cellIs" dxfId="47" priority="229" operator="equal">
      <formula>"Catastrófico"</formula>
    </cfRule>
    <cfRule type="cellIs" dxfId="46" priority="230" operator="equal">
      <formula>"Mayor"</formula>
    </cfRule>
    <cfRule type="cellIs" dxfId="45" priority="231" operator="equal">
      <formula>"Moderado"</formula>
    </cfRule>
    <cfRule type="cellIs" dxfId="44" priority="232" operator="equal">
      <formula>"Menor"</formula>
    </cfRule>
    <cfRule type="cellIs" dxfId="43" priority="233" operator="equal">
      <formula>"Leve"</formula>
    </cfRule>
  </conditionalFormatting>
  <conditionalFormatting sqref="AA48:AA50">
    <cfRule type="cellIs" dxfId="42" priority="160" operator="equal">
      <formula>"Catastrófico"</formula>
    </cfRule>
    <cfRule type="cellIs" dxfId="41" priority="161" operator="equal">
      <formula>"Mayor"</formula>
    </cfRule>
    <cfRule type="cellIs" dxfId="40" priority="162" operator="equal">
      <formula>"Moderado"</formula>
    </cfRule>
    <cfRule type="cellIs" dxfId="39" priority="163" operator="equal">
      <formula>"Menor"</formula>
    </cfRule>
    <cfRule type="cellIs" dxfId="38" priority="164" operator="equal">
      <formula>"Leve"</formula>
    </cfRule>
  </conditionalFormatting>
  <conditionalFormatting sqref="AA52:AA55">
    <cfRule type="cellIs" dxfId="37" priority="35" operator="equal">
      <formula>"Catastrófico"</formula>
    </cfRule>
    <cfRule type="cellIs" dxfId="36" priority="36" operator="equal">
      <formula>"Mayor"</formula>
    </cfRule>
    <cfRule type="cellIs" dxfId="35" priority="37" operator="equal">
      <formula>"Moderado"</formula>
    </cfRule>
    <cfRule type="cellIs" dxfId="34" priority="38" operator="equal">
      <formula>"Menor"</formula>
    </cfRule>
    <cfRule type="cellIs" dxfId="33" priority="39" operator="equal">
      <formula>"Leve"</formula>
    </cfRule>
  </conditionalFormatting>
  <conditionalFormatting sqref="AA57">
    <cfRule type="cellIs" dxfId="32" priority="6" operator="equal">
      <formula>"Catastrófico"</formula>
    </cfRule>
    <cfRule type="cellIs" dxfId="31" priority="7" operator="equal">
      <formula>"Mayor"</formula>
    </cfRule>
    <cfRule type="cellIs" dxfId="30" priority="8" operator="equal">
      <formula>"Moderado"</formula>
    </cfRule>
    <cfRule type="cellIs" dxfId="29" priority="9" operator="equal">
      <formula>"Menor"</formula>
    </cfRule>
    <cfRule type="cellIs" dxfId="28" priority="10" operator="equal">
      <formula>"Leve"</formula>
    </cfRule>
  </conditionalFormatting>
  <conditionalFormatting sqref="AC28:AC30">
    <cfRule type="cellIs" dxfId="27" priority="358" operator="equal">
      <formula>"Extremo"</formula>
    </cfRule>
    <cfRule type="cellIs" dxfId="26" priority="359" operator="equal">
      <formula>"Alto"</formula>
    </cfRule>
    <cfRule type="cellIs" dxfId="25" priority="360" operator="equal">
      <formula>"Moderado"</formula>
    </cfRule>
    <cfRule type="cellIs" dxfId="24" priority="361" operator="equal">
      <formula>"Bajo"</formula>
    </cfRule>
  </conditionalFormatting>
  <conditionalFormatting sqref="AC33:AC36">
    <cfRule type="cellIs" dxfId="23" priority="317" operator="equal">
      <formula>"Extremo"</formula>
    </cfRule>
    <cfRule type="cellIs" dxfId="22" priority="318" operator="equal">
      <formula>"Alto"</formula>
    </cfRule>
    <cfRule type="cellIs" dxfId="21" priority="319" operator="equal">
      <formula>"Moderado"</formula>
    </cfRule>
    <cfRule type="cellIs" dxfId="20" priority="320" operator="equal">
      <formula>"Bajo"</formula>
    </cfRule>
  </conditionalFormatting>
  <conditionalFormatting sqref="AC39">
    <cfRule type="cellIs" dxfId="19" priority="271" operator="equal">
      <formula>"Extremo"</formula>
    </cfRule>
    <cfRule type="cellIs" dxfId="18" priority="272" operator="equal">
      <formula>"Alto"</formula>
    </cfRule>
    <cfRule type="cellIs" dxfId="17" priority="273" operator="equal">
      <formula>"Moderado"</formula>
    </cfRule>
    <cfRule type="cellIs" dxfId="16" priority="274" operator="equal">
      <formula>"Bajo"</formula>
    </cfRule>
  </conditionalFormatting>
  <conditionalFormatting sqref="AC45:AC46">
    <cfRule type="cellIs" dxfId="15" priority="225" operator="equal">
      <formula>"Extremo"</formula>
    </cfRule>
    <cfRule type="cellIs" dxfId="14" priority="226" operator="equal">
      <formula>"Alto"</formula>
    </cfRule>
    <cfRule type="cellIs" dxfId="13" priority="227" operator="equal">
      <formula>"Moderado"</formula>
    </cfRule>
    <cfRule type="cellIs" dxfId="12" priority="228" operator="equal">
      <formula>"Bajo"</formula>
    </cfRule>
  </conditionalFormatting>
  <conditionalFormatting sqref="AC48:AC50">
    <cfRule type="cellIs" dxfId="11" priority="156" operator="equal">
      <formula>"Extremo"</formula>
    </cfRule>
    <cfRule type="cellIs" dxfId="10" priority="157" operator="equal">
      <formula>"Alto"</formula>
    </cfRule>
    <cfRule type="cellIs" dxfId="9" priority="158" operator="equal">
      <formula>"Moderado"</formula>
    </cfRule>
    <cfRule type="cellIs" dxfId="8" priority="159" operator="equal">
      <formula>"Bajo"</formula>
    </cfRule>
  </conditionalFormatting>
  <conditionalFormatting sqref="AC52:AC55">
    <cfRule type="cellIs" dxfId="7" priority="31" operator="equal">
      <formula>"Extremo"</formula>
    </cfRule>
    <cfRule type="cellIs" dxfId="6" priority="32" operator="equal">
      <formula>"Alto"</formula>
    </cfRule>
    <cfRule type="cellIs" dxfId="5" priority="33" operator="equal">
      <formula>"Moderado"</formula>
    </cfRule>
    <cfRule type="cellIs" dxfId="4" priority="34" operator="equal">
      <formula>"Bajo"</formula>
    </cfRule>
  </conditionalFormatting>
  <conditionalFormatting sqref="AC57">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custom" allowBlank="1" showInputMessage="1" showErrorMessage="1" error="Recuerde que las acciones se generan bajo la medida de mitigar el riesgo" xr:uid="{00000000-0002-0000-0300-000000000000}">
          <x14:formula1>
            <xm:f>IF(OR(AD28='Opciones Tratamiento'!$B$2,AD28='Opciones Tratamiento'!$B$3,AD28='Opciones Tratamiento'!$B$4),ISBLANK(AD28),ISTEXT(AD28))</xm:f>
          </x14:formula1>
          <xm:sqref>AE45:AE46 AE28:AE30 AE33:AE36 AE39 AE48:AE50 AE52:AE55 AE57</xm:sqref>
        </x14:dataValidation>
        <x14:dataValidation type="list" allowBlank="1" showInputMessage="1" showErrorMessage="1" xr:uid="{00000000-0002-0000-0300-000001000000}">
          <x14:formula1>
            <xm:f>'Opciones Tratamiento'!$B$2:$B$5</xm:f>
          </x14:formula1>
          <xm:sqref>AD45:AD46 AD28:AD30 AD33:AD36 AD39 AD57 AD48:AD50 AD52:AD55</xm:sqref>
        </x14:dataValidation>
        <x14:dataValidation type="list" allowBlank="1" showInputMessage="1" showErrorMessage="1" xr:uid="{00000000-0002-0000-0300-000002000000}">
          <x14:formula1>
            <xm:f>'Tabla Valoración controles'!$D$13:$D$14</xm:f>
          </x14:formula1>
          <xm:sqref>W45:W46 W28:W30 W33:W36 W39 W57 W48:W50 W52:W55</xm:sqref>
        </x14:dataValidation>
        <x14:dataValidation type="list" allowBlank="1" showInputMessage="1" showErrorMessage="1" xr:uid="{00000000-0002-0000-0300-000003000000}">
          <x14:formula1>
            <xm:f>'Tabla Valoración controles'!$D$11:$D$12</xm:f>
          </x14:formula1>
          <xm:sqref>V45:V46 V28:V30 V33:V36 V39 V57 V48:V50 V52:V55</xm:sqref>
        </x14:dataValidation>
        <x14:dataValidation type="list" allowBlank="1" showInputMessage="1" showErrorMessage="1" xr:uid="{00000000-0002-0000-0300-000004000000}">
          <x14:formula1>
            <xm:f>'Tabla Valoración controles'!$D$9:$D$10</xm:f>
          </x14:formula1>
          <xm:sqref>U45:U46 U28:U30 U33:U36 U39 U57 U48:U50 U52:U55</xm:sqref>
        </x14:dataValidation>
        <x14:dataValidation type="list" allowBlank="1" showInputMessage="1" showErrorMessage="1" xr:uid="{00000000-0002-0000-0300-000005000000}">
          <x14:formula1>
            <xm:f>'Tabla Valoración controles'!$D$7:$D$8</xm:f>
          </x14:formula1>
          <xm:sqref>S45:S46 S28:S30 S33:S36 S39 S57 S48:S50 S52:S55</xm:sqref>
        </x14:dataValidation>
        <x14:dataValidation type="list" allowBlank="1" showInputMessage="1" showErrorMessage="1" xr:uid="{00000000-0002-0000-0300-000006000000}">
          <x14:formula1>
            <xm:f>'Tabla Valoración controles'!$D$4:$D$6</xm:f>
          </x14:formula1>
          <xm:sqref>R45:R46 R28:R30 R33:R36 R39 R57 R48:R50 R52:R55</xm:sqref>
        </x14:dataValidation>
        <x14:dataValidation type="list" allowBlank="1" showInputMessage="1" showErrorMessage="1" xr:uid="{00000000-0002-0000-0300-000007000000}">
          <x14:formula1>
            <xm:f>'Opciones Tratamiento'!$B$9:$B$10</xm:f>
          </x14:formula1>
          <xm:sqref>AJ28:AJ29 AJ31:AJ37 AJ39:AJ40 AJ42:AJ43 AJ45:AJ58 AJ60:AJ61</xm:sqref>
        </x14:dataValidation>
        <x14:dataValidation type="list" allowBlank="1" showInputMessage="1" showErrorMessage="1" xr:uid="{00000000-0002-0000-0300-000008000000}">
          <x14:formula1>
            <xm:f>'Impacto-clasificacion'!$D$3:$D$10</xm:f>
          </x14:formula1>
          <xm:sqref>F28:F48</xm:sqref>
        </x14:dataValidation>
        <x14:dataValidation type="list" allowBlank="1" showInputMessage="1" showErrorMessage="1" xr:uid="{00000000-0002-0000-0300-000009000000}">
          <x14:formula1>
            <xm:f>'Opciones Tratamiento'!$B$13:$B$19</xm:f>
          </x14:formula1>
          <xm:sqref>F49:F62</xm:sqref>
        </x14:dataValidation>
        <x14:dataValidation type="list" allowBlank="1" showInputMessage="1" showErrorMessage="1" xr:uid="{00000000-0002-0000-0300-00000A000000}">
          <x14:formula1>
            <xm:f>'Tabla Impacto'!$F$210:$F$227</xm:f>
          </x14:formula1>
          <xm:sqref>J28:J62</xm:sqref>
        </x14:dataValidation>
        <x14:dataValidation type="list" allowBlank="1" showInputMessage="1" showErrorMessage="1" xr:uid="{00000000-0002-0000-0300-00000B000000}">
          <x14:formula1>
            <xm:f>'Impacto-clasificacion'!$A$3:$A$6</xm:f>
          </x14:formula1>
          <xm:sqref>B28:B62</xm:sqref>
        </x14:dataValidation>
        <x14:dataValidation type="custom" allowBlank="1" showInputMessage="1" showErrorMessage="1" error="Recuerde que las acciones se generan bajo la medida de mitigar el riesgo" xr:uid="{00000000-0002-0000-0300-00000C000000}">
          <x14:formula1>
            <xm:f>IF(OR(AD28='Opciones Tratamiento'!$B$2,AD28='Opciones Tratamiento'!$B$3,AD28='Opciones Tratamiento'!$B$4),ISBLANK(AD28),ISTEXT(AD28))</xm:f>
          </x14:formula1>
          <xm:sqref>AI28:AI62</xm:sqref>
        </x14:dataValidation>
        <x14:dataValidation type="custom" allowBlank="1" showInputMessage="1" showErrorMessage="1" error="Recuerde que las acciones se generan bajo la medida de mitigar el riesgo" xr:uid="{00000000-0002-0000-0300-00000D000000}">
          <x14:formula1>
            <xm:f>IF(OR(AD28='Opciones Tratamiento'!$B$2,AD28='Opciones Tratamiento'!$B$3,AD28='Opciones Tratamiento'!$B$4),ISBLANK(AD28),ISTEXT(AD28))</xm:f>
          </x14:formula1>
          <xm:sqref>AH28:AH62</xm:sqref>
        </x14:dataValidation>
        <x14:dataValidation type="custom" allowBlank="1" showInputMessage="1" showErrorMessage="1" error="Recuerde que las acciones se generan bajo la medida de mitigar el riesgo" xr:uid="{00000000-0002-0000-0300-00000E000000}">
          <x14:formula1>
            <xm:f>IF(OR(AD28='Opciones Tratamiento'!$B$2,AD28='Opciones Tratamiento'!$B$3,AD28='Opciones Tratamiento'!$B$4),ISBLANK(AD28),ISTEXT(AD28))</xm:f>
          </x14:formula1>
          <xm:sqref>AG28:AG62</xm:sqref>
        </x14:dataValidation>
        <x14:dataValidation type="custom" allowBlank="1" showInputMessage="1" showErrorMessage="1" error="Recuerde que las acciones se generan bajo la medida de mitigar el riesgo" xr:uid="{00000000-0002-0000-0300-00000F000000}">
          <x14:formula1>
            <xm:f>IF(OR(AD28='Opciones Tratamiento'!$B$2,AD28='Opciones Tratamiento'!$B$3,AD28='Opciones Tratamiento'!$B$4),ISBLANK(AD28),ISTEXT(AD28))</xm:f>
          </x14:formula1>
          <xm:sqref>AF28:AF57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231</v>
      </c>
    </row>
    <row r="4" spans="1:4" x14ac:dyDescent="0.25">
      <c r="A4" t="s">
        <v>192</v>
      </c>
      <c r="D4" t="s">
        <v>232</v>
      </c>
    </row>
    <row r="5" spans="1:4" x14ac:dyDescent="0.25">
      <c r="A5" t="s">
        <v>194</v>
      </c>
      <c r="D5" t="s">
        <v>233</v>
      </c>
    </row>
    <row r="6" spans="1:4" x14ac:dyDescent="0.25">
      <c r="A6" t="s">
        <v>230</v>
      </c>
      <c r="D6" t="s">
        <v>202</v>
      </c>
    </row>
    <row r="7" spans="1:4" x14ac:dyDescent="0.25">
      <c r="D7" t="s">
        <v>203</v>
      </c>
    </row>
    <row r="8" spans="1:4" x14ac:dyDescent="0.25">
      <c r="D8" t="s">
        <v>204</v>
      </c>
    </row>
    <row r="9" spans="1:4" x14ac:dyDescent="0.25">
      <c r="D9" t="s">
        <v>234</v>
      </c>
    </row>
    <row r="10" spans="1:4" x14ac:dyDescent="0.25">
      <c r="D10"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463" t="s">
        <v>90</v>
      </c>
      <c r="C2" s="463"/>
      <c r="D2" s="463"/>
      <c r="E2" s="463"/>
      <c r="F2" s="463"/>
      <c r="G2" s="463"/>
      <c r="H2" s="463"/>
      <c r="I2" s="463"/>
      <c r="J2" s="431" t="s">
        <v>13</v>
      </c>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463"/>
      <c r="C3" s="463"/>
      <c r="D3" s="463"/>
      <c r="E3" s="463"/>
      <c r="F3" s="463"/>
      <c r="G3" s="463"/>
      <c r="H3" s="463"/>
      <c r="I3" s="463"/>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463"/>
      <c r="C4" s="463"/>
      <c r="D4" s="463"/>
      <c r="E4" s="463"/>
      <c r="F4" s="463"/>
      <c r="G4" s="463"/>
      <c r="H4" s="463"/>
      <c r="I4" s="463"/>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78" t="s">
        <v>91</v>
      </c>
      <c r="C6" s="378"/>
      <c r="D6" s="379"/>
      <c r="E6" s="416" t="s">
        <v>92</v>
      </c>
      <c r="F6" s="417"/>
      <c r="G6" s="417"/>
      <c r="H6" s="417"/>
      <c r="I6" s="418"/>
      <c r="J6" s="427" t="str">
        <f>IF(AND('Mapa final NC'!$H$30="Muy Alta",'Mapa final NC'!$L$30="Leve"),CONCATENATE("R",'Mapa final NC'!$A$30),"")</f>
        <v/>
      </c>
      <c r="K6" s="428"/>
      <c r="L6" s="428" t="str">
        <f>IF(AND('Mapa final NC'!$H$31="Muy Alta",'Mapa final NC'!$L$31="Leve"),CONCATENATE("R",'Mapa final NC'!$A$31),"")</f>
        <v/>
      </c>
      <c r="M6" s="428"/>
      <c r="N6" s="428" t="str">
        <f>IF(AND('Mapa final NC'!$H$34="Muy Alta",'Mapa final NC'!$L$34="Leve"),CONCATENATE("R",'Mapa final NC'!$A$34),"")</f>
        <v/>
      </c>
      <c r="O6" s="430"/>
      <c r="P6" s="427" t="str">
        <f>IF(AND('Mapa final NC'!$H$30="Muy Alta",'Mapa final NC'!$L$30="Menor"),CONCATENATE("R",'Mapa final NC'!$A$30),"")</f>
        <v/>
      </c>
      <c r="Q6" s="428"/>
      <c r="R6" s="428" t="str">
        <f>IF(AND('Mapa final NC'!$H$31="Muy Alta",'Mapa final NC'!$L$31="Menor"),CONCATENATE("R",'Mapa final NC'!$A$31),"")</f>
        <v/>
      </c>
      <c r="S6" s="428"/>
      <c r="T6" s="428" t="str">
        <f>IF(AND('Mapa final NC'!$H$34="Muy Alta",'Mapa final NC'!$L$34="Menor"),CONCATENATE("R",'Mapa final NC'!$A$34),"")</f>
        <v/>
      </c>
      <c r="U6" s="430"/>
      <c r="V6" s="427" t="str">
        <f>IF(AND('Mapa final NC'!$H$30="Muy Alta",'Mapa final NC'!$L$30="Moderado"),CONCATENATE("R",'Mapa final NC'!$A$30),"")</f>
        <v/>
      </c>
      <c r="W6" s="428"/>
      <c r="X6" s="428" t="str">
        <f>IF(AND('Mapa final NC'!$H$31="Muy Alta",'Mapa final NC'!$L$31="Moderado"),CONCATENATE("R",'Mapa final NC'!$A$31),"")</f>
        <v/>
      </c>
      <c r="Y6" s="428"/>
      <c r="Z6" s="428" t="str">
        <f>IF(AND('Mapa final NC'!$H$34="Muy Alta",'Mapa final NC'!$L$34="Moderado"),CONCATENATE("R",'Mapa final NC'!$A$34),"")</f>
        <v/>
      </c>
      <c r="AA6" s="430"/>
      <c r="AB6" s="427" t="str">
        <f>IF(AND('Mapa final NC'!$H$30="Muy Alta",'Mapa final NC'!$L$30="Mayor"),CONCATENATE("R",'Mapa final NC'!$A$30),"")</f>
        <v/>
      </c>
      <c r="AC6" s="428"/>
      <c r="AD6" s="428" t="str">
        <f>IF(AND('Mapa final NC'!$H$31="Muy Alta",'Mapa final NC'!$L$31="Mayor"),CONCATENATE("R",'Mapa final NC'!$A$31),"")</f>
        <v/>
      </c>
      <c r="AE6" s="428"/>
      <c r="AF6" s="428" t="str">
        <f>IF(AND('Mapa final NC'!$H$34="Muy Alta",'Mapa final NC'!$L$34="Mayor"),CONCATENATE("R",'Mapa final NC'!$A$34),"")</f>
        <v/>
      </c>
      <c r="AG6" s="430"/>
      <c r="AH6" s="442" t="str">
        <f>IF(AND('Mapa final NC'!$H$30="Muy Alta",'Mapa final NC'!$L$30="Catastrófico"),CONCATENATE("R",'Mapa final NC'!$A$30),"")</f>
        <v/>
      </c>
      <c r="AI6" s="443"/>
      <c r="AJ6" s="443" t="str">
        <f>IF(AND('Mapa final NC'!$H$31="Muy Alta",'Mapa final NC'!$L$31="Catastrófico"),CONCATENATE("R",'Mapa final NC'!$A$31),"")</f>
        <v/>
      </c>
      <c r="AK6" s="443"/>
      <c r="AL6" s="443" t="str">
        <f>IF(AND('Mapa final NC'!$H$34="Muy Alta",'Mapa final NC'!$L$34="Catastrófico"),CONCATENATE("R",'Mapa final NC'!$A$34),"")</f>
        <v/>
      </c>
      <c r="AM6" s="444"/>
      <c r="AO6" s="380" t="s">
        <v>93</v>
      </c>
      <c r="AP6" s="381"/>
      <c r="AQ6" s="381"/>
      <c r="AR6" s="381"/>
      <c r="AS6" s="381"/>
      <c r="AT6" s="3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78"/>
      <c r="C7" s="378"/>
      <c r="D7" s="379"/>
      <c r="E7" s="419"/>
      <c r="F7" s="420"/>
      <c r="G7" s="420"/>
      <c r="H7" s="420"/>
      <c r="I7" s="421"/>
      <c r="J7" s="429"/>
      <c r="K7" s="425"/>
      <c r="L7" s="425"/>
      <c r="M7" s="425"/>
      <c r="N7" s="425"/>
      <c r="O7" s="426"/>
      <c r="P7" s="429"/>
      <c r="Q7" s="425"/>
      <c r="R7" s="425"/>
      <c r="S7" s="425"/>
      <c r="T7" s="425"/>
      <c r="U7" s="426"/>
      <c r="V7" s="429"/>
      <c r="W7" s="425"/>
      <c r="X7" s="425"/>
      <c r="Y7" s="425"/>
      <c r="Z7" s="425"/>
      <c r="AA7" s="426"/>
      <c r="AB7" s="429"/>
      <c r="AC7" s="425"/>
      <c r="AD7" s="425"/>
      <c r="AE7" s="425"/>
      <c r="AF7" s="425"/>
      <c r="AG7" s="426"/>
      <c r="AH7" s="436"/>
      <c r="AI7" s="437"/>
      <c r="AJ7" s="437"/>
      <c r="AK7" s="437"/>
      <c r="AL7" s="437"/>
      <c r="AM7" s="438"/>
      <c r="AN7" s="82"/>
      <c r="AO7" s="383"/>
      <c r="AP7" s="384"/>
      <c r="AQ7" s="384"/>
      <c r="AR7" s="384"/>
      <c r="AS7" s="384"/>
      <c r="AT7" s="385"/>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78"/>
      <c r="C8" s="378"/>
      <c r="D8" s="379"/>
      <c r="E8" s="419"/>
      <c r="F8" s="420"/>
      <c r="G8" s="420"/>
      <c r="H8" s="420"/>
      <c r="I8" s="421"/>
      <c r="J8" s="429" t="str">
        <f>IF(AND('Mapa final NC'!$H$37="Muy Alta",'Mapa final NC'!$L$37="Leve"),CONCATENATE("R",'Mapa final NC'!$A$37),"")</f>
        <v/>
      </c>
      <c r="K8" s="425"/>
      <c r="L8" s="425" t="str">
        <f>IF(AND('Mapa final NC'!$H$38="Muy Alta",'Mapa final NC'!$L$38="Leve"),CONCATENATE("R",'Mapa final NC'!$A$38),"")</f>
        <v/>
      </c>
      <c r="M8" s="425"/>
      <c r="N8" s="425" t="str">
        <f>IF(AND('Mapa final NC'!$H$39="Muy Alta",'Mapa final NC'!$L$39="Leve"),CONCATENATE("R",'Mapa final NC'!$A$39),"")</f>
        <v/>
      </c>
      <c r="O8" s="426"/>
      <c r="P8" s="429" t="str">
        <f>IF(AND('Mapa final NC'!$H$37="Muy Alta",'Mapa final NC'!$L$37="Menor"),CONCATENATE("R",'Mapa final NC'!$A$37),"")</f>
        <v/>
      </c>
      <c r="Q8" s="425"/>
      <c r="R8" s="425" t="str">
        <f>IF(AND('Mapa final NC'!$H$38="Muy Alta",'Mapa final NC'!$L$38="Menor"),CONCATENATE("R",'Mapa final NC'!$A$38),"")</f>
        <v/>
      </c>
      <c r="S8" s="425"/>
      <c r="T8" s="425" t="str">
        <f>IF(AND('Mapa final NC'!$H$39="Muy Alta",'Mapa final NC'!$L$39="Menor"),CONCATENATE("R",'Mapa final NC'!$A$39),"")</f>
        <v/>
      </c>
      <c r="U8" s="426"/>
      <c r="V8" s="429" t="str">
        <f>IF(AND('Mapa final NC'!$H$37="Muy Alta",'Mapa final NC'!$L$37="Moderado"),CONCATENATE("R",'Mapa final NC'!$A$37),"")</f>
        <v/>
      </c>
      <c r="W8" s="425"/>
      <c r="X8" s="425" t="str">
        <f>IF(AND('Mapa final NC'!$H$38="Muy Alta",'Mapa final NC'!$L$38="Moderado"),CONCATENATE("R",'Mapa final NC'!$A$38),"")</f>
        <v/>
      </c>
      <c r="Y8" s="425"/>
      <c r="Z8" s="425" t="str">
        <f>IF(AND('Mapa final NC'!$H$39="Muy Alta",'Mapa final NC'!$L$39="Moderado"),CONCATENATE("R",'Mapa final NC'!$A$39),"")</f>
        <v/>
      </c>
      <c r="AA8" s="426"/>
      <c r="AB8" s="429" t="str">
        <f>IF(AND('Mapa final NC'!$H$37="Muy Alta",'Mapa final NC'!$L$37="Mayor"),CONCATENATE("R",'Mapa final NC'!$A$37),"")</f>
        <v/>
      </c>
      <c r="AC8" s="425"/>
      <c r="AD8" s="425" t="str">
        <f>IF(AND('Mapa final NC'!$H$38="Muy Alta",'Mapa final NC'!$L$38="Mayor"),CONCATENATE("R",'Mapa final NC'!$A$38),"")</f>
        <v/>
      </c>
      <c r="AE8" s="425"/>
      <c r="AF8" s="425" t="str">
        <f>IF(AND('Mapa final NC'!$H$39="Muy Alta",'Mapa final NC'!$L$39="Mayor"),CONCATENATE("R",'Mapa final NC'!$A$39),"")</f>
        <v/>
      </c>
      <c r="AG8" s="426"/>
      <c r="AH8" s="436" t="str">
        <f>IF(AND('Mapa final NC'!$H$37="Muy Alta",'Mapa final NC'!$L$37="Catastrófico"),CONCATENATE("R",'Mapa final NC'!$A$37),"")</f>
        <v/>
      </c>
      <c r="AI8" s="437"/>
      <c r="AJ8" s="437" t="str">
        <f>IF(AND('Mapa final NC'!$H$38="Muy Alta",'Mapa final NC'!$L$38="Catastrófico"),CONCATENATE("R",'Mapa final NC'!$A$38),"")</f>
        <v/>
      </c>
      <c r="AK8" s="437"/>
      <c r="AL8" s="437" t="str">
        <f>IF(AND('Mapa final NC'!$H$39="Muy Alta",'Mapa final NC'!$L$39="Catastrófico"),CONCATENATE("R",'Mapa final NC'!$A$39),"")</f>
        <v/>
      </c>
      <c r="AM8" s="438"/>
      <c r="AN8" s="82"/>
      <c r="AO8" s="383"/>
      <c r="AP8" s="384"/>
      <c r="AQ8" s="384"/>
      <c r="AR8" s="384"/>
      <c r="AS8" s="384"/>
      <c r="AT8" s="385"/>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78"/>
      <c r="C9" s="378"/>
      <c r="D9" s="379"/>
      <c r="E9" s="419"/>
      <c r="F9" s="420"/>
      <c r="G9" s="420"/>
      <c r="H9" s="420"/>
      <c r="I9" s="421"/>
      <c r="J9" s="429"/>
      <c r="K9" s="425"/>
      <c r="L9" s="425"/>
      <c r="M9" s="425"/>
      <c r="N9" s="425"/>
      <c r="O9" s="426"/>
      <c r="P9" s="429"/>
      <c r="Q9" s="425"/>
      <c r="R9" s="425"/>
      <c r="S9" s="425"/>
      <c r="T9" s="425"/>
      <c r="U9" s="426"/>
      <c r="V9" s="429"/>
      <c r="W9" s="425"/>
      <c r="X9" s="425"/>
      <c r="Y9" s="425"/>
      <c r="Z9" s="425"/>
      <c r="AA9" s="426"/>
      <c r="AB9" s="429"/>
      <c r="AC9" s="425"/>
      <c r="AD9" s="425"/>
      <c r="AE9" s="425"/>
      <c r="AF9" s="425"/>
      <c r="AG9" s="426"/>
      <c r="AH9" s="436"/>
      <c r="AI9" s="437"/>
      <c r="AJ9" s="437"/>
      <c r="AK9" s="437"/>
      <c r="AL9" s="437"/>
      <c r="AM9" s="438"/>
      <c r="AN9" s="82"/>
      <c r="AO9" s="383"/>
      <c r="AP9" s="384"/>
      <c r="AQ9" s="384"/>
      <c r="AR9" s="384"/>
      <c r="AS9" s="384"/>
      <c r="AT9" s="385"/>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78"/>
      <c r="C10" s="378"/>
      <c r="D10" s="379"/>
      <c r="E10" s="419"/>
      <c r="F10" s="420"/>
      <c r="G10" s="420"/>
      <c r="H10" s="420"/>
      <c r="I10" s="421"/>
      <c r="J10" s="429" t="str">
        <f>IF(AND('Mapa final NC'!$H$40="Muy Alta",'Mapa final NC'!$L$40="Leve"),CONCATENATE("R",'Mapa final NC'!$A$40),"")</f>
        <v/>
      </c>
      <c r="K10" s="425"/>
      <c r="L10" s="425" t="str">
        <f>IF(AND('Mapa final NC'!$H$42="Muy Alta",'Mapa final NC'!$L$42="Leve"),CONCATENATE("R",'Mapa final NC'!$A$42),"")</f>
        <v/>
      </c>
      <c r="M10" s="425"/>
      <c r="N10" s="425" t="str">
        <f>IF(AND('Mapa final NC'!$H$43="Muy Alta",'Mapa final NC'!$L$43="Leve"),CONCATENATE("R",'Mapa final NC'!$A$43),"")</f>
        <v/>
      </c>
      <c r="O10" s="426"/>
      <c r="P10" s="429" t="str">
        <f>IF(AND('Mapa final NC'!$H$40="Muy Alta",'Mapa final NC'!$L$40="Menor"),CONCATENATE("R",'Mapa final NC'!$A$40),"")</f>
        <v/>
      </c>
      <c r="Q10" s="425"/>
      <c r="R10" s="425" t="str">
        <f>IF(AND('Mapa final NC'!$H$42="Muy Alta",'Mapa final NC'!$L$42="Menor"),CONCATENATE("R",'Mapa final NC'!$A$42),"")</f>
        <v/>
      </c>
      <c r="S10" s="425"/>
      <c r="T10" s="425" t="str">
        <f>IF(AND('Mapa final NC'!$H$43="Muy Alta",'Mapa final NC'!$L$43="Menor"),CONCATENATE("R",'Mapa final NC'!$A$43),"")</f>
        <v/>
      </c>
      <c r="U10" s="426"/>
      <c r="V10" s="429" t="str">
        <f>IF(AND('Mapa final NC'!$H$40="Muy Alta",'Mapa final NC'!$L$40="Moderado"),CONCATENATE("R",'Mapa final NC'!$A$40),"")</f>
        <v/>
      </c>
      <c r="W10" s="425"/>
      <c r="X10" s="425" t="str">
        <f>IF(AND('Mapa final NC'!$H$42="Muy Alta",'Mapa final NC'!$L$42="Moderado"),CONCATENATE("R",'Mapa final NC'!$A$42),"")</f>
        <v/>
      </c>
      <c r="Y10" s="425"/>
      <c r="Z10" s="425" t="str">
        <f>IF(AND('Mapa final NC'!$H$43="Muy Alta",'Mapa final NC'!$L$43="Moderado"),CONCATENATE("R",'Mapa final NC'!$A$43),"")</f>
        <v/>
      </c>
      <c r="AA10" s="426"/>
      <c r="AB10" s="429" t="str">
        <f>IF(AND('Mapa final NC'!$H$40="Muy Alta",'Mapa final NC'!$L$40="Mayor"),CONCATENATE("R",'Mapa final NC'!$A$40),"")</f>
        <v/>
      </c>
      <c r="AC10" s="425"/>
      <c r="AD10" s="425" t="str">
        <f>IF(AND('Mapa final NC'!$H$42="Muy Alta",'Mapa final NC'!$L$42="Mayor"),CONCATENATE("R",'Mapa final NC'!$A$42),"")</f>
        <v/>
      </c>
      <c r="AE10" s="425"/>
      <c r="AF10" s="425" t="str">
        <f>IF(AND('Mapa final NC'!$H$43="Muy Alta",'Mapa final NC'!$L$43="Mayor"),CONCATENATE("R",'Mapa final NC'!$A$43),"")</f>
        <v/>
      </c>
      <c r="AG10" s="426"/>
      <c r="AH10" s="436" t="str">
        <f>IF(AND('Mapa final NC'!$H$40="Muy Alta",'Mapa final NC'!$L$40="Catastrófico"),CONCATENATE("R",'Mapa final NC'!$A$40),"")</f>
        <v/>
      </c>
      <c r="AI10" s="437"/>
      <c r="AJ10" s="437" t="str">
        <f>IF(AND('Mapa final NC'!$H$42="Muy Alta",'Mapa final NC'!$L$42="Catastrófico"),CONCATENATE("R",'Mapa final NC'!$A$42),"")</f>
        <v/>
      </c>
      <c r="AK10" s="437"/>
      <c r="AL10" s="437" t="str">
        <f>IF(AND('Mapa final NC'!$H$43="Muy Alta",'Mapa final NC'!$L$43="Catastrófico"),CONCATENATE("R",'Mapa final NC'!$A$43),"")</f>
        <v/>
      </c>
      <c r="AM10" s="438"/>
      <c r="AN10" s="82"/>
      <c r="AO10" s="383"/>
      <c r="AP10" s="384"/>
      <c r="AQ10" s="384"/>
      <c r="AR10" s="384"/>
      <c r="AS10" s="384"/>
      <c r="AT10" s="385"/>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78"/>
      <c r="C11" s="378"/>
      <c r="D11" s="379"/>
      <c r="E11" s="419"/>
      <c r="F11" s="420"/>
      <c r="G11" s="420"/>
      <c r="H11" s="420"/>
      <c r="I11" s="421"/>
      <c r="J11" s="429"/>
      <c r="K11" s="425"/>
      <c r="L11" s="425"/>
      <c r="M11" s="425"/>
      <c r="N11" s="425"/>
      <c r="O11" s="426"/>
      <c r="P11" s="429"/>
      <c r="Q11" s="425"/>
      <c r="R11" s="425"/>
      <c r="S11" s="425"/>
      <c r="T11" s="425"/>
      <c r="U11" s="426"/>
      <c r="V11" s="429"/>
      <c r="W11" s="425"/>
      <c r="X11" s="425"/>
      <c r="Y11" s="425"/>
      <c r="Z11" s="425"/>
      <c r="AA11" s="426"/>
      <c r="AB11" s="429"/>
      <c r="AC11" s="425"/>
      <c r="AD11" s="425"/>
      <c r="AE11" s="425"/>
      <c r="AF11" s="425"/>
      <c r="AG11" s="426"/>
      <c r="AH11" s="436"/>
      <c r="AI11" s="437"/>
      <c r="AJ11" s="437"/>
      <c r="AK11" s="437"/>
      <c r="AL11" s="437"/>
      <c r="AM11" s="438"/>
      <c r="AN11" s="82"/>
      <c r="AO11" s="383"/>
      <c r="AP11" s="384"/>
      <c r="AQ11" s="384"/>
      <c r="AR11" s="384"/>
      <c r="AS11" s="384"/>
      <c r="AT11" s="385"/>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78"/>
      <c r="C12" s="378"/>
      <c r="D12" s="379"/>
      <c r="E12" s="419"/>
      <c r="F12" s="420"/>
      <c r="G12" s="420"/>
      <c r="H12" s="420"/>
      <c r="I12" s="421"/>
      <c r="J12" s="429" t="str">
        <f>IF(AND('Mapa final NC'!$H$45="Muy Alta",'Mapa final NC'!$L$45="Leve"),CONCATENATE("R",'Mapa final NC'!$A$45),"")</f>
        <v/>
      </c>
      <c r="K12" s="425"/>
      <c r="L12" s="425" t="str">
        <f>IF(AND('Mapa final NC'!$H$56="Muy Alta",'Mapa final NC'!$L$56="Leve"),CONCATENATE("R",'Mapa final NC'!$A$56),"")</f>
        <v/>
      </c>
      <c r="M12" s="425"/>
      <c r="N12" s="425" t="str">
        <f>IF(AND('Mapa final NC'!$H$62="Muy Alta",'Mapa final NC'!$L$62="Leve"),CONCATENATE("R",'Mapa final NC'!$A$62),"")</f>
        <v/>
      </c>
      <c r="O12" s="426"/>
      <c r="P12" s="429" t="str">
        <f>IF(AND('Mapa final NC'!$H$45="Muy Alta",'Mapa final NC'!$L$45="Menor"),CONCATENATE("R",'Mapa final NC'!$A$45),"")</f>
        <v/>
      </c>
      <c r="Q12" s="425"/>
      <c r="R12" s="425" t="str">
        <f>IF(AND('Mapa final NC'!$H$56="Muy Alta",'Mapa final NC'!$L$56="Menor"),CONCATENATE("R",'Mapa final NC'!$A$56),"")</f>
        <v/>
      </c>
      <c r="S12" s="425"/>
      <c r="T12" s="425" t="str">
        <f>IF(AND('Mapa final NC'!$H$62="Muy Alta",'Mapa final NC'!$L$62="Menor"),CONCATENATE("R",'Mapa final NC'!$A$62),"")</f>
        <v/>
      </c>
      <c r="U12" s="426"/>
      <c r="V12" s="429" t="str">
        <f>IF(AND('Mapa final NC'!$H$45="Muy Alta",'Mapa final NC'!$L$45="Moderado"),CONCATENATE("R",'Mapa final NC'!$A$45),"")</f>
        <v/>
      </c>
      <c r="W12" s="425"/>
      <c r="X12" s="425" t="str">
        <f>IF(AND('Mapa final NC'!$H$56="Muy Alta",'Mapa final NC'!$L$56="Moderado"),CONCATENATE("R",'Mapa final NC'!$A$56),"")</f>
        <v/>
      </c>
      <c r="Y12" s="425"/>
      <c r="Z12" s="425" t="str">
        <f>IF(AND('Mapa final NC'!$H$62="Muy Alta",'Mapa final NC'!$L$62="Moderado"),CONCATENATE("R",'Mapa final NC'!$A$62),"")</f>
        <v/>
      </c>
      <c r="AA12" s="426"/>
      <c r="AB12" s="429" t="str">
        <f>IF(AND('Mapa final NC'!$H$45="Muy Alta",'Mapa final NC'!$L$45="Mayor"),CONCATENATE("R",'Mapa final NC'!$A$45),"")</f>
        <v/>
      </c>
      <c r="AC12" s="425"/>
      <c r="AD12" s="425" t="str">
        <f>IF(AND('Mapa final NC'!$H$56="Muy Alta",'Mapa final NC'!$L$56="Mayor"),CONCATENATE("R",'Mapa final NC'!$A$56),"")</f>
        <v/>
      </c>
      <c r="AE12" s="425"/>
      <c r="AF12" s="425" t="str">
        <f>IF(AND('Mapa final NC'!$H$62="Muy Alta",'Mapa final NC'!$L$62="Mayor"),CONCATENATE("R",'Mapa final NC'!$A$62),"")</f>
        <v/>
      </c>
      <c r="AG12" s="426"/>
      <c r="AH12" s="436" t="str">
        <f>IF(AND('Mapa final NC'!$H$45="Muy Alta",'Mapa final NC'!$L$45="Catastrófico"),CONCATENATE("R",'Mapa final NC'!$A$45),"")</f>
        <v/>
      </c>
      <c r="AI12" s="437"/>
      <c r="AJ12" s="437" t="str">
        <f>IF(AND('Mapa final NC'!$H$56="Muy Alta",'Mapa final NC'!$L$56="Catastrófico"),CONCATENATE("R",'Mapa final NC'!$A$56),"")</f>
        <v/>
      </c>
      <c r="AK12" s="437"/>
      <c r="AL12" s="437" t="str">
        <f>IF(AND('Mapa final NC'!$H$62="Muy Alta",'Mapa final NC'!$L$62="Catastrófico"),CONCATENATE("R",'Mapa final NC'!$A$62),"")</f>
        <v/>
      </c>
      <c r="AM12" s="438"/>
      <c r="AN12" s="82"/>
      <c r="AO12" s="383"/>
      <c r="AP12" s="384"/>
      <c r="AQ12" s="384"/>
      <c r="AR12" s="384"/>
      <c r="AS12" s="384"/>
      <c r="AT12" s="385"/>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78"/>
      <c r="C13" s="378"/>
      <c r="D13" s="379"/>
      <c r="E13" s="422"/>
      <c r="F13" s="423"/>
      <c r="G13" s="423"/>
      <c r="H13" s="423"/>
      <c r="I13" s="424"/>
      <c r="J13" s="429"/>
      <c r="K13" s="425"/>
      <c r="L13" s="425"/>
      <c r="M13" s="425"/>
      <c r="N13" s="425"/>
      <c r="O13" s="426"/>
      <c r="P13" s="429"/>
      <c r="Q13" s="425"/>
      <c r="R13" s="425"/>
      <c r="S13" s="425"/>
      <c r="T13" s="425"/>
      <c r="U13" s="426"/>
      <c r="V13" s="429"/>
      <c r="W13" s="425"/>
      <c r="X13" s="425"/>
      <c r="Y13" s="425"/>
      <c r="Z13" s="425"/>
      <c r="AA13" s="426"/>
      <c r="AB13" s="429"/>
      <c r="AC13" s="425"/>
      <c r="AD13" s="425"/>
      <c r="AE13" s="425"/>
      <c r="AF13" s="425"/>
      <c r="AG13" s="426"/>
      <c r="AH13" s="439"/>
      <c r="AI13" s="440"/>
      <c r="AJ13" s="440"/>
      <c r="AK13" s="440"/>
      <c r="AL13" s="440"/>
      <c r="AM13" s="441"/>
      <c r="AN13" s="82"/>
      <c r="AO13" s="386"/>
      <c r="AP13" s="387"/>
      <c r="AQ13" s="387"/>
      <c r="AR13" s="387"/>
      <c r="AS13" s="387"/>
      <c r="AT13" s="388"/>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78"/>
      <c r="C14" s="378"/>
      <c r="D14" s="379"/>
      <c r="E14" s="416" t="s">
        <v>94</v>
      </c>
      <c r="F14" s="417"/>
      <c r="G14" s="417"/>
      <c r="H14" s="417"/>
      <c r="I14" s="417"/>
      <c r="J14" s="451" t="str">
        <f>IF(AND('Mapa final NC'!$H$30="Alta",'Mapa final NC'!$L$30="Leve"),CONCATENATE("R",'Mapa final NC'!$A$30),"")</f>
        <v/>
      </c>
      <c r="K14" s="452"/>
      <c r="L14" s="452" t="str">
        <f>IF(AND('Mapa final NC'!$H$31="Alta",'Mapa final NC'!$L$31="Leve"),CONCATENATE("R",'Mapa final NC'!$A$31),"")</f>
        <v/>
      </c>
      <c r="M14" s="452"/>
      <c r="N14" s="452" t="str">
        <f>IF(AND('Mapa final NC'!$H$34="Alta",'Mapa final NC'!$L$34="Leve"),CONCATENATE("R",'Mapa final NC'!$A$34),"")</f>
        <v/>
      </c>
      <c r="O14" s="453"/>
      <c r="P14" s="451" t="str">
        <f>IF(AND('Mapa final NC'!$H$30="Alta",'Mapa final NC'!$L$30="Menor"),CONCATENATE("R",'Mapa final NC'!$A$30),"")</f>
        <v/>
      </c>
      <c r="Q14" s="452"/>
      <c r="R14" s="452" t="str">
        <f>IF(AND('Mapa final NC'!$H$31="Alta",'Mapa final NC'!$L$31="Menor"),CONCATENATE("R",'Mapa final NC'!$A$31),"")</f>
        <v/>
      </c>
      <c r="S14" s="452"/>
      <c r="T14" s="452" t="str">
        <f>IF(AND('Mapa final NC'!$H$34="Alta",'Mapa final NC'!$L$34="Menor"),CONCATENATE("R",'Mapa final NC'!$A$34),"")</f>
        <v/>
      </c>
      <c r="U14" s="453"/>
      <c r="V14" s="427" t="str">
        <f>IF(AND('Mapa final NC'!$H$30="Alta",'Mapa final NC'!$L$30="Moderado"),CONCATENATE("R",'Mapa final NC'!$A$30),"")</f>
        <v/>
      </c>
      <c r="W14" s="428"/>
      <c r="X14" s="428" t="str">
        <f>IF(AND('Mapa final NC'!$H$31="Alta",'Mapa final NC'!$L$31="Moderado"),CONCATENATE("R",'Mapa final NC'!$A$31),"")</f>
        <v/>
      </c>
      <c r="Y14" s="428"/>
      <c r="Z14" s="428" t="str">
        <f>IF(AND('Mapa final NC'!$H$34="Alta",'Mapa final NC'!$L$34="Moderado"),CONCATENATE("R",'Mapa final NC'!$A$34),"")</f>
        <v/>
      </c>
      <c r="AA14" s="430"/>
      <c r="AB14" s="427" t="str">
        <f>IF(AND('Mapa final NC'!$H$30="Alta",'Mapa final NC'!$L$30="Mayor"),CONCATENATE("R",'Mapa final NC'!$A$30),"")</f>
        <v/>
      </c>
      <c r="AC14" s="428"/>
      <c r="AD14" s="428" t="str">
        <f>IF(AND('Mapa final NC'!$H$31="Alta",'Mapa final NC'!$L$31="Mayor"),CONCATENATE("R",'Mapa final NC'!$A$31),"")</f>
        <v/>
      </c>
      <c r="AE14" s="428"/>
      <c r="AF14" s="428" t="str">
        <f>IF(AND('Mapa final NC'!$H$34="Alta",'Mapa final NC'!$L$34="Mayor"),CONCATENATE("R",'Mapa final NC'!$A$34),"")</f>
        <v/>
      </c>
      <c r="AG14" s="430"/>
      <c r="AH14" s="442" t="str">
        <f>IF(AND('Mapa final NC'!$H$30="Alta",'Mapa final NC'!$L$30="Catastrófico"),CONCATENATE("R",'Mapa final NC'!$A$30),"")</f>
        <v>R1</v>
      </c>
      <c r="AI14" s="443"/>
      <c r="AJ14" s="443" t="str">
        <f>IF(AND('Mapa final NC'!$H$31="Alta",'Mapa final NC'!$L$31="Catastrófico"),CONCATENATE("R",'Mapa final NC'!$A$31),"")</f>
        <v/>
      </c>
      <c r="AK14" s="443"/>
      <c r="AL14" s="443" t="str">
        <f>IF(AND('Mapa final NC'!$H$34="Alta",'Mapa final NC'!$L$34="Catastrófico"),CONCATENATE("R",'Mapa final NC'!$A$34),"")</f>
        <v/>
      </c>
      <c r="AM14" s="444"/>
      <c r="AN14" s="82"/>
      <c r="AO14" s="389" t="s">
        <v>95</v>
      </c>
      <c r="AP14" s="390"/>
      <c r="AQ14" s="390"/>
      <c r="AR14" s="390"/>
      <c r="AS14" s="390"/>
      <c r="AT14" s="391"/>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78"/>
      <c r="C15" s="378"/>
      <c r="D15" s="379"/>
      <c r="E15" s="419"/>
      <c r="F15" s="420"/>
      <c r="G15" s="420"/>
      <c r="H15" s="420"/>
      <c r="I15" s="420"/>
      <c r="J15" s="445"/>
      <c r="K15" s="446"/>
      <c r="L15" s="446"/>
      <c r="M15" s="446"/>
      <c r="N15" s="446"/>
      <c r="O15" s="447"/>
      <c r="P15" s="445"/>
      <c r="Q15" s="446"/>
      <c r="R15" s="446"/>
      <c r="S15" s="446"/>
      <c r="T15" s="446"/>
      <c r="U15" s="447"/>
      <c r="V15" s="429"/>
      <c r="W15" s="425"/>
      <c r="X15" s="425"/>
      <c r="Y15" s="425"/>
      <c r="Z15" s="425"/>
      <c r="AA15" s="426"/>
      <c r="AB15" s="429"/>
      <c r="AC15" s="425"/>
      <c r="AD15" s="425"/>
      <c r="AE15" s="425"/>
      <c r="AF15" s="425"/>
      <c r="AG15" s="426"/>
      <c r="AH15" s="436"/>
      <c r="AI15" s="437"/>
      <c r="AJ15" s="437"/>
      <c r="AK15" s="437"/>
      <c r="AL15" s="437"/>
      <c r="AM15" s="438"/>
      <c r="AN15" s="82"/>
      <c r="AO15" s="392"/>
      <c r="AP15" s="393"/>
      <c r="AQ15" s="393"/>
      <c r="AR15" s="393"/>
      <c r="AS15" s="393"/>
      <c r="AT15" s="394"/>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78"/>
      <c r="C16" s="378"/>
      <c r="D16" s="379"/>
      <c r="E16" s="419"/>
      <c r="F16" s="420"/>
      <c r="G16" s="420"/>
      <c r="H16" s="420"/>
      <c r="I16" s="420"/>
      <c r="J16" s="445" t="str">
        <f>IF(AND('Mapa final NC'!$H$37="Alta",'Mapa final NC'!$L$37="Leve"),CONCATENATE("R",'Mapa final NC'!$A$37),"")</f>
        <v/>
      </c>
      <c r="K16" s="446"/>
      <c r="L16" s="446" t="str">
        <f>IF(AND('Mapa final NC'!$H$38="Alta",'Mapa final NC'!$L$38="Leve"),CONCATENATE("R",'Mapa final NC'!$A$38),"")</f>
        <v/>
      </c>
      <c r="M16" s="446"/>
      <c r="N16" s="446" t="str">
        <f>IF(AND('Mapa final NC'!$H$39="Alta",'Mapa final NC'!$L$39="Leve"),CONCATENATE("R",'Mapa final NC'!$A$39),"")</f>
        <v/>
      </c>
      <c r="O16" s="447"/>
      <c r="P16" s="445" t="str">
        <f>IF(AND('Mapa final NC'!$H$37="Alta",'Mapa final NC'!$L$37="Menor"),CONCATENATE("R",'Mapa final NC'!$A$37),"")</f>
        <v/>
      </c>
      <c r="Q16" s="446"/>
      <c r="R16" s="446" t="str">
        <f>IF(AND('Mapa final NC'!$H$38="Alta",'Mapa final NC'!$L$38="Menor"),CONCATENATE("R",'Mapa final NC'!$A$38),"")</f>
        <v/>
      </c>
      <c r="S16" s="446"/>
      <c r="T16" s="446" t="str">
        <f>IF(AND('Mapa final NC'!$H$39="Alta",'Mapa final NC'!$L$39="Menor"),CONCATENATE("R",'Mapa final NC'!$A$39),"")</f>
        <v/>
      </c>
      <c r="U16" s="447"/>
      <c r="V16" s="429" t="str">
        <f>IF(AND('Mapa final NC'!$H$37="Alta",'Mapa final NC'!$L$37="Moderado"),CONCATENATE("R",'Mapa final NC'!$A$37),"")</f>
        <v/>
      </c>
      <c r="W16" s="425"/>
      <c r="X16" s="425" t="str">
        <f>IF(AND('Mapa final NC'!$H$38="Alta",'Mapa final NC'!$L$38="Moderado"),CONCATENATE("R",'Mapa final NC'!$A$38),"")</f>
        <v/>
      </c>
      <c r="Y16" s="425"/>
      <c r="Z16" s="425" t="str">
        <f>IF(AND('Mapa final NC'!$H$39="Alta",'Mapa final NC'!$L$39="Moderado"),CONCATENATE("R",'Mapa final NC'!$A$39),"")</f>
        <v/>
      </c>
      <c r="AA16" s="426"/>
      <c r="AB16" s="429" t="str">
        <f>IF(AND('Mapa final NC'!$H$37="Alta",'Mapa final NC'!$L$37="Mayor"),CONCATENATE("R",'Mapa final NC'!$A$37),"")</f>
        <v/>
      </c>
      <c r="AC16" s="425"/>
      <c r="AD16" s="425" t="str">
        <f>IF(AND('Mapa final NC'!$H$38="Alta",'Mapa final NC'!$L$38="Mayor"),CONCATENATE("R",'Mapa final NC'!$A$38),"")</f>
        <v/>
      </c>
      <c r="AE16" s="425"/>
      <c r="AF16" s="425" t="str">
        <f>IF(AND('Mapa final NC'!$H$39="Alta",'Mapa final NC'!$L$39="Mayor"),CONCATENATE("R",'Mapa final NC'!$A$39),"")</f>
        <v/>
      </c>
      <c r="AG16" s="426"/>
      <c r="AH16" s="436" t="str">
        <f>IF(AND('Mapa final NC'!$H$37="Alta",'Mapa final NC'!$L$37="Catastrófico"),CONCATENATE("R",'Mapa final NC'!$A$37),"")</f>
        <v/>
      </c>
      <c r="AI16" s="437"/>
      <c r="AJ16" s="437" t="str">
        <f>IF(AND('Mapa final NC'!$H$38="Alta",'Mapa final NC'!$L$38="Catastrófico"),CONCATENATE("R",'Mapa final NC'!$A$38),"")</f>
        <v/>
      </c>
      <c r="AK16" s="437"/>
      <c r="AL16" s="437" t="str">
        <f>IF(AND('Mapa final NC'!$H$39="Alta",'Mapa final NC'!$L$39="Catastrófico"),CONCATENATE("R",'Mapa final NC'!$A$39),"")</f>
        <v/>
      </c>
      <c r="AM16" s="438"/>
      <c r="AN16" s="82"/>
      <c r="AO16" s="392"/>
      <c r="AP16" s="393"/>
      <c r="AQ16" s="393"/>
      <c r="AR16" s="393"/>
      <c r="AS16" s="393"/>
      <c r="AT16" s="394"/>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78"/>
      <c r="C17" s="378"/>
      <c r="D17" s="379"/>
      <c r="E17" s="419"/>
      <c r="F17" s="420"/>
      <c r="G17" s="420"/>
      <c r="H17" s="420"/>
      <c r="I17" s="420"/>
      <c r="J17" s="445"/>
      <c r="K17" s="446"/>
      <c r="L17" s="446"/>
      <c r="M17" s="446"/>
      <c r="N17" s="446"/>
      <c r="O17" s="447"/>
      <c r="P17" s="445"/>
      <c r="Q17" s="446"/>
      <c r="R17" s="446"/>
      <c r="S17" s="446"/>
      <c r="T17" s="446"/>
      <c r="U17" s="447"/>
      <c r="V17" s="429"/>
      <c r="W17" s="425"/>
      <c r="X17" s="425"/>
      <c r="Y17" s="425"/>
      <c r="Z17" s="425"/>
      <c r="AA17" s="426"/>
      <c r="AB17" s="429"/>
      <c r="AC17" s="425"/>
      <c r="AD17" s="425"/>
      <c r="AE17" s="425"/>
      <c r="AF17" s="425"/>
      <c r="AG17" s="426"/>
      <c r="AH17" s="436"/>
      <c r="AI17" s="437"/>
      <c r="AJ17" s="437"/>
      <c r="AK17" s="437"/>
      <c r="AL17" s="437"/>
      <c r="AM17" s="438"/>
      <c r="AN17" s="82"/>
      <c r="AO17" s="392"/>
      <c r="AP17" s="393"/>
      <c r="AQ17" s="393"/>
      <c r="AR17" s="393"/>
      <c r="AS17" s="393"/>
      <c r="AT17" s="394"/>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78"/>
      <c r="C18" s="378"/>
      <c r="D18" s="379"/>
      <c r="E18" s="419"/>
      <c r="F18" s="420"/>
      <c r="G18" s="420"/>
      <c r="H18" s="420"/>
      <c r="I18" s="420"/>
      <c r="J18" s="445" t="str">
        <f>IF(AND('Mapa final NC'!$H$40="Alta",'Mapa final NC'!$L$40="Leve"),CONCATENATE("R",'Mapa final NC'!$A$40),"")</f>
        <v/>
      </c>
      <c r="K18" s="446"/>
      <c r="L18" s="446" t="str">
        <f>IF(AND('Mapa final NC'!$H$42="Alta",'Mapa final NC'!$L$42="Leve"),CONCATENATE("R",'Mapa final NC'!$A$42),"")</f>
        <v/>
      </c>
      <c r="M18" s="446"/>
      <c r="N18" s="446" t="str">
        <f>IF(AND('Mapa final NC'!$H$43="Alta",'Mapa final NC'!$L$43="Leve"),CONCATENATE("R",'Mapa final NC'!$A$43),"")</f>
        <v/>
      </c>
      <c r="O18" s="447"/>
      <c r="P18" s="445" t="str">
        <f>IF(AND('Mapa final NC'!$H$40="Alta",'Mapa final NC'!$L$40="Menor"),CONCATENATE("R",'Mapa final NC'!$A$40),"")</f>
        <v/>
      </c>
      <c r="Q18" s="446"/>
      <c r="R18" s="446" t="str">
        <f>IF(AND('Mapa final NC'!$H$42="Alta",'Mapa final NC'!$L$42="Menor"),CONCATENATE("R",'Mapa final NC'!$A$42),"")</f>
        <v/>
      </c>
      <c r="S18" s="446"/>
      <c r="T18" s="446" t="str">
        <f>IF(AND('Mapa final NC'!$H$43="Alta",'Mapa final NC'!$L$43="Menor"),CONCATENATE("R",'Mapa final NC'!$A$43),"")</f>
        <v/>
      </c>
      <c r="U18" s="447"/>
      <c r="V18" s="429" t="str">
        <f>IF(AND('Mapa final NC'!$H$40="Alta",'Mapa final NC'!$L$40="Moderado"),CONCATENATE("R",'Mapa final NC'!$A$40),"")</f>
        <v/>
      </c>
      <c r="W18" s="425"/>
      <c r="X18" s="425" t="str">
        <f>IF(AND('Mapa final NC'!$H$42="Alta",'Mapa final NC'!$L$42="Moderado"),CONCATENATE("R",'Mapa final NC'!$A$42),"")</f>
        <v/>
      </c>
      <c r="Y18" s="425"/>
      <c r="Z18" s="425" t="str">
        <f>IF(AND('Mapa final NC'!$H$43="Alta",'Mapa final NC'!$L$43="Moderado"),CONCATENATE("R",'Mapa final NC'!$A$43),"")</f>
        <v>R9</v>
      </c>
      <c r="AA18" s="426"/>
      <c r="AB18" s="429" t="str">
        <f>IF(AND('Mapa final NC'!$H$40="Alta",'Mapa final NC'!$L$40="Mayor"),CONCATENATE("R",'Mapa final NC'!$A$40),"")</f>
        <v/>
      </c>
      <c r="AC18" s="425"/>
      <c r="AD18" s="425" t="str">
        <f>IF(AND('Mapa final NC'!$H$42="Alta",'Mapa final NC'!$L$42="Mayor"),CONCATENATE("R",'Mapa final NC'!$A$42),"")</f>
        <v/>
      </c>
      <c r="AE18" s="425"/>
      <c r="AF18" s="425" t="str">
        <f>IF(AND('Mapa final NC'!$H$43="Alta",'Mapa final NC'!$L$43="Mayor"),CONCATENATE("R",'Mapa final NC'!$A$43),"")</f>
        <v/>
      </c>
      <c r="AG18" s="426"/>
      <c r="AH18" s="436" t="str">
        <f>IF(AND('Mapa final NC'!$H$40="Alta",'Mapa final NC'!$L$40="Catastrófico"),CONCATENATE("R",'Mapa final NC'!$A$40),"")</f>
        <v/>
      </c>
      <c r="AI18" s="437"/>
      <c r="AJ18" s="437" t="str">
        <f>IF(AND('Mapa final NC'!$H$42="Alta",'Mapa final NC'!$L$42="Catastrófico"),CONCATENATE("R",'Mapa final NC'!$A$42),"")</f>
        <v/>
      </c>
      <c r="AK18" s="437"/>
      <c r="AL18" s="437" t="str">
        <f>IF(AND('Mapa final NC'!$H$43="Alta",'Mapa final NC'!$L$43="Catastrófico"),CONCATENATE("R",'Mapa final NC'!$A$43),"")</f>
        <v/>
      </c>
      <c r="AM18" s="438"/>
      <c r="AN18" s="82"/>
      <c r="AO18" s="392"/>
      <c r="AP18" s="393"/>
      <c r="AQ18" s="393"/>
      <c r="AR18" s="393"/>
      <c r="AS18" s="393"/>
      <c r="AT18" s="394"/>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78"/>
      <c r="C19" s="378"/>
      <c r="D19" s="379"/>
      <c r="E19" s="419"/>
      <c r="F19" s="420"/>
      <c r="G19" s="420"/>
      <c r="H19" s="420"/>
      <c r="I19" s="420"/>
      <c r="J19" s="445"/>
      <c r="K19" s="446"/>
      <c r="L19" s="446"/>
      <c r="M19" s="446"/>
      <c r="N19" s="446"/>
      <c r="O19" s="447"/>
      <c r="P19" s="445"/>
      <c r="Q19" s="446"/>
      <c r="R19" s="446"/>
      <c r="S19" s="446"/>
      <c r="T19" s="446"/>
      <c r="U19" s="447"/>
      <c r="V19" s="429"/>
      <c r="W19" s="425"/>
      <c r="X19" s="425"/>
      <c r="Y19" s="425"/>
      <c r="Z19" s="425"/>
      <c r="AA19" s="426"/>
      <c r="AB19" s="429"/>
      <c r="AC19" s="425"/>
      <c r="AD19" s="425"/>
      <c r="AE19" s="425"/>
      <c r="AF19" s="425"/>
      <c r="AG19" s="426"/>
      <c r="AH19" s="436"/>
      <c r="AI19" s="437"/>
      <c r="AJ19" s="437"/>
      <c r="AK19" s="437"/>
      <c r="AL19" s="437"/>
      <c r="AM19" s="438"/>
      <c r="AN19" s="82"/>
      <c r="AO19" s="392"/>
      <c r="AP19" s="393"/>
      <c r="AQ19" s="393"/>
      <c r="AR19" s="393"/>
      <c r="AS19" s="393"/>
      <c r="AT19" s="394"/>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78"/>
      <c r="C20" s="378"/>
      <c r="D20" s="379"/>
      <c r="E20" s="419"/>
      <c r="F20" s="420"/>
      <c r="G20" s="420"/>
      <c r="H20" s="420"/>
      <c r="I20" s="420"/>
      <c r="J20" s="445" t="str">
        <f>IF(AND('Mapa final NC'!$H$45="Alta",'Mapa final NC'!$L$45="Leve"),CONCATENATE("R",'Mapa final NC'!$A$45),"")</f>
        <v>R10</v>
      </c>
      <c r="K20" s="446"/>
      <c r="L20" s="446" t="str">
        <f>IF(AND('Mapa final NC'!$H$56="Alta",'Mapa final NC'!$L$56="Leve"),CONCATENATE("R",'Mapa final NC'!$A$56),"")</f>
        <v/>
      </c>
      <c r="M20" s="446"/>
      <c r="N20" s="446" t="str">
        <f>IF(AND('Mapa final NC'!$H$62="Alta",'Mapa final NC'!$L$62="Leve"),CONCATENATE("R",'Mapa final NC'!$A$62),"")</f>
        <v/>
      </c>
      <c r="O20" s="447"/>
      <c r="P20" s="445" t="str">
        <f>IF(AND('Mapa final NC'!$H$45="Alta",'Mapa final NC'!$L$45="Menor"),CONCATENATE("R",'Mapa final NC'!$A$45),"")</f>
        <v/>
      </c>
      <c r="Q20" s="446"/>
      <c r="R20" s="446" t="str">
        <f>IF(AND('Mapa final NC'!$H$56="Alta",'Mapa final NC'!$L$56="Menor"),CONCATENATE("R",'Mapa final NC'!$A$56),"")</f>
        <v/>
      </c>
      <c r="S20" s="446"/>
      <c r="T20" s="446" t="str">
        <f>IF(AND('Mapa final NC'!$H$62="Alta",'Mapa final NC'!$L$62="Menor"),CONCATENATE("R",'Mapa final NC'!$A$62),"")</f>
        <v/>
      </c>
      <c r="U20" s="447"/>
      <c r="V20" s="429" t="str">
        <f>IF(AND('Mapa final NC'!$H$45="Alta",'Mapa final NC'!$L$45="Moderado"),CONCATENATE("R",'Mapa final NC'!$A$45),"")</f>
        <v/>
      </c>
      <c r="W20" s="425"/>
      <c r="X20" s="425" t="str">
        <f>IF(AND('Mapa final NC'!$H$56="Alta",'Mapa final NC'!$L$56="Moderado"),CONCATENATE("R",'Mapa final NC'!$A$56),"")</f>
        <v/>
      </c>
      <c r="Y20" s="425"/>
      <c r="Z20" s="425" t="str">
        <f>IF(AND('Mapa final NC'!$H$62="Alta",'Mapa final NC'!$L$62="Moderado"),CONCATENATE("R",'Mapa final NC'!$A$62),"")</f>
        <v/>
      </c>
      <c r="AA20" s="426"/>
      <c r="AB20" s="429" t="str">
        <f>IF(AND('Mapa final NC'!$H$45="Alta",'Mapa final NC'!$L$45="Mayor"),CONCATENATE("R",'Mapa final NC'!$A$45),"")</f>
        <v/>
      </c>
      <c r="AC20" s="425"/>
      <c r="AD20" s="425" t="str">
        <f>IF(AND('Mapa final NC'!$H$56="Alta",'Mapa final NC'!$L$56="Mayor"),CONCATENATE("R",'Mapa final NC'!$A$56),"")</f>
        <v/>
      </c>
      <c r="AE20" s="425"/>
      <c r="AF20" s="425" t="str">
        <f>IF(AND('Mapa final NC'!$H$62="Alta",'Mapa final NC'!$L$62="Mayor"),CONCATENATE("R",'Mapa final NC'!$A$62),"")</f>
        <v/>
      </c>
      <c r="AG20" s="426"/>
      <c r="AH20" s="436" t="str">
        <f>IF(AND('Mapa final NC'!$H$45="Alta",'Mapa final NC'!$L$45="Catastrófico"),CONCATENATE("R",'Mapa final NC'!$A$45),"")</f>
        <v/>
      </c>
      <c r="AI20" s="437"/>
      <c r="AJ20" s="437" t="str">
        <f>IF(AND('Mapa final NC'!$H$56="Alta",'Mapa final NC'!$L$56="Catastrófico"),CONCATENATE("R",'Mapa final NC'!$A$56),"")</f>
        <v/>
      </c>
      <c r="AK20" s="437"/>
      <c r="AL20" s="437" t="str">
        <f>IF(AND('Mapa final NC'!$H$62="Alta",'Mapa final NC'!$L$62="Catastrófico"),CONCATENATE("R",'Mapa final NC'!$A$62),"")</f>
        <v/>
      </c>
      <c r="AM20" s="438"/>
      <c r="AN20" s="82"/>
      <c r="AO20" s="392"/>
      <c r="AP20" s="393"/>
      <c r="AQ20" s="393"/>
      <c r="AR20" s="393"/>
      <c r="AS20" s="393"/>
      <c r="AT20" s="394"/>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78"/>
      <c r="C21" s="378"/>
      <c r="D21" s="379"/>
      <c r="E21" s="422"/>
      <c r="F21" s="423"/>
      <c r="G21" s="423"/>
      <c r="H21" s="423"/>
      <c r="I21" s="423"/>
      <c r="J21" s="448"/>
      <c r="K21" s="449"/>
      <c r="L21" s="449"/>
      <c r="M21" s="449"/>
      <c r="N21" s="449"/>
      <c r="O21" s="450"/>
      <c r="P21" s="448"/>
      <c r="Q21" s="449"/>
      <c r="R21" s="449"/>
      <c r="S21" s="449"/>
      <c r="T21" s="449"/>
      <c r="U21" s="450"/>
      <c r="V21" s="433"/>
      <c r="W21" s="434"/>
      <c r="X21" s="434"/>
      <c r="Y21" s="434"/>
      <c r="Z21" s="434"/>
      <c r="AA21" s="435"/>
      <c r="AB21" s="433"/>
      <c r="AC21" s="434"/>
      <c r="AD21" s="434"/>
      <c r="AE21" s="434"/>
      <c r="AF21" s="434"/>
      <c r="AG21" s="435"/>
      <c r="AH21" s="439"/>
      <c r="AI21" s="440"/>
      <c r="AJ21" s="440"/>
      <c r="AK21" s="440"/>
      <c r="AL21" s="440"/>
      <c r="AM21" s="441"/>
      <c r="AN21" s="82"/>
      <c r="AO21" s="395"/>
      <c r="AP21" s="396"/>
      <c r="AQ21" s="396"/>
      <c r="AR21" s="396"/>
      <c r="AS21" s="396"/>
      <c r="AT21" s="397"/>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78"/>
      <c r="C22" s="378"/>
      <c r="D22" s="379"/>
      <c r="E22" s="416" t="s">
        <v>96</v>
      </c>
      <c r="F22" s="417"/>
      <c r="G22" s="417"/>
      <c r="H22" s="417"/>
      <c r="I22" s="418"/>
      <c r="J22" s="451" t="str">
        <f>IF(AND('Mapa final NC'!$H$30="Media",'Mapa final NC'!$L$30="Leve"),CONCATENATE("R",'Mapa final NC'!$A$30),"")</f>
        <v/>
      </c>
      <c r="K22" s="452"/>
      <c r="L22" s="452" t="str">
        <f>IF(AND('Mapa final NC'!$H$31="Media",'Mapa final NC'!$L$31="Leve"),CONCATENATE("R",'Mapa final NC'!$A$31),"")</f>
        <v>R2</v>
      </c>
      <c r="M22" s="452"/>
      <c r="N22" s="452" t="str">
        <f>IF(AND('Mapa final NC'!$H$34="Media",'Mapa final NC'!$L$34="Leve"),CONCATENATE("R",'Mapa final NC'!$A$34),"")</f>
        <v/>
      </c>
      <c r="O22" s="453"/>
      <c r="P22" s="451" t="str">
        <f>IF(AND('Mapa final NC'!$H$30="Media",'Mapa final NC'!$L$30="Menor"),CONCATENATE("R",'Mapa final NC'!$A$30),"")</f>
        <v/>
      </c>
      <c r="Q22" s="452"/>
      <c r="R22" s="452" t="str">
        <f>IF(AND('Mapa final NC'!$H$31="Media",'Mapa final NC'!$L$31="Menor"),CONCATENATE("R",'Mapa final NC'!$A$31),"")</f>
        <v/>
      </c>
      <c r="S22" s="452"/>
      <c r="T22" s="452" t="str">
        <f>IF(AND('Mapa final NC'!$H$34="Media",'Mapa final NC'!$L$34="Menor"),CONCATENATE("R",'Mapa final NC'!$A$34),"")</f>
        <v/>
      </c>
      <c r="U22" s="453"/>
      <c r="V22" s="451" t="str">
        <f>IF(AND('Mapa final NC'!$H$30="Media",'Mapa final NC'!$L$30="Moderado"),CONCATENATE("R",'Mapa final NC'!$A$30),"")</f>
        <v/>
      </c>
      <c r="W22" s="452"/>
      <c r="X22" s="452" t="str">
        <f>IF(AND('Mapa final NC'!$H$31="Media",'Mapa final NC'!$L$31="Moderado"),CONCATENATE("R",'Mapa final NC'!$A$31),"")</f>
        <v/>
      </c>
      <c r="Y22" s="452"/>
      <c r="Z22" s="452" t="str">
        <f>IF(AND('Mapa final NC'!$H$34="Media",'Mapa final NC'!$L$34="Moderado"),CONCATENATE("R",'Mapa final NC'!$A$34),"")</f>
        <v/>
      </c>
      <c r="AA22" s="453"/>
      <c r="AB22" s="427" t="str">
        <f>IF(AND('Mapa final NC'!$H$30="Media",'Mapa final NC'!$L$30="Mayor"),CONCATENATE("R",'Mapa final NC'!$A$30),"")</f>
        <v/>
      </c>
      <c r="AC22" s="428"/>
      <c r="AD22" s="428" t="str">
        <f>IF(AND('Mapa final NC'!$H$31="Media",'Mapa final NC'!$L$31="Mayor"),CONCATENATE("R",'Mapa final NC'!$A$31),"")</f>
        <v/>
      </c>
      <c r="AE22" s="428"/>
      <c r="AF22" s="428" t="str">
        <f>IF(AND('Mapa final NC'!$H$34="Media",'Mapa final NC'!$L$34="Mayor"),CONCATENATE("R",'Mapa final NC'!$A$34),"")</f>
        <v/>
      </c>
      <c r="AG22" s="430"/>
      <c r="AH22" s="442" t="str">
        <f>IF(AND('Mapa final NC'!$H$30="Media",'Mapa final NC'!$L$30="Catastrófico"),CONCATENATE("R",'Mapa final NC'!$A$30),"")</f>
        <v/>
      </c>
      <c r="AI22" s="443"/>
      <c r="AJ22" s="443" t="str">
        <f>IF(AND('Mapa final NC'!$H$31="Media",'Mapa final NC'!$L$31="Catastrófico"),CONCATENATE("R",'Mapa final NC'!$A$31),"")</f>
        <v/>
      </c>
      <c r="AK22" s="443"/>
      <c r="AL22" s="443" t="str">
        <f>IF(AND('Mapa final NC'!$H$34="Media",'Mapa final NC'!$L$34="Catastrófico"),CONCATENATE("R",'Mapa final NC'!$A$34),"")</f>
        <v/>
      </c>
      <c r="AM22" s="444"/>
      <c r="AN22" s="82"/>
      <c r="AO22" s="398" t="s">
        <v>97</v>
      </c>
      <c r="AP22" s="399"/>
      <c r="AQ22" s="399"/>
      <c r="AR22" s="399"/>
      <c r="AS22" s="399"/>
      <c r="AT22" s="400"/>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78"/>
      <c r="C23" s="378"/>
      <c r="D23" s="379"/>
      <c r="E23" s="419"/>
      <c r="F23" s="420"/>
      <c r="G23" s="420"/>
      <c r="H23" s="420"/>
      <c r="I23" s="421"/>
      <c r="J23" s="445"/>
      <c r="K23" s="446"/>
      <c r="L23" s="446"/>
      <c r="M23" s="446"/>
      <c r="N23" s="446"/>
      <c r="O23" s="447"/>
      <c r="P23" s="445"/>
      <c r="Q23" s="446"/>
      <c r="R23" s="446"/>
      <c r="S23" s="446"/>
      <c r="T23" s="446"/>
      <c r="U23" s="447"/>
      <c r="V23" s="445"/>
      <c r="W23" s="446"/>
      <c r="X23" s="446"/>
      <c r="Y23" s="446"/>
      <c r="Z23" s="446"/>
      <c r="AA23" s="447"/>
      <c r="AB23" s="429"/>
      <c r="AC23" s="425"/>
      <c r="AD23" s="425"/>
      <c r="AE23" s="425"/>
      <c r="AF23" s="425"/>
      <c r="AG23" s="426"/>
      <c r="AH23" s="436"/>
      <c r="AI23" s="437"/>
      <c r="AJ23" s="437"/>
      <c r="AK23" s="437"/>
      <c r="AL23" s="437"/>
      <c r="AM23" s="438"/>
      <c r="AN23" s="82"/>
      <c r="AO23" s="401"/>
      <c r="AP23" s="402"/>
      <c r="AQ23" s="402"/>
      <c r="AR23" s="402"/>
      <c r="AS23" s="402"/>
      <c r="AT23" s="403"/>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78"/>
      <c r="C24" s="378"/>
      <c r="D24" s="379"/>
      <c r="E24" s="419"/>
      <c r="F24" s="420"/>
      <c r="G24" s="420"/>
      <c r="H24" s="420"/>
      <c r="I24" s="421"/>
      <c r="J24" s="445" t="str">
        <f>IF(AND('Mapa final NC'!$H$37="Media",'Mapa final NC'!$L$37="Leve"),CONCATENATE("R",'Mapa final NC'!$A$37),"")</f>
        <v>R4</v>
      </c>
      <c r="K24" s="446"/>
      <c r="L24" s="446" t="str">
        <f>IF(AND('Mapa final NC'!$H$38="Media",'Mapa final NC'!$L$38="Leve"),CONCATENATE("R",'Mapa final NC'!$A$38),"")</f>
        <v/>
      </c>
      <c r="M24" s="446"/>
      <c r="N24" s="446" t="str">
        <f>IF(AND('Mapa final NC'!$H$39="Media",'Mapa final NC'!$L$39="Leve"),CONCATENATE("R",'Mapa final NC'!$A$39),"")</f>
        <v>R6</v>
      </c>
      <c r="O24" s="447"/>
      <c r="P24" s="445" t="str">
        <f>IF(AND('Mapa final NC'!$H$37="Media",'Mapa final NC'!$L$37="Menor"),CONCATENATE("R",'Mapa final NC'!$A$37),"")</f>
        <v/>
      </c>
      <c r="Q24" s="446"/>
      <c r="R24" s="446" t="str">
        <f>IF(AND('Mapa final NC'!$H$38="Media",'Mapa final NC'!$L$38="Menor"),CONCATENATE("R",'Mapa final NC'!$A$38),"")</f>
        <v/>
      </c>
      <c r="S24" s="446"/>
      <c r="T24" s="446" t="str">
        <f>IF(AND('Mapa final NC'!$H$39="Media",'Mapa final NC'!$L$39="Menor"),CONCATENATE("R",'Mapa final NC'!$A$39),"")</f>
        <v/>
      </c>
      <c r="U24" s="447"/>
      <c r="V24" s="445" t="str">
        <f>IF(AND('Mapa final NC'!$H$37="Media",'Mapa final NC'!$L$37="Moderado"),CONCATENATE("R",'Mapa final NC'!$A$37),"")</f>
        <v/>
      </c>
      <c r="W24" s="446"/>
      <c r="X24" s="446" t="str">
        <f>IF(AND('Mapa final NC'!$H$38="Media",'Mapa final NC'!$L$38="Moderado"),CONCATENATE("R",'Mapa final NC'!$A$38),"")</f>
        <v/>
      </c>
      <c r="Y24" s="446"/>
      <c r="Z24" s="446" t="str">
        <f>IF(AND('Mapa final NC'!$H$39="Media",'Mapa final NC'!$L$39="Moderado"),CONCATENATE("R",'Mapa final NC'!$A$39),"")</f>
        <v/>
      </c>
      <c r="AA24" s="447"/>
      <c r="AB24" s="429" t="str">
        <f>IF(AND('Mapa final NC'!$H$37="Media",'Mapa final NC'!$L$37="Mayor"),CONCATENATE("R",'Mapa final NC'!$A$37),"")</f>
        <v/>
      </c>
      <c r="AC24" s="425"/>
      <c r="AD24" s="425" t="str">
        <f>IF(AND('Mapa final NC'!$H$38="Media",'Mapa final NC'!$L$38="Mayor"),CONCATENATE("R",'Mapa final NC'!$A$38),"")</f>
        <v>R5</v>
      </c>
      <c r="AE24" s="425"/>
      <c r="AF24" s="425" t="str">
        <f>IF(AND('Mapa final NC'!$H$39="Media",'Mapa final NC'!$L$39="Mayor"),CONCATENATE("R",'Mapa final NC'!$A$39),"")</f>
        <v/>
      </c>
      <c r="AG24" s="426"/>
      <c r="AH24" s="436" t="str">
        <f>IF(AND('Mapa final NC'!$H$37="Media",'Mapa final NC'!$L$37="Catastrófico"),CONCATENATE("R",'Mapa final NC'!$A$37),"")</f>
        <v/>
      </c>
      <c r="AI24" s="437"/>
      <c r="AJ24" s="437" t="str">
        <f>IF(AND('Mapa final NC'!$H$38="Media",'Mapa final NC'!$L$38="Catastrófico"),CONCATENATE("R",'Mapa final NC'!$A$38),"")</f>
        <v/>
      </c>
      <c r="AK24" s="437"/>
      <c r="AL24" s="437" t="str">
        <f>IF(AND('Mapa final NC'!$H$39="Media",'Mapa final NC'!$L$39="Catastrófico"),CONCATENATE("R",'Mapa final NC'!$A$39),"")</f>
        <v/>
      </c>
      <c r="AM24" s="438"/>
      <c r="AN24" s="82"/>
      <c r="AO24" s="401"/>
      <c r="AP24" s="402"/>
      <c r="AQ24" s="402"/>
      <c r="AR24" s="402"/>
      <c r="AS24" s="402"/>
      <c r="AT24" s="403"/>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78"/>
      <c r="C25" s="378"/>
      <c r="D25" s="379"/>
      <c r="E25" s="419"/>
      <c r="F25" s="420"/>
      <c r="G25" s="420"/>
      <c r="H25" s="420"/>
      <c r="I25" s="421"/>
      <c r="J25" s="445"/>
      <c r="K25" s="446"/>
      <c r="L25" s="446"/>
      <c r="M25" s="446"/>
      <c r="N25" s="446"/>
      <c r="O25" s="447"/>
      <c r="P25" s="445"/>
      <c r="Q25" s="446"/>
      <c r="R25" s="446"/>
      <c r="S25" s="446"/>
      <c r="T25" s="446"/>
      <c r="U25" s="447"/>
      <c r="V25" s="445"/>
      <c r="W25" s="446"/>
      <c r="X25" s="446"/>
      <c r="Y25" s="446"/>
      <c r="Z25" s="446"/>
      <c r="AA25" s="447"/>
      <c r="AB25" s="429"/>
      <c r="AC25" s="425"/>
      <c r="AD25" s="425"/>
      <c r="AE25" s="425"/>
      <c r="AF25" s="425"/>
      <c r="AG25" s="426"/>
      <c r="AH25" s="436"/>
      <c r="AI25" s="437"/>
      <c r="AJ25" s="437"/>
      <c r="AK25" s="437"/>
      <c r="AL25" s="437"/>
      <c r="AM25" s="438"/>
      <c r="AN25" s="82"/>
      <c r="AO25" s="401"/>
      <c r="AP25" s="402"/>
      <c r="AQ25" s="402"/>
      <c r="AR25" s="402"/>
      <c r="AS25" s="402"/>
      <c r="AT25" s="403"/>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78"/>
      <c r="C26" s="378"/>
      <c r="D26" s="379"/>
      <c r="E26" s="419"/>
      <c r="F26" s="420"/>
      <c r="G26" s="420"/>
      <c r="H26" s="420"/>
      <c r="I26" s="421"/>
      <c r="J26" s="445" t="str">
        <f>IF(AND('Mapa final NC'!$H$40="Media",'Mapa final NC'!$L$40="Leve"),CONCATENATE("R",'Mapa final NC'!$A$40),"")</f>
        <v>R7</v>
      </c>
      <c r="K26" s="446"/>
      <c r="L26" s="446" t="str">
        <f>IF(AND('Mapa final NC'!$H$42="Media",'Mapa final NC'!$L$42="Leve"),CONCATENATE("R",'Mapa final NC'!$A$42),"")</f>
        <v/>
      </c>
      <c r="M26" s="446"/>
      <c r="N26" s="446" t="str">
        <f>IF(AND('Mapa final NC'!$H$43="Media",'Mapa final NC'!$L$43="Leve"),CONCATENATE("R",'Mapa final NC'!$A$43),"")</f>
        <v/>
      </c>
      <c r="O26" s="447"/>
      <c r="P26" s="445" t="str">
        <f>IF(AND('Mapa final NC'!$H$40="Media",'Mapa final NC'!$L$40="Menor"),CONCATENATE("R",'Mapa final NC'!$A$40),"")</f>
        <v/>
      </c>
      <c r="Q26" s="446"/>
      <c r="R26" s="446" t="str">
        <f>IF(AND('Mapa final NC'!$H$42="Media",'Mapa final NC'!$L$42="Menor"),CONCATENATE("R",'Mapa final NC'!$A$42),"")</f>
        <v/>
      </c>
      <c r="S26" s="446"/>
      <c r="T26" s="446" t="str">
        <f>IF(AND('Mapa final NC'!$H$43="Media",'Mapa final NC'!$L$43="Menor"),CONCATENATE("R",'Mapa final NC'!$A$43),"")</f>
        <v/>
      </c>
      <c r="U26" s="447"/>
      <c r="V26" s="445" t="str">
        <f>IF(AND('Mapa final NC'!$H$40="Media",'Mapa final NC'!$L$40="Moderado"),CONCATENATE("R",'Mapa final NC'!$A$40),"")</f>
        <v/>
      </c>
      <c r="W26" s="446"/>
      <c r="X26" s="446" t="str">
        <f>IF(AND('Mapa final NC'!$H$42="Media",'Mapa final NC'!$L$42="Moderado"),CONCATENATE("R",'Mapa final NC'!$A$42),"")</f>
        <v/>
      </c>
      <c r="Y26" s="446"/>
      <c r="Z26" s="446" t="str">
        <f>IF(AND('Mapa final NC'!$H$43="Media",'Mapa final NC'!$L$43="Moderado"),CONCATENATE("R",'Mapa final NC'!$A$43),"")</f>
        <v/>
      </c>
      <c r="AA26" s="447"/>
      <c r="AB26" s="429" t="str">
        <f>IF(AND('Mapa final NC'!$H$40="Media",'Mapa final NC'!$L$40="Mayor"),CONCATENATE("R",'Mapa final NC'!$A$40),"")</f>
        <v/>
      </c>
      <c r="AC26" s="425"/>
      <c r="AD26" s="425" t="str">
        <f>IF(AND('Mapa final NC'!$H$42="Media",'Mapa final NC'!$L$42="Mayor"),CONCATENATE("R",'Mapa final NC'!$A$42),"")</f>
        <v/>
      </c>
      <c r="AE26" s="425"/>
      <c r="AF26" s="425" t="str">
        <f>IF(AND('Mapa final NC'!$H$43="Media",'Mapa final NC'!$L$43="Mayor"),CONCATENATE("R",'Mapa final NC'!$A$43),"")</f>
        <v/>
      </c>
      <c r="AG26" s="426"/>
      <c r="AH26" s="436" t="str">
        <f>IF(AND('Mapa final NC'!$H$40="Media",'Mapa final NC'!$L$40="Catastrófico"),CONCATENATE("R",'Mapa final NC'!$A$40),"")</f>
        <v/>
      </c>
      <c r="AI26" s="437"/>
      <c r="AJ26" s="437" t="str">
        <f>IF(AND('Mapa final NC'!$H$42="Media",'Mapa final NC'!$L$42="Catastrófico"),CONCATENATE("R",'Mapa final NC'!$A$42),"")</f>
        <v/>
      </c>
      <c r="AK26" s="437"/>
      <c r="AL26" s="437" t="str">
        <f>IF(AND('Mapa final NC'!$H$43="Media",'Mapa final NC'!$L$43="Catastrófico"),CONCATENATE("R",'Mapa final NC'!$A$43),"")</f>
        <v/>
      </c>
      <c r="AM26" s="438"/>
      <c r="AN26" s="82"/>
      <c r="AO26" s="401"/>
      <c r="AP26" s="402"/>
      <c r="AQ26" s="402"/>
      <c r="AR26" s="402"/>
      <c r="AS26" s="402"/>
      <c r="AT26" s="403"/>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78"/>
      <c r="C27" s="378"/>
      <c r="D27" s="379"/>
      <c r="E27" s="419"/>
      <c r="F27" s="420"/>
      <c r="G27" s="420"/>
      <c r="H27" s="420"/>
      <c r="I27" s="421"/>
      <c r="J27" s="445"/>
      <c r="K27" s="446"/>
      <c r="L27" s="446"/>
      <c r="M27" s="446"/>
      <c r="N27" s="446"/>
      <c r="O27" s="447"/>
      <c r="P27" s="445"/>
      <c r="Q27" s="446"/>
      <c r="R27" s="446"/>
      <c r="S27" s="446"/>
      <c r="T27" s="446"/>
      <c r="U27" s="447"/>
      <c r="V27" s="445"/>
      <c r="W27" s="446"/>
      <c r="X27" s="446"/>
      <c r="Y27" s="446"/>
      <c r="Z27" s="446"/>
      <c r="AA27" s="447"/>
      <c r="AB27" s="429"/>
      <c r="AC27" s="425"/>
      <c r="AD27" s="425"/>
      <c r="AE27" s="425"/>
      <c r="AF27" s="425"/>
      <c r="AG27" s="426"/>
      <c r="AH27" s="436"/>
      <c r="AI27" s="437"/>
      <c r="AJ27" s="437"/>
      <c r="AK27" s="437"/>
      <c r="AL27" s="437"/>
      <c r="AM27" s="438"/>
      <c r="AN27" s="82"/>
      <c r="AO27" s="401"/>
      <c r="AP27" s="402"/>
      <c r="AQ27" s="402"/>
      <c r="AR27" s="402"/>
      <c r="AS27" s="402"/>
      <c r="AT27" s="403"/>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78"/>
      <c r="C28" s="378"/>
      <c r="D28" s="379"/>
      <c r="E28" s="419"/>
      <c r="F28" s="420"/>
      <c r="G28" s="420"/>
      <c r="H28" s="420"/>
      <c r="I28" s="421"/>
      <c r="J28" s="445" t="str">
        <f>IF(AND('Mapa final NC'!$H$45="Media",'Mapa final NC'!$L$45="Leve"),CONCATENATE("R",'Mapa final NC'!$A$45),"")</f>
        <v/>
      </c>
      <c r="K28" s="446"/>
      <c r="L28" s="446" t="str">
        <f>IF(AND('Mapa final NC'!$H$56="Media",'Mapa final NC'!$L$56="Leve"),CONCATENATE("R",'Mapa final NC'!$A$56),"")</f>
        <v/>
      </c>
      <c r="M28" s="446"/>
      <c r="N28" s="446" t="str">
        <f>IF(AND('Mapa final NC'!$H$62="Media",'Mapa final NC'!$L$62="Leve"),CONCATENATE("R",'Mapa final NC'!$A$62),"")</f>
        <v/>
      </c>
      <c r="O28" s="447"/>
      <c r="P28" s="445" t="str">
        <f>IF(AND('Mapa final NC'!$H$45="Media",'Mapa final NC'!$L$45="Menor"),CONCATENATE("R",'Mapa final NC'!$A$45),"")</f>
        <v/>
      </c>
      <c r="Q28" s="446"/>
      <c r="R28" s="446" t="str">
        <f>IF(AND('Mapa final NC'!$H$56="Media",'Mapa final NC'!$L$56="Menor"),CONCATENATE("R",'Mapa final NC'!$A$56),"")</f>
        <v/>
      </c>
      <c r="S28" s="446"/>
      <c r="T28" s="446" t="str">
        <f>IF(AND('Mapa final NC'!$H$62="Media",'Mapa final NC'!$L$62="Menor"),CONCATENATE("R",'Mapa final NC'!$A$62),"")</f>
        <v/>
      </c>
      <c r="U28" s="447"/>
      <c r="V28" s="445" t="str">
        <f>IF(AND('Mapa final NC'!$H$45="Media",'Mapa final NC'!$L$45="Moderado"),CONCATENATE("R",'Mapa final NC'!$A$45),"")</f>
        <v/>
      </c>
      <c r="W28" s="446"/>
      <c r="X28" s="446" t="str">
        <f>IF(AND('Mapa final NC'!$H$56="Media",'Mapa final NC'!$L$56="Moderado"),CONCATENATE("R",'Mapa final NC'!$A$56),"")</f>
        <v/>
      </c>
      <c r="Y28" s="446"/>
      <c r="Z28" s="446" t="str">
        <f>IF(AND('Mapa final NC'!$H$62="Media",'Mapa final NC'!$L$62="Moderado"),CONCATENATE("R",'Mapa final NC'!$A$62),"")</f>
        <v/>
      </c>
      <c r="AA28" s="447"/>
      <c r="AB28" s="429" t="str">
        <f>IF(AND('Mapa final NC'!$H$45="Media",'Mapa final NC'!$L$45="Mayor"),CONCATENATE("R",'Mapa final NC'!$A$45),"")</f>
        <v/>
      </c>
      <c r="AC28" s="425"/>
      <c r="AD28" s="425" t="str">
        <f>IF(AND('Mapa final NC'!$H$56="Media",'Mapa final NC'!$L$56="Mayor"),CONCATENATE("R",'Mapa final NC'!$A$56),"")</f>
        <v/>
      </c>
      <c r="AE28" s="425"/>
      <c r="AF28" s="425" t="str">
        <f>IF(AND('Mapa final NC'!$H$62="Media",'Mapa final NC'!$L$62="Mayor"),CONCATENATE("R",'Mapa final NC'!$A$62),"")</f>
        <v/>
      </c>
      <c r="AG28" s="426"/>
      <c r="AH28" s="436" t="str">
        <f>IF(AND('Mapa final NC'!$H$45="Media",'Mapa final NC'!$L$45="Catastrófico"),CONCATENATE("R",'Mapa final NC'!$A$45),"")</f>
        <v/>
      </c>
      <c r="AI28" s="437"/>
      <c r="AJ28" s="437" t="str">
        <f>IF(AND('Mapa final NC'!$H$56="Media",'Mapa final NC'!$L$56="Catastrófico"),CONCATENATE("R",'Mapa final NC'!$A$56),"")</f>
        <v/>
      </c>
      <c r="AK28" s="437"/>
      <c r="AL28" s="437" t="str">
        <f>IF(AND('Mapa final NC'!$H$62="Media",'Mapa final NC'!$L$62="Catastrófico"),CONCATENATE("R",'Mapa final NC'!$A$62),"")</f>
        <v/>
      </c>
      <c r="AM28" s="438"/>
      <c r="AN28" s="82"/>
      <c r="AO28" s="401"/>
      <c r="AP28" s="402"/>
      <c r="AQ28" s="402"/>
      <c r="AR28" s="402"/>
      <c r="AS28" s="402"/>
      <c r="AT28" s="403"/>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78"/>
      <c r="C29" s="378"/>
      <c r="D29" s="379"/>
      <c r="E29" s="422"/>
      <c r="F29" s="423"/>
      <c r="G29" s="423"/>
      <c r="H29" s="423"/>
      <c r="I29" s="424"/>
      <c r="J29" s="445"/>
      <c r="K29" s="446"/>
      <c r="L29" s="446"/>
      <c r="M29" s="446"/>
      <c r="N29" s="446"/>
      <c r="O29" s="447"/>
      <c r="P29" s="448"/>
      <c r="Q29" s="449"/>
      <c r="R29" s="449"/>
      <c r="S29" s="449"/>
      <c r="T29" s="449"/>
      <c r="U29" s="450"/>
      <c r="V29" s="448"/>
      <c r="W29" s="449"/>
      <c r="X29" s="449"/>
      <c r="Y29" s="449"/>
      <c r="Z29" s="449"/>
      <c r="AA29" s="450"/>
      <c r="AB29" s="433"/>
      <c r="AC29" s="434"/>
      <c r="AD29" s="434"/>
      <c r="AE29" s="434"/>
      <c r="AF29" s="434"/>
      <c r="AG29" s="435"/>
      <c r="AH29" s="439"/>
      <c r="AI29" s="440"/>
      <c r="AJ29" s="440"/>
      <c r="AK29" s="440"/>
      <c r="AL29" s="440"/>
      <c r="AM29" s="441"/>
      <c r="AN29" s="82"/>
      <c r="AO29" s="404"/>
      <c r="AP29" s="405"/>
      <c r="AQ29" s="405"/>
      <c r="AR29" s="405"/>
      <c r="AS29" s="405"/>
      <c r="AT29" s="406"/>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78"/>
      <c r="C30" s="378"/>
      <c r="D30" s="379"/>
      <c r="E30" s="416" t="s">
        <v>98</v>
      </c>
      <c r="F30" s="417"/>
      <c r="G30" s="417"/>
      <c r="H30" s="417"/>
      <c r="I30" s="417"/>
      <c r="J30" s="460" t="str">
        <f>IF(AND('Mapa final NC'!$H$30="Baja",'Mapa final NC'!$L$30="Leve"),CONCATENATE("R",'Mapa final NC'!$A$30),"")</f>
        <v/>
      </c>
      <c r="K30" s="461"/>
      <c r="L30" s="461" t="str">
        <f>IF(AND('Mapa final NC'!$H$31="Baja",'Mapa final NC'!$L$31="Leve"),CONCATENATE("R",'Mapa final NC'!$A$31),"")</f>
        <v/>
      </c>
      <c r="M30" s="461"/>
      <c r="N30" s="461" t="str">
        <f>IF(AND('Mapa final NC'!$H$34="Baja",'Mapa final NC'!$L$34="Leve"),CONCATENATE("R",'Mapa final NC'!$A$34),"")</f>
        <v/>
      </c>
      <c r="O30" s="462"/>
      <c r="P30" s="452" t="str">
        <f>IF(AND('Mapa final NC'!$H$30="Baja",'Mapa final NC'!$L$30="Menor"),CONCATENATE("R",'Mapa final NC'!$A$30),"")</f>
        <v/>
      </c>
      <c r="Q30" s="452"/>
      <c r="R30" s="452" t="str">
        <f>IF(AND('Mapa final NC'!$H$31="Baja",'Mapa final NC'!$L$31="Menor"),CONCATENATE("R",'Mapa final NC'!$A$31),"")</f>
        <v/>
      </c>
      <c r="S30" s="452"/>
      <c r="T30" s="452" t="str">
        <f>IF(AND('Mapa final NC'!$H$34="Baja",'Mapa final NC'!$L$34="Menor"),CONCATENATE("R",'Mapa final NC'!$A$34),"")</f>
        <v/>
      </c>
      <c r="U30" s="453"/>
      <c r="V30" s="451" t="str">
        <f>IF(AND('Mapa final NC'!$H$30="Baja",'Mapa final NC'!$L$30="Moderado"),CONCATENATE("R",'Mapa final NC'!$A$30),"")</f>
        <v/>
      </c>
      <c r="W30" s="452"/>
      <c r="X30" s="452" t="str">
        <f>IF(AND('Mapa final NC'!$H$31="Baja",'Mapa final NC'!$L$31="Moderado"),CONCATENATE("R",'Mapa final NC'!$A$31),"")</f>
        <v/>
      </c>
      <c r="Y30" s="452"/>
      <c r="Z30" s="452" t="str">
        <f>IF(AND('Mapa final NC'!$H$34="Baja",'Mapa final NC'!$L$34="Moderado"),CONCATENATE("R",'Mapa final NC'!$A$34),"")</f>
        <v>R3</v>
      </c>
      <c r="AA30" s="453"/>
      <c r="AB30" s="427" t="str">
        <f>IF(AND('Mapa final NC'!$H$30="Baja",'Mapa final NC'!$L$30="Mayor"),CONCATENATE("R",'Mapa final NC'!$A$30),"")</f>
        <v/>
      </c>
      <c r="AC30" s="428"/>
      <c r="AD30" s="428" t="str">
        <f>IF(AND('Mapa final NC'!$H$31="Baja",'Mapa final NC'!$L$31="Mayor"),CONCATENATE("R",'Mapa final NC'!$A$31),"")</f>
        <v/>
      </c>
      <c r="AE30" s="428"/>
      <c r="AF30" s="428" t="str">
        <f>IF(AND('Mapa final NC'!$H$34="Baja",'Mapa final NC'!$L$34="Mayor"),CONCATENATE("R",'Mapa final NC'!$A$34),"")</f>
        <v/>
      </c>
      <c r="AG30" s="430"/>
      <c r="AH30" s="442" t="str">
        <f>IF(AND('Mapa final NC'!$H$30="Baja",'Mapa final NC'!$L$30="Catastrófico"),CONCATENATE("R",'Mapa final NC'!$A$30),"")</f>
        <v/>
      </c>
      <c r="AI30" s="443"/>
      <c r="AJ30" s="443" t="str">
        <f>IF(AND('Mapa final NC'!$H$31="Baja",'Mapa final NC'!$L$31="Catastrófico"),CONCATENATE("R",'Mapa final NC'!$A$31),"")</f>
        <v/>
      </c>
      <c r="AK30" s="443"/>
      <c r="AL30" s="443" t="str">
        <f>IF(AND('Mapa final NC'!$H$34="Baja",'Mapa final NC'!$L$34="Catastrófico"),CONCATENATE("R",'Mapa final NC'!$A$34),"")</f>
        <v/>
      </c>
      <c r="AM30" s="444"/>
      <c r="AN30" s="82"/>
      <c r="AO30" s="407" t="s">
        <v>99</v>
      </c>
      <c r="AP30" s="408"/>
      <c r="AQ30" s="408"/>
      <c r="AR30" s="408"/>
      <c r="AS30" s="408"/>
      <c r="AT30" s="409"/>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78"/>
      <c r="C31" s="378"/>
      <c r="D31" s="379"/>
      <c r="E31" s="419"/>
      <c r="F31" s="420"/>
      <c r="G31" s="420"/>
      <c r="H31" s="420"/>
      <c r="I31" s="420"/>
      <c r="J31" s="456"/>
      <c r="K31" s="454"/>
      <c r="L31" s="454"/>
      <c r="M31" s="454"/>
      <c r="N31" s="454"/>
      <c r="O31" s="455"/>
      <c r="P31" s="446"/>
      <c r="Q31" s="446"/>
      <c r="R31" s="446"/>
      <c r="S31" s="446"/>
      <c r="T31" s="446"/>
      <c r="U31" s="447"/>
      <c r="V31" s="445"/>
      <c r="W31" s="446"/>
      <c r="X31" s="446"/>
      <c r="Y31" s="446"/>
      <c r="Z31" s="446"/>
      <c r="AA31" s="447"/>
      <c r="AB31" s="429"/>
      <c r="AC31" s="425"/>
      <c r="AD31" s="425"/>
      <c r="AE31" s="425"/>
      <c r="AF31" s="425"/>
      <c r="AG31" s="426"/>
      <c r="AH31" s="436"/>
      <c r="AI31" s="437"/>
      <c r="AJ31" s="437"/>
      <c r="AK31" s="437"/>
      <c r="AL31" s="437"/>
      <c r="AM31" s="438"/>
      <c r="AN31" s="82"/>
      <c r="AO31" s="410"/>
      <c r="AP31" s="411"/>
      <c r="AQ31" s="411"/>
      <c r="AR31" s="411"/>
      <c r="AS31" s="411"/>
      <c r="AT31" s="41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78"/>
      <c r="C32" s="378"/>
      <c r="D32" s="379"/>
      <c r="E32" s="419"/>
      <c r="F32" s="420"/>
      <c r="G32" s="420"/>
      <c r="H32" s="420"/>
      <c r="I32" s="420"/>
      <c r="J32" s="456" t="str">
        <f>IF(AND('Mapa final NC'!$H$37="Baja",'Mapa final NC'!$L$37="Leve"),CONCATENATE("R",'Mapa final NC'!$A$37),"")</f>
        <v/>
      </c>
      <c r="K32" s="454"/>
      <c r="L32" s="454" t="str">
        <f>IF(AND('Mapa final NC'!$H$38="Baja",'Mapa final NC'!$L$38="Leve"),CONCATENATE("R",'Mapa final NC'!$A$38),"")</f>
        <v/>
      </c>
      <c r="M32" s="454"/>
      <c r="N32" s="454" t="str">
        <f>IF(AND('Mapa final NC'!$H$39="Baja",'Mapa final NC'!$L$39="Leve"),CONCATENATE("R",'Mapa final NC'!$A$39),"")</f>
        <v/>
      </c>
      <c r="O32" s="455"/>
      <c r="P32" s="446" t="str">
        <f>IF(AND('Mapa final NC'!$H$37="Baja",'Mapa final NC'!$L$37="Menor"),CONCATENATE("R",'Mapa final NC'!$A$37),"")</f>
        <v/>
      </c>
      <c r="Q32" s="446"/>
      <c r="R32" s="446" t="str">
        <f>IF(AND('Mapa final NC'!$H$38="Baja",'Mapa final NC'!$L$38="Menor"),CONCATENATE("R",'Mapa final NC'!$A$38),"")</f>
        <v/>
      </c>
      <c r="S32" s="446"/>
      <c r="T32" s="446" t="str">
        <f>IF(AND('Mapa final NC'!$H$39="Baja",'Mapa final NC'!$L$39="Menor"),CONCATENATE("R",'Mapa final NC'!$A$39),"")</f>
        <v/>
      </c>
      <c r="U32" s="447"/>
      <c r="V32" s="445" t="str">
        <f>IF(AND('Mapa final NC'!$H$37="Baja",'Mapa final NC'!$L$37="Moderado"),CONCATENATE("R",'Mapa final NC'!$A$37),"")</f>
        <v/>
      </c>
      <c r="W32" s="446"/>
      <c r="X32" s="446" t="str">
        <f>IF(AND('Mapa final NC'!$H$38="Baja",'Mapa final NC'!$L$38="Moderado"),CONCATENATE("R",'Mapa final NC'!$A$38),"")</f>
        <v/>
      </c>
      <c r="Y32" s="446"/>
      <c r="Z32" s="446" t="str">
        <f>IF(AND('Mapa final NC'!$H$39="Baja",'Mapa final NC'!$L$39="Moderado"),CONCATENATE("R",'Mapa final NC'!$A$39),"")</f>
        <v/>
      </c>
      <c r="AA32" s="447"/>
      <c r="AB32" s="429" t="str">
        <f>IF(AND('Mapa final NC'!$H$37="Baja",'Mapa final NC'!$L$37="Mayor"),CONCATENATE("R",'Mapa final NC'!$A$37),"")</f>
        <v/>
      </c>
      <c r="AC32" s="425"/>
      <c r="AD32" s="425" t="str">
        <f>IF(AND('Mapa final NC'!$H$38="Baja",'Mapa final NC'!$L$38="Mayor"),CONCATENATE("R",'Mapa final NC'!$A$38),"")</f>
        <v/>
      </c>
      <c r="AE32" s="425"/>
      <c r="AF32" s="425" t="str">
        <f>IF(AND('Mapa final NC'!$H$39="Baja",'Mapa final NC'!$L$39="Mayor"),CONCATENATE("R",'Mapa final NC'!$A$39),"")</f>
        <v/>
      </c>
      <c r="AG32" s="426"/>
      <c r="AH32" s="436" t="str">
        <f>IF(AND('Mapa final NC'!$H$37="Baja",'Mapa final NC'!$L$37="Catastrófico"),CONCATENATE("R",'Mapa final NC'!$A$37),"")</f>
        <v/>
      </c>
      <c r="AI32" s="437"/>
      <c r="AJ32" s="437" t="str">
        <f>IF(AND('Mapa final NC'!$H$38="Baja",'Mapa final NC'!$L$38="Catastrófico"),CONCATENATE("R",'Mapa final NC'!$A$38),"")</f>
        <v/>
      </c>
      <c r="AK32" s="437"/>
      <c r="AL32" s="437" t="str">
        <f>IF(AND('Mapa final NC'!$H$39="Baja",'Mapa final NC'!$L$39="Catastrófico"),CONCATENATE("R",'Mapa final NC'!$A$39),"")</f>
        <v/>
      </c>
      <c r="AM32" s="438"/>
      <c r="AN32" s="82"/>
      <c r="AO32" s="410"/>
      <c r="AP32" s="411"/>
      <c r="AQ32" s="411"/>
      <c r="AR32" s="411"/>
      <c r="AS32" s="411"/>
      <c r="AT32" s="41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78"/>
      <c r="C33" s="378"/>
      <c r="D33" s="379"/>
      <c r="E33" s="419"/>
      <c r="F33" s="420"/>
      <c r="G33" s="420"/>
      <c r="H33" s="420"/>
      <c r="I33" s="420"/>
      <c r="J33" s="456"/>
      <c r="K33" s="454"/>
      <c r="L33" s="454"/>
      <c r="M33" s="454"/>
      <c r="N33" s="454"/>
      <c r="O33" s="455"/>
      <c r="P33" s="446"/>
      <c r="Q33" s="446"/>
      <c r="R33" s="446"/>
      <c r="S33" s="446"/>
      <c r="T33" s="446"/>
      <c r="U33" s="447"/>
      <c r="V33" s="445"/>
      <c r="W33" s="446"/>
      <c r="X33" s="446"/>
      <c r="Y33" s="446"/>
      <c r="Z33" s="446"/>
      <c r="AA33" s="447"/>
      <c r="AB33" s="429"/>
      <c r="AC33" s="425"/>
      <c r="AD33" s="425"/>
      <c r="AE33" s="425"/>
      <c r="AF33" s="425"/>
      <c r="AG33" s="426"/>
      <c r="AH33" s="436"/>
      <c r="AI33" s="437"/>
      <c r="AJ33" s="437"/>
      <c r="AK33" s="437"/>
      <c r="AL33" s="437"/>
      <c r="AM33" s="438"/>
      <c r="AN33" s="82"/>
      <c r="AO33" s="410"/>
      <c r="AP33" s="411"/>
      <c r="AQ33" s="411"/>
      <c r="AR33" s="411"/>
      <c r="AS33" s="411"/>
      <c r="AT33" s="41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78"/>
      <c r="C34" s="378"/>
      <c r="D34" s="379"/>
      <c r="E34" s="419"/>
      <c r="F34" s="420"/>
      <c r="G34" s="420"/>
      <c r="H34" s="420"/>
      <c r="I34" s="420"/>
      <c r="J34" s="456" t="str">
        <f>IF(AND('Mapa final NC'!$H$40="Baja",'Mapa final NC'!$L$40="Leve"),CONCATENATE("R",'Mapa final NC'!$A$40),"")</f>
        <v/>
      </c>
      <c r="K34" s="454"/>
      <c r="L34" s="454" t="str">
        <f>IF(AND('Mapa final NC'!$H$42="Baja",'Mapa final NC'!$L$42="Leve"),CONCATENATE("R",'Mapa final NC'!$A$42),"")</f>
        <v/>
      </c>
      <c r="M34" s="454"/>
      <c r="N34" s="454" t="str">
        <f>IF(AND('Mapa final NC'!$H$43="Baja",'Mapa final NC'!$L$43="Leve"),CONCATENATE("R",'Mapa final NC'!$A$43),"")</f>
        <v/>
      </c>
      <c r="O34" s="455"/>
      <c r="P34" s="446" t="str">
        <f>IF(AND('Mapa final NC'!$H$40="Baja",'Mapa final NC'!$L$40="Menor"),CONCATENATE("R",'Mapa final NC'!$A$40),"")</f>
        <v/>
      </c>
      <c r="Q34" s="446"/>
      <c r="R34" s="446" t="str">
        <f>IF(AND('Mapa final NC'!$H$42="Baja",'Mapa final NC'!$L$42="Menor"),CONCATENATE("R",'Mapa final NC'!$A$42),"")</f>
        <v/>
      </c>
      <c r="S34" s="446"/>
      <c r="T34" s="446" t="str">
        <f>IF(AND('Mapa final NC'!$H$43="Baja",'Mapa final NC'!$L$43="Menor"),CONCATENATE("R",'Mapa final NC'!$A$43),"")</f>
        <v/>
      </c>
      <c r="U34" s="447"/>
      <c r="V34" s="445" t="str">
        <f>IF(AND('Mapa final NC'!$H$40="Baja",'Mapa final NC'!$L$40="Moderado"),CONCATENATE("R",'Mapa final NC'!$A$40),"")</f>
        <v/>
      </c>
      <c r="W34" s="446"/>
      <c r="X34" s="446" t="str">
        <f>IF(AND('Mapa final NC'!$H$42="Baja",'Mapa final NC'!$L$42="Moderado"),CONCATENATE("R",'Mapa final NC'!$A$42),"")</f>
        <v>R8</v>
      </c>
      <c r="Y34" s="446"/>
      <c r="Z34" s="446" t="str">
        <f>IF(AND('Mapa final NC'!$H$43="Baja",'Mapa final NC'!$L$43="Moderado"),CONCATENATE("R",'Mapa final NC'!$A$43),"")</f>
        <v/>
      </c>
      <c r="AA34" s="447"/>
      <c r="AB34" s="429" t="str">
        <f>IF(AND('Mapa final NC'!$H$40="Baja",'Mapa final NC'!$L$40="Mayor"),CONCATENATE("R",'Mapa final NC'!$A$40),"")</f>
        <v/>
      </c>
      <c r="AC34" s="425"/>
      <c r="AD34" s="425" t="str">
        <f>IF(AND('Mapa final NC'!$H$42="Baja",'Mapa final NC'!$L$42="Mayor"),CONCATENATE("R",'Mapa final NC'!$A$42),"")</f>
        <v/>
      </c>
      <c r="AE34" s="425"/>
      <c r="AF34" s="425" t="str">
        <f>IF(AND('Mapa final NC'!$H$43="Baja",'Mapa final NC'!$L$43="Mayor"),CONCATENATE("R",'Mapa final NC'!$A$43),"")</f>
        <v/>
      </c>
      <c r="AG34" s="426"/>
      <c r="AH34" s="436" t="str">
        <f>IF(AND('Mapa final NC'!$H$40="Baja",'Mapa final NC'!$L$40="Catastrófico"),CONCATENATE("R",'Mapa final NC'!$A$40),"")</f>
        <v/>
      </c>
      <c r="AI34" s="437"/>
      <c r="AJ34" s="437" t="str">
        <f>IF(AND('Mapa final NC'!$H$42="Baja",'Mapa final NC'!$L$42="Catastrófico"),CONCATENATE("R",'Mapa final NC'!$A$42),"")</f>
        <v/>
      </c>
      <c r="AK34" s="437"/>
      <c r="AL34" s="437" t="str">
        <f>IF(AND('Mapa final NC'!$H$43="Baja",'Mapa final NC'!$L$43="Catastrófico"),CONCATENATE("R",'Mapa final NC'!$A$43),"")</f>
        <v/>
      </c>
      <c r="AM34" s="438"/>
      <c r="AN34" s="82"/>
      <c r="AO34" s="410"/>
      <c r="AP34" s="411"/>
      <c r="AQ34" s="411"/>
      <c r="AR34" s="411"/>
      <c r="AS34" s="411"/>
      <c r="AT34" s="41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78"/>
      <c r="C35" s="378"/>
      <c r="D35" s="379"/>
      <c r="E35" s="419"/>
      <c r="F35" s="420"/>
      <c r="G35" s="420"/>
      <c r="H35" s="420"/>
      <c r="I35" s="420"/>
      <c r="J35" s="456"/>
      <c r="K35" s="454"/>
      <c r="L35" s="454"/>
      <c r="M35" s="454"/>
      <c r="N35" s="454"/>
      <c r="O35" s="455"/>
      <c r="P35" s="446"/>
      <c r="Q35" s="446"/>
      <c r="R35" s="446"/>
      <c r="S35" s="446"/>
      <c r="T35" s="446"/>
      <c r="U35" s="447"/>
      <c r="V35" s="445"/>
      <c r="W35" s="446"/>
      <c r="X35" s="446"/>
      <c r="Y35" s="446"/>
      <c r="Z35" s="446"/>
      <c r="AA35" s="447"/>
      <c r="AB35" s="429"/>
      <c r="AC35" s="425"/>
      <c r="AD35" s="425"/>
      <c r="AE35" s="425"/>
      <c r="AF35" s="425"/>
      <c r="AG35" s="426"/>
      <c r="AH35" s="436"/>
      <c r="AI35" s="437"/>
      <c r="AJ35" s="437"/>
      <c r="AK35" s="437"/>
      <c r="AL35" s="437"/>
      <c r="AM35" s="438"/>
      <c r="AN35" s="82"/>
      <c r="AO35" s="410"/>
      <c r="AP35" s="411"/>
      <c r="AQ35" s="411"/>
      <c r="AR35" s="411"/>
      <c r="AS35" s="411"/>
      <c r="AT35" s="41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78"/>
      <c r="C36" s="378"/>
      <c r="D36" s="379"/>
      <c r="E36" s="419"/>
      <c r="F36" s="420"/>
      <c r="G36" s="420"/>
      <c r="H36" s="420"/>
      <c r="I36" s="420"/>
      <c r="J36" s="456" t="str">
        <f>IF(AND('Mapa final NC'!$H$45="Baja",'Mapa final NC'!$L$45="Leve"),CONCATENATE("R",'Mapa final NC'!$A$45),"")</f>
        <v/>
      </c>
      <c r="K36" s="454"/>
      <c r="L36" s="454" t="str">
        <f>IF(AND('Mapa final NC'!$H$56="Baja",'Mapa final NC'!$L$56="Leve"),CONCATENATE("R",'Mapa final NC'!$A$56),"")</f>
        <v/>
      </c>
      <c r="M36" s="454"/>
      <c r="N36" s="454" t="str">
        <f>IF(AND('Mapa final NC'!$H$62="Baja",'Mapa final NC'!$L$62="Leve"),CONCATENATE("R",'Mapa final NC'!$A$62),"")</f>
        <v/>
      </c>
      <c r="O36" s="455"/>
      <c r="P36" s="446" t="str">
        <f>IF(AND('Mapa final NC'!$H$45="Baja",'Mapa final NC'!$L$45="Menor"),CONCATENATE("R",'Mapa final NC'!$A$45),"")</f>
        <v/>
      </c>
      <c r="Q36" s="446"/>
      <c r="R36" s="446" t="str">
        <f>IF(AND('Mapa final NC'!$H$56="Baja",'Mapa final NC'!$L$56="Menor"),CONCATENATE("R",'Mapa final NC'!$A$56),"")</f>
        <v/>
      </c>
      <c r="S36" s="446"/>
      <c r="T36" s="446" t="str">
        <f>IF(AND('Mapa final NC'!$H$62="Baja",'Mapa final NC'!$L$62="Menor"),CONCATENATE("R",'Mapa final NC'!$A$62),"")</f>
        <v/>
      </c>
      <c r="U36" s="447"/>
      <c r="V36" s="445" t="str">
        <f>IF(AND('Mapa final NC'!$H$45="Baja",'Mapa final NC'!$L$45="Moderado"),CONCATENATE("R",'Mapa final NC'!$A$45),"")</f>
        <v/>
      </c>
      <c r="W36" s="446"/>
      <c r="X36" s="446" t="str">
        <f>IF(AND('Mapa final NC'!$H$56="Baja",'Mapa final NC'!$L$56="Moderado"),CONCATENATE("R",'Mapa final NC'!$A$56),"")</f>
        <v/>
      </c>
      <c r="Y36" s="446"/>
      <c r="Z36" s="446" t="str">
        <f>IF(AND('Mapa final NC'!$H$62="Baja",'Mapa final NC'!$L$62="Moderado"),CONCATENATE("R",'Mapa final NC'!$A$62),"")</f>
        <v/>
      </c>
      <c r="AA36" s="447"/>
      <c r="AB36" s="429" t="str">
        <f>IF(AND('Mapa final NC'!$H$45="Baja",'Mapa final NC'!$L$45="Mayor"),CONCATENATE("R",'Mapa final NC'!$A$45),"")</f>
        <v/>
      </c>
      <c r="AC36" s="425"/>
      <c r="AD36" s="425" t="str">
        <f>IF(AND('Mapa final NC'!$H$56="Baja",'Mapa final NC'!$L$56="Mayor"),CONCATENATE("R",'Mapa final NC'!$A$56),"")</f>
        <v/>
      </c>
      <c r="AE36" s="425"/>
      <c r="AF36" s="425" t="str">
        <f>IF(AND('Mapa final NC'!$H$62="Baja",'Mapa final NC'!$L$62="Mayor"),CONCATENATE("R",'Mapa final NC'!$A$62),"")</f>
        <v/>
      </c>
      <c r="AG36" s="426"/>
      <c r="AH36" s="436" t="str">
        <f>IF(AND('Mapa final NC'!$H$45="Baja",'Mapa final NC'!$L$45="Catastrófico"),CONCATENATE("R",'Mapa final NC'!$A$45),"")</f>
        <v/>
      </c>
      <c r="AI36" s="437"/>
      <c r="AJ36" s="437" t="str">
        <f>IF(AND('Mapa final NC'!$H$56="Baja",'Mapa final NC'!$L$56="Catastrófico"),CONCATENATE("R",'Mapa final NC'!$A$56),"")</f>
        <v/>
      </c>
      <c r="AK36" s="437"/>
      <c r="AL36" s="437" t="str">
        <f>IF(AND('Mapa final NC'!$H$62="Baja",'Mapa final NC'!$L$62="Catastrófico"),CONCATENATE("R",'Mapa final NC'!$A$62),"")</f>
        <v/>
      </c>
      <c r="AM36" s="438"/>
      <c r="AN36" s="82"/>
      <c r="AO36" s="410"/>
      <c r="AP36" s="411"/>
      <c r="AQ36" s="411"/>
      <c r="AR36" s="411"/>
      <c r="AS36" s="411"/>
      <c r="AT36" s="41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78"/>
      <c r="C37" s="378"/>
      <c r="D37" s="379"/>
      <c r="E37" s="422"/>
      <c r="F37" s="423"/>
      <c r="G37" s="423"/>
      <c r="H37" s="423"/>
      <c r="I37" s="423"/>
      <c r="J37" s="457"/>
      <c r="K37" s="458"/>
      <c r="L37" s="458"/>
      <c r="M37" s="458"/>
      <c r="N37" s="458"/>
      <c r="O37" s="459"/>
      <c r="P37" s="449"/>
      <c r="Q37" s="449"/>
      <c r="R37" s="449"/>
      <c r="S37" s="449"/>
      <c r="T37" s="449"/>
      <c r="U37" s="450"/>
      <c r="V37" s="448"/>
      <c r="W37" s="449"/>
      <c r="X37" s="449"/>
      <c r="Y37" s="449"/>
      <c r="Z37" s="449"/>
      <c r="AA37" s="450"/>
      <c r="AB37" s="433"/>
      <c r="AC37" s="434"/>
      <c r="AD37" s="434"/>
      <c r="AE37" s="434"/>
      <c r="AF37" s="434"/>
      <c r="AG37" s="435"/>
      <c r="AH37" s="439"/>
      <c r="AI37" s="440"/>
      <c r="AJ37" s="440"/>
      <c r="AK37" s="440"/>
      <c r="AL37" s="440"/>
      <c r="AM37" s="441"/>
      <c r="AN37" s="82"/>
      <c r="AO37" s="413"/>
      <c r="AP37" s="414"/>
      <c r="AQ37" s="414"/>
      <c r="AR37" s="414"/>
      <c r="AS37" s="414"/>
      <c r="AT37" s="415"/>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78"/>
      <c r="C38" s="378"/>
      <c r="D38" s="379"/>
      <c r="E38" s="416" t="s">
        <v>100</v>
      </c>
      <c r="F38" s="417"/>
      <c r="G38" s="417"/>
      <c r="H38" s="417"/>
      <c r="I38" s="418"/>
      <c r="J38" s="460" t="str">
        <f>IF(AND('Mapa final NC'!$H$30="Muy Baja",'Mapa final NC'!$L$30="Leve"),CONCATENATE("R",'Mapa final NC'!$A$30),"")</f>
        <v/>
      </c>
      <c r="K38" s="461"/>
      <c r="L38" s="461" t="str">
        <f>IF(AND('Mapa final NC'!$H$31="Muy Baja",'Mapa final NC'!$L$31="Leve"),CONCATENATE("R",'Mapa final NC'!$A$31),"")</f>
        <v/>
      </c>
      <c r="M38" s="461"/>
      <c r="N38" s="461" t="str">
        <f>IF(AND('Mapa final NC'!$H$34="Muy Baja",'Mapa final NC'!$L$34="Leve"),CONCATENATE("R",'Mapa final NC'!$A$34),"")</f>
        <v/>
      </c>
      <c r="O38" s="462"/>
      <c r="P38" s="460" t="str">
        <f>IF(AND('Mapa final NC'!$H$30="Muy Baja",'Mapa final NC'!$L$30="Menor"),CONCATENATE("R",'Mapa final NC'!$A$30),"")</f>
        <v/>
      </c>
      <c r="Q38" s="461"/>
      <c r="R38" s="461" t="str">
        <f>IF(AND('Mapa final NC'!$H$31="Muy Baja",'Mapa final NC'!$L$31="Menor"),CONCATENATE("R",'Mapa final NC'!$A$31),"")</f>
        <v/>
      </c>
      <c r="S38" s="461"/>
      <c r="T38" s="461" t="str">
        <f>IF(AND('Mapa final NC'!$H$34="Muy Baja",'Mapa final NC'!$L$34="Menor"),CONCATENATE("R",'Mapa final NC'!$A$34),"")</f>
        <v/>
      </c>
      <c r="U38" s="462"/>
      <c r="V38" s="451" t="str">
        <f>IF(AND('Mapa final NC'!$H$30="Muy Baja",'Mapa final NC'!$L$30="Moderado"),CONCATENATE("R",'Mapa final NC'!$A$30),"")</f>
        <v/>
      </c>
      <c r="W38" s="452"/>
      <c r="X38" s="452" t="str">
        <f>IF(AND('Mapa final NC'!$H$31="Muy Baja",'Mapa final NC'!$L$31="Moderado"),CONCATENATE("R",'Mapa final NC'!$A$31),"")</f>
        <v/>
      </c>
      <c r="Y38" s="452"/>
      <c r="Z38" s="452" t="str">
        <f>IF(AND('Mapa final NC'!$H$34="Muy Baja",'Mapa final NC'!$L$34="Moderado"),CONCATENATE("R",'Mapa final NC'!$A$34),"")</f>
        <v/>
      </c>
      <c r="AA38" s="453"/>
      <c r="AB38" s="427" t="str">
        <f>IF(AND('Mapa final NC'!$H$30="Muy Baja",'Mapa final NC'!$L$30="Mayor"),CONCATENATE("R",'Mapa final NC'!$A$30),"")</f>
        <v/>
      </c>
      <c r="AC38" s="428"/>
      <c r="AD38" s="428" t="str">
        <f>IF(AND('Mapa final NC'!$H$31="Muy Baja",'Mapa final NC'!$L$31="Mayor"),CONCATENATE("R",'Mapa final NC'!$A$31),"")</f>
        <v/>
      </c>
      <c r="AE38" s="428"/>
      <c r="AF38" s="428" t="str">
        <f>IF(AND('Mapa final NC'!$H$34="Muy Baja",'Mapa final NC'!$L$34="Mayor"),CONCATENATE("R",'Mapa final NC'!$A$34),"")</f>
        <v/>
      </c>
      <c r="AG38" s="430"/>
      <c r="AH38" s="442" t="str">
        <f>IF(AND('Mapa final NC'!$H$30="Muy Baja",'Mapa final NC'!$L$30="Catastrófico"),CONCATENATE("R",'Mapa final NC'!$A$30),"")</f>
        <v/>
      </c>
      <c r="AI38" s="443"/>
      <c r="AJ38" s="443" t="str">
        <f>IF(AND('Mapa final NC'!$H$31="Muy Baja",'Mapa final NC'!$L$31="Catastrófico"),CONCATENATE("R",'Mapa final NC'!$A$31),"")</f>
        <v/>
      </c>
      <c r="AK38" s="443"/>
      <c r="AL38" s="443" t="str">
        <f>IF(AND('Mapa final NC'!$H$34="Muy Baja",'Mapa final NC'!$L$34="Catastrófico"),CONCATENATE("R",'Mapa final NC'!$A$34),"")</f>
        <v/>
      </c>
      <c r="AM38" s="444"/>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78"/>
      <c r="C39" s="378"/>
      <c r="D39" s="379"/>
      <c r="E39" s="419"/>
      <c r="F39" s="420"/>
      <c r="G39" s="420"/>
      <c r="H39" s="420"/>
      <c r="I39" s="421"/>
      <c r="J39" s="456"/>
      <c r="K39" s="454"/>
      <c r="L39" s="454"/>
      <c r="M39" s="454"/>
      <c r="N39" s="454"/>
      <c r="O39" s="455"/>
      <c r="P39" s="456"/>
      <c r="Q39" s="454"/>
      <c r="R39" s="454"/>
      <c r="S39" s="454"/>
      <c r="T39" s="454"/>
      <c r="U39" s="455"/>
      <c r="V39" s="445"/>
      <c r="W39" s="446"/>
      <c r="X39" s="446"/>
      <c r="Y39" s="446"/>
      <c r="Z39" s="446"/>
      <c r="AA39" s="447"/>
      <c r="AB39" s="429"/>
      <c r="AC39" s="425"/>
      <c r="AD39" s="425"/>
      <c r="AE39" s="425"/>
      <c r="AF39" s="425"/>
      <c r="AG39" s="426"/>
      <c r="AH39" s="436"/>
      <c r="AI39" s="437"/>
      <c r="AJ39" s="437"/>
      <c r="AK39" s="437"/>
      <c r="AL39" s="437"/>
      <c r="AM39" s="438"/>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78"/>
      <c r="C40" s="378"/>
      <c r="D40" s="379"/>
      <c r="E40" s="419"/>
      <c r="F40" s="420"/>
      <c r="G40" s="420"/>
      <c r="H40" s="420"/>
      <c r="I40" s="421"/>
      <c r="J40" s="456" t="str">
        <f>IF(AND('Mapa final NC'!$H$37="Muy Baja",'Mapa final NC'!$L$37="Leve"),CONCATENATE("R",'Mapa final NC'!$A$37),"")</f>
        <v/>
      </c>
      <c r="K40" s="454"/>
      <c r="L40" s="454" t="str">
        <f>IF(AND('Mapa final NC'!$H$38="Muy Baja",'Mapa final NC'!$L$38="Leve"),CONCATENATE("R",'Mapa final NC'!$A$38),"")</f>
        <v/>
      </c>
      <c r="M40" s="454"/>
      <c r="N40" s="454" t="str">
        <f>IF(AND('Mapa final NC'!$H$39="Muy Baja",'Mapa final NC'!$L$39="Leve"),CONCATENATE("R",'Mapa final NC'!$A$39),"")</f>
        <v/>
      </c>
      <c r="O40" s="455"/>
      <c r="P40" s="456" t="str">
        <f>IF(AND('Mapa final NC'!$H$37="Muy Baja",'Mapa final NC'!$L$37="Menor"),CONCATENATE("R",'Mapa final NC'!$A$37),"")</f>
        <v/>
      </c>
      <c r="Q40" s="454"/>
      <c r="R40" s="454" t="str">
        <f>IF(AND('Mapa final NC'!$H$38="Muy Baja",'Mapa final NC'!$L$38="Menor"),CONCATENATE("R",'Mapa final NC'!$A$38),"")</f>
        <v/>
      </c>
      <c r="S40" s="454"/>
      <c r="T40" s="454" t="str">
        <f>IF(AND('Mapa final NC'!$H$39="Muy Baja",'Mapa final NC'!$L$39="Menor"),CONCATENATE("R",'Mapa final NC'!$A$39),"")</f>
        <v/>
      </c>
      <c r="U40" s="455"/>
      <c r="V40" s="445" t="str">
        <f>IF(AND('Mapa final NC'!$H$37="Muy Baja",'Mapa final NC'!$L$37="Moderado"),CONCATENATE("R",'Mapa final NC'!$A$37),"")</f>
        <v/>
      </c>
      <c r="W40" s="446"/>
      <c r="X40" s="446" t="str">
        <f>IF(AND('Mapa final NC'!$H$38="Muy Baja",'Mapa final NC'!$L$38="Moderado"),CONCATENATE("R",'Mapa final NC'!$A$38),"")</f>
        <v/>
      </c>
      <c r="Y40" s="446"/>
      <c r="Z40" s="446" t="str">
        <f>IF(AND('Mapa final NC'!$H$39="Muy Baja",'Mapa final NC'!$L$39="Moderado"),CONCATENATE("R",'Mapa final NC'!$A$39),"")</f>
        <v/>
      </c>
      <c r="AA40" s="447"/>
      <c r="AB40" s="429" t="str">
        <f>IF(AND('Mapa final NC'!$H$37="Muy Baja",'Mapa final NC'!$L$37="Mayor"),CONCATENATE("R",'Mapa final NC'!$A$37),"")</f>
        <v/>
      </c>
      <c r="AC40" s="425"/>
      <c r="AD40" s="425" t="str">
        <f>IF(AND('Mapa final NC'!$H$38="Muy Baja",'Mapa final NC'!$L$38="Mayor"),CONCATENATE("R",'Mapa final NC'!$A$38),"")</f>
        <v/>
      </c>
      <c r="AE40" s="425"/>
      <c r="AF40" s="425" t="str">
        <f>IF(AND('Mapa final NC'!$H$39="Muy Baja",'Mapa final NC'!$L$39="Mayor"),CONCATENATE("R",'Mapa final NC'!$A$39),"")</f>
        <v/>
      </c>
      <c r="AG40" s="426"/>
      <c r="AH40" s="436" t="str">
        <f>IF(AND('Mapa final NC'!$H$37="Muy Baja",'Mapa final NC'!$L$37="Catastrófico"),CONCATENATE("R",'Mapa final NC'!$A$37),"")</f>
        <v/>
      </c>
      <c r="AI40" s="437"/>
      <c r="AJ40" s="437" t="str">
        <f>IF(AND('Mapa final NC'!$H$38="Muy Baja",'Mapa final NC'!$L$38="Catastrófico"),CONCATENATE("R",'Mapa final NC'!$A$38),"")</f>
        <v/>
      </c>
      <c r="AK40" s="437"/>
      <c r="AL40" s="437" t="str">
        <f>IF(AND('Mapa final NC'!$H$39="Muy Baja",'Mapa final NC'!$L$39="Catastrófico"),CONCATENATE("R",'Mapa final NC'!$A$39),"")</f>
        <v/>
      </c>
      <c r="AM40" s="438"/>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78"/>
      <c r="C41" s="378"/>
      <c r="D41" s="379"/>
      <c r="E41" s="419"/>
      <c r="F41" s="420"/>
      <c r="G41" s="420"/>
      <c r="H41" s="420"/>
      <c r="I41" s="421"/>
      <c r="J41" s="456"/>
      <c r="K41" s="454"/>
      <c r="L41" s="454"/>
      <c r="M41" s="454"/>
      <c r="N41" s="454"/>
      <c r="O41" s="455"/>
      <c r="P41" s="456"/>
      <c r="Q41" s="454"/>
      <c r="R41" s="454"/>
      <c r="S41" s="454"/>
      <c r="T41" s="454"/>
      <c r="U41" s="455"/>
      <c r="V41" s="445"/>
      <c r="W41" s="446"/>
      <c r="X41" s="446"/>
      <c r="Y41" s="446"/>
      <c r="Z41" s="446"/>
      <c r="AA41" s="447"/>
      <c r="AB41" s="429"/>
      <c r="AC41" s="425"/>
      <c r="AD41" s="425"/>
      <c r="AE41" s="425"/>
      <c r="AF41" s="425"/>
      <c r="AG41" s="426"/>
      <c r="AH41" s="436"/>
      <c r="AI41" s="437"/>
      <c r="AJ41" s="437"/>
      <c r="AK41" s="437"/>
      <c r="AL41" s="437"/>
      <c r="AM41" s="438"/>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78"/>
      <c r="C42" s="378"/>
      <c r="D42" s="379"/>
      <c r="E42" s="419"/>
      <c r="F42" s="420"/>
      <c r="G42" s="420"/>
      <c r="H42" s="420"/>
      <c r="I42" s="421"/>
      <c r="J42" s="456" t="str">
        <f>IF(AND('Mapa final NC'!$H$40="Muy Baja",'Mapa final NC'!$L$40="Leve"),CONCATENATE("R",'Mapa final NC'!$A$40),"")</f>
        <v/>
      </c>
      <c r="K42" s="454"/>
      <c r="L42" s="454" t="str">
        <f>IF(AND('Mapa final NC'!$H$42="Muy Baja",'Mapa final NC'!$L$42="Leve"),CONCATENATE("R",'Mapa final NC'!$A$42),"")</f>
        <v/>
      </c>
      <c r="M42" s="454"/>
      <c r="N42" s="454" t="str">
        <f>IF(AND('Mapa final NC'!$H$43="Muy Baja",'Mapa final NC'!$L$43="Leve"),CONCATENATE("R",'Mapa final NC'!$A$43),"")</f>
        <v/>
      </c>
      <c r="O42" s="455"/>
      <c r="P42" s="456" t="str">
        <f>IF(AND('Mapa final NC'!$H$40="Muy Baja",'Mapa final NC'!$L$40="Menor"),CONCATENATE("R",'Mapa final NC'!$A$40),"")</f>
        <v/>
      </c>
      <c r="Q42" s="454"/>
      <c r="R42" s="454" t="str">
        <f>IF(AND('Mapa final NC'!$H$42="Muy Baja",'Mapa final NC'!$L$42="Menor"),CONCATENATE("R",'Mapa final NC'!$A$42),"")</f>
        <v/>
      </c>
      <c r="S42" s="454"/>
      <c r="T42" s="454" t="str">
        <f>IF(AND('Mapa final NC'!$H$43="Muy Baja",'Mapa final NC'!$L$43="Menor"),CONCATENATE("R",'Mapa final NC'!$A$43),"")</f>
        <v/>
      </c>
      <c r="U42" s="455"/>
      <c r="V42" s="445" t="str">
        <f>IF(AND('Mapa final NC'!$H$40="Muy Baja",'Mapa final NC'!$L$40="Moderado"),CONCATENATE("R",'Mapa final NC'!$A$40),"")</f>
        <v/>
      </c>
      <c r="W42" s="446"/>
      <c r="X42" s="446" t="str">
        <f>IF(AND('Mapa final NC'!$H$42="Muy Baja",'Mapa final NC'!$L$42="Moderado"),CONCATENATE("R",'Mapa final NC'!$A$42),"")</f>
        <v/>
      </c>
      <c r="Y42" s="446"/>
      <c r="Z42" s="446" t="str">
        <f>IF(AND('Mapa final NC'!$H$43="Muy Baja",'Mapa final NC'!$L$43="Moderado"),CONCATENATE("R",'Mapa final NC'!$A$43),"")</f>
        <v/>
      </c>
      <c r="AA42" s="447"/>
      <c r="AB42" s="429" t="str">
        <f>IF(AND('Mapa final NC'!$H$40="Muy Baja",'Mapa final NC'!$L$40="Mayor"),CONCATENATE("R",'Mapa final NC'!$A$40),"")</f>
        <v/>
      </c>
      <c r="AC42" s="425"/>
      <c r="AD42" s="425" t="str">
        <f>IF(AND('Mapa final NC'!$H$42="Muy Baja",'Mapa final NC'!$L$42="Mayor"),CONCATENATE("R",'Mapa final NC'!$A$42),"")</f>
        <v/>
      </c>
      <c r="AE42" s="425"/>
      <c r="AF42" s="425" t="str">
        <f>IF(AND('Mapa final NC'!$H$43="Muy Baja",'Mapa final NC'!$L$43="Mayor"),CONCATENATE("R",'Mapa final NC'!$A$43),"")</f>
        <v/>
      </c>
      <c r="AG42" s="426"/>
      <c r="AH42" s="436" t="str">
        <f>IF(AND('Mapa final NC'!$H$40="Muy Baja",'Mapa final NC'!$L$40="Catastrófico"),CONCATENATE("R",'Mapa final NC'!$A$40),"")</f>
        <v/>
      </c>
      <c r="AI42" s="437"/>
      <c r="AJ42" s="437" t="str">
        <f>IF(AND('Mapa final NC'!$H$42="Muy Baja",'Mapa final NC'!$L$42="Catastrófico"),CONCATENATE("R",'Mapa final NC'!$A$42),"")</f>
        <v/>
      </c>
      <c r="AK42" s="437"/>
      <c r="AL42" s="437" t="str">
        <f>IF(AND('Mapa final NC'!$H$43="Muy Baja",'Mapa final NC'!$L$43="Catastrófico"),CONCATENATE("R",'Mapa final NC'!$A$43),"")</f>
        <v/>
      </c>
      <c r="AM42" s="438"/>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78"/>
      <c r="C43" s="378"/>
      <c r="D43" s="379"/>
      <c r="E43" s="419"/>
      <c r="F43" s="420"/>
      <c r="G43" s="420"/>
      <c r="H43" s="420"/>
      <c r="I43" s="421"/>
      <c r="J43" s="456"/>
      <c r="K43" s="454"/>
      <c r="L43" s="454"/>
      <c r="M43" s="454"/>
      <c r="N43" s="454"/>
      <c r="O43" s="455"/>
      <c r="P43" s="456"/>
      <c r="Q43" s="454"/>
      <c r="R43" s="454"/>
      <c r="S43" s="454"/>
      <c r="T43" s="454"/>
      <c r="U43" s="455"/>
      <c r="V43" s="445"/>
      <c r="W43" s="446"/>
      <c r="X43" s="446"/>
      <c r="Y43" s="446"/>
      <c r="Z43" s="446"/>
      <c r="AA43" s="447"/>
      <c r="AB43" s="429"/>
      <c r="AC43" s="425"/>
      <c r="AD43" s="425"/>
      <c r="AE43" s="425"/>
      <c r="AF43" s="425"/>
      <c r="AG43" s="426"/>
      <c r="AH43" s="436"/>
      <c r="AI43" s="437"/>
      <c r="AJ43" s="437"/>
      <c r="AK43" s="437"/>
      <c r="AL43" s="437"/>
      <c r="AM43" s="438"/>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78"/>
      <c r="C44" s="378"/>
      <c r="D44" s="379"/>
      <c r="E44" s="419"/>
      <c r="F44" s="420"/>
      <c r="G44" s="420"/>
      <c r="H44" s="420"/>
      <c r="I44" s="421"/>
      <c r="J44" s="456" t="str">
        <f>IF(AND('Mapa final NC'!$H$45="Muy Baja",'Mapa final NC'!$L$45="Leve"),CONCATENATE("R",'Mapa final NC'!$A$45),"")</f>
        <v/>
      </c>
      <c r="K44" s="454"/>
      <c r="L44" s="454" t="str">
        <f>IF(AND('Mapa final NC'!$H$56="Muy Baja",'Mapa final NC'!$L$56="Leve"),CONCATENATE("R",'Mapa final NC'!$A$56),"")</f>
        <v/>
      </c>
      <c r="M44" s="454"/>
      <c r="N44" s="454" t="str">
        <f>IF(AND('Mapa final NC'!$H$62="Muy Baja",'Mapa final NC'!$L$62="Leve"),CONCATENATE("R",'Mapa final NC'!$A$62),"")</f>
        <v/>
      </c>
      <c r="O44" s="455"/>
      <c r="P44" s="456" t="str">
        <f>IF(AND('Mapa final NC'!$H$45="Muy Baja",'Mapa final NC'!$L$45="Menor"),CONCATENATE("R",'Mapa final NC'!$A$45),"")</f>
        <v/>
      </c>
      <c r="Q44" s="454"/>
      <c r="R44" s="454" t="str">
        <f>IF(AND('Mapa final NC'!$H$56="Muy Baja",'Mapa final NC'!$L$56="Menor"),CONCATENATE("R",'Mapa final NC'!$A$56),"")</f>
        <v/>
      </c>
      <c r="S44" s="454"/>
      <c r="T44" s="454" t="str">
        <f>IF(AND('Mapa final NC'!$H$62="Muy Baja",'Mapa final NC'!$L$62="Menor"),CONCATENATE("R",'Mapa final NC'!$A$62),"")</f>
        <v/>
      </c>
      <c r="U44" s="455"/>
      <c r="V44" s="445" t="str">
        <f>IF(AND('Mapa final NC'!$H$45="Muy Baja",'Mapa final NC'!$L$45="Moderado"),CONCATENATE("R",'Mapa final NC'!$A$45),"")</f>
        <v/>
      </c>
      <c r="W44" s="446"/>
      <c r="X44" s="446" t="str">
        <f>IF(AND('Mapa final NC'!$H$56="Muy Baja",'Mapa final NC'!$L$56="Moderado"),CONCATENATE("R",'Mapa final NC'!$A$56),"")</f>
        <v/>
      </c>
      <c r="Y44" s="446"/>
      <c r="Z44" s="446" t="str">
        <f>IF(AND('Mapa final NC'!$H$62="Muy Baja",'Mapa final NC'!$L$62="Moderado"),CONCATENATE("R",'Mapa final NC'!$A$62),"")</f>
        <v/>
      </c>
      <c r="AA44" s="447"/>
      <c r="AB44" s="429" t="str">
        <f>IF(AND('Mapa final NC'!$H$45="Muy Baja",'Mapa final NC'!$L$45="Mayor"),CONCATENATE("R",'Mapa final NC'!$A$45),"")</f>
        <v/>
      </c>
      <c r="AC44" s="425"/>
      <c r="AD44" s="425" t="str">
        <f>IF(AND('Mapa final NC'!$H$56="Muy Baja",'Mapa final NC'!$L$56="Mayor"),CONCATENATE("R",'Mapa final NC'!$A$56),"")</f>
        <v/>
      </c>
      <c r="AE44" s="425"/>
      <c r="AF44" s="425" t="str">
        <f>IF(AND('Mapa final NC'!$H$62="Muy Baja",'Mapa final NC'!$L$62="Mayor"),CONCATENATE("R",'Mapa final NC'!$A$62),"")</f>
        <v/>
      </c>
      <c r="AG44" s="426"/>
      <c r="AH44" s="436" t="str">
        <f>IF(AND('Mapa final NC'!$H$45="Muy Baja",'Mapa final NC'!$L$45="Catastrófico"),CONCATENATE("R",'Mapa final NC'!$A$45),"")</f>
        <v/>
      </c>
      <c r="AI44" s="437"/>
      <c r="AJ44" s="437" t="str">
        <f>IF(AND('Mapa final NC'!$H$56="Muy Baja",'Mapa final NC'!$L$56="Catastrófico"),CONCATENATE("R",'Mapa final NC'!$A$56),"")</f>
        <v/>
      </c>
      <c r="AK44" s="437"/>
      <c r="AL44" s="437" t="str">
        <f>IF(AND('Mapa final NC'!$H$62="Muy Baja",'Mapa final NC'!$L$62="Catastrófico"),CONCATENATE("R",'Mapa final NC'!$A$62),"")</f>
        <v/>
      </c>
      <c r="AM44" s="438"/>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78"/>
      <c r="C45" s="378"/>
      <c r="D45" s="379"/>
      <c r="E45" s="422"/>
      <c r="F45" s="423"/>
      <c r="G45" s="423"/>
      <c r="H45" s="423"/>
      <c r="I45" s="424"/>
      <c r="J45" s="457"/>
      <c r="K45" s="458"/>
      <c r="L45" s="458"/>
      <c r="M45" s="458"/>
      <c r="N45" s="458"/>
      <c r="O45" s="459"/>
      <c r="P45" s="457"/>
      <c r="Q45" s="458"/>
      <c r="R45" s="458"/>
      <c r="S45" s="458"/>
      <c r="T45" s="458"/>
      <c r="U45" s="459"/>
      <c r="V45" s="448"/>
      <c r="W45" s="449"/>
      <c r="X45" s="449"/>
      <c r="Y45" s="449"/>
      <c r="Z45" s="449"/>
      <c r="AA45" s="450"/>
      <c r="AB45" s="433"/>
      <c r="AC45" s="434"/>
      <c r="AD45" s="434"/>
      <c r="AE45" s="434"/>
      <c r="AF45" s="434"/>
      <c r="AG45" s="435"/>
      <c r="AH45" s="439"/>
      <c r="AI45" s="440"/>
      <c r="AJ45" s="440"/>
      <c r="AK45" s="440"/>
      <c r="AL45" s="440"/>
      <c r="AM45" s="44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416" t="s">
        <v>101</v>
      </c>
      <c r="K46" s="417"/>
      <c r="L46" s="417"/>
      <c r="M46" s="417"/>
      <c r="N46" s="417"/>
      <c r="O46" s="418"/>
      <c r="P46" s="416" t="s">
        <v>102</v>
      </c>
      <c r="Q46" s="417"/>
      <c r="R46" s="417"/>
      <c r="S46" s="417"/>
      <c r="T46" s="417"/>
      <c r="U46" s="418"/>
      <c r="V46" s="416" t="s">
        <v>103</v>
      </c>
      <c r="W46" s="417"/>
      <c r="X46" s="417"/>
      <c r="Y46" s="417"/>
      <c r="Z46" s="417"/>
      <c r="AA46" s="418"/>
      <c r="AB46" s="416" t="s">
        <v>104</v>
      </c>
      <c r="AC46" s="432"/>
      <c r="AD46" s="417"/>
      <c r="AE46" s="417"/>
      <c r="AF46" s="417"/>
      <c r="AG46" s="418"/>
      <c r="AH46" s="416" t="s">
        <v>105</v>
      </c>
      <c r="AI46" s="417"/>
      <c r="AJ46" s="417"/>
      <c r="AK46" s="417"/>
      <c r="AL46" s="417"/>
      <c r="AM46" s="418"/>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419"/>
      <c r="K47" s="420"/>
      <c r="L47" s="420"/>
      <c r="M47" s="420"/>
      <c r="N47" s="420"/>
      <c r="O47" s="421"/>
      <c r="P47" s="419"/>
      <c r="Q47" s="420"/>
      <c r="R47" s="420"/>
      <c r="S47" s="420"/>
      <c r="T47" s="420"/>
      <c r="U47" s="421"/>
      <c r="V47" s="419"/>
      <c r="W47" s="420"/>
      <c r="X47" s="420"/>
      <c r="Y47" s="420"/>
      <c r="Z47" s="420"/>
      <c r="AA47" s="421"/>
      <c r="AB47" s="419"/>
      <c r="AC47" s="420"/>
      <c r="AD47" s="420"/>
      <c r="AE47" s="420"/>
      <c r="AF47" s="420"/>
      <c r="AG47" s="421"/>
      <c r="AH47" s="419"/>
      <c r="AI47" s="420"/>
      <c r="AJ47" s="420"/>
      <c r="AK47" s="420"/>
      <c r="AL47" s="420"/>
      <c r="AM47" s="42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419"/>
      <c r="K48" s="420"/>
      <c r="L48" s="420"/>
      <c r="M48" s="420"/>
      <c r="N48" s="420"/>
      <c r="O48" s="421"/>
      <c r="P48" s="419"/>
      <c r="Q48" s="420"/>
      <c r="R48" s="420"/>
      <c r="S48" s="420"/>
      <c r="T48" s="420"/>
      <c r="U48" s="421"/>
      <c r="V48" s="419"/>
      <c r="W48" s="420"/>
      <c r="X48" s="420"/>
      <c r="Y48" s="420"/>
      <c r="Z48" s="420"/>
      <c r="AA48" s="421"/>
      <c r="AB48" s="419"/>
      <c r="AC48" s="420"/>
      <c r="AD48" s="420"/>
      <c r="AE48" s="420"/>
      <c r="AF48" s="420"/>
      <c r="AG48" s="421"/>
      <c r="AH48" s="419"/>
      <c r="AI48" s="420"/>
      <c r="AJ48" s="420"/>
      <c r="AK48" s="420"/>
      <c r="AL48" s="420"/>
      <c r="AM48" s="42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419"/>
      <c r="K49" s="420"/>
      <c r="L49" s="420"/>
      <c r="M49" s="420"/>
      <c r="N49" s="420"/>
      <c r="O49" s="421"/>
      <c r="P49" s="419"/>
      <c r="Q49" s="420"/>
      <c r="R49" s="420"/>
      <c r="S49" s="420"/>
      <c r="T49" s="420"/>
      <c r="U49" s="421"/>
      <c r="V49" s="419"/>
      <c r="W49" s="420"/>
      <c r="X49" s="420"/>
      <c r="Y49" s="420"/>
      <c r="Z49" s="420"/>
      <c r="AA49" s="421"/>
      <c r="AB49" s="419"/>
      <c r="AC49" s="420"/>
      <c r="AD49" s="420"/>
      <c r="AE49" s="420"/>
      <c r="AF49" s="420"/>
      <c r="AG49" s="421"/>
      <c r="AH49" s="419"/>
      <c r="AI49" s="420"/>
      <c r="AJ49" s="420"/>
      <c r="AK49" s="420"/>
      <c r="AL49" s="420"/>
      <c r="AM49" s="42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419"/>
      <c r="K50" s="420"/>
      <c r="L50" s="420"/>
      <c r="M50" s="420"/>
      <c r="N50" s="420"/>
      <c r="O50" s="421"/>
      <c r="P50" s="419"/>
      <c r="Q50" s="420"/>
      <c r="R50" s="420"/>
      <c r="S50" s="420"/>
      <c r="T50" s="420"/>
      <c r="U50" s="421"/>
      <c r="V50" s="419"/>
      <c r="W50" s="420"/>
      <c r="X50" s="420"/>
      <c r="Y50" s="420"/>
      <c r="Z50" s="420"/>
      <c r="AA50" s="421"/>
      <c r="AB50" s="419"/>
      <c r="AC50" s="420"/>
      <c r="AD50" s="420"/>
      <c r="AE50" s="420"/>
      <c r="AF50" s="420"/>
      <c r="AG50" s="421"/>
      <c r="AH50" s="419"/>
      <c r="AI50" s="420"/>
      <c r="AJ50" s="420"/>
      <c r="AK50" s="420"/>
      <c r="AL50" s="420"/>
      <c r="AM50" s="42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422"/>
      <c r="K51" s="423"/>
      <c r="L51" s="423"/>
      <c r="M51" s="423"/>
      <c r="N51" s="423"/>
      <c r="O51" s="424"/>
      <c r="P51" s="422"/>
      <c r="Q51" s="423"/>
      <c r="R51" s="423"/>
      <c r="S51" s="423"/>
      <c r="T51" s="423"/>
      <c r="U51" s="424"/>
      <c r="V51" s="422"/>
      <c r="W51" s="423"/>
      <c r="X51" s="423"/>
      <c r="Y51" s="423"/>
      <c r="Z51" s="423"/>
      <c r="AA51" s="424"/>
      <c r="AB51" s="422"/>
      <c r="AC51" s="423"/>
      <c r="AD51" s="423"/>
      <c r="AE51" s="423"/>
      <c r="AF51" s="423"/>
      <c r="AG51" s="424"/>
      <c r="AH51" s="422"/>
      <c r="AI51" s="423"/>
      <c r="AJ51" s="423"/>
      <c r="AK51" s="423"/>
      <c r="AL51" s="423"/>
      <c r="AM51" s="424"/>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489" t="s">
        <v>106</v>
      </c>
      <c r="C2" s="490"/>
      <c r="D2" s="490"/>
      <c r="E2" s="490"/>
      <c r="F2" s="490"/>
      <c r="G2" s="490"/>
      <c r="H2" s="490"/>
      <c r="I2" s="490"/>
      <c r="J2" s="431" t="s">
        <v>13</v>
      </c>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490"/>
      <c r="C3" s="490"/>
      <c r="D3" s="490"/>
      <c r="E3" s="490"/>
      <c r="F3" s="490"/>
      <c r="G3" s="490"/>
      <c r="H3" s="490"/>
      <c r="I3" s="490"/>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490"/>
      <c r="C4" s="490"/>
      <c r="D4" s="490"/>
      <c r="E4" s="490"/>
      <c r="F4" s="490"/>
      <c r="G4" s="490"/>
      <c r="H4" s="490"/>
      <c r="I4" s="490"/>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78" t="s">
        <v>91</v>
      </c>
      <c r="C6" s="378"/>
      <c r="D6" s="379"/>
      <c r="E6" s="473" t="s">
        <v>92</v>
      </c>
      <c r="F6" s="474"/>
      <c r="G6" s="474"/>
      <c r="H6" s="474"/>
      <c r="I6" s="491"/>
      <c r="J6" s="45" t="str">
        <f>IF(AND('Mapa final NC'!$Y$30="Muy Alta",'Mapa final NC'!$AA$30="Leve"),CONCATENATE("R1C",'Mapa final NC'!$O$30),"")</f>
        <v/>
      </c>
      <c r="K6" s="46" t="e">
        <f>IF(AND('Mapa final NC'!#REF!="Muy Alta",'Mapa final NC'!#REF!="Leve"),CONCATENATE("R1C",'Mapa final NC'!#REF!),"")</f>
        <v>#REF!</v>
      </c>
      <c r="L6" s="46" t="e">
        <f>IF(AND('Mapa final NC'!#REF!="Muy Alta",'Mapa final NC'!#REF!="Leve"),CONCATENATE("R1C",'Mapa final NC'!#REF!),"")</f>
        <v>#REF!</v>
      </c>
      <c r="M6" s="46" t="e">
        <f>IF(AND('Mapa final NC'!#REF!="Muy Alta",'Mapa final NC'!#REF!="Leve"),CONCATENATE("R1C",'Mapa final NC'!#REF!),"")</f>
        <v>#REF!</v>
      </c>
      <c r="N6" s="46" t="e">
        <f>IF(AND('Mapa final NC'!#REF!="Muy Alta",'Mapa final NC'!#REF!="Leve"),CONCATENATE("R1C",'Mapa final NC'!#REF!),"")</f>
        <v>#REF!</v>
      </c>
      <c r="O6" s="47" t="e">
        <f>IF(AND('Mapa final NC'!#REF!="Muy Alta",'Mapa final NC'!#REF!="Leve"),CONCATENATE("R1C",'Mapa final NC'!#REF!),"")</f>
        <v>#REF!</v>
      </c>
      <c r="P6" s="45" t="str">
        <f>IF(AND('Mapa final NC'!$Y$30="Muy Alta",'Mapa final NC'!$AA$30="Menor"),CONCATENATE("R1C",'Mapa final NC'!$O$30),"")</f>
        <v/>
      </c>
      <c r="Q6" s="46" t="e">
        <f>IF(AND('Mapa final NC'!#REF!="Muy Alta",'Mapa final NC'!#REF!="Menor"),CONCATENATE("R1C",'Mapa final NC'!#REF!),"")</f>
        <v>#REF!</v>
      </c>
      <c r="R6" s="46" t="e">
        <f>IF(AND('Mapa final NC'!#REF!="Muy Alta",'Mapa final NC'!#REF!="Menor"),CONCATENATE("R1C",'Mapa final NC'!#REF!),"")</f>
        <v>#REF!</v>
      </c>
      <c r="S6" s="46" t="e">
        <f>IF(AND('Mapa final NC'!#REF!="Muy Alta",'Mapa final NC'!#REF!="Menor"),CONCATENATE("R1C",'Mapa final NC'!#REF!),"")</f>
        <v>#REF!</v>
      </c>
      <c r="T6" s="46" t="e">
        <f>IF(AND('Mapa final NC'!#REF!="Muy Alta",'Mapa final NC'!#REF!="Menor"),CONCATENATE("R1C",'Mapa final NC'!#REF!),"")</f>
        <v>#REF!</v>
      </c>
      <c r="U6" s="47" t="e">
        <f>IF(AND('Mapa final NC'!#REF!="Muy Alta",'Mapa final NC'!#REF!="Menor"),CONCATENATE("R1C",'Mapa final NC'!#REF!),"")</f>
        <v>#REF!</v>
      </c>
      <c r="V6" s="45" t="str">
        <f>IF(AND('Mapa final NC'!$Y$30="Muy Alta",'Mapa final NC'!$AA$30="Moderado"),CONCATENATE("R1C",'Mapa final NC'!$O$30),"")</f>
        <v/>
      </c>
      <c r="W6" s="46" t="e">
        <f>IF(AND('Mapa final NC'!#REF!="Muy Alta",'Mapa final NC'!#REF!="Moderado"),CONCATENATE("R1C",'Mapa final NC'!#REF!),"")</f>
        <v>#REF!</v>
      </c>
      <c r="X6" s="46" t="e">
        <f>IF(AND('Mapa final NC'!#REF!="Muy Alta",'Mapa final NC'!#REF!="Moderado"),CONCATENATE("R1C",'Mapa final NC'!#REF!),"")</f>
        <v>#REF!</v>
      </c>
      <c r="Y6" s="46" t="e">
        <f>IF(AND('Mapa final NC'!#REF!="Muy Alta",'Mapa final NC'!#REF!="Moderado"),CONCATENATE("R1C",'Mapa final NC'!#REF!),"")</f>
        <v>#REF!</v>
      </c>
      <c r="Z6" s="46" t="e">
        <f>IF(AND('Mapa final NC'!#REF!="Muy Alta",'Mapa final NC'!#REF!="Moderado"),CONCATENATE("R1C",'Mapa final NC'!#REF!),"")</f>
        <v>#REF!</v>
      </c>
      <c r="AA6" s="47" t="e">
        <f>IF(AND('Mapa final NC'!#REF!="Muy Alta",'Mapa final NC'!#REF!="Moderado"),CONCATENATE("R1C",'Mapa final NC'!#REF!),"")</f>
        <v>#REF!</v>
      </c>
      <c r="AB6" s="45" t="str">
        <f>IF(AND('Mapa final NC'!$Y$30="Muy Alta",'Mapa final NC'!$AA$30="Mayor"),CONCATENATE("R1C",'Mapa final NC'!$O$30),"")</f>
        <v/>
      </c>
      <c r="AC6" s="46" t="e">
        <f>IF(AND('Mapa final NC'!#REF!="Muy Alta",'Mapa final NC'!#REF!="Mayor"),CONCATENATE("R1C",'Mapa final NC'!#REF!),"")</f>
        <v>#REF!</v>
      </c>
      <c r="AD6" s="46" t="e">
        <f>IF(AND('Mapa final NC'!#REF!="Muy Alta",'Mapa final NC'!#REF!="Mayor"),CONCATENATE("R1C",'Mapa final NC'!#REF!),"")</f>
        <v>#REF!</v>
      </c>
      <c r="AE6" s="46" t="e">
        <f>IF(AND('Mapa final NC'!#REF!="Muy Alta",'Mapa final NC'!#REF!="Mayor"),CONCATENATE("R1C",'Mapa final NC'!#REF!),"")</f>
        <v>#REF!</v>
      </c>
      <c r="AF6" s="46" t="e">
        <f>IF(AND('Mapa final NC'!#REF!="Muy Alta",'Mapa final NC'!#REF!="Mayor"),CONCATENATE("R1C",'Mapa final NC'!#REF!),"")</f>
        <v>#REF!</v>
      </c>
      <c r="AG6" s="47" t="e">
        <f>IF(AND('Mapa final NC'!#REF!="Muy Alta",'Mapa final NC'!#REF!="Mayor"),CONCATENATE("R1C",'Mapa final NC'!#REF!),"")</f>
        <v>#REF!</v>
      </c>
      <c r="AH6" s="48" t="str">
        <f>IF(AND('Mapa final NC'!$Y$30="Muy Alta",'Mapa final NC'!$AA$30="Catastrófico"),CONCATENATE("R1C",'Mapa final NC'!$O$30),"")</f>
        <v/>
      </c>
      <c r="AI6" s="49" t="e">
        <f>IF(AND('Mapa final NC'!#REF!="Muy Alta",'Mapa final NC'!#REF!="Catastrófico"),CONCATENATE("R1C",'Mapa final NC'!#REF!),"")</f>
        <v>#REF!</v>
      </c>
      <c r="AJ6" s="49" t="e">
        <f>IF(AND('Mapa final NC'!#REF!="Muy Alta",'Mapa final NC'!#REF!="Catastrófico"),CONCATENATE("R1C",'Mapa final NC'!#REF!),"")</f>
        <v>#REF!</v>
      </c>
      <c r="AK6" s="49" t="e">
        <f>IF(AND('Mapa final NC'!#REF!="Muy Alta",'Mapa final NC'!#REF!="Catastrófico"),CONCATENATE("R1C",'Mapa final NC'!#REF!),"")</f>
        <v>#REF!</v>
      </c>
      <c r="AL6" s="49" t="e">
        <f>IF(AND('Mapa final NC'!#REF!="Muy Alta",'Mapa final NC'!#REF!="Catastrófico"),CONCATENATE("R1C",'Mapa final NC'!#REF!),"")</f>
        <v>#REF!</v>
      </c>
      <c r="AM6" s="50" t="e">
        <f>IF(AND('Mapa final NC'!#REF!="Muy Alta",'Mapa final NC'!#REF!="Catastrófico"),CONCATENATE("R1C",'Mapa final NC'!#REF!),"")</f>
        <v>#REF!</v>
      </c>
      <c r="AN6" s="82"/>
      <c r="AO6" s="480" t="s">
        <v>93</v>
      </c>
      <c r="AP6" s="481"/>
      <c r="AQ6" s="481"/>
      <c r="AR6" s="481"/>
      <c r="AS6" s="481"/>
      <c r="AT6" s="4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78"/>
      <c r="C7" s="378"/>
      <c r="D7" s="379"/>
      <c r="E7" s="477"/>
      <c r="F7" s="476"/>
      <c r="G7" s="476"/>
      <c r="H7" s="476"/>
      <c r="I7" s="492"/>
      <c r="J7" s="51" t="str">
        <f>IF(AND('Mapa final NC'!$Y$31="Muy Alta",'Mapa final NC'!$AA$31="Leve"),CONCATENATE("R2C",'Mapa final NC'!$O$31),"")</f>
        <v/>
      </c>
      <c r="K7" s="52" t="str">
        <f>IF(AND('Mapa final NC'!$Y$32="Muy Alta",'Mapa final NC'!$AA$32="Leve"),CONCATENATE("R2C",'Mapa final NC'!$O$32),"")</f>
        <v/>
      </c>
      <c r="L7" s="52" t="str">
        <f>IF(AND('Mapa final NC'!$Y$33="Muy Alta",'Mapa final NC'!$AA$33="Leve"),CONCATENATE("R2C",'Mapa final NC'!$O$33),"")</f>
        <v/>
      </c>
      <c r="M7" s="52" t="e">
        <f>IF(AND('Mapa final NC'!#REF!="Muy Alta",'Mapa final NC'!#REF!="Leve"),CONCATENATE("R2C",'Mapa final NC'!#REF!),"")</f>
        <v>#REF!</v>
      </c>
      <c r="N7" s="52" t="e">
        <f>IF(AND('Mapa final NC'!#REF!="Muy Alta",'Mapa final NC'!#REF!="Leve"),CONCATENATE("R2C",'Mapa final NC'!#REF!),"")</f>
        <v>#REF!</v>
      </c>
      <c r="O7" s="53" t="e">
        <f>IF(AND('Mapa final NC'!#REF!="Muy Alta",'Mapa final NC'!#REF!="Leve"),CONCATENATE("R2C",'Mapa final NC'!#REF!),"")</f>
        <v>#REF!</v>
      </c>
      <c r="P7" s="51" t="str">
        <f>IF(AND('Mapa final NC'!$Y$31="Muy Alta",'Mapa final NC'!$AA$31="Menor"),CONCATENATE("R2C",'Mapa final NC'!$O$31),"")</f>
        <v/>
      </c>
      <c r="Q7" s="52" t="str">
        <f>IF(AND('Mapa final NC'!$Y$32="Muy Alta",'Mapa final NC'!$AA$32="Menor"),CONCATENATE("R2C",'Mapa final NC'!$O$32),"")</f>
        <v/>
      </c>
      <c r="R7" s="52" t="str">
        <f>IF(AND('Mapa final NC'!$Y$33="Muy Alta",'Mapa final NC'!$AA$33="Menor"),CONCATENATE("R2C",'Mapa final NC'!$O$33),"")</f>
        <v/>
      </c>
      <c r="S7" s="52" t="e">
        <f>IF(AND('Mapa final NC'!#REF!="Muy Alta",'Mapa final NC'!#REF!="Menor"),CONCATENATE("R2C",'Mapa final NC'!#REF!),"")</f>
        <v>#REF!</v>
      </c>
      <c r="T7" s="52" t="e">
        <f>IF(AND('Mapa final NC'!#REF!="Muy Alta",'Mapa final NC'!#REF!="Menor"),CONCATENATE("R2C",'Mapa final NC'!#REF!),"")</f>
        <v>#REF!</v>
      </c>
      <c r="U7" s="53" t="e">
        <f>IF(AND('Mapa final NC'!#REF!="Muy Alta",'Mapa final NC'!#REF!="Menor"),CONCATENATE("R2C",'Mapa final NC'!#REF!),"")</f>
        <v>#REF!</v>
      </c>
      <c r="V7" s="51" t="str">
        <f>IF(AND('Mapa final NC'!$Y$31="Muy Alta",'Mapa final NC'!$AA$31="Moderado"),CONCATENATE("R2C",'Mapa final NC'!$O$31),"")</f>
        <v/>
      </c>
      <c r="W7" s="52" t="str">
        <f>IF(AND('Mapa final NC'!$Y$32="Muy Alta",'Mapa final NC'!$AA$32="Moderado"),CONCATENATE("R2C",'Mapa final NC'!$O$32),"")</f>
        <v/>
      </c>
      <c r="X7" s="52" t="str">
        <f>IF(AND('Mapa final NC'!$Y$33="Muy Alta",'Mapa final NC'!$AA$33="Moderado"),CONCATENATE("R2C",'Mapa final NC'!$O$33),"")</f>
        <v/>
      </c>
      <c r="Y7" s="52" t="e">
        <f>IF(AND('Mapa final NC'!#REF!="Muy Alta",'Mapa final NC'!#REF!="Moderado"),CONCATENATE("R2C",'Mapa final NC'!#REF!),"")</f>
        <v>#REF!</v>
      </c>
      <c r="Z7" s="52" t="e">
        <f>IF(AND('Mapa final NC'!#REF!="Muy Alta",'Mapa final NC'!#REF!="Moderado"),CONCATENATE("R2C",'Mapa final NC'!#REF!),"")</f>
        <v>#REF!</v>
      </c>
      <c r="AA7" s="53" t="e">
        <f>IF(AND('Mapa final NC'!#REF!="Muy Alta",'Mapa final NC'!#REF!="Moderado"),CONCATENATE("R2C",'Mapa final NC'!#REF!),"")</f>
        <v>#REF!</v>
      </c>
      <c r="AB7" s="51" t="str">
        <f>IF(AND('Mapa final NC'!$Y$31="Muy Alta",'Mapa final NC'!$AA$31="Mayor"),CONCATENATE("R2C",'Mapa final NC'!$O$31),"")</f>
        <v/>
      </c>
      <c r="AC7" s="52" t="str">
        <f>IF(AND('Mapa final NC'!$Y$32="Muy Alta",'Mapa final NC'!$AA$32="Mayor"),CONCATENATE("R2C",'Mapa final NC'!$O$32),"")</f>
        <v/>
      </c>
      <c r="AD7" s="52" t="str">
        <f>IF(AND('Mapa final NC'!$Y$33="Muy Alta",'Mapa final NC'!$AA$33="Mayor"),CONCATENATE("R2C",'Mapa final NC'!$O$33),"")</f>
        <v/>
      </c>
      <c r="AE7" s="52" t="e">
        <f>IF(AND('Mapa final NC'!#REF!="Muy Alta",'Mapa final NC'!#REF!="Mayor"),CONCATENATE("R2C",'Mapa final NC'!#REF!),"")</f>
        <v>#REF!</v>
      </c>
      <c r="AF7" s="52" t="e">
        <f>IF(AND('Mapa final NC'!#REF!="Muy Alta",'Mapa final NC'!#REF!="Mayor"),CONCATENATE("R2C",'Mapa final NC'!#REF!),"")</f>
        <v>#REF!</v>
      </c>
      <c r="AG7" s="53" t="e">
        <f>IF(AND('Mapa final NC'!#REF!="Muy Alta",'Mapa final NC'!#REF!="Mayor"),CONCATENATE("R2C",'Mapa final NC'!#REF!),"")</f>
        <v>#REF!</v>
      </c>
      <c r="AH7" s="54" t="str">
        <f>IF(AND('Mapa final NC'!$Y$31="Muy Alta",'Mapa final NC'!$AA$31="Catastrófico"),CONCATENATE("R2C",'Mapa final NC'!$O$31),"")</f>
        <v/>
      </c>
      <c r="AI7" s="55" t="str">
        <f>IF(AND('Mapa final NC'!$Y$32="Muy Alta",'Mapa final NC'!$AA$32="Catastrófico"),CONCATENATE("R2C",'Mapa final NC'!$O$32),"")</f>
        <v/>
      </c>
      <c r="AJ7" s="55" t="str">
        <f>IF(AND('Mapa final NC'!$Y$33="Muy Alta",'Mapa final NC'!$AA$33="Catastrófico"),CONCATENATE("R2C",'Mapa final NC'!$O$33),"")</f>
        <v/>
      </c>
      <c r="AK7" s="55" t="e">
        <f>IF(AND('Mapa final NC'!#REF!="Muy Alta",'Mapa final NC'!#REF!="Catastrófico"),CONCATENATE("R2C",'Mapa final NC'!#REF!),"")</f>
        <v>#REF!</v>
      </c>
      <c r="AL7" s="55" t="e">
        <f>IF(AND('Mapa final NC'!#REF!="Muy Alta",'Mapa final NC'!#REF!="Catastrófico"),CONCATENATE("R2C",'Mapa final NC'!#REF!),"")</f>
        <v>#REF!</v>
      </c>
      <c r="AM7" s="56" t="e">
        <f>IF(AND('Mapa final NC'!#REF!="Muy Alta",'Mapa final NC'!#REF!="Catastrófico"),CONCATENATE("R2C",'Mapa final NC'!#REF!),"")</f>
        <v>#REF!</v>
      </c>
      <c r="AN7" s="82"/>
      <c r="AO7" s="483"/>
      <c r="AP7" s="484"/>
      <c r="AQ7" s="484"/>
      <c r="AR7" s="484"/>
      <c r="AS7" s="484"/>
      <c r="AT7" s="485"/>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78"/>
      <c r="C8" s="378"/>
      <c r="D8" s="379"/>
      <c r="E8" s="477"/>
      <c r="F8" s="476"/>
      <c r="G8" s="476"/>
      <c r="H8" s="476"/>
      <c r="I8" s="492"/>
      <c r="J8" s="51" t="str">
        <f>IF(AND('Mapa final NC'!$Y$34="Muy Alta",'Mapa final NC'!$AA$34="Leve"),CONCATENATE("R3C",'Mapa final NC'!$O$34),"")</f>
        <v/>
      </c>
      <c r="K8" s="52" t="str">
        <f>IF(AND('Mapa final NC'!$Y$35="Muy Alta",'Mapa final NC'!$AA$35="Leve"),CONCATENATE("R3C",'Mapa final NC'!$O$35),"")</f>
        <v/>
      </c>
      <c r="L8" s="52" t="str">
        <f>IF(AND('Mapa final NC'!$Y$36="Muy Alta",'Mapa final NC'!$AA$36="Leve"),CONCATENATE("R3C",'Mapa final NC'!$O$36),"")</f>
        <v/>
      </c>
      <c r="M8" s="52" t="e">
        <f>IF(AND('Mapa final NC'!#REF!="Muy Alta",'Mapa final NC'!#REF!="Leve"),CONCATENATE("R3C",'Mapa final NC'!#REF!),"")</f>
        <v>#REF!</v>
      </c>
      <c r="N8" s="52" t="e">
        <f>IF(AND('Mapa final NC'!#REF!="Muy Alta",'Mapa final NC'!#REF!="Leve"),CONCATENATE("R3C",'Mapa final NC'!#REF!),"")</f>
        <v>#REF!</v>
      </c>
      <c r="O8" s="53" t="e">
        <f>IF(AND('Mapa final NC'!#REF!="Muy Alta",'Mapa final NC'!#REF!="Leve"),CONCATENATE("R3C",'Mapa final NC'!#REF!),"")</f>
        <v>#REF!</v>
      </c>
      <c r="P8" s="51" t="str">
        <f>IF(AND('Mapa final NC'!$Y$34="Muy Alta",'Mapa final NC'!$AA$34="Menor"),CONCATENATE("R3C",'Mapa final NC'!$O$34),"")</f>
        <v/>
      </c>
      <c r="Q8" s="52" t="str">
        <f>IF(AND('Mapa final NC'!$Y$35="Muy Alta",'Mapa final NC'!$AA$35="Menor"),CONCATENATE("R3C",'Mapa final NC'!$O$35),"")</f>
        <v/>
      </c>
      <c r="R8" s="52" t="str">
        <f>IF(AND('Mapa final NC'!$Y$36="Muy Alta",'Mapa final NC'!$AA$36="Menor"),CONCATENATE("R3C",'Mapa final NC'!$O$36),"")</f>
        <v/>
      </c>
      <c r="S8" s="52" t="e">
        <f>IF(AND('Mapa final NC'!#REF!="Muy Alta",'Mapa final NC'!#REF!="Menor"),CONCATENATE("R3C",'Mapa final NC'!#REF!),"")</f>
        <v>#REF!</v>
      </c>
      <c r="T8" s="52" t="e">
        <f>IF(AND('Mapa final NC'!#REF!="Muy Alta",'Mapa final NC'!#REF!="Menor"),CONCATENATE("R3C",'Mapa final NC'!#REF!),"")</f>
        <v>#REF!</v>
      </c>
      <c r="U8" s="53" t="e">
        <f>IF(AND('Mapa final NC'!#REF!="Muy Alta",'Mapa final NC'!#REF!="Menor"),CONCATENATE("R3C",'Mapa final NC'!#REF!),"")</f>
        <v>#REF!</v>
      </c>
      <c r="V8" s="51" t="str">
        <f>IF(AND('Mapa final NC'!$Y$34="Muy Alta",'Mapa final NC'!$AA$34="Moderado"),CONCATENATE("R3C",'Mapa final NC'!$O$34),"")</f>
        <v/>
      </c>
      <c r="W8" s="52" t="str">
        <f>IF(AND('Mapa final NC'!$Y$35="Muy Alta",'Mapa final NC'!$AA$35="Moderado"),CONCATENATE("R3C",'Mapa final NC'!$O$35),"")</f>
        <v/>
      </c>
      <c r="X8" s="52" t="str">
        <f>IF(AND('Mapa final NC'!$Y$36="Muy Alta",'Mapa final NC'!$AA$36="Moderado"),CONCATENATE("R3C",'Mapa final NC'!$O$36),"")</f>
        <v/>
      </c>
      <c r="Y8" s="52" t="e">
        <f>IF(AND('Mapa final NC'!#REF!="Muy Alta",'Mapa final NC'!#REF!="Moderado"),CONCATENATE("R3C",'Mapa final NC'!#REF!),"")</f>
        <v>#REF!</v>
      </c>
      <c r="Z8" s="52" t="e">
        <f>IF(AND('Mapa final NC'!#REF!="Muy Alta",'Mapa final NC'!#REF!="Moderado"),CONCATENATE("R3C",'Mapa final NC'!#REF!),"")</f>
        <v>#REF!</v>
      </c>
      <c r="AA8" s="53" t="e">
        <f>IF(AND('Mapa final NC'!#REF!="Muy Alta",'Mapa final NC'!#REF!="Moderado"),CONCATENATE("R3C",'Mapa final NC'!#REF!),"")</f>
        <v>#REF!</v>
      </c>
      <c r="AB8" s="51" t="str">
        <f>IF(AND('Mapa final NC'!$Y$34="Muy Alta",'Mapa final NC'!$AA$34="Mayor"),CONCATENATE("R3C",'Mapa final NC'!$O$34),"")</f>
        <v/>
      </c>
      <c r="AC8" s="52" t="str">
        <f>IF(AND('Mapa final NC'!$Y$35="Muy Alta",'Mapa final NC'!$AA$35="Mayor"),CONCATENATE("R3C",'Mapa final NC'!$O$35),"")</f>
        <v/>
      </c>
      <c r="AD8" s="52" t="str">
        <f>IF(AND('Mapa final NC'!$Y$36="Muy Alta",'Mapa final NC'!$AA$36="Mayor"),CONCATENATE("R3C",'Mapa final NC'!$O$36),"")</f>
        <v/>
      </c>
      <c r="AE8" s="52" t="e">
        <f>IF(AND('Mapa final NC'!#REF!="Muy Alta",'Mapa final NC'!#REF!="Mayor"),CONCATENATE("R3C",'Mapa final NC'!#REF!),"")</f>
        <v>#REF!</v>
      </c>
      <c r="AF8" s="52" t="e">
        <f>IF(AND('Mapa final NC'!#REF!="Muy Alta",'Mapa final NC'!#REF!="Mayor"),CONCATENATE("R3C",'Mapa final NC'!#REF!),"")</f>
        <v>#REF!</v>
      </c>
      <c r="AG8" s="53" t="e">
        <f>IF(AND('Mapa final NC'!#REF!="Muy Alta",'Mapa final NC'!#REF!="Mayor"),CONCATENATE("R3C",'Mapa final NC'!#REF!),"")</f>
        <v>#REF!</v>
      </c>
      <c r="AH8" s="54" t="str">
        <f>IF(AND('Mapa final NC'!$Y$34="Muy Alta",'Mapa final NC'!$AA$34="Catastrófico"),CONCATENATE("R3C",'Mapa final NC'!$O$34),"")</f>
        <v/>
      </c>
      <c r="AI8" s="55" t="str">
        <f>IF(AND('Mapa final NC'!$Y$35="Muy Alta",'Mapa final NC'!$AA$35="Catastrófico"),CONCATENATE("R3C",'Mapa final NC'!$O$35),"")</f>
        <v/>
      </c>
      <c r="AJ8" s="55" t="str">
        <f>IF(AND('Mapa final NC'!$Y$36="Muy Alta",'Mapa final NC'!$AA$36="Catastrófico"),CONCATENATE("R3C",'Mapa final NC'!$O$36),"")</f>
        <v/>
      </c>
      <c r="AK8" s="55" t="e">
        <f>IF(AND('Mapa final NC'!#REF!="Muy Alta",'Mapa final NC'!#REF!="Catastrófico"),CONCATENATE("R3C",'Mapa final NC'!#REF!),"")</f>
        <v>#REF!</v>
      </c>
      <c r="AL8" s="55" t="e">
        <f>IF(AND('Mapa final NC'!#REF!="Muy Alta",'Mapa final NC'!#REF!="Catastrófico"),CONCATENATE("R3C",'Mapa final NC'!#REF!),"")</f>
        <v>#REF!</v>
      </c>
      <c r="AM8" s="56" t="e">
        <f>IF(AND('Mapa final NC'!#REF!="Muy Alta",'Mapa final NC'!#REF!="Catastrófico"),CONCATENATE("R3C",'Mapa final NC'!#REF!),"")</f>
        <v>#REF!</v>
      </c>
      <c r="AN8" s="82"/>
      <c r="AO8" s="483"/>
      <c r="AP8" s="484"/>
      <c r="AQ8" s="484"/>
      <c r="AR8" s="484"/>
      <c r="AS8" s="484"/>
      <c r="AT8" s="485"/>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78"/>
      <c r="C9" s="378"/>
      <c r="D9" s="379"/>
      <c r="E9" s="477"/>
      <c r="F9" s="476"/>
      <c r="G9" s="476"/>
      <c r="H9" s="476"/>
      <c r="I9" s="492"/>
      <c r="J9" s="51" t="str">
        <f>IF(AND('Mapa final NC'!$Y$37="Muy Alta",'Mapa final NC'!$AA$37="Leve"),CONCATENATE("R4C",'Mapa final NC'!$O$37),"")</f>
        <v/>
      </c>
      <c r="K9" s="52" t="e">
        <f>IF(AND('Mapa final NC'!#REF!="Muy Alta",'Mapa final NC'!#REF!="Leve"),CONCATENATE("R4C",'Mapa final NC'!#REF!),"")</f>
        <v>#REF!</v>
      </c>
      <c r="L9" s="52" t="e">
        <f>IF(AND('Mapa final NC'!#REF!="Muy Alta",'Mapa final NC'!#REF!="Leve"),CONCATENATE("R4C",'Mapa final NC'!#REF!),"")</f>
        <v>#REF!</v>
      </c>
      <c r="M9" s="52" t="e">
        <f>IF(AND('Mapa final NC'!#REF!="Muy Alta",'Mapa final NC'!#REF!="Leve"),CONCATENATE("R4C",'Mapa final NC'!#REF!),"")</f>
        <v>#REF!</v>
      </c>
      <c r="N9" s="52" t="e">
        <f>IF(AND('Mapa final NC'!#REF!="Muy Alta",'Mapa final NC'!#REF!="Leve"),CONCATENATE("R4C",'Mapa final NC'!#REF!),"")</f>
        <v>#REF!</v>
      </c>
      <c r="O9" s="53" t="e">
        <f>IF(AND('Mapa final NC'!#REF!="Muy Alta",'Mapa final NC'!#REF!="Leve"),CONCATENATE("R4C",'Mapa final NC'!#REF!),"")</f>
        <v>#REF!</v>
      </c>
      <c r="P9" s="51" t="str">
        <f>IF(AND('Mapa final NC'!$Y$37="Muy Alta",'Mapa final NC'!$AA$37="Menor"),CONCATENATE("R4C",'Mapa final NC'!$O$37),"")</f>
        <v/>
      </c>
      <c r="Q9" s="52" t="e">
        <f>IF(AND('Mapa final NC'!#REF!="Muy Alta",'Mapa final NC'!#REF!="Menor"),CONCATENATE("R4C",'Mapa final NC'!#REF!),"")</f>
        <v>#REF!</v>
      </c>
      <c r="R9" s="52" t="e">
        <f>IF(AND('Mapa final NC'!#REF!="Muy Alta",'Mapa final NC'!#REF!="Menor"),CONCATENATE("R4C",'Mapa final NC'!#REF!),"")</f>
        <v>#REF!</v>
      </c>
      <c r="S9" s="52" t="e">
        <f>IF(AND('Mapa final NC'!#REF!="Muy Alta",'Mapa final NC'!#REF!="Menor"),CONCATENATE("R4C",'Mapa final NC'!#REF!),"")</f>
        <v>#REF!</v>
      </c>
      <c r="T9" s="52" t="e">
        <f>IF(AND('Mapa final NC'!#REF!="Muy Alta",'Mapa final NC'!#REF!="Menor"),CONCATENATE("R4C",'Mapa final NC'!#REF!),"")</f>
        <v>#REF!</v>
      </c>
      <c r="U9" s="53" t="e">
        <f>IF(AND('Mapa final NC'!#REF!="Muy Alta",'Mapa final NC'!#REF!="Menor"),CONCATENATE("R4C",'Mapa final NC'!#REF!),"")</f>
        <v>#REF!</v>
      </c>
      <c r="V9" s="51" t="str">
        <f>IF(AND('Mapa final NC'!$Y$37="Muy Alta",'Mapa final NC'!$AA$37="Moderado"),CONCATENATE("R4C",'Mapa final NC'!$O$37),"")</f>
        <v/>
      </c>
      <c r="W9" s="52" t="e">
        <f>IF(AND('Mapa final NC'!#REF!="Muy Alta",'Mapa final NC'!#REF!="Moderado"),CONCATENATE("R4C",'Mapa final NC'!#REF!),"")</f>
        <v>#REF!</v>
      </c>
      <c r="X9" s="52" t="e">
        <f>IF(AND('Mapa final NC'!#REF!="Muy Alta",'Mapa final NC'!#REF!="Moderado"),CONCATENATE("R4C",'Mapa final NC'!#REF!),"")</f>
        <v>#REF!</v>
      </c>
      <c r="Y9" s="52" t="e">
        <f>IF(AND('Mapa final NC'!#REF!="Muy Alta",'Mapa final NC'!#REF!="Moderado"),CONCATENATE("R4C",'Mapa final NC'!#REF!),"")</f>
        <v>#REF!</v>
      </c>
      <c r="Z9" s="52" t="e">
        <f>IF(AND('Mapa final NC'!#REF!="Muy Alta",'Mapa final NC'!#REF!="Moderado"),CONCATENATE("R4C",'Mapa final NC'!#REF!),"")</f>
        <v>#REF!</v>
      </c>
      <c r="AA9" s="53" t="e">
        <f>IF(AND('Mapa final NC'!#REF!="Muy Alta",'Mapa final NC'!#REF!="Moderado"),CONCATENATE("R4C",'Mapa final NC'!#REF!),"")</f>
        <v>#REF!</v>
      </c>
      <c r="AB9" s="51" t="str">
        <f>IF(AND('Mapa final NC'!$Y$37="Muy Alta",'Mapa final NC'!$AA$37="Mayor"),CONCATENATE("R4C",'Mapa final NC'!$O$37),"")</f>
        <v/>
      </c>
      <c r="AC9" s="52" t="e">
        <f>IF(AND('Mapa final NC'!#REF!="Muy Alta",'Mapa final NC'!#REF!="Mayor"),CONCATENATE("R4C",'Mapa final NC'!#REF!),"")</f>
        <v>#REF!</v>
      </c>
      <c r="AD9" s="52" t="e">
        <f>IF(AND('Mapa final NC'!#REF!="Muy Alta",'Mapa final NC'!#REF!="Mayor"),CONCATENATE("R4C",'Mapa final NC'!#REF!),"")</f>
        <v>#REF!</v>
      </c>
      <c r="AE9" s="52" t="e">
        <f>IF(AND('Mapa final NC'!#REF!="Muy Alta",'Mapa final NC'!#REF!="Mayor"),CONCATENATE("R4C",'Mapa final NC'!#REF!),"")</f>
        <v>#REF!</v>
      </c>
      <c r="AF9" s="52" t="e">
        <f>IF(AND('Mapa final NC'!#REF!="Muy Alta",'Mapa final NC'!#REF!="Mayor"),CONCATENATE("R4C",'Mapa final NC'!#REF!),"")</f>
        <v>#REF!</v>
      </c>
      <c r="AG9" s="53" t="e">
        <f>IF(AND('Mapa final NC'!#REF!="Muy Alta",'Mapa final NC'!#REF!="Mayor"),CONCATENATE("R4C",'Mapa final NC'!#REF!),"")</f>
        <v>#REF!</v>
      </c>
      <c r="AH9" s="54" t="str">
        <f>IF(AND('Mapa final NC'!$Y$37="Muy Alta",'Mapa final NC'!$AA$37="Catastrófico"),CONCATENATE("R4C",'Mapa final NC'!$O$37),"")</f>
        <v/>
      </c>
      <c r="AI9" s="55" t="e">
        <f>IF(AND('Mapa final NC'!#REF!="Muy Alta",'Mapa final NC'!#REF!="Catastrófico"),CONCATENATE("R4C",'Mapa final NC'!#REF!),"")</f>
        <v>#REF!</v>
      </c>
      <c r="AJ9" s="55" t="e">
        <f>IF(AND('Mapa final NC'!#REF!="Muy Alta",'Mapa final NC'!#REF!="Catastrófico"),CONCATENATE("R4C",'Mapa final NC'!#REF!),"")</f>
        <v>#REF!</v>
      </c>
      <c r="AK9" s="55" t="e">
        <f>IF(AND('Mapa final NC'!#REF!="Muy Alta",'Mapa final NC'!#REF!="Catastrófico"),CONCATENATE("R4C",'Mapa final NC'!#REF!),"")</f>
        <v>#REF!</v>
      </c>
      <c r="AL9" s="55" t="e">
        <f>IF(AND('Mapa final NC'!#REF!="Muy Alta",'Mapa final NC'!#REF!="Catastrófico"),CONCATENATE("R4C",'Mapa final NC'!#REF!),"")</f>
        <v>#REF!</v>
      </c>
      <c r="AM9" s="56" t="e">
        <f>IF(AND('Mapa final NC'!#REF!="Muy Alta",'Mapa final NC'!#REF!="Catastrófico"),CONCATENATE("R4C",'Mapa final NC'!#REF!),"")</f>
        <v>#REF!</v>
      </c>
      <c r="AN9" s="82"/>
      <c r="AO9" s="483"/>
      <c r="AP9" s="484"/>
      <c r="AQ9" s="484"/>
      <c r="AR9" s="484"/>
      <c r="AS9" s="484"/>
      <c r="AT9" s="485"/>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78"/>
      <c r="C10" s="378"/>
      <c r="D10" s="379"/>
      <c r="E10" s="477"/>
      <c r="F10" s="476"/>
      <c r="G10" s="476"/>
      <c r="H10" s="476"/>
      <c r="I10" s="492"/>
      <c r="J10" s="51" t="str">
        <f>IF(AND('Mapa final NC'!$Y$38="Muy Alta",'Mapa final NC'!$AA$38="Leve"),CONCATENATE("R5C",'Mapa final NC'!$O$38),"")</f>
        <v/>
      </c>
      <c r="K10" s="52" t="e">
        <f>IF(AND('Mapa final NC'!#REF!="Muy Alta",'Mapa final NC'!#REF!="Leve"),CONCATENATE("R5C",'Mapa final NC'!#REF!),"")</f>
        <v>#REF!</v>
      </c>
      <c r="L10" s="52" t="e">
        <f>IF(AND('Mapa final NC'!#REF!="Muy Alta",'Mapa final NC'!#REF!="Leve"),CONCATENATE("R5C",'Mapa final NC'!#REF!),"")</f>
        <v>#REF!</v>
      </c>
      <c r="M10" s="52" t="e">
        <f>IF(AND('Mapa final NC'!#REF!="Muy Alta",'Mapa final NC'!#REF!="Leve"),CONCATENATE("R5C",'Mapa final NC'!#REF!),"")</f>
        <v>#REF!</v>
      </c>
      <c r="N10" s="52" t="e">
        <f>IF(AND('Mapa final NC'!#REF!="Muy Alta",'Mapa final NC'!#REF!="Leve"),CONCATENATE("R5C",'Mapa final NC'!#REF!),"")</f>
        <v>#REF!</v>
      </c>
      <c r="O10" s="53" t="e">
        <f>IF(AND('Mapa final NC'!#REF!="Muy Alta",'Mapa final NC'!#REF!="Leve"),CONCATENATE("R5C",'Mapa final NC'!#REF!),"")</f>
        <v>#REF!</v>
      </c>
      <c r="P10" s="51" t="str">
        <f>IF(AND('Mapa final NC'!$Y$38="Muy Alta",'Mapa final NC'!$AA$38="Menor"),CONCATENATE("R5C",'Mapa final NC'!$O$38),"")</f>
        <v/>
      </c>
      <c r="Q10" s="52" t="e">
        <f>IF(AND('Mapa final NC'!#REF!="Muy Alta",'Mapa final NC'!#REF!="Menor"),CONCATENATE("R5C",'Mapa final NC'!#REF!),"")</f>
        <v>#REF!</v>
      </c>
      <c r="R10" s="52" t="e">
        <f>IF(AND('Mapa final NC'!#REF!="Muy Alta",'Mapa final NC'!#REF!="Menor"),CONCATENATE("R5C",'Mapa final NC'!#REF!),"")</f>
        <v>#REF!</v>
      </c>
      <c r="S10" s="52" t="e">
        <f>IF(AND('Mapa final NC'!#REF!="Muy Alta",'Mapa final NC'!#REF!="Menor"),CONCATENATE("R5C",'Mapa final NC'!#REF!),"")</f>
        <v>#REF!</v>
      </c>
      <c r="T10" s="52" t="e">
        <f>IF(AND('Mapa final NC'!#REF!="Muy Alta",'Mapa final NC'!#REF!="Menor"),CONCATENATE("R5C",'Mapa final NC'!#REF!),"")</f>
        <v>#REF!</v>
      </c>
      <c r="U10" s="53" t="e">
        <f>IF(AND('Mapa final NC'!#REF!="Muy Alta",'Mapa final NC'!#REF!="Menor"),CONCATENATE("R5C",'Mapa final NC'!#REF!),"")</f>
        <v>#REF!</v>
      </c>
      <c r="V10" s="51" t="str">
        <f>IF(AND('Mapa final NC'!$Y$38="Muy Alta",'Mapa final NC'!$AA$38="Moderado"),CONCATENATE("R5C",'Mapa final NC'!$O$38),"")</f>
        <v/>
      </c>
      <c r="W10" s="52" t="e">
        <f>IF(AND('Mapa final NC'!#REF!="Muy Alta",'Mapa final NC'!#REF!="Moderado"),CONCATENATE("R5C",'Mapa final NC'!#REF!),"")</f>
        <v>#REF!</v>
      </c>
      <c r="X10" s="52" t="e">
        <f>IF(AND('Mapa final NC'!#REF!="Muy Alta",'Mapa final NC'!#REF!="Moderado"),CONCATENATE("R5C",'Mapa final NC'!#REF!),"")</f>
        <v>#REF!</v>
      </c>
      <c r="Y10" s="52" t="e">
        <f>IF(AND('Mapa final NC'!#REF!="Muy Alta",'Mapa final NC'!#REF!="Moderado"),CONCATENATE("R5C",'Mapa final NC'!#REF!),"")</f>
        <v>#REF!</v>
      </c>
      <c r="Z10" s="52" t="e">
        <f>IF(AND('Mapa final NC'!#REF!="Muy Alta",'Mapa final NC'!#REF!="Moderado"),CONCATENATE("R5C",'Mapa final NC'!#REF!),"")</f>
        <v>#REF!</v>
      </c>
      <c r="AA10" s="53" t="e">
        <f>IF(AND('Mapa final NC'!#REF!="Muy Alta",'Mapa final NC'!#REF!="Moderado"),CONCATENATE("R5C",'Mapa final NC'!#REF!),"")</f>
        <v>#REF!</v>
      </c>
      <c r="AB10" s="51" t="str">
        <f>IF(AND('Mapa final NC'!$Y$38="Muy Alta",'Mapa final NC'!$AA$38="Mayor"),CONCATENATE("R5C",'Mapa final NC'!$O$38),"")</f>
        <v/>
      </c>
      <c r="AC10" s="52" t="e">
        <f>IF(AND('Mapa final NC'!#REF!="Muy Alta",'Mapa final NC'!#REF!="Mayor"),CONCATENATE("R5C",'Mapa final NC'!#REF!),"")</f>
        <v>#REF!</v>
      </c>
      <c r="AD10" s="52" t="e">
        <f>IF(AND('Mapa final NC'!#REF!="Muy Alta",'Mapa final NC'!#REF!="Mayor"),CONCATENATE("R5C",'Mapa final NC'!#REF!),"")</f>
        <v>#REF!</v>
      </c>
      <c r="AE10" s="52" t="e">
        <f>IF(AND('Mapa final NC'!#REF!="Muy Alta",'Mapa final NC'!#REF!="Mayor"),CONCATENATE("R5C",'Mapa final NC'!#REF!),"")</f>
        <v>#REF!</v>
      </c>
      <c r="AF10" s="52" t="e">
        <f>IF(AND('Mapa final NC'!#REF!="Muy Alta",'Mapa final NC'!#REF!="Mayor"),CONCATENATE("R5C",'Mapa final NC'!#REF!),"")</f>
        <v>#REF!</v>
      </c>
      <c r="AG10" s="53" t="e">
        <f>IF(AND('Mapa final NC'!#REF!="Muy Alta",'Mapa final NC'!#REF!="Mayor"),CONCATENATE("R5C",'Mapa final NC'!#REF!),"")</f>
        <v>#REF!</v>
      </c>
      <c r="AH10" s="54" t="str">
        <f>IF(AND('Mapa final NC'!$Y$38="Muy Alta",'Mapa final NC'!$AA$38="Catastrófico"),CONCATENATE("R5C",'Mapa final NC'!$O$38),"")</f>
        <v/>
      </c>
      <c r="AI10" s="55" t="e">
        <f>IF(AND('Mapa final NC'!#REF!="Muy Alta",'Mapa final NC'!#REF!="Catastrófico"),CONCATENATE("R5C",'Mapa final NC'!#REF!),"")</f>
        <v>#REF!</v>
      </c>
      <c r="AJ10" s="55" t="e">
        <f>IF(AND('Mapa final NC'!#REF!="Muy Alta",'Mapa final NC'!#REF!="Catastrófico"),CONCATENATE("R5C",'Mapa final NC'!#REF!),"")</f>
        <v>#REF!</v>
      </c>
      <c r="AK10" s="55" t="e">
        <f>IF(AND('Mapa final NC'!#REF!="Muy Alta",'Mapa final NC'!#REF!="Catastrófico"),CONCATENATE("R5C",'Mapa final NC'!#REF!),"")</f>
        <v>#REF!</v>
      </c>
      <c r="AL10" s="55" t="e">
        <f>IF(AND('Mapa final NC'!#REF!="Muy Alta",'Mapa final NC'!#REF!="Catastrófico"),CONCATENATE("R5C",'Mapa final NC'!#REF!),"")</f>
        <v>#REF!</v>
      </c>
      <c r="AM10" s="56" t="e">
        <f>IF(AND('Mapa final NC'!#REF!="Muy Alta",'Mapa final NC'!#REF!="Catastrófico"),CONCATENATE("R5C",'Mapa final NC'!#REF!),"")</f>
        <v>#REF!</v>
      </c>
      <c r="AN10" s="82"/>
      <c r="AO10" s="483"/>
      <c r="AP10" s="484"/>
      <c r="AQ10" s="484"/>
      <c r="AR10" s="484"/>
      <c r="AS10" s="484"/>
      <c r="AT10" s="485"/>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78"/>
      <c r="C11" s="378"/>
      <c r="D11" s="379"/>
      <c r="E11" s="477"/>
      <c r="F11" s="476"/>
      <c r="G11" s="476"/>
      <c r="H11" s="476"/>
      <c r="I11" s="492"/>
      <c r="J11" s="51" t="str">
        <f>IF(AND('Mapa final NC'!$Y$39="Muy Alta",'Mapa final NC'!$AA$39="Leve"),CONCATENATE("R6C",'Mapa final NC'!$O$39),"")</f>
        <v/>
      </c>
      <c r="K11" s="52" t="e">
        <f>IF(AND('Mapa final NC'!#REF!="Muy Alta",'Mapa final NC'!#REF!="Leve"),CONCATENATE("R6C",'Mapa final NC'!#REF!),"")</f>
        <v>#REF!</v>
      </c>
      <c r="L11" s="52" t="e">
        <f>IF(AND('Mapa final NC'!#REF!="Muy Alta",'Mapa final NC'!#REF!="Leve"),CONCATENATE("R6C",'Mapa final NC'!#REF!),"")</f>
        <v>#REF!</v>
      </c>
      <c r="M11" s="52" t="e">
        <f>IF(AND('Mapa final NC'!#REF!="Muy Alta",'Mapa final NC'!#REF!="Leve"),CONCATENATE("R6C",'Mapa final NC'!#REF!),"")</f>
        <v>#REF!</v>
      </c>
      <c r="N11" s="52" t="e">
        <f>IF(AND('Mapa final NC'!#REF!="Muy Alta",'Mapa final NC'!#REF!="Leve"),CONCATENATE("R6C",'Mapa final NC'!#REF!),"")</f>
        <v>#REF!</v>
      </c>
      <c r="O11" s="53" t="e">
        <f>IF(AND('Mapa final NC'!#REF!="Muy Alta",'Mapa final NC'!#REF!="Leve"),CONCATENATE("R6C",'Mapa final NC'!#REF!),"")</f>
        <v>#REF!</v>
      </c>
      <c r="P11" s="51" t="str">
        <f>IF(AND('Mapa final NC'!$Y$39="Muy Alta",'Mapa final NC'!$AA$39="Menor"),CONCATENATE("R6C",'Mapa final NC'!$O$39),"")</f>
        <v/>
      </c>
      <c r="Q11" s="52" t="e">
        <f>IF(AND('Mapa final NC'!#REF!="Muy Alta",'Mapa final NC'!#REF!="Menor"),CONCATENATE("R6C",'Mapa final NC'!#REF!),"")</f>
        <v>#REF!</v>
      </c>
      <c r="R11" s="52" t="e">
        <f>IF(AND('Mapa final NC'!#REF!="Muy Alta",'Mapa final NC'!#REF!="Menor"),CONCATENATE("R6C",'Mapa final NC'!#REF!),"")</f>
        <v>#REF!</v>
      </c>
      <c r="S11" s="52" t="e">
        <f>IF(AND('Mapa final NC'!#REF!="Muy Alta",'Mapa final NC'!#REF!="Menor"),CONCATENATE("R6C",'Mapa final NC'!#REF!),"")</f>
        <v>#REF!</v>
      </c>
      <c r="T11" s="52" t="e">
        <f>IF(AND('Mapa final NC'!#REF!="Muy Alta",'Mapa final NC'!#REF!="Menor"),CONCATENATE("R6C",'Mapa final NC'!#REF!),"")</f>
        <v>#REF!</v>
      </c>
      <c r="U11" s="53" t="e">
        <f>IF(AND('Mapa final NC'!#REF!="Muy Alta",'Mapa final NC'!#REF!="Menor"),CONCATENATE("R6C",'Mapa final NC'!#REF!),"")</f>
        <v>#REF!</v>
      </c>
      <c r="V11" s="51" t="str">
        <f>IF(AND('Mapa final NC'!$Y$39="Muy Alta",'Mapa final NC'!$AA$39="Moderado"),CONCATENATE("R6C",'Mapa final NC'!$O$39),"")</f>
        <v/>
      </c>
      <c r="W11" s="52" t="e">
        <f>IF(AND('Mapa final NC'!#REF!="Muy Alta",'Mapa final NC'!#REF!="Moderado"),CONCATENATE("R6C",'Mapa final NC'!#REF!),"")</f>
        <v>#REF!</v>
      </c>
      <c r="X11" s="52" t="e">
        <f>IF(AND('Mapa final NC'!#REF!="Muy Alta",'Mapa final NC'!#REF!="Moderado"),CONCATENATE("R6C",'Mapa final NC'!#REF!),"")</f>
        <v>#REF!</v>
      </c>
      <c r="Y11" s="52" t="e">
        <f>IF(AND('Mapa final NC'!#REF!="Muy Alta",'Mapa final NC'!#REF!="Moderado"),CONCATENATE("R6C",'Mapa final NC'!#REF!),"")</f>
        <v>#REF!</v>
      </c>
      <c r="Z11" s="52" t="e">
        <f>IF(AND('Mapa final NC'!#REF!="Muy Alta",'Mapa final NC'!#REF!="Moderado"),CONCATENATE("R6C",'Mapa final NC'!#REF!),"")</f>
        <v>#REF!</v>
      </c>
      <c r="AA11" s="53" t="e">
        <f>IF(AND('Mapa final NC'!#REF!="Muy Alta",'Mapa final NC'!#REF!="Moderado"),CONCATENATE("R6C",'Mapa final NC'!#REF!),"")</f>
        <v>#REF!</v>
      </c>
      <c r="AB11" s="51" t="str">
        <f>IF(AND('Mapa final NC'!$Y$39="Muy Alta",'Mapa final NC'!$AA$39="Mayor"),CONCATENATE("R6C",'Mapa final NC'!$O$39),"")</f>
        <v/>
      </c>
      <c r="AC11" s="52" t="e">
        <f>IF(AND('Mapa final NC'!#REF!="Muy Alta",'Mapa final NC'!#REF!="Mayor"),CONCATENATE("R6C",'Mapa final NC'!#REF!),"")</f>
        <v>#REF!</v>
      </c>
      <c r="AD11" s="52" t="e">
        <f>IF(AND('Mapa final NC'!#REF!="Muy Alta",'Mapa final NC'!#REF!="Mayor"),CONCATENATE("R6C",'Mapa final NC'!#REF!),"")</f>
        <v>#REF!</v>
      </c>
      <c r="AE11" s="52" t="e">
        <f>IF(AND('Mapa final NC'!#REF!="Muy Alta",'Mapa final NC'!#REF!="Mayor"),CONCATENATE("R6C",'Mapa final NC'!#REF!),"")</f>
        <v>#REF!</v>
      </c>
      <c r="AF11" s="52" t="e">
        <f>IF(AND('Mapa final NC'!#REF!="Muy Alta",'Mapa final NC'!#REF!="Mayor"),CONCATENATE("R6C",'Mapa final NC'!#REF!),"")</f>
        <v>#REF!</v>
      </c>
      <c r="AG11" s="53" t="e">
        <f>IF(AND('Mapa final NC'!#REF!="Muy Alta",'Mapa final NC'!#REF!="Mayor"),CONCATENATE("R6C",'Mapa final NC'!#REF!),"")</f>
        <v>#REF!</v>
      </c>
      <c r="AH11" s="54" t="str">
        <f>IF(AND('Mapa final NC'!$Y$39="Muy Alta",'Mapa final NC'!$AA$39="Catastrófico"),CONCATENATE("R6C",'Mapa final NC'!$O$39),"")</f>
        <v/>
      </c>
      <c r="AI11" s="55" t="e">
        <f>IF(AND('Mapa final NC'!#REF!="Muy Alta",'Mapa final NC'!#REF!="Catastrófico"),CONCATENATE("R6C",'Mapa final NC'!#REF!),"")</f>
        <v>#REF!</v>
      </c>
      <c r="AJ11" s="55" t="e">
        <f>IF(AND('Mapa final NC'!#REF!="Muy Alta",'Mapa final NC'!#REF!="Catastrófico"),CONCATENATE("R6C",'Mapa final NC'!#REF!),"")</f>
        <v>#REF!</v>
      </c>
      <c r="AK11" s="55" t="e">
        <f>IF(AND('Mapa final NC'!#REF!="Muy Alta",'Mapa final NC'!#REF!="Catastrófico"),CONCATENATE("R6C",'Mapa final NC'!#REF!),"")</f>
        <v>#REF!</v>
      </c>
      <c r="AL11" s="55" t="e">
        <f>IF(AND('Mapa final NC'!#REF!="Muy Alta",'Mapa final NC'!#REF!="Catastrófico"),CONCATENATE("R6C",'Mapa final NC'!#REF!),"")</f>
        <v>#REF!</v>
      </c>
      <c r="AM11" s="56" t="e">
        <f>IF(AND('Mapa final NC'!#REF!="Muy Alta",'Mapa final NC'!#REF!="Catastrófico"),CONCATENATE("R6C",'Mapa final NC'!#REF!),"")</f>
        <v>#REF!</v>
      </c>
      <c r="AN11" s="82"/>
      <c r="AO11" s="483"/>
      <c r="AP11" s="484"/>
      <c r="AQ11" s="484"/>
      <c r="AR11" s="484"/>
      <c r="AS11" s="484"/>
      <c r="AT11" s="485"/>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78"/>
      <c r="C12" s="378"/>
      <c r="D12" s="379"/>
      <c r="E12" s="477"/>
      <c r="F12" s="476"/>
      <c r="G12" s="476"/>
      <c r="H12" s="476"/>
      <c r="I12" s="492"/>
      <c r="J12" s="51" t="str">
        <f>IF(AND('Mapa final NC'!$Y$40="Muy Alta",'Mapa final NC'!$AA$40="Leve"),CONCATENATE("R7C",'Mapa final NC'!$O$40),"")</f>
        <v/>
      </c>
      <c r="K12" s="52" t="str">
        <f>IF(AND('Mapa final NC'!$Y$41="Muy Alta",'Mapa final NC'!$AA$41="Leve"),CONCATENATE("R7C",'Mapa final NC'!$O$41),"")</f>
        <v/>
      </c>
      <c r="L12" s="52" t="e">
        <f>IF(AND('Mapa final NC'!#REF!="Muy Alta",'Mapa final NC'!#REF!="Leve"),CONCATENATE("R7C",'Mapa final NC'!#REF!),"")</f>
        <v>#REF!</v>
      </c>
      <c r="M12" s="52" t="e">
        <f>IF(AND('Mapa final NC'!#REF!="Muy Alta",'Mapa final NC'!#REF!="Leve"),CONCATENATE("R7C",'Mapa final NC'!#REF!),"")</f>
        <v>#REF!</v>
      </c>
      <c r="N12" s="52" t="e">
        <f>IF(AND('Mapa final NC'!#REF!="Muy Alta",'Mapa final NC'!#REF!="Leve"),CONCATENATE("R7C",'Mapa final NC'!#REF!),"")</f>
        <v>#REF!</v>
      </c>
      <c r="O12" s="53" t="e">
        <f>IF(AND('Mapa final NC'!#REF!="Muy Alta",'Mapa final NC'!#REF!="Leve"),CONCATENATE("R7C",'Mapa final NC'!#REF!),"")</f>
        <v>#REF!</v>
      </c>
      <c r="P12" s="51" t="str">
        <f>IF(AND('Mapa final NC'!$Y$40="Muy Alta",'Mapa final NC'!$AA$40="Menor"),CONCATENATE("R7C",'Mapa final NC'!$O$40),"")</f>
        <v/>
      </c>
      <c r="Q12" s="52" t="str">
        <f>IF(AND('Mapa final NC'!$Y$41="Muy Alta",'Mapa final NC'!$AA$41="Menor"),CONCATENATE("R7C",'Mapa final NC'!$O$41),"")</f>
        <v/>
      </c>
      <c r="R12" s="52" t="e">
        <f>IF(AND('Mapa final NC'!#REF!="Muy Alta",'Mapa final NC'!#REF!="Menor"),CONCATENATE("R7C",'Mapa final NC'!#REF!),"")</f>
        <v>#REF!</v>
      </c>
      <c r="S12" s="52" t="e">
        <f>IF(AND('Mapa final NC'!#REF!="Muy Alta",'Mapa final NC'!#REF!="Menor"),CONCATENATE("R7C",'Mapa final NC'!#REF!),"")</f>
        <v>#REF!</v>
      </c>
      <c r="T12" s="52" t="e">
        <f>IF(AND('Mapa final NC'!#REF!="Muy Alta",'Mapa final NC'!#REF!="Menor"),CONCATENATE("R7C",'Mapa final NC'!#REF!),"")</f>
        <v>#REF!</v>
      </c>
      <c r="U12" s="53" t="e">
        <f>IF(AND('Mapa final NC'!#REF!="Muy Alta",'Mapa final NC'!#REF!="Menor"),CONCATENATE("R7C",'Mapa final NC'!#REF!),"")</f>
        <v>#REF!</v>
      </c>
      <c r="V12" s="51" t="str">
        <f>IF(AND('Mapa final NC'!$Y$40="Muy Alta",'Mapa final NC'!$AA$40="Moderado"),CONCATENATE("R7C",'Mapa final NC'!$O$40),"")</f>
        <v/>
      </c>
      <c r="W12" s="52" t="str">
        <f>IF(AND('Mapa final NC'!$Y$41="Muy Alta",'Mapa final NC'!$AA$41="Moderado"),CONCATENATE("R7C",'Mapa final NC'!$O$41),"")</f>
        <v/>
      </c>
      <c r="X12" s="52" t="e">
        <f>IF(AND('Mapa final NC'!#REF!="Muy Alta",'Mapa final NC'!#REF!="Moderado"),CONCATENATE("R7C",'Mapa final NC'!#REF!),"")</f>
        <v>#REF!</v>
      </c>
      <c r="Y12" s="52" t="e">
        <f>IF(AND('Mapa final NC'!#REF!="Muy Alta",'Mapa final NC'!#REF!="Moderado"),CONCATENATE("R7C",'Mapa final NC'!#REF!),"")</f>
        <v>#REF!</v>
      </c>
      <c r="Z12" s="52" t="e">
        <f>IF(AND('Mapa final NC'!#REF!="Muy Alta",'Mapa final NC'!#REF!="Moderado"),CONCATENATE("R7C",'Mapa final NC'!#REF!),"")</f>
        <v>#REF!</v>
      </c>
      <c r="AA12" s="53" t="e">
        <f>IF(AND('Mapa final NC'!#REF!="Muy Alta",'Mapa final NC'!#REF!="Moderado"),CONCATENATE("R7C",'Mapa final NC'!#REF!),"")</f>
        <v>#REF!</v>
      </c>
      <c r="AB12" s="51" t="str">
        <f>IF(AND('Mapa final NC'!$Y$40="Muy Alta",'Mapa final NC'!$AA$40="Mayor"),CONCATENATE("R7C",'Mapa final NC'!$O$40),"")</f>
        <v/>
      </c>
      <c r="AC12" s="52" t="str">
        <f>IF(AND('Mapa final NC'!$Y$41="Muy Alta",'Mapa final NC'!$AA$41="Mayor"),CONCATENATE("R7C",'Mapa final NC'!$O$41),"")</f>
        <v/>
      </c>
      <c r="AD12" s="52" t="e">
        <f>IF(AND('Mapa final NC'!#REF!="Muy Alta",'Mapa final NC'!#REF!="Mayor"),CONCATENATE("R7C",'Mapa final NC'!#REF!),"")</f>
        <v>#REF!</v>
      </c>
      <c r="AE12" s="52" t="e">
        <f>IF(AND('Mapa final NC'!#REF!="Muy Alta",'Mapa final NC'!#REF!="Mayor"),CONCATENATE("R7C",'Mapa final NC'!#REF!),"")</f>
        <v>#REF!</v>
      </c>
      <c r="AF12" s="52" t="e">
        <f>IF(AND('Mapa final NC'!#REF!="Muy Alta",'Mapa final NC'!#REF!="Mayor"),CONCATENATE("R7C",'Mapa final NC'!#REF!),"")</f>
        <v>#REF!</v>
      </c>
      <c r="AG12" s="53" t="e">
        <f>IF(AND('Mapa final NC'!#REF!="Muy Alta",'Mapa final NC'!#REF!="Mayor"),CONCATENATE("R7C",'Mapa final NC'!#REF!),"")</f>
        <v>#REF!</v>
      </c>
      <c r="AH12" s="54" t="str">
        <f>IF(AND('Mapa final NC'!$Y$40="Muy Alta",'Mapa final NC'!$AA$40="Catastrófico"),CONCATENATE("R7C",'Mapa final NC'!$O$40),"")</f>
        <v/>
      </c>
      <c r="AI12" s="55" t="str">
        <f>IF(AND('Mapa final NC'!$Y$41="Muy Alta",'Mapa final NC'!$AA$41="Catastrófico"),CONCATENATE("R7C",'Mapa final NC'!$O$41),"")</f>
        <v/>
      </c>
      <c r="AJ12" s="55" t="e">
        <f>IF(AND('Mapa final NC'!#REF!="Muy Alta",'Mapa final NC'!#REF!="Catastrófico"),CONCATENATE("R7C",'Mapa final NC'!#REF!),"")</f>
        <v>#REF!</v>
      </c>
      <c r="AK12" s="55" t="e">
        <f>IF(AND('Mapa final NC'!#REF!="Muy Alta",'Mapa final NC'!#REF!="Catastrófico"),CONCATENATE("R7C",'Mapa final NC'!#REF!),"")</f>
        <v>#REF!</v>
      </c>
      <c r="AL12" s="55" t="e">
        <f>IF(AND('Mapa final NC'!#REF!="Muy Alta",'Mapa final NC'!#REF!="Catastrófico"),CONCATENATE("R7C",'Mapa final NC'!#REF!),"")</f>
        <v>#REF!</v>
      </c>
      <c r="AM12" s="56" t="e">
        <f>IF(AND('Mapa final NC'!#REF!="Muy Alta",'Mapa final NC'!#REF!="Catastrófico"),CONCATENATE("R7C",'Mapa final NC'!#REF!),"")</f>
        <v>#REF!</v>
      </c>
      <c r="AN12" s="82"/>
      <c r="AO12" s="483"/>
      <c r="AP12" s="484"/>
      <c r="AQ12" s="484"/>
      <c r="AR12" s="484"/>
      <c r="AS12" s="484"/>
      <c r="AT12" s="485"/>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78"/>
      <c r="C13" s="378"/>
      <c r="D13" s="379"/>
      <c r="E13" s="477"/>
      <c r="F13" s="476"/>
      <c r="G13" s="476"/>
      <c r="H13" s="476"/>
      <c r="I13" s="492"/>
      <c r="J13" s="51" t="str">
        <f>IF(AND('Mapa final NC'!$Y$42="Muy Alta",'Mapa final NC'!$AA$42="Leve"),CONCATENATE("R8C",'Mapa final NC'!$O$42),"")</f>
        <v/>
      </c>
      <c r="K13" s="52" t="e">
        <f>IF(AND('Mapa final NC'!#REF!="Muy Alta",'Mapa final NC'!#REF!="Leve"),CONCATENATE("R8C",'Mapa final NC'!#REF!),"")</f>
        <v>#REF!</v>
      </c>
      <c r="L13" s="52" t="e">
        <f>IF(AND('Mapa final NC'!#REF!="Muy Alta",'Mapa final NC'!#REF!="Leve"),CONCATENATE("R8C",'Mapa final NC'!#REF!),"")</f>
        <v>#REF!</v>
      </c>
      <c r="M13" s="52" t="e">
        <f>IF(AND('Mapa final NC'!#REF!="Muy Alta",'Mapa final NC'!#REF!="Leve"),CONCATENATE("R8C",'Mapa final NC'!#REF!),"")</f>
        <v>#REF!</v>
      </c>
      <c r="N13" s="52" t="e">
        <f>IF(AND('Mapa final NC'!#REF!="Muy Alta",'Mapa final NC'!#REF!="Leve"),CONCATENATE("R8C",'Mapa final NC'!#REF!),"")</f>
        <v>#REF!</v>
      </c>
      <c r="O13" s="53" t="e">
        <f>IF(AND('Mapa final NC'!#REF!="Muy Alta",'Mapa final NC'!#REF!="Leve"),CONCATENATE("R8C",'Mapa final NC'!#REF!),"")</f>
        <v>#REF!</v>
      </c>
      <c r="P13" s="51" t="str">
        <f>IF(AND('Mapa final NC'!$Y$42="Muy Alta",'Mapa final NC'!$AA$42="Menor"),CONCATENATE("R8C",'Mapa final NC'!$O$42),"")</f>
        <v/>
      </c>
      <c r="Q13" s="52" t="e">
        <f>IF(AND('Mapa final NC'!#REF!="Muy Alta",'Mapa final NC'!#REF!="Menor"),CONCATENATE("R8C",'Mapa final NC'!#REF!),"")</f>
        <v>#REF!</v>
      </c>
      <c r="R13" s="52" t="e">
        <f>IF(AND('Mapa final NC'!#REF!="Muy Alta",'Mapa final NC'!#REF!="Menor"),CONCATENATE("R8C",'Mapa final NC'!#REF!),"")</f>
        <v>#REF!</v>
      </c>
      <c r="S13" s="52" t="e">
        <f>IF(AND('Mapa final NC'!#REF!="Muy Alta",'Mapa final NC'!#REF!="Menor"),CONCATENATE("R8C",'Mapa final NC'!#REF!),"")</f>
        <v>#REF!</v>
      </c>
      <c r="T13" s="52" t="e">
        <f>IF(AND('Mapa final NC'!#REF!="Muy Alta",'Mapa final NC'!#REF!="Menor"),CONCATENATE("R8C",'Mapa final NC'!#REF!),"")</f>
        <v>#REF!</v>
      </c>
      <c r="U13" s="53" t="e">
        <f>IF(AND('Mapa final NC'!#REF!="Muy Alta",'Mapa final NC'!#REF!="Menor"),CONCATENATE("R8C",'Mapa final NC'!#REF!),"")</f>
        <v>#REF!</v>
      </c>
      <c r="V13" s="51" t="str">
        <f>IF(AND('Mapa final NC'!$Y$42="Muy Alta",'Mapa final NC'!$AA$42="Moderado"),CONCATENATE("R8C",'Mapa final NC'!$O$42),"")</f>
        <v/>
      </c>
      <c r="W13" s="52" t="e">
        <f>IF(AND('Mapa final NC'!#REF!="Muy Alta",'Mapa final NC'!#REF!="Moderado"),CONCATENATE("R8C",'Mapa final NC'!#REF!),"")</f>
        <v>#REF!</v>
      </c>
      <c r="X13" s="52" t="e">
        <f>IF(AND('Mapa final NC'!#REF!="Muy Alta",'Mapa final NC'!#REF!="Moderado"),CONCATENATE("R8C",'Mapa final NC'!#REF!),"")</f>
        <v>#REF!</v>
      </c>
      <c r="Y13" s="52" t="e">
        <f>IF(AND('Mapa final NC'!#REF!="Muy Alta",'Mapa final NC'!#REF!="Moderado"),CONCATENATE("R8C",'Mapa final NC'!#REF!),"")</f>
        <v>#REF!</v>
      </c>
      <c r="Z13" s="52" t="e">
        <f>IF(AND('Mapa final NC'!#REF!="Muy Alta",'Mapa final NC'!#REF!="Moderado"),CONCATENATE("R8C",'Mapa final NC'!#REF!),"")</f>
        <v>#REF!</v>
      </c>
      <c r="AA13" s="53" t="e">
        <f>IF(AND('Mapa final NC'!#REF!="Muy Alta",'Mapa final NC'!#REF!="Moderado"),CONCATENATE("R8C",'Mapa final NC'!#REF!),"")</f>
        <v>#REF!</v>
      </c>
      <c r="AB13" s="51" t="str">
        <f>IF(AND('Mapa final NC'!$Y$42="Muy Alta",'Mapa final NC'!$AA$42="Mayor"),CONCATENATE("R8C",'Mapa final NC'!$O$42),"")</f>
        <v/>
      </c>
      <c r="AC13" s="52" t="e">
        <f>IF(AND('Mapa final NC'!#REF!="Muy Alta",'Mapa final NC'!#REF!="Mayor"),CONCATENATE("R8C",'Mapa final NC'!#REF!),"")</f>
        <v>#REF!</v>
      </c>
      <c r="AD13" s="52" t="e">
        <f>IF(AND('Mapa final NC'!#REF!="Muy Alta",'Mapa final NC'!#REF!="Mayor"),CONCATENATE("R8C",'Mapa final NC'!#REF!),"")</f>
        <v>#REF!</v>
      </c>
      <c r="AE13" s="52" t="e">
        <f>IF(AND('Mapa final NC'!#REF!="Muy Alta",'Mapa final NC'!#REF!="Mayor"),CONCATENATE("R8C",'Mapa final NC'!#REF!),"")</f>
        <v>#REF!</v>
      </c>
      <c r="AF13" s="52" t="e">
        <f>IF(AND('Mapa final NC'!#REF!="Muy Alta",'Mapa final NC'!#REF!="Mayor"),CONCATENATE("R8C",'Mapa final NC'!#REF!),"")</f>
        <v>#REF!</v>
      </c>
      <c r="AG13" s="53" t="e">
        <f>IF(AND('Mapa final NC'!#REF!="Muy Alta",'Mapa final NC'!#REF!="Mayor"),CONCATENATE("R8C",'Mapa final NC'!#REF!),"")</f>
        <v>#REF!</v>
      </c>
      <c r="AH13" s="54" t="str">
        <f>IF(AND('Mapa final NC'!$Y$42="Muy Alta",'Mapa final NC'!$AA$42="Catastrófico"),CONCATENATE("R8C",'Mapa final NC'!$O$42),"")</f>
        <v/>
      </c>
      <c r="AI13" s="55" t="e">
        <f>IF(AND('Mapa final NC'!#REF!="Muy Alta",'Mapa final NC'!#REF!="Catastrófico"),CONCATENATE("R8C",'Mapa final NC'!#REF!),"")</f>
        <v>#REF!</v>
      </c>
      <c r="AJ13" s="55" t="e">
        <f>IF(AND('Mapa final NC'!#REF!="Muy Alta",'Mapa final NC'!#REF!="Catastrófico"),CONCATENATE("R8C",'Mapa final NC'!#REF!),"")</f>
        <v>#REF!</v>
      </c>
      <c r="AK13" s="55" t="e">
        <f>IF(AND('Mapa final NC'!#REF!="Muy Alta",'Mapa final NC'!#REF!="Catastrófico"),CONCATENATE("R8C",'Mapa final NC'!#REF!),"")</f>
        <v>#REF!</v>
      </c>
      <c r="AL13" s="55" t="e">
        <f>IF(AND('Mapa final NC'!#REF!="Muy Alta",'Mapa final NC'!#REF!="Catastrófico"),CONCATENATE("R8C",'Mapa final NC'!#REF!),"")</f>
        <v>#REF!</v>
      </c>
      <c r="AM13" s="56" t="e">
        <f>IF(AND('Mapa final NC'!#REF!="Muy Alta",'Mapa final NC'!#REF!="Catastrófico"),CONCATENATE("R8C",'Mapa final NC'!#REF!),"")</f>
        <v>#REF!</v>
      </c>
      <c r="AN13" s="82"/>
      <c r="AO13" s="483"/>
      <c r="AP13" s="484"/>
      <c r="AQ13" s="484"/>
      <c r="AR13" s="484"/>
      <c r="AS13" s="484"/>
      <c r="AT13" s="485"/>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78"/>
      <c r="C14" s="378"/>
      <c r="D14" s="379"/>
      <c r="E14" s="477"/>
      <c r="F14" s="476"/>
      <c r="G14" s="476"/>
      <c r="H14" s="476"/>
      <c r="I14" s="492"/>
      <c r="J14" s="51" t="str">
        <f>IF(AND('Mapa final NC'!$Y$43="Muy Alta",'Mapa final NC'!$AA$43="Leve"),CONCATENATE("R9C",'Mapa final NC'!$O$43),"")</f>
        <v/>
      </c>
      <c r="K14" s="52" t="str">
        <f>IF(AND('Mapa final NC'!$Y$44="Muy Alta",'Mapa final NC'!$AA$44="Leve"),CONCATENATE("R9C",'Mapa final NC'!$O$44),"")</f>
        <v/>
      </c>
      <c r="L14" s="52" t="e">
        <f>IF(AND('Mapa final NC'!#REF!="Muy Alta",'Mapa final NC'!#REF!="Leve"),CONCATENATE("R9C",'Mapa final NC'!#REF!),"")</f>
        <v>#REF!</v>
      </c>
      <c r="M14" s="52" t="e">
        <f>IF(AND('Mapa final NC'!#REF!="Muy Alta",'Mapa final NC'!#REF!="Leve"),CONCATENATE("R9C",'Mapa final NC'!#REF!),"")</f>
        <v>#REF!</v>
      </c>
      <c r="N14" s="52" t="e">
        <f>IF(AND('Mapa final NC'!#REF!="Muy Alta",'Mapa final NC'!#REF!="Leve"),CONCATENATE("R9C",'Mapa final NC'!#REF!),"")</f>
        <v>#REF!</v>
      </c>
      <c r="O14" s="53" t="e">
        <f>IF(AND('Mapa final NC'!#REF!="Muy Alta",'Mapa final NC'!#REF!="Leve"),CONCATENATE("R9C",'Mapa final NC'!#REF!),"")</f>
        <v>#REF!</v>
      </c>
      <c r="P14" s="51" t="str">
        <f>IF(AND('Mapa final NC'!$Y$43="Muy Alta",'Mapa final NC'!$AA$43="Menor"),CONCATENATE("R9C",'Mapa final NC'!$O$43),"")</f>
        <v/>
      </c>
      <c r="Q14" s="52" t="str">
        <f>IF(AND('Mapa final NC'!$Y$44="Muy Alta",'Mapa final NC'!$AA$44="Menor"),CONCATENATE("R9C",'Mapa final NC'!$O$44),"")</f>
        <v/>
      </c>
      <c r="R14" s="52" t="e">
        <f>IF(AND('Mapa final NC'!#REF!="Muy Alta",'Mapa final NC'!#REF!="Menor"),CONCATENATE("R9C",'Mapa final NC'!#REF!),"")</f>
        <v>#REF!</v>
      </c>
      <c r="S14" s="52" t="e">
        <f>IF(AND('Mapa final NC'!#REF!="Muy Alta",'Mapa final NC'!#REF!="Menor"),CONCATENATE("R9C",'Mapa final NC'!#REF!),"")</f>
        <v>#REF!</v>
      </c>
      <c r="T14" s="52" t="e">
        <f>IF(AND('Mapa final NC'!#REF!="Muy Alta",'Mapa final NC'!#REF!="Menor"),CONCATENATE("R9C",'Mapa final NC'!#REF!),"")</f>
        <v>#REF!</v>
      </c>
      <c r="U14" s="53" t="e">
        <f>IF(AND('Mapa final NC'!#REF!="Muy Alta",'Mapa final NC'!#REF!="Menor"),CONCATENATE("R9C",'Mapa final NC'!#REF!),"")</f>
        <v>#REF!</v>
      </c>
      <c r="V14" s="51" t="str">
        <f>IF(AND('Mapa final NC'!$Y$43="Muy Alta",'Mapa final NC'!$AA$43="Moderado"),CONCATENATE("R9C",'Mapa final NC'!$O$43),"")</f>
        <v/>
      </c>
      <c r="W14" s="52" t="str">
        <f>IF(AND('Mapa final NC'!$Y$44="Muy Alta",'Mapa final NC'!$AA$44="Moderado"),CONCATENATE("R9C",'Mapa final NC'!$O$44),"")</f>
        <v/>
      </c>
      <c r="X14" s="52" t="e">
        <f>IF(AND('Mapa final NC'!#REF!="Muy Alta",'Mapa final NC'!#REF!="Moderado"),CONCATENATE("R9C",'Mapa final NC'!#REF!),"")</f>
        <v>#REF!</v>
      </c>
      <c r="Y14" s="52" t="e">
        <f>IF(AND('Mapa final NC'!#REF!="Muy Alta",'Mapa final NC'!#REF!="Moderado"),CONCATENATE("R9C",'Mapa final NC'!#REF!),"")</f>
        <v>#REF!</v>
      </c>
      <c r="Z14" s="52" t="e">
        <f>IF(AND('Mapa final NC'!#REF!="Muy Alta",'Mapa final NC'!#REF!="Moderado"),CONCATENATE("R9C",'Mapa final NC'!#REF!),"")</f>
        <v>#REF!</v>
      </c>
      <c r="AA14" s="53" t="e">
        <f>IF(AND('Mapa final NC'!#REF!="Muy Alta",'Mapa final NC'!#REF!="Moderado"),CONCATENATE("R9C",'Mapa final NC'!#REF!),"")</f>
        <v>#REF!</v>
      </c>
      <c r="AB14" s="51" t="str">
        <f>IF(AND('Mapa final NC'!$Y$43="Muy Alta",'Mapa final NC'!$AA$43="Mayor"),CONCATENATE("R9C",'Mapa final NC'!$O$43),"")</f>
        <v/>
      </c>
      <c r="AC14" s="52" t="str">
        <f>IF(AND('Mapa final NC'!$Y$44="Muy Alta",'Mapa final NC'!$AA$44="Mayor"),CONCATENATE("R9C",'Mapa final NC'!$O$44),"")</f>
        <v/>
      </c>
      <c r="AD14" s="52" t="e">
        <f>IF(AND('Mapa final NC'!#REF!="Muy Alta",'Mapa final NC'!#REF!="Mayor"),CONCATENATE("R9C",'Mapa final NC'!#REF!),"")</f>
        <v>#REF!</v>
      </c>
      <c r="AE14" s="52" t="e">
        <f>IF(AND('Mapa final NC'!#REF!="Muy Alta",'Mapa final NC'!#REF!="Mayor"),CONCATENATE("R9C",'Mapa final NC'!#REF!),"")</f>
        <v>#REF!</v>
      </c>
      <c r="AF14" s="52" t="e">
        <f>IF(AND('Mapa final NC'!#REF!="Muy Alta",'Mapa final NC'!#REF!="Mayor"),CONCATENATE("R9C",'Mapa final NC'!#REF!),"")</f>
        <v>#REF!</v>
      </c>
      <c r="AG14" s="53" t="e">
        <f>IF(AND('Mapa final NC'!#REF!="Muy Alta",'Mapa final NC'!#REF!="Mayor"),CONCATENATE("R9C",'Mapa final NC'!#REF!),"")</f>
        <v>#REF!</v>
      </c>
      <c r="AH14" s="54" t="str">
        <f>IF(AND('Mapa final NC'!$Y$43="Muy Alta",'Mapa final NC'!$AA$43="Catastrófico"),CONCATENATE("R9C",'Mapa final NC'!$O$43),"")</f>
        <v/>
      </c>
      <c r="AI14" s="55" t="str">
        <f>IF(AND('Mapa final NC'!$Y$44="Muy Alta",'Mapa final NC'!$AA$44="Catastrófico"),CONCATENATE("R9C",'Mapa final NC'!$O$44),"")</f>
        <v/>
      </c>
      <c r="AJ14" s="55" t="e">
        <f>IF(AND('Mapa final NC'!#REF!="Muy Alta",'Mapa final NC'!#REF!="Catastrófico"),CONCATENATE("R9C",'Mapa final NC'!#REF!),"")</f>
        <v>#REF!</v>
      </c>
      <c r="AK14" s="55" t="e">
        <f>IF(AND('Mapa final NC'!#REF!="Muy Alta",'Mapa final NC'!#REF!="Catastrófico"),CONCATENATE("R9C",'Mapa final NC'!#REF!),"")</f>
        <v>#REF!</v>
      </c>
      <c r="AL14" s="55" t="e">
        <f>IF(AND('Mapa final NC'!#REF!="Muy Alta",'Mapa final NC'!#REF!="Catastrófico"),CONCATENATE("R9C",'Mapa final NC'!#REF!),"")</f>
        <v>#REF!</v>
      </c>
      <c r="AM14" s="56" t="e">
        <f>IF(AND('Mapa final NC'!#REF!="Muy Alta",'Mapa final NC'!#REF!="Catastrófico"),CONCATENATE("R9C",'Mapa final NC'!#REF!),"")</f>
        <v>#REF!</v>
      </c>
      <c r="AN14" s="82"/>
      <c r="AO14" s="483"/>
      <c r="AP14" s="484"/>
      <c r="AQ14" s="484"/>
      <c r="AR14" s="484"/>
      <c r="AS14" s="484"/>
      <c r="AT14" s="485"/>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78"/>
      <c r="C15" s="378"/>
      <c r="D15" s="379"/>
      <c r="E15" s="478"/>
      <c r="F15" s="479"/>
      <c r="G15" s="479"/>
      <c r="H15" s="479"/>
      <c r="I15" s="493"/>
      <c r="J15" s="57" t="str">
        <f>IF(AND('Mapa final NC'!$Y$45="Muy Alta",'Mapa final NC'!$AA$45="Leve"),CONCATENATE("R10C",'Mapa final NC'!$O$45),"")</f>
        <v/>
      </c>
      <c r="K15" s="58" t="str">
        <f>IF(AND('Mapa final NC'!$Y$46="Muy Alta",'Mapa final NC'!$AA$46="Leve"),CONCATENATE("R10C",'Mapa final NC'!$O$46),"")</f>
        <v/>
      </c>
      <c r="L15" s="58" t="str">
        <f>IF(AND('Mapa final NC'!$Y$47="Muy Alta",'Mapa final NC'!$AA$47="Leve"),CONCATENATE("R10C",'Mapa final NC'!$O$47),"")</f>
        <v/>
      </c>
      <c r="M15" s="58" t="e">
        <f>IF(AND('Mapa final NC'!#REF!="Muy Alta",'Mapa final NC'!#REF!="Leve"),CONCATENATE("R10C",'Mapa final NC'!#REF!),"")</f>
        <v>#REF!</v>
      </c>
      <c r="N15" s="58" t="e">
        <f>IF(AND('Mapa final NC'!#REF!="Muy Alta",'Mapa final NC'!#REF!="Leve"),CONCATENATE("R10C",'Mapa final NC'!#REF!),"")</f>
        <v>#REF!</v>
      </c>
      <c r="O15" s="59" t="e">
        <f>IF(AND('Mapa final NC'!#REF!="Muy Alta",'Mapa final NC'!#REF!="Leve"),CONCATENATE("R10C",'Mapa final NC'!#REF!),"")</f>
        <v>#REF!</v>
      </c>
      <c r="P15" s="51" t="str">
        <f>IF(AND('Mapa final NC'!$Y$45="Muy Alta",'Mapa final NC'!$AA$45="Menor"),CONCATENATE("R10C",'Mapa final NC'!$O$45),"")</f>
        <v/>
      </c>
      <c r="Q15" s="52" t="str">
        <f>IF(AND('Mapa final NC'!$Y$46="Muy Alta",'Mapa final NC'!$AA$46="Menor"),CONCATENATE("R10C",'Mapa final NC'!$O$46),"")</f>
        <v/>
      </c>
      <c r="R15" s="52" t="str">
        <f>IF(AND('Mapa final NC'!$Y$47="Muy Alta",'Mapa final NC'!$AA$47="Menor"),CONCATENATE("R10C",'Mapa final NC'!$O$47),"")</f>
        <v/>
      </c>
      <c r="S15" s="52" t="e">
        <f>IF(AND('Mapa final NC'!#REF!="Muy Alta",'Mapa final NC'!#REF!="Menor"),CONCATENATE("R10C",'Mapa final NC'!#REF!),"")</f>
        <v>#REF!</v>
      </c>
      <c r="T15" s="52" t="e">
        <f>IF(AND('Mapa final NC'!#REF!="Muy Alta",'Mapa final NC'!#REF!="Menor"),CONCATENATE("R10C",'Mapa final NC'!#REF!),"")</f>
        <v>#REF!</v>
      </c>
      <c r="U15" s="53" t="e">
        <f>IF(AND('Mapa final NC'!#REF!="Muy Alta",'Mapa final NC'!#REF!="Menor"),CONCATENATE("R10C",'Mapa final NC'!#REF!),"")</f>
        <v>#REF!</v>
      </c>
      <c r="V15" s="57" t="str">
        <f>IF(AND('Mapa final NC'!$Y$45="Muy Alta",'Mapa final NC'!$AA$45="Moderado"),CONCATENATE("R10C",'Mapa final NC'!$O$45),"")</f>
        <v/>
      </c>
      <c r="W15" s="58" t="str">
        <f>IF(AND('Mapa final NC'!$Y$46="Muy Alta",'Mapa final NC'!$AA$46="Moderado"),CONCATENATE("R10C",'Mapa final NC'!$O$46),"")</f>
        <v/>
      </c>
      <c r="X15" s="58" t="str">
        <f>IF(AND('Mapa final NC'!$Y$47="Muy Alta",'Mapa final NC'!$AA$47="Moderado"),CONCATENATE("R10C",'Mapa final NC'!$O$47),"")</f>
        <v/>
      </c>
      <c r="Y15" s="58" t="e">
        <f>IF(AND('Mapa final NC'!#REF!="Muy Alta",'Mapa final NC'!#REF!="Moderado"),CONCATENATE("R10C",'Mapa final NC'!#REF!),"")</f>
        <v>#REF!</v>
      </c>
      <c r="Z15" s="58" t="e">
        <f>IF(AND('Mapa final NC'!#REF!="Muy Alta",'Mapa final NC'!#REF!="Moderado"),CONCATENATE("R10C",'Mapa final NC'!#REF!),"")</f>
        <v>#REF!</v>
      </c>
      <c r="AA15" s="59" t="e">
        <f>IF(AND('Mapa final NC'!#REF!="Muy Alta",'Mapa final NC'!#REF!="Moderado"),CONCATENATE("R10C",'Mapa final NC'!#REF!),"")</f>
        <v>#REF!</v>
      </c>
      <c r="AB15" s="51" t="str">
        <f>IF(AND('Mapa final NC'!$Y$45="Muy Alta",'Mapa final NC'!$AA$45="Mayor"),CONCATENATE("R10C",'Mapa final NC'!$O$45),"")</f>
        <v/>
      </c>
      <c r="AC15" s="52" t="str">
        <f>IF(AND('Mapa final NC'!$Y$46="Muy Alta",'Mapa final NC'!$AA$46="Mayor"),CONCATENATE("R10C",'Mapa final NC'!$O$46),"")</f>
        <v/>
      </c>
      <c r="AD15" s="52" t="str">
        <f>IF(AND('Mapa final NC'!$Y$47="Muy Alta",'Mapa final NC'!$AA$47="Mayor"),CONCATENATE("R10C",'Mapa final NC'!$O$47),"")</f>
        <v/>
      </c>
      <c r="AE15" s="52" t="e">
        <f>IF(AND('Mapa final NC'!#REF!="Muy Alta",'Mapa final NC'!#REF!="Mayor"),CONCATENATE("R10C",'Mapa final NC'!#REF!),"")</f>
        <v>#REF!</v>
      </c>
      <c r="AF15" s="52" t="e">
        <f>IF(AND('Mapa final NC'!#REF!="Muy Alta",'Mapa final NC'!#REF!="Mayor"),CONCATENATE("R10C",'Mapa final NC'!#REF!),"")</f>
        <v>#REF!</v>
      </c>
      <c r="AG15" s="53" t="e">
        <f>IF(AND('Mapa final NC'!#REF!="Muy Alta",'Mapa final NC'!#REF!="Mayor"),CONCATENATE("R10C",'Mapa final NC'!#REF!),"")</f>
        <v>#REF!</v>
      </c>
      <c r="AH15" s="60" t="str">
        <f>IF(AND('Mapa final NC'!$Y$45="Muy Alta",'Mapa final NC'!$AA$45="Catastrófico"),CONCATENATE("R10C",'Mapa final NC'!$O$45),"")</f>
        <v/>
      </c>
      <c r="AI15" s="61" t="str">
        <f>IF(AND('Mapa final NC'!$Y$46="Muy Alta",'Mapa final NC'!$AA$46="Catastrófico"),CONCATENATE("R10C",'Mapa final NC'!$O$46),"")</f>
        <v/>
      </c>
      <c r="AJ15" s="61" t="str">
        <f>IF(AND('Mapa final NC'!$Y$47="Muy Alta",'Mapa final NC'!$AA$47="Catastrófico"),CONCATENATE("R10C",'Mapa final NC'!$O$47),"")</f>
        <v/>
      </c>
      <c r="AK15" s="61" t="e">
        <f>IF(AND('Mapa final NC'!#REF!="Muy Alta",'Mapa final NC'!#REF!="Catastrófico"),CONCATENATE("R10C",'Mapa final NC'!#REF!),"")</f>
        <v>#REF!</v>
      </c>
      <c r="AL15" s="61" t="e">
        <f>IF(AND('Mapa final NC'!#REF!="Muy Alta",'Mapa final NC'!#REF!="Catastrófico"),CONCATENATE("R10C",'Mapa final NC'!#REF!),"")</f>
        <v>#REF!</v>
      </c>
      <c r="AM15" s="62" t="e">
        <f>IF(AND('Mapa final NC'!#REF!="Muy Alta",'Mapa final NC'!#REF!="Catastrófico"),CONCATENATE("R10C",'Mapa final NC'!#REF!),"")</f>
        <v>#REF!</v>
      </c>
      <c r="AN15" s="82"/>
      <c r="AO15" s="486"/>
      <c r="AP15" s="487"/>
      <c r="AQ15" s="487"/>
      <c r="AR15" s="487"/>
      <c r="AS15" s="487"/>
      <c r="AT15" s="488"/>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78"/>
      <c r="C16" s="378"/>
      <c r="D16" s="379"/>
      <c r="E16" s="473" t="s">
        <v>94</v>
      </c>
      <c r="F16" s="474"/>
      <c r="G16" s="474"/>
      <c r="H16" s="474"/>
      <c r="I16" s="474"/>
      <c r="J16" s="63" t="str">
        <f>IF(AND('Mapa final NC'!$Y$30="Alta",'Mapa final NC'!$AA$30="Leve"),CONCATENATE("R1C",'Mapa final NC'!$O$30),"")</f>
        <v/>
      </c>
      <c r="K16" s="64" t="e">
        <f>IF(AND('Mapa final NC'!#REF!="Alta",'Mapa final NC'!#REF!="Leve"),CONCATENATE("R1C",'Mapa final NC'!#REF!),"")</f>
        <v>#REF!</v>
      </c>
      <c r="L16" s="64" t="e">
        <f>IF(AND('Mapa final NC'!#REF!="Alta",'Mapa final NC'!#REF!="Leve"),CONCATENATE("R1C",'Mapa final NC'!#REF!),"")</f>
        <v>#REF!</v>
      </c>
      <c r="M16" s="64" t="e">
        <f>IF(AND('Mapa final NC'!#REF!="Alta",'Mapa final NC'!#REF!="Leve"),CONCATENATE("R1C",'Mapa final NC'!#REF!),"")</f>
        <v>#REF!</v>
      </c>
      <c r="N16" s="64" t="e">
        <f>IF(AND('Mapa final NC'!#REF!="Alta",'Mapa final NC'!#REF!="Leve"),CONCATENATE("R1C",'Mapa final NC'!#REF!),"")</f>
        <v>#REF!</v>
      </c>
      <c r="O16" s="65" t="e">
        <f>IF(AND('Mapa final NC'!#REF!="Alta",'Mapa final NC'!#REF!="Leve"),CONCATENATE("R1C",'Mapa final NC'!#REF!),"")</f>
        <v>#REF!</v>
      </c>
      <c r="P16" s="63" t="str">
        <f>IF(AND('Mapa final NC'!$Y$30="Alta",'Mapa final NC'!$AA$30="Menor"),CONCATENATE("R1C",'Mapa final NC'!$O$30),"")</f>
        <v/>
      </c>
      <c r="Q16" s="64" t="e">
        <f>IF(AND('Mapa final NC'!#REF!="Alta",'Mapa final NC'!#REF!="Menor"),CONCATENATE("R1C",'Mapa final NC'!#REF!),"")</f>
        <v>#REF!</v>
      </c>
      <c r="R16" s="64" t="e">
        <f>IF(AND('Mapa final NC'!#REF!="Alta",'Mapa final NC'!#REF!="Menor"),CONCATENATE("R1C",'Mapa final NC'!#REF!),"")</f>
        <v>#REF!</v>
      </c>
      <c r="S16" s="64" t="e">
        <f>IF(AND('Mapa final NC'!#REF!="Alta",'Mapa final NC'!#REF!="Menor"),CONCATENATE("R1C",'Mapa final NC'!#REF!),"")</f>
        <v>#REF!</v>
      </c>
      <c r="T16" s="64" t="e">
        <f>IF(AND('Mapa final NC'!#REF!="Alta",'Mapa final NC'!#REF!="Menor"),CONCATENATE("R1C",'Mapa final NC'!#REF!),"")</f>
        <v>#REF!</v>
      </c>
      <c r="U16" s="65" t="e">
        <f>IF(AND('Mapa final NC'!#REF!="Alta",'Mapa final NC'!#REF!="Menor"),CONCATENATE("R1C",'Mapa final NC'!#REF!),"")</f>
        <v>#REF!</v>
      </c>
      <c r="V16" s="45" t="str">
        <f>IF(AND('Mapa final NC'!$Y$30="Alta",'Mapa final NC'!$AA$30="Moderado"),CONCATENATE("R1C",'Mapa final NC'!$O$30),"")</f>
        <v/>
      </c>
      <c r="W16" s="46" t="e">
        <f>IF(AND('Mapa final NC'!#REF!="Alta",'Mapa final NC'!#REF!="Moderado"),CONCATENATE("R1C",'Mapa final NC'!#REF!),"")</f>
        <v>#REF!</v>
      </c>
      <c r="X16" s="46" t="e">
        <f>IF(AND('Mapa final NC'!#REF!="Alta",'Mapa final NC'!#REF!="Moderado"),CONCATENATE("R1C",'Mapa final NC'!#REF!),"")</f>
        <v>#REF!</v>
      </c>
      <c r="Y16" s="46" t="e">
        <f>IF(AND('Mapa final NC'!#REF!="Alta",'Mapa final NC'!#REF!="Moderado"),CONCATENATE("R1C",'Mapa final NC'!#REF!),"")</f>
        <v>#REF!</v>
      </c>
      <c r="Z16" s="46" t="e">
        <f>IF(AND('Mapa final NC'!#REF!="Alta",'Mapa final NC'!#REF!="Moderado"),CONCATENATE("R1C",'Mapa final NC'!#REF!),"")</f>
        <v>#REF!</v>
      </c>
      <c r="AA16" s="47" t="e">
        <f>IF(AND('Mapa final NC'!#REF!="Alta",'Mapa final NC'!#REF!="Moderado"),CONCATENATE("R1C",'Mapa final NC'!#REF!),"")</f>
        <v>#REF!</v>
      </c>
      <c r="AB16" s="45" t="str">
        <f>IF(AND('Mapa final NC'!$Y$30="Alta",'Mapa final NC'!$AA$30="Mayor"),CONCATENATE("R1C",'Mapa final NC'!$O$30),"")</f>
        <v/>
      </c>
      <c r="AC16" s="46" t="e">
        <f>IF(AND('Mapa final NC'!#REF!="Alta",'Mapa final NC'!#REF!="Mayor"),CONCATENATE("R1C",'Mapa final NC'!#REF!),"")</f>
        <v>#REF!</v>
      </c>
      <c r="AD16" s="46" t="e">
        <f>IF(AND('Mapa final NC'!#REF!="Alta",'Mapa final NC'!#REF!="Mayor"),CONCATENATE("R1C",'Mapa final NC'!#REF!),"")</f>
        <v>#REF!</v>
      </c>
      <c r="AE16" s="46" t="e">
        <f>IF(AND('Mapa final NC'!#REF!="Alta",'Mapa final NC'!#REF!="Mayor"),CONCATENATE("R1C",'Mapa final NC'!#REF!),"")</f>
        <v>#REF!</v>
      </c>
      <c r="AF16" s="46" t="e">
        <f>IF(AND('Mapa final NC'!#REF!="Alta",'Mapa final NC'!#REF!="Mayor"),CONCATENATE("R1C",'Mapa final NC'!#REF!),"")</f>
        <v>#REF!</v>
      </c>
      <c r="AG16" s="47" t="e">
        <f>IF(AND('Mapa final NC'!#REF!="Alta",'Mapa final NC'!#REF!="Mayor"),CONCATENATE("R1C",'Mapa final NC'!#REF!),"")</f>
        <v>#REF!</v>
      </c>
      <c r="AH16" s="48" t="str">
        <f>IF(AND('Mapa final NC'!$Y$30="Alta",'Mapa final NC'!$AA$30="Catastrófico"),CONCATENATE("R1C",'Mapa final NC'!$O$30),"")</f>
        <v/>
      </c>
      <c r="AI16" s="49" t="e">
        <f>IF(AND('Mapa final NC'!#REF!="Alta",'Mapa final NC'!#REF!="Catastrófico"),CONCATENATE("R1C",'Mapa final NC'!#REF!),"")</f>
        <v>#REF!</v>
      </c>
      <c r="AJ16" s="49" t="e">
        <f>IF(AND('Mapa final NC'!#REF!="Alta",'Mapa final NC'!#REF!="Catastrófico"),CONCATENATE("R1C",'Mapa final NC'!#REF!),"")</f>
        <v>#REF!</v>
      </c>
      <c r="AK16" s="49" t="e">
        <f>IF(AND('Mapa final NC'!#REF!="Alta",'Mapa final NC'!#REF!="Catastrófico"),CONCATENATE("R1C",'Mapa final NC'!#REF!),"")</f>
        <v>#REF!</v>
      </c>
      <c r="AL16" s="49" t="e">
        <f>IF(AND('Mapa final NC'!#REF!="Alta",'Mapa final NC'!#REF!="Catastrófico"),CONCATENATE("R1C",'Mapa final NC'!#REF!),"")</f>
        <v>#REF!</v>
      </c>
      <c r="AM16" s="50" t="e">
        <f>IF(AND('Mapa final NC'!#REF!="Alta",'Mapa final NC'!#REF!="Catastrófico"),CONCATENATE("R1C",'Mapa final NC'!#REF!),"")</f>
        <v>#REF!</v>
      </c>
      <c r="AN16" s="82"/>
      <c r="AO16" s="464" t="s">
        <v>95</v>
      </c>
      <c r="AP16" s="465"/>
      <c r="AQ16" s="465"/>
      <c r="AR16" s="465"/>
      <c r="AS16" s="465"/>
      <c r="AT16" s="466"/>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78"/>
      <c r="C17" s="378"/>
      <c r="D17" s="379"/>
      <c r="E17" s="475"/>
      <c r="F17" s="476"/>
      <c r="G17" s="476"/>
      <c r="H17" s="476"/>
      <c r="I17" s="476"/>
      <c r="J17" s="66" t="str">
        <f>IF(AND('Mapa final NC'!$Y$31="Alta",'Mapa final NC'!$AA$31="Leve"),CONCATENATE("R2C",'Mapa final NC'!$O$31),"")</f>
        <v/>
      </c>
      <c r="K17" s="67" t="str">
        <f>IF(AND('Mapa final NC'!$Y$32="Alta",'Mapa final NC'!$AA$32="Leve"),CONCATENATE("R2C",'Mapa final NC'!$O$32),"")</f>
        <v/>
      </c>
      <c r="L17" s="67" t="str">
        <f>IF(AND('Mapa final NC'!$Y$33="Alta",'Mapa final NC'!$AA$33="Leve"),CONCATENATE("R2C",'Mapa final NC'!$O$33),"")</f>
        <v/>
      </c>
      <c r="M17" s="67" t="e">
        <f>IF(AND('Mapa final NC'!#REF!="Alta",'Mapa final NC'!#REF!="Leve"),CONCATENATE("R2C",'Mapa final NC'!#REF!),"")</f>
        <v>#REF!</v>
      </c>
      <c r="N17" s="67" t="e">
        <f>IF(AND('Mapa final NC'!#REF!="Alta",'Mapa final NC'!#REF!="Leve"),CONCATENATE("R2C",'Mapa final NC'!#REF!),"")</f>
        <v>#REF!</v>
      </c>
      <c r="O17" s="68" t="e">
        <f>IF(AND('Mapa final NC'!#REF!="Alta",'Mapa final NC'!#REF!="Leve"),CONCATENATE("R2C",'Mapa final NC'!#REF!),"")</f>
        <v>#REF!</v>
      </c>
      <c r="P17" s="66" t="str">
        <f>IF(AND('Mapa final NC'!$Y$31="Alta",'Mapa final NC'!$AA$31="Menor"),CONCATENATE("R2C",'Mapa final NC'!$O$31),"")</f>
        <v/>
      </c>
      <c r="Q17" s="67" t="str">
        <f>IF(AND('Mapa final NC'!$Y$32="Alta",'Mapa final NC'!$AA$32="Menor"),CONCATENATE("R2C",'Mapa final NC'!$O$32),"")</f>
        <v/>
      </c>
      <c r="R17" s="67" t="str">
        <f>IF(AND('Mapa final NC'!$Y$33="Alta",'Mapa final NC'!$AA$33="Menor"),CONCATENATE("R2C",'Mapa final NC'!$O$33),"")</f>
        <v/>
      </c>
      <c r="S17" s="67" t="e">
        <f>IF(AND('Mapa final NC'!#REF!="Alta",'Mapa final NC'!#REF!="Menor"),CONCATENATE("R2C",'Mapa final NC'!#REF!),"")</f>
        <v>#REF!</v>
      </c>
      <c r="T17" s="67" t="e">
        <f>IF(AND('Mapa final NC'!#REF!="Alta",'Mapa final NC'!#REF!="Menor"),CONCATENATE("R2C",'Mapa final NC'!#REF!),"")</f>
        <v>#REF!</v>
      </c>
      <c r="U17" s="68" t="e">
        <f>IF(AND('Mapa final NC'!#REF!="Alta",'Mapa final NC'!#REF!="Menor"),CONCATENATE("R2C",'Mapa final NC'!#REF!),"")</f>
        <v>#REF!</v>
      </c>
      <c r="V17" s="51" t="str">
        <f>IF(AND('Mapa final NC'!$Y$31="Alta",'Mapa final NC'!$AA$31="Moderado"),CONCATENATE("R2C",'Mapa final NC'!$O$31),"")</f>
        <v/>
      </c>
      <c r="W17" s="52" t="str">
        <f>IF(AND('Mapa final NC'!$Y$32="Alta",'Mapa final NC'!$AA$32="Moderado"),CONCATENATE("R2C",'Mapa final NC'!$O$32),"")</f>
        <v/>
      </c>
      <c r="X17" s="52" t="str">
        <f>IF(AND('Mapa final NC'!$Y$33="Alta",'Mapa final NC'!$AA$33="Moderado"),CONCATENATE("R2C",'Mapa final NC'!$O$33),"")</f>
        <v/>
      </c>
      <c r="Y17" s="52" t="e">
        <f>IF(AND('Mapa final NC'!#REF!="Alta",'Mapa final NC'!#REF!="Moderado"),CONCATENATE("R2C",'Mapa final NC'!#REF!),"")</f>
        <v>#REF!</v>
      </c>
      <c r="Z17" s="52" t="e">
        <f>IF(AND('Mapa final NC'!#REF!="Alta",'Mapa final NC'!#REF!="Moderado"),CONCATENATE("R2C",'Mapa final NC'!#REF!),"")</f>
        <v>#REF!</v>
      </c>
      <c r="AA17" s="53" t="e">
        <f>IF(AND('Mapa final NC'!#REF!="Alta",'Mapa final NC'!#REF!="Moderado"),CONCATENATE("R2C",'Mapa final NC'!#REF!),"")</f>
        <v>#REF!</v>
      </c>
      <c r="AB17" s="51" t="str">
        <f>IF(AND('Mapa final NC'!$Y$31="Alta",'Mapa final NC'!$AA$31="Mayor"),CONCATENATE("R2C",'Mapa final NC'!$O$31),"")</f>
        <v/>
      </c>
      <c r="AC17" s="52" t="str">
        <f>IF(AND('Mapa final NC'!$Y$32="Alta",'Mapa final NC'!$AA$32="Mayor"),CONCATENATE("R2C",'Mapa final NC'!$O$32),"")</f>
        <v/>
      </c>
      <c r="AD17" s="52" t="str">
        <f>IF(AND('Mapa final NC'!$Y$33="Alta",'Mapa final NC'!$AA$33="Mayor"),CONCATENATE("R2C",'Mapa final NC'!$O$33),"")</f>
        <v/>
      </c>
      <c r="AE17" s="52" t="e">
        <f>IF(AND('Mapa final NC'!#REF!="Alta",'Mapa final NC'!#REF!="Mayor"),CONCATENATE("R2C",'Mapa final NC'!#REF!),"")</f>
        <v>#REF!</v>
      </c>
      <c r="AF17" s="52" t="e">
        <f>IF(AND('Mapa final NC'!#REF!="Alta",'Mapa final NC'!#REF!="Mayor"),CONCATENATE("R2C",'Mapa final NC'!#REF!),"")</f>
        <v>#REF!</v>
      </c>
      <c r="AG17" s="53" t="e">
        <f>IF(AND('Mapa final NC'!#REF!="Alta",'Mapa final NC'!#REF!="Mayor"),CONCATENATE("R2C",'Mapa final NC'!#REF!),"")</f>
        <v>#REF!</v>
      </c>
      <c r="AH17" s="54" t="str">
        <f>IF(AND('Mapa final NC'!$Y$31="Alta",'Mapa final NC'!$AA$31="Catastrófico"),CONCATENATE("R2C",'Mapa final NC'!$O$31),"")</f>
        <v/>
      </c>
      <c r="AI17" s="55" t="str">
        <f>IF(AND('Mapa final NC'!$Y$32="Alta",'Mapa final NC'!$AA$32="Catastrófico"),CONCATENATE("R2C",'Mapa final NC'!$O$32),"")</f>
        <v/>
      </c>
      <c r="AJ17" s="55" t="str">
        <f>IF(AND('Mapa final NC'!$Y$33="Alta",'Mapa final NC'!$AA$33="Catastrófico"),CONCATENATE("R2C",'Mapa final NC'!$O$33),"")</f>
        <v/>
      </c>
      <c r="AK17" s="55" t="e">
        <f>IF(AND('Mapa final NC'!#REF!="Alta",'Mapa final NC'!#REF!="Catastrófico"),CONCATENATE("R2C",'Mapa final NC'!#REF!),"")</f>
        <v>#REF!</v>
      </c>
      <c r="AL17" s="55" t="e">
        <f>IF(AND('Mapa final NC'!#REF!="Alta",'Mapa final NC'!#REF!="Catastrófico"),CONCATENATE("R2C",'Mapa final NC'!#REF!),"")</f>
        <v>#REF!</v>
      </c>
      <c r="AM17" s="56" t="e">
        <f>IF(AND('Mapa final NC'!#REF!="Alta",'Mapa final NC'!#REF!="Catastrófico"),CONCATENATE("R2C",'Mapa final NC'!#REF!),"")</f>
        <v>#REF!</v>
      </c>
      <c r="AN17" s="82"/>
      <c r="AO17" s="467"/>
      <c r="AP17" s="468"/>
      <c r="AQ17" s="468"/>
      <c r="AR17" s="468"/>
      <c r="AS17" s="468"/>
      <c r="AT17" s="469"/>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78"/>
      <c r="C18" s="378"/>
      <c r="D18" s="379"/>
      <c r="E18" s="477"/>
      <c r="F18" s="476"/>
      <c r="G18" s="476"/>
      <c r="H18" s="476"/>
      <c r="I18" s="476"/>
      <c r="J18" s="66" t="str">
        <f>IF(AND('Mapa final NC'!$Y$34="Alta",'Mapa final NC'!$AA$34="Leve"),CONCATENATE("R3C",'Mapa final NC'!$O$34),"")</f>
        <v/>
      </c>
      <c r="K18" s="67" t="str">
        <f>IF(AND('Mapa final NC'!$Y$35="Alta",'Mapa final NC'!$AA$35="Leve"),CONCATENATE("R3C",'Mapa final NC'!$O$35),"")</f>
        <v/>
      </c>
      <c r="L18" s="67" t="str">
        <f>IF(AND('Mapa final NC'!$Y$36="Alta",'Mapa final NC'!$AA$36="Leve"),CONCATENATE("R3C",'Mapa final NC'!$O$36),"")</f>
        <v/>
      </c>
      <c r="M18" s="67" t="e">
        <f>IF(AND('Mapa final NC'!#REF!="Alta",'Mapa final NC'!#REF!="Leve"),CONCATENATE("R3C",'Mapa final NC'!#REF!),"")</f>
        <v>#REF!</v>
      </c>
      <c r="N18" s="67" t="e">
        <f>IF(AND('Mapa final NC'!#REF!="Alta",'Mapa final NC'!#REF!="Leve"),CONCATENATE("R3C",'Mapa final NC'!#REF!),"")</f>
        <v>#REF!</v>
      </c>
      <c r="O18" s="68" t="e">
        <f>IF(AND('Mapa final NC'!#REF!="Alta",'Mapa final NC'!#REF!="Leve"),CONCATENATE("R3C",'Mapa final NC'!#REF!),"")</f>
        <v>#REF!</v>
      </c>
      <c r="P18" s="66" t="str">
        <f>IF(AND('Mapa final NC'!$Y$34="Alta",'Mapa final NC'!$AA$34="Menor"),CONCATENATE("R3C",'Mapa final NC'!$O$34),"")</f>
        <v/>
      </c>
      <c r="Q18" s="67" t="str">
        <f>IF(AND('Mapa final NC'!$Y$35="Alta",'Mapa final NC'!$AA$35="Menor"),CONCATENATE("R3C",'Mapa final NC'!$O$35),"")</f>
        <v/>
      </c>
      <c r="R18" s="67" t="str">
        <f>IF(AND('Mapa final NC'!$Y$36="Alta",'Mapa final NC'!$AA$36="Menor"),CONCATENATE("R3C",'Mapa final NC'!$O$36),"")</f>
        <v/>
      </c>
      <c r="S18" s="67" t="e">
        <f>IF(AND('Mapa final NC'!#REF!="Alta",'Mapa final NC'!#REF!="Menor"),CONCATENATE("R3C",'Mapa final NC'!#REF!),"")</f>
        <v>#REF!</v>
      </c>
      <c r="T18" s="67" t="e">
        <f>IF(AND('Mapa final NC'!#REF!="Alta",'Mapa final NC'!#REF!="Menor"),CONCATENATE("R3C",'Mapa final NC'!#REF!),"")</f>
        <v>#REF!</v>
      </c>
      <c r="U18" s="68" t="e">
        <f>IF(AND('Mapa final NC'!#REF!="Alta",'Mapa final NC'!#REF!="Menor"),CONCATENATE("R3C",'Mapa final NC'!#REF!),"")</f>
        <v>#REF!</v>
      </c>
      <c r="V18" s="51" t="str">
        <f>IF(AND('Mapa final NC'!$Y$34="Alta",'Mapa final NC'!$AA$34="Moderado"),CONCATENATE("R3C",'Mapa final NC'!$O$34),"")</f>
        <v/>
      </c>
      <c r="W18" s="52" t="str">
        <f>IF(AND('Mapa final NC'!$Y$35="Alta",'Mapa final NC'!$AA$35="Moderado"),CONCATENATE("R3C",'Mapa final NC'!$O$35),"")</f>
        <v/>
      </c>
      <c r="X18" s="52" t="str">
        <f>IF(AND('Mapa final NC'!$Y$36="Alta",'Mapa final NC'!$AA$36="Moderado"),CONCATENATE("R3C",'Mapa final NC'!$O$36),"")</f>
        <v/>
      </c>
      <c r="Y18" s="52" t="e">
        <f>IF(AND('Mapa final NC'!#REF!="Alta",'Mapa final NC'!#REF!="Moderado"),CONCATENATE("R3C",'Mapa final NC'!#REF!),"")</f>
        <v>#REF!</v>
      </c>
      <c r="Z18" s="52" t="e">
        <f>IF(AND('Mapa final NC'!#REF!="Alta",'Mapa final NC'!#REF!="Moderado"),CONCATENATE("R3C",'Mapa final NC'!#REF!),"")</f>
        <v>#REF!</v>
      </c>
      <c r="AA18" s="53" t="e">
        <f>IF(AND('Mapa final NC'!#REF!="Alta",'Mapa final NC'!#REF!="Moderado"),CONCATENATE("R3C",'Mapa final NC'!#REF!),"")</f>
        <v>#REF!</v>
      </c>
      <c r="AB18" s="51" t="str">
        <f>IF(AND('Mapa final NC'!$Y$34="Alta",'Mapa final NC'!$AA$34="Mayor"),CONCATENATE("R3C",'Mapa final NC'!$O$34),"")</f>
        <v/>
      </c>
      <c r="AC18" s="52" t="str">
        <f>IF(AND('Mapa final NC'!$Y$35="Alta",'Mapa final NC'!$AA$35="Mayor"),CONCATENATE("R3C",'Mapa final NC'!$O$35),"")</f>
        <v/>
      </c>
      <c r="AD18" s="52" t="str">
        <f>IF(AND('Mapa final NC'!$Y$36="Alta",'Mapa final NC'!$AA$36="Mayor"),CONCATENATE("R3C",'Mapa final NC'!$O$36),"")</f>
        <v/>
      </c>
      <c r="AE18" s="52" t="e">
        <f>IF(AND('Mapa final NC'!#REF!="Alta",'Mapa final NC'!#REF!="Mayor"),CONCATENATE("R3C",'Mapa final NC'!#REF!),"")</f>
        <v>#REF!</v>
      </c>
      <c r="AF18" s="52" t="e">
        <f>IF(AND('Mapa final NC'!#REF!="Alta",'Mapa final NC'!#REF!="Mayor"),CONCATENATE("R3C",'Mapa final NC'!#REF!),"")</f>
        <v>#REF!</v>
      </c>
      <c r="AG18" s="53" t="e">
        <f>IF(AND('Mapa final NC'!#REF!="Alta",'Mapa final NC'!#REF!="Mayor"),CONCATENATE("R3C",'Mapa final NC'!#REF!),"")</f>
        <v>#REF!</v>
      </c>
      <c r="AH18" s="54" t="str">
        <f>IF(AND('Mapa final NC'!$Y$34="Alta",'Mapa final NC'!$AA$34="Catastrófico"),CONCATENATE("R3C",'Mapa final NC'!$O$34),"")</f>
        <v/>
      </c>
      <c r="AI18" s="55" t="str">
        <f>IF(AND('Mapa final NC'!$Y$35="Alta",'Mapa final NC'!$AA$35="Catastrófico"),CONCATENATE("R3C",'Mapa final NC'!$O$35),"")</f>
        <v/>
      </c>
      <c r="AJ18" s="55" t="str">
        <f>IF(AND('Mapa final NC'!$Y$36="Alta",'Mapa final NC'!$AA$36="Catastrófico"),CONCATENATE("R3C",'Mapa final NC'!$O$36),"")</f>
        <v/>
      </c>
      <c r="AK18" s="55" t="e">
        <f>IF(AND('Mapa final NC'!#REF!="Alta",'Mapa final NC'!#REF!="Catastrófico"),CONCATENATE("R3C",'Mapa final NC'!#REF!),"")</f>
        <v>#REF!</v>
      </c>
      <c r="AL18" s="55" t="e">
        <f>IF(AND('Mapa final NC'!#REF!="Alta",'Mapa final NC'!#REF!="Catastrófico"),CONCATENATE("R3C",'Mapa final NC'!#REF!),"")</f>
        <v>#REF!</v>
      </c>
      <c r="AM18" s="56" t="e">
        <f>IF(AND('Mapa final NC'!#REF!="Alta",'Mapa final NC'!#REF!="Catastrófico"),CONCATENATE("R3C",'Mapa final NC'!#REF!),"")</f>
        <v>#REF!</v>
      </c>
      <c r="AN18" s="82"/>
      <c r="AO18" s="467"/>
      <c r="AP18" s="468"/>
      <c r="AQ18" s="468"/>
      <c r="AR18" s="468"/>
      <c r="AS18" s="468"/>
      <c r="AT18" s="469"/>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78"/>
      <c r="C19" s="378"/>
      <c r="D19" s="379"/>
      <c r="E19" s="477"/>
      <c r="F19" s="476"/>
      <c r="G19" s="476"/>
      <c r="H19" s="476"/>
      <c r="I19" s="476"/>
      <c r="J19" s="66" t="str">
        <f>IF(AND('Mapa final NC'!$Y$37="Alta",'Mapa final NC'!$AA$37="Leve"),CONCATENATE("R4C",'Mapa final NC'!$O$37),"")</f>
        <v/>
      </c>
      <c r="K19" s="67" t="e">
        <f>IF(AND('Mapa final NC'!#REF!="Alta",'Mapa final NC'!#REF!="Leve"),CONCATENATE("R4C",'Mapa final NC'!#REF!),"")</f>
        <v>#REF!</v>
      </c>
      <c r="L19" s="67" t="e">
        <f>IF(AND('Mapa final NC'!#REF!="Alta",'Mapa final NC'!#REF!="Leve"),CONCATENATE("R4C",'Mapa final NC'!#REF!),"")</f>
        <v>#REF!</v>
      </c>
      <c r="M19" s="67" t="e">
        <f>IF(AND('Mapa final NC'!#REF!="Alta",'Mapa final NC'!#REF!="Leve"),CONCATENATE("R4C",'Mapa final NC'!#REF!),"")</f>
        <v>#REF!</v>
      </c>
      <c r="N19" s="67" t="e">
        <f>IF(AND('Mapa final NC'!#REF!="Alta",'Mapa final NC'!#REF!="Leve"),CONCATENATE("R4C",'Mapa final NC'!#REF!),"")</f>
        <v>#REF!</v>
      </c>
      <c r="O19" s="68" t="e">
        <f>IF(AND('Mapa final NC'!#REF!="Alta",'Mapa final NC'!#REF!="Leve"),CONCATENATE("R4C",'Mapa final NC'!#REF!),"")</f>
        <v>#REF!</v>
      </c>
      <c r="P19" s="66" t="str">
        <f>IF(AND('Mapa final NC'!$Y$37="Alta",'Mapa final NC'!$AA$37="Menor"),CONCATENATE("R4C",'Mapa final NC'!$O$37),"")</f>
        <v/>
      </c>
      <c r="Q19" s="67" t="e">
        <f>IF(AND('Mapa final NC'!#REF!="Alta",'Mapa final NC'!#REF!="Menor"),CONCATENATE("R4C",'Mapa final NC'!#REF!),"")</f>
        <v>#REF!</v>
      </c>
      <c r="R19" s="67" t="e">
        <f>IF(AND('Mapa final NC'!#REF!="Alta",'Mapa final NC'!#REF!="Menor"),CONCATENATE("R4C",'Mapa final NC'!#REF!),"")</f>
        <v>#REF!</v>
      </c>
      <c r="S19" s="67" t="e">
        <f>IF(AND('Mapa final NC'!#REF!="Alta",'Mapa final NC'!#REF!="Menor"),CONCATENATE("R4C",'Mapa final NC'!#REF!),"")</f>
        <v>#REF!</v>
      </c>
      <c r="T19" s="67" t="e">
        <f>IF(AND('Mapa final NC'!#REF!="Alta",'Mapa final NC'!#REF!="Menor"),CONCATENATE("R4C",'Mapa final NC'!#REF!),"")</f>
        <v>#REF!</v>
      </c>
      <c r="U19" s="68" t="e">
        <f>IF(AND('Mapa final NC'!#REF!="Alta",'Mapa final NC'!#REF!="Menor"),CONCATENATE("R4C",'Mapa final NC'!#REF!),"")</f>
        <v>#REF!</v>
      </c>
      <c r="V19" s="51" t="str">
        <f>IF(AND('Mapa final NC'!$Y$37="Alta",'Mapa final NC'!$AA$37="Moderado"),CONCATENATE("R4C",'Mapa final NC'!$O$37),"")</f>
        <v/>
      </c>
      <c r="W19" s="52" t="e">
        <f>IF(AND('Mapa final NC'!#REF!="Alta",'Mapa final NC'!#REF!="Moderado"),CONCATENATE("R4C",'Mapa final NC'!#REF!),"")</f>
        <v>#REF!</v>
      </c>
      <c r="X19" s="52" t="e">
        <f>IF(AND('Mapa final NC'!#REF!="Alta",'Mapa final NC'!#REF!="Moderado"),CONCATENATE("R4C",'Mapa final NC'!#REF!),"")</f>
        <v>#REF!</v>
      </c>
      <c r="Y19" s="52" t="e">
        <f>IF(AND('Mapa final NC'!#REF!="Alta",'Mapa final NC'!#REF!="Moderado"),CONCATENATE("R4C",'Mapa final NC'!#REF!),"")</f>
        <v>#REF!</v>
      </c>
      <c r="Z19" s="52" t="e">
        <f>IF(AND('Mapa final NC'!#REF!="Alta",'Mapa final NC'!#REF!="Moderado"),CONCATENATE("R4C",'Mapa final NC'!#REF!),"")</f>
        <v>#REF!</v>
      </c>
      <c r="AA19" s="53" t="e">
        <f>IF(AND('Mapa final NC'!#REF!="Alta",'Mapa final NC'!#REF!="Moderado"),CONCATENATE("R4C",'Mapa final NC'!#REF!),"")</f>
        <v>#REF!</v>
      </c>
      <c r="AB19" s="51" t="str">
        <f>IF(AND('Mapa final NC'!$Y$37="Alta",'Mapa final NC'!$AA$37="Mayor"),CONCATENATE("R4C",'Mapa final NC'!$O$37),"")</f>
        <v/>
      </c>
      <c r="AC19" s="52" t="e">
        <f>IF(AND('Mapa final NC'!#REF!="Alta",'Mapa final NC'!#REF!="Mayor"),CONCATENATE("R4C",'Mapa final NC'!#REF!),"")</f>
        <v>#REF!</v>
      </c>
      <c r="AD19" s="52" t="e">
        <f>IF(AND('Mapa final NC'!#REF!="Alta",'Mapa final NC'!#REF!="Mayor"),CONCATENATE("R4C",'Mapa final NC'!#REF!),"")</f>
        <v>#REF!</v>
      </c>
      <c r="AE19" s="52" t="e">
        <f>IF(AND('Mapa final NC'!#REF!="Alta",'Mapa final NC'!#REF!="Mayor"),CONCATENATE("R4C",'Mapa final NC'!#REF!),"")</f>
        <v>#REF!</v>
      </c>
      <c r="AF19" s="52" t="e">
        <f>IF(AND('Mapa final NC'!#REF!="Alta",'Mapa final NC'!#REF!="Mayor"),CONCATENATE("R4C",'Mapa final NC'!#REF!),"")</f>
        <v>#REF!</v>
      </c>
      <c r="AG19" s="53" t="e">
        <f>IF(AND('Mapa final NC'!#REF!="Alta",'Mapa final NC'!#REF!="Mayor"),CONCATENATE("R4C",'Mapa final NC'!#REF!),"")</f>
        <v>#REF!</v>
      </c>
      <c r="AH19" s="54" t="str">
        <f>IF(AND('Mapa final NC'!$Y$37="Alta",'Mapa final NC'!$AA$37="Catastrófico"),CONCATENATE("R4C",'Mapa final NC'!$O$37),"")</f>
        <v/>
      </c>
      <c r="AI19" s="55" t="e">
        <f>IF(AND('Mapa final NC'!#REF!="Alta",'Mapa final NC'!#REF!="Catastrófico"),CONCATENATE("R4C",'Mapa final NC'!#REF!),"")</f>
        <v>#REF!</v>
      </c>
      <c r="AJ19" s="55" t="e">
        <f>IF(AND('Mapa final NC'!#REF!="Alta",'Mapa final NC'!#REF!="Catastrófico"),CONCATENATE("R4C",'Mapa final NC'!#REF!),"")</f>
        <v>#REF!</v>
      </c>
      <c r="AK19" s="55" t="e">
        <f>IF(AND('Mapa final NC'!#REF!="Alta",'Mapa final NC'!#REF!="Catastrófico"),CONCATENATE("R4C",'Mapa final NC'!#REF!),"")</f>
        <v>#REF!</v>
      </c>
      <c r="AL19" s="55" t="e">
        <f>IF(AND('Mapa final NC'!#REF!="Alta",'Mapa final NC'!#REF!="Catastrófico"),CONCATENATE("R4C",'Mapa final NC'!#REF!),"")</f>
        <v>#REF!</v>
      </c>
      <c r="AM19" s="56" t="e">
        <f>IF(AND('Mapa final NC'!#REF!="Alta",'Mapa final NC'!#REF!="Catastrófico"),CONCATENATE("R4C",'Mapa final NC'!#REF!),"")</f>
        <v>#REF!</v>
      </c>
      <c r="AN19" s="82"/>
      <c r="AO19" s="467"/>
      <c r="AP19" s="468"/>
      <c r="AQ19" s="468"/>
      <c r="AR19" s="468"/>
      <c r="AS19" s="468"/>
      <c r="AT19" s="469"/>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78"/>
      <c r="C20" s="378"/>
      <c r="D20" s="379"/>
      <c r="E20" s="477"/>
      <c r="F20" s="476"/>
      <c r="G20" s="476"/>
      <c r="H20" s="476"/>
      <c r="I20" s="476"/>
      <c r="J20" s="66" t="str">
        <f>IF(AND('Mapa final NC'!$Y$38="Alta",'Mapa final NC'!$AA$38="Leve"),CONCATENATE("R5C",'Mapa final NC'!$O$38),"")</f>
        <v/>
      </c>
      <c r="K20" s="67" t="e">
        <f>IF(AND('Mapa final NC'!#REF!="Alta",'Mapa final NC'!#REF!="Leve"),CONCATENATE("R5C",'Mapa final NC'!#REF!),"")</f>
        <v>#REF!</v>
      </c>
      <c r="L20" s="67" t="e">
        <f>IF(AND('Mapa final NC'!#REF!="Alta",'Mapa final NC'!#REF!="Leve"),CONCATENATE("R5C",'Mapa final NC'!#REF!),"")</f>
        <v>#REF!</v>
      </c>
      <c r="M20" s="67" t="e">
        <f>IF(AND('Mapa final NC'!#REF!="Alta",'Mapa final NC'!#REF!="Leve"),CONCATENATE("R5C",'Mapa final NC'!#REF!),"")</f>
        <v>#REF!</v>
      </c>
      <c r="N20" s="67" t="e">
        <f>IF(AND('Mapa final NC'!#REF!="Alta",'Mapa final NC'!#REF!="Leve"),CONCATENATE("R5C",'Mapa final NC'!#REF!),"")</f>
        <v>#REF!</v>
      </c>
      <c r="O20" s="68" t="e">
        <f>IF(AND('Mapa final NC'!#REF!="Alta",'Mapa final NC'!#REF!="Leve"),CONCATENATE("R5C",'Mapa final NC'!#REF!),"")</f>
        <v>#REF!</v>
      </c>
      <c r="P20" s="66" t="str">
        <f>IF(AND('Mapa final NC'!$Y$38="Alta",'Mapa final NC'!$AA$38="Menor"),CONCATENATE("R5C",'Mapa final NC'!$O$38),"")</f>
        <v/>
      </c>
      <c r="Q20" s="67" t="e">
        <f>IF(AND('Mapa final NC'!#REF!="Alta",'Mapa final NC'!#REF!="Menor"),CONCATENATE("R5C",'Mapa final NC'!#REF!),"")</f>
        <v>#REF!</v>
      </c>
      <c r="R20" s="67" t="e">
        <f>IF(AND('Mapa final NC'!#REF!="Alta",'Mapa final NC'!#REF!="Menor"),CONCATENATE("R5C",'Mapa final NC'!#REF!),"")</f>
        <v>#REF!</v>
      </c>
      <c r="S20" s="67" t="e">
        <f>IF(AND('Mapa final NC'!#REF!="Alta",'Mapa final NC'!#REF!="Menor"),CONCATENATE("R5C",'Mapa final NC'!#REF!),"")</f>
        <v>#REF!</v>
      </c>
      <c r="T20" s="67" t="e">
        <f>IF(AND('Mapa final NC'!#REF!="Alta",'Mapa final NC'!#REF!="Menor"),CONCATENATE("R5C",'Mapa final NC'!#REF!),"")</f>
        <v>#REF!</v>
      </c>
      <c r="U20" s="68" t="e">
        <f>IF(AND('Mapa final NC'!#REF!="Alta",'Mapa final NC'!#REF!="Menor"),CONCATENATE("R5C",'Mapa final NC'!#REF!),"")</f>
        <v>#REF!</v>
      </c>
      <c r="V20" s="51" t="str">
        <f>IF(AND('Mapa final NC'!$Y$38="Alta",'Mapa final NC'!$AA$38="Moderado"),CONCATENATE("R5C",'Mapa final NC'!$O$38),"")</f>
        <v/>
      </c>
      <c r="W20" s="52" t="e">
        <f>IF(AND('Mapa final NC'!#REF!="Alta",'Mapa final NC'!#REF!="Moderado"),CONCATENATE("R5C",'Mapa final NC'!#REF!),"")</f>
        <v>#REF!</v>
      </c>
      <c r="X20" s="52" t="e">
        <f>IF(AND('Mapa final NC'!#REF!="Alta",'Mapa final NC'!#REF!="Moderado"),CONCATENATE("R5C",'Mapa final NC'!#REF!),"")</f>
        <v>#REF!</v>
      </c>
      <c r="Y20" s="52" t="e">
        <f>IF(AND('Mapa final NC'!#REF!="Alta",'Mapa final NC'!#REF!="Moderado"),CONCATENATE("R5C",'Mapa final NC'!#REF!),"")</f>
        <v>#REF!</v>
      </c>
      <c r="Z20" s="52" t="e">
        <f>IF(AND('Mapa final NC'!#REF!="Alta",'Mapa final NC'!#REF!="Moderado"),CONCATENATE("R5C",'Mapa final NC'!#REF!),"")</f>
        <v>#REF!</v>
      </c>
      <c r="AA20" s="53" t="e">
        <f>IF(AND('Mapa final NC'!#REF!="Alta",'Mapa final NC'!#REF!="Moderado"),CONCATENATE("R5C",'Mapa final NC'!#REF!),"")</f>
        <v>#REF!</v>
      </c>
      <c r="AB20" s="51" t="str">
        <f>IF(AND('Mapa final NC'!$Y$38="Alta",'Mapa final NC'!$AA$38="Mayor"),CONCATENATE("R5C",'Mapa final NC'!$O$38),"")</f>
        <v/>
      </c>
      <c r="AC20" s="52" t="e">
        <f>IF(AND('Mapa final NC'!#REF!="Alta",'Mapa final NC'!#REF!="Mayor"),CONCATENATE("R5C",'Mapa final NC'!#REF!),"")</f>
        <v>#REF!</v>
      </c>
      <c r="AD20" s="52" t="e">
        <f>IF(AND('Mapa final NC'!#REF!="Alta",'Mapa final NC'!#REF!="Mayor"),CONCATENATE("R5C",'Mapa final NC'!#REF!),"")</f>
        <v>#REF!</v>
      </c>
      <c r="AE20" s="52" t="e">
        <f>IF(AND('Mapa final NC'!#REF!="Alta",'Mapa final NC'!#REF!="Mayor"),CONCATENATE("R5C",'Mapa final NC'!#REF!),"")</f>
        <v>#REF!</v>
      </c>
      <c r="AF20" s="52" t="e">
        <f>IF(AND('Mapa final NC'!#REF!="Alta",'Mapa final NC'!#REF!="Mayor"),CONCATENATE("R5C",'Mapa final NC'!#REF!),"")</f>
        <v>#REF!</v>
      </c>
      <c r="AG20" s="53" t="e">
        <f>IF(AND('Mapa final NC'!#REF!="Alta",'Mapa final NC'!#REF!="Mayor"),CONCATENATE("R5C",'Mapa final NC'!#REF!),"")</f>
        <v>#REF!</v>
      </c>
      <c r="AH20" s="54" t="str">
        <f>IF(AND('Mapa final NC'!$Y$38="Alta",'Mapa final NC'!$AA$38="Catastrófico"),CONCATENATE("R5C",'Mapa final NC'!$O$38),"")</f>
        <v/>
      </c>
      <c r="AI20" s="55" t="e">
        <f>IF(AND('Mapa final NC'!#REF!="Alta",'Mapa final NC'!#REF!="Catastrófico"),CONCATENATE("R5C",'Mapa final NC'!#REF!),"")</f>
        <v>#REF!</v>
      </c>
      <c r="AJ20" s="55" t="e">
        <f>IF(AND('Mapa final NC'!#REF!="Alta",'Mapa final NC'!#REF!="Catastrófico"),CONCATENATE("R5C",'Mapa final NC'!#REF!),"")</f>
        <v>#REF!</v>
      </c>
      <c r="AK20" s="55" t="e">
        <f>IF(AND('Mapa final NC'!#REF!="Alta",'Mapa final NC'!#REF!="Catastrófico"),CONCATENATE("R5C",'Mapa final NC'!#REF!),"")</f>
        <v>#REF!</v>
      </c>
      <c r="AL20" s="55" t="e">
        <f>IF(AND('Mapa final NC'!#REF!="Alta",'Mapa final NC'!#REF!="Catastrófico"),CONCATENATE("R5C",'Mapa final NC'!#REF!),"")</f>
        <v>#REF!</v>
      </c>
      <c r="AM20" s="56" t="e">
        <f>IF(AND('Mapa final NC'!#REF!="Alta",'Mapa final NC'!#REF!="Catastrófico"),CONCATENATE("R5C",'Mapa final NC'!#REF!),"")</f>
        <v>#REF!</v>
      </c>
      <c r="AN20" s="82"/>
      <c r="AO20" s="467"/>
      <c r="AP20" s="468"/>
      <c r="AQ20" s="468"/>
      <c r="AR20" s="468"/>
      <c r="AS20" s="468"/>
      <c r="AT20" s="469"/>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78"/>
      <c r="C21" s="378"/>
      <c r="D21" s="379"/>
      <c r="E21" s="477"/>
      <c r="F21" s="476"/>
      <c r="G21" s="476"/>
      <c r="H21" s="476"/>
      <c r="I21" s="476"/>
      <c r="J21" s="66" t="str">
        <f>IF(AND('Mapa final NC'!$Y$39="Alta",'Mapa final NC'!$AA$39="Leve"),CONCATENATE("R6C",'Mapa final NC'!$O$39),"")</f>
        <v/>
      </c>
      <c r="K21" s="67" t="e">
        <f>IF(AND('Mapa final NC'!#REF!="Alta",'Mapa final NC'!#REF!="Leve"),CONCATENATE("R6C",'Mapa final NC'!#REF!),"")</f>
        <v>#REF!</v>
      </c>
      <c r="L21" s="67" t="e">
        <f>IF(AND('Mapa final NC'!#REF!="Alta",'Mapa final NC'!#REF!="Leve"),CONCATENATE("R6C",'Mapa final NC'!#REF!),"")</f>
        <v>#REF!</v>
      </c>
      <c r="M21" s="67" t="e">
        <f>IF(AND('Mapa final NC'!#REF!="Alta",'Mapa final NC'!#REF!="Leve"),CONCATENATE("R6C",'Mapa final NC'!#REF!),"")</f>
        <v>#REF!</v>
      </c>
      <c r="N21" s="67" t="e">
        <f>IF(AND('Mapa final NC'!#REF!="Alta",'Mapa final NC'!#REF!="Leve"),CONCATENATE("R6C",'Mapa final NC'!#REF!),"")</f>
        <v>#REF!</v>
      </c>
      <c r="O21" s="68" t="e">
        <f>IF(AND('Mapa final NC'!#REF!="Alta",'Mapa final NC'!#REF!="Leve"),CONCATENATE("R6C",'Mapa final NC'!#REF!),"")</f>
        <v>#REF!</v>
      </c>
      <c r="P21" s="66" t="str">
        <f>IF(AND('Mapa final NC'!$Y$39="Alta",'Mapa final NC'!$AA$39="Menor"),CONCATENATE("R6C",'Mapa final NC'!$O$39),"")</f>
        <v/>
      </c>
      <c r="Q21" s="67" t="e">
        <f>IF(AND('Mapa final NC'!#REF!="Alta",'Mapa final NC'!#REF!="Menor"),CONCATENATE("R6C",'Mapa final NC'!#REF!),"")</f>
        <v>#REF!</v>
      </c>
      <c r="R21" s="67" t="e">
        <f>IF(AND('Mapa final NC'!#REF!="Alta",'Mapa final NC'!#REF!="Menor"),CONCATENATE("R6C",'Mapa final NC'!#REF!),"")</f>
        <v>#REF!</v>
      </c>
      <c r="S21" s="67" t="e">
        <f>IF(AND('Mapa final NC'!#REF!="Alta",'Mapa final NC'!#REF!="Menor"),CONCATENATE("R6C",'Mapa final NC'!#REF!),"")</f>
        <v>#REF!</v>
      </c>
      <c r="T21" s="67" t="e">
        <f>IF(AND('Mapa final NC'!#REF!="Alta",'Mapa final NC'!#REF!="Menor"),CONCATENATE("R6C",'Mapa final NC'!#REF!),"")</f>
        <v>#REF!</v>
      </c>
      <c r="U21" s="68" t="e">
        <f>IF(AND('Mapa final NC'!#REF!="Alta",'Mapa final NC'!#REF!="Menor"),CONCATENATE("R6C",'Mapa final NC'!#REF!),"")</f>
        <v>#REF!</v>
      </c>
      <c r="V21" s="51" t="str">
        <f>IF(AND('Mapa final NC'!$Y$39="Alta",'Mapa final NC'!$AA$39="Moderado"),CONCATENATE("R6C",'Mapa final NC'!$O$39),"")</f>
        <v/>
      </c>
      <c r="W21" s="52" t="e">
        <f>IF(AND('Mapa final NC'!#REF!="Alta",'Mapa final NC'!#REF!="Moderado"),CONCATENATE("R6C",'Mapa final NC'!#REF!),"")</f>
        <v>#REF!</v>
      </c>
      <c r="X21" s="52" t="e">
        <f>IF(AND('Mapa final NC'!#REF!="Alta",'Mapa final NC'!#REF!="Moderado"),CONCATENATE("R6C",'Mapa final NC'!#REF!),"")</f>
        <v>#REF!</v>
      </c>
      <c r="Y21" s="52" t="e">
        <f>IF(AND('Mapa final NC'!#REF!="Alta",'Mapa final NC'!#REF!="Moderado"),CONCATENATE("R6C",'Mapa final NC'!#REF!),"")</f>
        <v>#REF!</v>
      </c>
      <c r="Z21" s="52" t="e">
        <f>IF(AND('Mapa final NC'!#REF!="Alta",'Mapa final NC'!#REF!="Moderado"),CONCATENATE("R6C",'Mapa final NC'!#REF!),"")</f>
        <v>#REF!</v>
      </c>
      <c r="AA21" s="53" t="e">
        <f>IF(AND('Mapa final NC'!#REF!="Alta",'Mapa final NC'!#REF!="Moderado"),CONCATENATE("R6C",'Mapa final NC'!#REF!),"")</f>
        <v>#REF!</v>
      </c>
      <c r="AB21" s="51" t="str">
        <f>IF(AND('Mapa final NC'!$Y$39="Alta",'Mapa final NC'!$AA$39="Mayor"),CONCATENATE("R6C",'Mapa final NC'!$O$39),"")</f>
        <v/>
      </c>
      <c r="AC21" s="52" t="e">
        <f>IF(AND('Mapa final NC'!#REF!="Alta",'Mapa final NC'!#REF!="Mayor"),CONCATENATE("R6C",'Mapa final NC'!#REF!),"")</f>
        <v>#REF!</v>
      </c>
      <c r="AD21" s="52" t="e">
        <f>IF(AND('Mapa final NC'!#REF!="Alta",'Mapa final NC'!#REF!="Mayor"),CONCATENATE("R6C",'Mapa final NC'!#REF!),"")</f>
        <v>#REF!</v>
      </c>
      <c r="AE21" s="52" t="e">
        <f>IF(AND('Mapa final NC'!#REF!="Alta",'Mapa final NC'!#REF!="Mayor"),CONCATENATE("R6C",'Mapa final NC'!#REF!),"")</f>
        <v>#REF!</v>
      </c>
      <c r="AF21" s="52" t="e">
        <f>IF(AND('Mapa final NC'!#REF!="Alta",'Mapa final NC'!#REF!="Mayor"),CONCATENATE("R6C",'Mapa final NC'!#REF!),"")</f>
        <v>#REF!</v>
      </c>
      <c r="AG21" s="53" t="e">
        <f>IF(AND('Mapa final NC'!#REF!="Alta",'Mapa final NC'!#REF!="Mayor"),CONCATENATE("R6C",'Mapa final NC'!#REF!),"")</f>
        <v>#REF!</v>
      </c>
      <c r="AH21" s="54" t="str">
        <f>IF(AND('Mapa final NC'!$Y$39="Alta",'Mapa final NC'!$AA$39="Catastrófico"),CONCATENATE("R6C",'Mapa final NC'!$O$39),"")</f>
        <v/>
      </c>
      <c r="AI21" s="55" t="e">
        <f>IF(AND('Mapa final NC'!#REF!="Alta",'Mapa final NC'!#REF!="Catastrófico"),CONCATENATE("R6C",'Mapa final NC'!#REF!),"")</f>
        <v>#REF!</v>
      </c>
      <c r="AJ21" s="55" t="e">
        <f>IF(AND('Mapa final NC'!#REF!="Alta",'Mapa final NC'!#REF!="Catastrófico"),CONCATENATE("R6C",'Mapa final NC'!#REF!),"")</f>
        <v>#REF!</v>
      </c>
      <c r="AK21" s="55" t="e">
        <f>IF(AND('Mapa final NC'!#REF!="Alta",'Mapa final NC'!#REF!="Catastrófico"),CONCATENATE("R6C",'Mapa final NC'!#REF!),"")</f>
        <v>#REF!</v>
      </c>
      <c r="AL21" s="55" t="e">
        <f>IF(AND('Mapa final NC'!#REF!="Alta",'Mapa final NC'!#REF!="Catastrófico"),CONCATENATE("R6C",'Mapa final NC'!#REF!),"")</f>
        <v>#REF!</v>
      </c>
      <c r="AM21" s="56" t="e">
        <f>IF(AND('Mapa final NC'!#REF!="Alta",'Mapa final NC'!#REF!="Catastrófico"),CONCATENATE("R6C",'Mapa final NC'!#REF!),"")</f>
        <v>#REF!</v>
      </c>
      <c r="AN21" s="82"/>
      <c r="AO21" s="467"/>
      <c r="AP21" s="468"/>
      <c r="AQ21" s="468"/>
      <c r="AR21" s="468"/>
      <c r="AS21" s="468"/>
      <c r="AT21" s="469"/>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78"/>
      <c r="C22" s="378"/>
      <c r="D22" s="379"/>
      <c r="E22" s="477"/>
      <c r="F22" s="476"/>
      <c r="G22" s="476"/>
      <c r="H22" s="476"/>
      <c r="I22" s="476"/>
      <c r="J22" s="66" t="str">
        <f>IF(AND('Mapa final NC'!$Y$40="Alta",'Mapa final NC'!$AA$40="Leve"),CONCATENATE("R7C",'Mapa final NC'!$O$40),"")</f>
        <v/>
      </c>
      <c r="K22" s="67" t="str">
        <f>IF(AND('Mapa final NC'!$Y$41="Alta",'Mapa final NC'!$AA$41="Leve"),CONCATENATE("R7C",'Mapa final NC'!$O$41),"")</f>
        <v/>
      </c>
      <c r="L22" s="67" t="e">
        <f>IF(AND('Mapa final NC'!#REF!="Alta",'Mapa final NC'!#REF!="Leve"),CONCATENATE("R7C",'Mapa final NC'!#REF!),"")</f>
        <v>#REF!</v>
      </c>
      <c r="M22" s="67" t="e">
        <f>IF(AND('Mapa final NC'!#REF!="Alta",'Mapa final NC'!#REF!="Leve"),CONCATENATE("R7C",'Mapa final NC'!#REF!),"")</f>
        <v>#REF!</v>
      </c>
      <c r="N22" s="67" t="e">
        <f>IF(AND('Mapa final NC'!#REF!="Alta",'Mapa final NC'!#REF!="Leve"),CONCATENATE("R7C",'Mapa final NC'!#REF!),"")</f>
        <v>#REF!</v>
      </c>
      <c r="O22" s="68" t="e">
        <f>IF(AND('Mapa final NC'!#REF!="Alta",'Mapa final NC'!#REF!="Leve"),CONCATENATE("R7C",'Mapa final NC'!#REF!),"")</f>
        <v>#REF!</v>
      </c>
      <c r="P22" s="66" t="str">
        <f>IF(AND('Mapa final NC'!$Y$40="Alta",'Mapa final NC'!$AA$40="Menor"),CONCATENATE("R7C",'Mapa final NC'!$O$40),"")</f>
        <v/>
      </c>
      <c r="Q22" s="67" t="str">
        <f>IF(AND('Mapa final NC'!$Y$41="Alta",'Mapa final NC'!$AA$41="Menor"),CONCATENATE("R7C",'Mapa final NC'!$O$41),"")</f>
        <v/>
      </c>
      <c r="R22" s="67" t="e">
        <f>IF(AND('Mapa final NC'!#REF!="Alta",'Mapa final NC'!#REF!="Menor"),CONCATENATE("R7C",'Mapa final NC'!#REF!),"")</f>
        <v>#REF!</v>
      </c>
      <c r="S22" s="67" t="e">
        <f>IF(AND('Mapa final NC'!#REF!="Alta",'Mapa final NC'!#REF!="Menor"),CONCATENATE("R7C",'Mapa final NC'!#REF!),"")</f>
        <v>#REF!</v>
      </c>
      <c r="T22" s="67" t="e">
        <f>IF(AND('Mapa final NC'!#REF!="Alta",'Mapa final NC'!#REF!="Menor"),CONCATENATE("R7C",'Mapa final NC'!#REF!),"")</f>
        <v>#REF!</v>
      </c>
      <c r="U22" s="68" t="e">
        <f>IF(AND('Mapa final NC'!#REF!="Alta",'Mapa final NC'!#REF!="Menor"),CONCATENATE("R7C",'Mapa final NC'!#REF!),"")</f>
        <v>#REF!</v>
      </c>
      <c r="V22" s="51" t="str">
        <f>IF(AND('Mapa final NC'!$Y$40="Alta",'Mapa final NC'!$AA$40="Moderado"),CONCATENATE("R7C",'Mapa final NC'!$O$40),"")</f>
        <v/>
      </c>
      <c r="W22" s="52" t="str">
        <f>IF(AND('Mapa final NC'!$Y$41="Alta",'Mapa final NC'!$AA$41="Moderado"),CONCATENATE("R7C",'Mapa final NC'!$O$41),"")</f>
        <v/>
      </c>
      <c r="X22" s="52" t="e">
        <f>IF(AND('Mapa final NC'!#REF!="Alta",'Mapa final NC'!#REF!="Moderado"),CONCATENATE("R7C",'Mapa final NC'!#REF!),"")</f>
        <v>#REF!</v>
      </c>
      <c r="Y22" s="52" t="e">
        <f>IF(AND('Mapa final NC'!#REF!="Alta",'Mapa final NC'!#REF!="Moderado"),CONCATENATE("R7C",'Mapa final NC'!#REF!),"")</f>
        <v>#REF!</v>
      </c>
      <c r="Z22" s="52" t="e">
        <f>IF(AND('Mapa final NC'!#REF!="Alta",'Mapa final NC'!#REF!="Moderado"),CONCATENATE("R7C",'Mapa final NC'!#REF!),"")</f>
        <v>#REF!</v>
      </c>
      <c r="AA22" s="53" t="e">
        <f>IF(AND('Mapa final NC'!#REF!="Alta",'Mapa final NC'!#REF!="Moderado"),CONCATENATE("R7C",'Mapa final NC'!#REF!),"")</f>
        <v>#REF!</v>
      </c>
      <c r="AB22" s="51" t="str">
        <f>IF(AND('Mapa final NC'!$Y$40="Alta",'Mapa final NC'!$AA$40="Mayor"),CONCATENATE("R7C",'Mapa final NC'!$O$40),"")</f>
        <v/>
      </c>
      <c r="AC22" s="52" t="str">
        <f>IF(AND('Mapa final NC'!$Y$41="Alta",'Mapa final NC'!$AA$41="Mayor"),CONCATENATE("R7C",'Mapa final NC'!$O$41),"")</f>
        <v/>
      </c>
      <c r="AD22" s="52" t="e">
        <f>IF(AND('Mapa final NC'!#REF!="Alta",'Mapa final NC'!#REF!="Mayor"),CONCATENATE("R7C",'Mapa final NC'!#REF!),"")</f>
        <v>#REF!</v>
      </c>
      <c r="AE22" s="52" t="e">
        <f>IF(AND('Mapa final NC'!#REF!="Alta",'Mapa final NC'!#REF!="Mayor"),CONCATENATE("R7C",'Mapa final NC'!#REF!),"")</f>
        <v>#REF!</v>
      </c>
      <c r="AF22" s="52" t="e">
        <f>IF(AND('Mapa final NC'!#REF!="Alta",'Mapa final NC'!#REF!="Mayor"),CONCATENATE("R7C",'Mapa final NC'!#REF!),"")</f>
        <v>#REF!</v>
      </c>
      <c r="AG22" s="53" t="e">
        <f>IF(AND('Mapa final NC'!#REF!="Alta",'Mapa final NC'!#REF!="Mayor"),CONCATENATE("R7C",'Mapa final NC'!#REF!),"")</f>
        <v>#REF!</v>
      </c>
      <c r="AH22" s="54" t="str">
        <f>IF(AND('Mapa final NC'!$Y$40="Alta",'Mapa final NC'!$AA$40="Catastrófico"),CONCATENATE("R7C",'Mapa final NC'!$O$40),"")</f>
        <v/>
      </c>
      <c r="AI22" s="55" t="str">
        <f>IF(AND('Mapa final NC'!$Y$41="Alta",'Mapa final NC'!$AA$41="Catastrófico"),CONCATENATE("R7C",'Mapa final NC'!$O$41),"")</f>
        <v/>
      </c>
      <c r="AJ22" s="55" t="e">
        <f>IF(AND('Mapa final NC'!#REF!="Alta",'Mapa final NC'!#REF!="Catastrófico"),CONCATENATE("R7C",'Mapa final NC'!#REF!),"")</f>
        <v>#REF!</v>
      </c>
      <c r="AK22" s="55" t="e">
        <f>IF(AND('Mapa final NC'!#REF!="Alta",'Mapa final NC'!#REF!="Catastrófico"),CONCATENATE("R7C",'Mapa final NC'!#REF!),"")</f>
        <v>#REF!</v>
      </c>
      <c r="AL22" s="55" t="e">
        <f>IF(AND('Mapa final NC'!#REF!="Alta",'Mapa final NC'!#REF!="Catastrófico"),CONCATENATE("R7C",'Mapa final NC'!#REF!),"")</f>
        <v>#REF!</v>
      </c>
      <c r="AM22" s="56" t="e">
        <f>IF(AND('Mapa final NC'!#REF!="Alta",'Mapa final NC'!#REF!="Catastrófico"),CONCATENATE("R7C",'Mapa final NC'!#REF!),"")</f>
        <v>#REF!</v>
      </c>
      <c r="AN22" s="82"/>
      <c r="AO22" s="467"/>
      <c r="AP22" s="468"/>
      <c r="AQ22" s="468"/>
      <c r="AR22" s="468"/>
      <c r="AS22" s="468"/>
      <c r="AT22" s="469"/>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78"/>
      <c r="C23" s="378"/>
      <c r="D23" s="379"/>
      <c r="E23" s="477"/>
      <c r="F23" s="476"/>
      <c r="G23" s="476"/>
      <c r="H23" s="476"/>
      <c r="I23" s="476"/>
      <c r="J23" s="66" t="str">
        <f>IF(AND('Mapa final NC'!$Y$42="Alta",'Mapa final NC'!$AA$42="Leve"),CONCATENATE("R8C",'Mapa final NC'!$O$42),"")</f>
        <v/>
      </c>
      <c r="K23" s="67" t="e">
        <f>IF(AND('Mapa final NC'!#REF!="Alta",'Mapa final NC'!#REF!="Leve"),CONCATENATE("R8C",'Mapa final NC'!#REF!),"")</f>
        <v>#REF!</v>
      </c>
      <c r="L23" s="67" t="e">
        <f>IF(AND('Mapa final NC'!#REF!="Alta",'Mapa final NC'!#REF!="Leve"),CONCATENATE("R8C",'Mapa final NC'!#REF!),"")</f>
        <v>#REF!</v>
      </c>
      <c r="M23" s="67" t="e">
        <f>IF(AND('Mapa final NC'!#REF!="Alta",'Mapa final NC'!#REF!="Leve"),CONCATENATE("R8C",'Mapa final NC'!#REF!),"")</f>
        <v>#REF!</v>
      </c>
      <c r="N23" s="67" t="e">
        <f>IF(AND('Mapa final NC'!#REF!="Alta",'Mapa final NC'!#REF!="Leve"),CONCATENATE("R8C",'Mapa final NC'!#REF!),"")</f>
        <v>#REF!</v>
      </c>
      <c r="O23" s="68" t="e">
        <f>IF(AND('Mapa final NC'!#REF!="Alta",'Mapa final NC'!#REF!="Leve"),CONCATENATE("R8C",'Mapa final NC'!#REF!),"")</f>
        <v>#REF!</v>
      </c>
      <c r="P23" s="66" t="str">
        <f>IF(AND('Mapa final NC'!$Y$42="Alta",'Mapa final NC'!$AA$42="Menor"),CONCATENATE("R8C",'Mapa final NC'!$O$42),"")</f>
        <v/>
      </c>
      <c r="Q23" s="67" t="e">
        <f>IF(AND('Mapa final NC'!#REF!="Alta",'Mapa final NC'!#REF!="Menor"),CONCATENATE("R8C",'Mapa final NC'!#REF!),"")</f>
        <v>#REF!</v>
      </c>
      <c r="R23" s="67" t="e">
        <f>IF(AND('Mapa final NC'!#REF!="Alta",'Mapa final NC'!#REF!="Menor"),CONCATENATE("R8C",'Mapa final NC'!#REF!),"")</f>
        <v>#REF!</v>
      </c>
      <c r="S23" s="67" t="e">
        <f>IF(AND('Mapa final NC'!#REF!="Alta",'Mapa final NC'!#REF!="Menor"),CONCATENATE("R8C",'Mapa final NC'!#REF!),"")</f>
        <v>#REF!</v>
      </c>
      <c r="T23" s="67" t="e">
        <f>IF(AND('Mapa final NC'!#REF!="Alta",'Mapa final NC'!#REF!="Menor"),CONCATENATE("R8C",'Mapa final NC'!#REF!),"")</f>
        <v>#REF!</v>
      </c>
      <c r="U23" s="68" t="e">
        <f>IF(AND('Mapa final NC'!#REF!="Alta",'Mapa final NC'!#REF!="Menor"),CONCATENATE("R8C",'Mapa final NC'!#REF!),"")</f>
        <v>#REF!</v>
      </c>
      <c r="V23" s="51" t="str">
        <f>IF(AND('Mapa final NC'!$Y$42="Alta",'Mapa final NC'!$AA$42="Moderado"),CONCATENATE("R8C",'Mapa final NC'!$O$42),"")</f>
        <v/>
      </c>
      <c r="W23" s="52" t="e">
        <f>IF(AND('Mapa final NC'!#REF!="Alta",'Mapa final NC'!#REF!="Moderado"),CONCATENATE("R8C",'Mapa final NC'!#REF!),"")</f>
        <v>#REF!</v>
      </c>
      <c r="X23" s="52" t="e">
        <f>IF(AND('Mapa final NC'!#REF!="Alta",'Mapa final NC'!#REF!="Moderado"),CONCATENATE("R8C",'Mapa final NC'!#REF!),"")</f>
        <v>#REF!</v>
      </c>
      <c r="Y23" s="52" t="e">
        <f>IF(AND('Mapa final NC'!#REF!="Alta",'Mapa final NC'!#REF!="Moderado"),CONCATENATE("R8C",'Mapa final NC'!#REF!),"")</f>
        <v>#REF!</v>
      </c>
      <c r="Z23" s="52" t="e">
        <f>IF(AND('Mapa final NC'!#REF!="Alta",'Mapa final NC'!#REF!="Moderado"),CONCATENATE("R8C",'Mapa final NC'!#REF!),"")</f>
        <v>#REF!</v>
      </c>
      <c r="AA23" s="53" t="e">
        <f>IF(AND('Mapa final NC'!#REF!="Alta",'Mapa final NC'!#REF!="Moderado"),CONCATENATE("R8C",'Mapa final NC'!#REF!),"")</f>
        <v>#REF!</v>
      </c>
      <c r="AB23" s="51" t="str">
        <f>IF(AND('Mapa final NC'!$Y$42="Alta",'Mapa final NC'!$AA$42="Mayor"),CONCATENATE("R8C",'Mapa final NC'!$O$42),"")</f>
        <v/>
      </c>
      <c r="AC23" s="52" t="e">
        <f>IF(AND('Mapa final NC'!#REF!="Alta",'Mapa final NC'!#REF!="Mayor"),CONCATENATE("R8C",'Mapa final NC'!#REF!),"")</f>
        <v>#REF!</v>
      </c>
      <c r="AD23" s="52" t="e">
        <f>IF(AND('Mapa final NC'!#REF!="Alta",'Mapa final NC'!#REF!="Mayor"),CONCATENATE("R8C",'Mapa final NC'!#REF!),"")</f>
        <v>#REF!</v>
      </c>
      <c r="AE23" s="52" t="e">
        <f>IF(AND('Mapa final NC'!#REF!="Alta",'Mapa final NC'!#REF!="Mayor"),CONCATENATE("R8C",'Mapa final NC'!#REF!),"")</f>
        <v>#REF!</v>
      </c>
      <c r="AF23" s="52" t="e">
        <f>IF(AND('Mapa final NC'!#REF!="Alta",'Mapa final NC'!#REF!="Mayor"),CONCATENATE("R8C",'Mapa final NC'!#REF!),"")</f>
        <v>#REF!</v>
      </c>
      <c r="AG23" s="53" t="e">
        <f>IF(AND('Mapa final NC'!#REF!="Alta",'Mapa final NC'!#REF!="Mayor"),CONCATENATE("R8C",'Mapa final NC'!#REF!),"")</f>
        <v>#REF!</v>
      </c>
      <c r="AH23" s="54" t="str">
        <f>IF(AND('Mapa final NC'!$Y$42="Alta",'Mapa final NC'!$AA$42="Catastrófico"),CONCATENATE("R8C",'Mapa final NC'!$O$42),"")</f>
        <v/>
      </c>
      <c r="AI23" s="55" t="e">
        <f>IF(AND('Mapa final NC'!#REF!="Alta",'Mapa final NC'!#REF!="Catastrófico"),CONCATENATE("R8C",'Mapa final NC'!#REF!),"")</f>
        <v>#REF!</v>
      </c>
      <c r="AJ23" s="55" t="e">
        <f>IF(AND('Mapa final NC'!#REF!="Alta",'Mapa final NC'!#REF!="Catastrófico"),CONCATENATE("R8C",'Mapa final NC'!#REF!),"")</f>
        <v>#REF!</v>
      </c>
      <c r="AK23" s="55" t="e">
        <f>IF(AND('Mapa final NC'!#REF!="Alta",'Mapa final NC'!#REF!="Catastrófico"),CONCATENATE("R8C",'Mapa final NC'!#REF!),"")</f>
        <v>#REF!</v>
      </c>
      <c r="AL23" s="55" t="e">
        <f>IF(AND('Mapa final NC'!#REF!="Alta",'Mapa final NC'!#REF!="Catastrófico"),CONCATENATE("R8C",'Mapa final NC'!#REF!),"")</f>
        <v>#REF!</v>
      </c>
      <c r="AM23" s="56" t="e">
        <f>IF(AND('Mapa final NC'!#REF!="Alta",'Mapa final NC'!#REF!="Catastrófico"),CONCATENATE("R8C",'Mapa final NC'!#REF!),"")</f>
        <v>#REF!</v>
      </c>
      <c r="AN23" s="82"/>
      <c r="AO23" s="467"/>
      <c r="AP23" s="468"/>
      <c r="AQ23" s="468"/>
      <c r="AR23" s="468"/>
      <c r="AS23" s="468"/>
      <c r="AT23" s="469"/>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78"/>
      <c r="C24" s="378"/>
      <c r="D24" s="379"/>
      <c r="E24" s="477"/>
      <c r="F24" s="476"/>
      <c r="G24" s="476"/>
      <c r="H24" s="476"/>
      <c r="I24" s="476"/>
      <c r="J24" s="66" t="str">
        <f>IF(AND('Mapa final NC'!$Y$43="Alta",'Mapa final NC'!$AA$43="Leve"),CONCATENATE("R9C",'Mapa final NC'!$O$43),"")</f>
        <v/>
      </c>
      <c r="K24" s="67" t="str">
        <f>IF(AND('Mapa final NC'!$Y$44="Alta",'Mapa final NC'!$AA$44="Leve"),CONCATENATE("R9C",'Mapa final NC'!$O$44),"")</f>
        <v/>
      </c>
      <c r="L24" s="67" t="e">
        <f>IF(AND('Mapa final NC'!#REF!="Alta",'Mapa final NC'!#REF!="Leve"),CONCATENATE("R9C",'Mapa final NC'!#REF!),"")</f>
        <v>#REF!</v>
      </c>
      <c r="M24" s="67" t="e">
        <f>IF(AND('Mapa final NC'!#REF!="Alta",'Mapa final NC'!#REF!="Leve"),CONCATENATE("R9C",'Mapa final NC'!#REF!),"")</f>
        <v>#REF!</v>
      </c>
      <c r="N24" s="67" t="e">
        <f>IF(AND('Mapa final NC'!#REF!="Alta",'Mapa final NC'!#REF!="Leve"),CONCATENATE("R9C",'Mapa final NC'!#REF!),"")</f>
        <v>#REF!</v>
      </c>
      <c r="O24" s="68" t="e">
        <f>IF(AND('Mapa final NC'!#REF!="Alta",'Mapa final NC'!#REF!="Leve"),CONCATENATE("R9C",'Mapa final NC'!#REF!),"")</f>
        <v>#REF!</v>
      </c>
      <c r="P24" s="66" t="str">
        <f>IF(AND('Mapa final NC'!$Y$43="Alta",'Mapa final NC'!$AA$43="Menor"),CONCATENATE("R9C",'Mapa final NC'!$O$43),"")</f>
        <v/>
      </c>
      <c r="Q24" s="67" t="str">
        <f>IF(AND('Mapa final NC'!$Y$44="Alta",'Mapa final NC'!$AA$44="Menor"),CONCATENATE("R9C",'Mapa final NC'!$O$44),"")</f>
        <v/>
      </c>
      <c r="R24" s="67" t="e">
        <f>IF(AND('Mapa final NC'!#REF!="Alta",'Mapa final NC'!#REF!="Menor"),CONCATENATE("R9C",'Mapa final NC'!#REF!),"")</f>
        <v>#REF!</v>
      </c>
      <c r="S24" s="67" t="e">
        <f>IF(AND('Mapa final NC'!#REF!="Alta",'Mapa final NC'!#REF!="Menor"),CONCATENATE("R9C",'Mapa final NC'!#REF!),"")</f>
        <v>#REF!</v>
      </c>
      <c r="T24" s="67" t="e">
        <f>IF(AND('Mapa final NC'!#REF!="Alta",'Mapa final NC'!#REF!="Menor"),CONCATENATE("R9C",'Mapa final NC'!#REF!),"")</f>
        <v>#REF!</v>
      </c>
      <c r="U24" s="68" t="e">
        <f>IF(AND('Mapa final NC'!#REF!="Alta",'Mapa final NC'!#REF!="Menor"),CONCATENATE("R9C",'Mapa final NC'!#REF!),"")</f>
        <v>#REF!</v>
      </c>
      <c r="V24" s="51" t="str">
        <f>IF(AND('Mapa final NC'!$Y$43="Alta",'Mapa final NC'!$AA$43="Moderado"),CONCATENATE("R9C",'Mapa final NC'!$O$43),"")</f>
        <v/>
      </c>
      <c r="W24" s="52" t="str">
        <f>IF(AND('Mapa final NC'!$Y$44="Alta",'Mapa final NC'!$AA$44="Moderado"),CONCATENATE("R9C",'Mapa final NC'!$O$44),"")</f>
        <v/>
      </c>
      <c r="X24" s="52" t="e">
        <f>IF(AND('Mapa final NC'!#REF!="Alta",'Mapa final NC'!#REF!="Moderado"),CONCATENATE("R9C",'Mapa final NC'!#REF!),"")</f>
        <v>#REF!</v>
      </c>
      <c r="Y24" s="52" t="e">
        <f>IF(AND('Mapa final NC'!#REF!="Alta",'Mapa final NC'!#REF!="Moderado"),CONCATENATE("R9C",'Mapa final NC'!#REF!),"")</f>
        <v>#REF!</v>
      </c>
      <c r="Z24" s="52" t="e">
        <f>IF(AND('Mapa final NC'!#REF!="Alta",'Mapa final NC'!#REF!="Moderado"),CONCATENATE("R9C",'Mapa final NC'!#REF!),"")</f>
        <v>#REF!</v>
      </c>
      <c r="AA24" s="53" t="e">
        <f>IF(AND('Mapa final NC'!#REF!="Alta",'Mapa final NC'!#REF!="Moderado"),CONCATENATE("R9C",'Mapa final NC'!#REF!),"")</f>
        <v>#REF!</v>
      </c>
      <c r="AB24" s="51" t="str">
        <f>IF(AND('Mapa final NC'!$Y$43="Alta",'Mapa final NC'!$AA$43="Mayor"),CONCATENATE("R9C",'Mapa final NC'!$O$43),"")</f>
        <v/>
      </c>
      <c r="AC24" s="52" t="str">
        <f>IF(AND('Mapa final NC'!$Y$44="Alta",'Mapa final NC'!$AA$44="Mayor"),CONCATENATE("R9C",'Mapa final NC'!$O$44),"")</f>
        <v/>
      </c>
      <c r="AD24" s="52" t="e">
        <f>IF(AND('Mapa final NC'!#REF!="Alta",'Mapa final NC'!#REF!="Mayor"),CONCATENATE("R9C",'Mapa final NC'!#REF!),"")</f>
        <v>#REF!</v>
      </c>
      <c r="AE24" s="52" t="e">
        <f>IF(AND('Mapa final NC'!#REF!="Alta",'Mapa final NC'!#REF!="Mayor"),CONCATENATE("R9C",'Mapa final NC'!#REF!),"")</f>
        <v>#REF!</v>
      </c>
      <c r="AF24" s="52" t="e">
        <f>IF(AND('Mapa final NC'!#REF!="Alta",'Mapa final NC'!#REF!="Mayor"),CONCATENATE("R9C",'Mapa final NC'!#REF!),"")</f>
        <v>#REF!</v>
      </c>
      <c r="AG24" s="53" t="e">
        <f>IF(AND('Mapa final NC'!#REF!="Alta",'Mapa final NC'!#REF!="Mayor"),CONCATENATE("R9C",'Mapa final NC'!#REF!),"")</f>
        <v>#REF!</v>
      </c>
      <c r="AH24" s="54" t="str">
        <f>IF(AND('Mapa final NC'!$Y$43="Alta",'Mapa final NC'!$AA$43="Catastrófico"),CONCATENATE("R9C",'Mapa final NC'!$O$43),"")</f>
        <v/>
      </c>
      <c r="AI24" s="55" t="str">
        <f>IF(AND('Mapa final NC'!$Y$44="Alta",'Mapa final NC'!$AA$44="Catastrófico"),CONCATENATE("R9C",'Mapa final NC'!$O$44),"")</f>
        <v/>
      </c>
      <c r="AJ24" s="55" t="e">
        <f>IF(AND('Mapa final NC'!#REF!="Alta",'Mapa final NC'!#REF!="Catastrófico"),CONCATENATE("R9C",'Mapa final NC'!#REF!),"")</f>
        <v>#REF!</v>
      </c>
      <c r="AK24" s="55" t="e">
        <f>IF(AND('Mapa final NC'!#REF!="Alta",'Mapa final NC'!#REF!="Catastrófico"),CONCATENATE("R9C",'Mapa final NC'!#REF!),"")</f>
        <v>#REF!</v>
      </c>
      <c r="AL24" s="55" t="e">
        <f>IF(AND('Mapa final NC'!#REF!="Alta",'Mapa final NC'!#REF!="Catastrófico"),CONCATENATE("R9C",'Mapa final NC'!#REF!),"")</f>
        <v>#REF!</v>
      </c>
      <c r="AM24" s="56" t="e">
        <f>IF(AND('Mapa final NC'!#REF!="Alta",'Mapa final NC'!#REF!="Catastrófico"),CONCATENATE("R9C",'Mapa final NC'!#REF!),"")</f>
        <v>#REF!</v>
      </c>
      <c r="AN24" s="82"/>
      <c r="AO24" s="467"/>
      <c r="AP24" s="468"/>
      <c r="AQ24" s="468"/>
      <c r="AR24" s="468"/>
      <c r="AS24" s="468"/>
      <c r="AT24" s="469"/>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78"/>
      <c r="C25" s="378"/>
      <c r="D25" s="379"/>
      <c r="E25" s="478"/>
      <c r="F25" s="479"/>
      <c r="G25" s="479"/>
      <c r="H25" s="479"/>
      <c r="I25" s="479"/>
      <c r="J25" s="69" t="str">
        <f>IF(AND('Mapa final NC'!$Y$45="Alta",'Mapa final NC'!$AA$45="Leve"),CONCATENATE("R10C",'Mapa final NC'!$O$45),"")</f>
        <v/>
      </c>
      <c r="K25" s="70" t="str">
        <f>IF(AND('Mapa final NC'!$Y$46="Alta",'Mapa final NC'!$AA$46="Leve"),CONCATENATE("R10C",'Mapa final NC'!$O$46),"")</f>
        <v/>
      </c>
      <c r="L25" s="70" t="str">
        <f>IF(AND('Mapa final NC'!$Y$47="Alta",'Mapa final NC'!$AA$47="Leve"),CONCATENATE("R10C",'Mapa final NC'!$O$47),"")</f>
        <v/>
      </c>
      <c r="M25" s="70" t="e">
        <f>IF(AND('Mapa final NC'!#REF!="Alta",'Mapa final NC'!#REF!="Leve"),CONCATENATE("R10C",'Mapa final NC'!#REF!),"")</f>
        <v>#REF!</v>
      </c>
      <c r="N25" s="70" t="e">
        <f>IF(AND('Mapa final NC'!#REF!="Alta",'Mapa final NC'!#REF!="Leve"),CONCATENATE("R10C",'Mapa final NC'!#REF!),"")</f>
        <v>#REF!</v>
      </c>
      <c r="O25" s="71" t="e">
        <f>IF(AND('Mapa final NC'!#REF!="Alta",'Mapa final NC'!#REF!="Leve"),CONCATENATE("R10C",'Mapa final NC'!#REF!),"")</f>
        <v>#REF!</v>
      </c>
      <c r="P25" s="69" t="str">
        <f>IF(AND('Mapa final NC'!$Y$45="Alta",'Mapa final NC'!$AA$45="Menor"),CONCATENATE("R10C",'Mapa final NC'!$O$45),"")</f>
        <v/>
      </c>
      <c r="Q25" s="70" t="str">
        <f>IF(AND('Mapa final NC'!$Y$46="Alta",'Mapa final NC'!$AA$46="Menor"),CONCATENATE("R10C",'Mapa final NC'!$O$46),"")</f>
        <v/>
      </c>
      <c r="R25" s="70" t="str">
        <f>IF(AND('Mapa final NC'!$Y$47="Alta",'Mapa final NC'!$AA$47="Menor"),CONCATENATE("R10C",'Mapa final NC'!$O$47),"")</f>
        <v/>
      </c>
      <c r="S25" s="70" t="e">
        <f>IF(AND('Mapa final NC'!#REF!="Alta",'Mapa final NC'!#REF!="Menor"),CONCATENATE("R10C",'Mapa final NC'!#REF!),"")</f>
        <v>#REF!</v>
      </c>
      <c r="T25" s="70" t="e">
        <f>IF(AND('Mapa final NC'!#REF!="Alta",'Mapa final NC'!#REF!="Menor"),CONCATENATE("R10C",'Mapa final NC'!#REF!),"")</f>
        <v>#REF!</v>
      </c>
      <c r="U25" s="71" t="e">
        <f>IF(AND('Mapa final NC'!#REF!="Alta",'Mapa final NC'!#REF!="Menor"),CONCATENATE("R10C",'Mapa final NC'!#REF!),"")</f>
        <v>#REF!</v>
      </c>
      <c r="V25" s="57" t="str">
        <f>IF(AND('Mapa final NC'!$Y$45="Alta",'Mapa final NC'!$AA$45="Moderado"),CONCATENATE("R10C",'Mapa final NC'!$O$45),"")</f>
        <v/>
      </c>
      <c r="W25" s="58" t="str">
        <f>IF(AND('Mapa final NC'!$Y$46="Alta",'Mapa final NC'!$AA$46="Moderado"),CONCATENATE("R10C",'Mapa final NC'!$O$46),"")</f>
        <v/>
      </c>
      <c r="X25" s="58" t="str">
        <f>IF(AND('Mapa final NC'!$Y$47="Alta",'Mapa final NC'!$AA$47="Moderado"),CONCATENATE("R10C",'Mapa final NC'!$O$47),"")</f>
        <v/>
      </c>
      <c r="Y25" s="58" t="e">
        <f>IF(AND('Mapa final NC'!#REF!="Alta",'Mapa final NC'!#REF!="Moderado"),CONCATENATE("R10C",'Mapa final NC'!#REF!),"")</f>
        <v>#REF!</v>
      </c>
      <c r="Z25" s="58" t="e">
        <f>IF(AND('Mapa final NC'!#REF!="Alta",'Mapa final NC'!#REF!="Moderado"),CONCATENATE("R10C",'Mapa final NC'!#REF!),"")</f>
        <v>#REF!</v>
      </c>
      <c r="AA25" s="59" t="e">
        <f>IF(AND('Mapa final NC'!#REF!="Alta",'Mapa final NC'!#REF!="Moderado"),CONCATENATE("R10C",'Mapa final NC'!#REF!),"")</f>
        <v>#REF!</v>
      </c>
      <c r="AB25" s="57" t="str">
        <f>IF(AND('Mapa final NC'!$Y$45="Alta",'Mapa final NC'!$AA$45="Mayor"),CONCATENATE("R10C",'Mapa final NC'!$O$45),"")</f>
        <v/>
      </c>
      <c r="AC25" s="58" t="str">
        <f>IF(AND('Mapa final NC'!$Y$46="Alta",'Mapa final NC'!$AA$46="Mayor"),CONCATENATE("R10C",'Mapa final NC'!$O$46),"")</f>
        <v/>
      </c>
      <c r="AD25" s="58" t="str">
        <f>IF(AND('Mapa final NC'!$Y$47="Alta",'Mapa final NC'!$AA$47="Mayor"),CONCATENATE("R10C",'Mapa final NC'!$O$47),"")</f>
        <v/>
      </c>
      <c r="AE25" s="58" t="e">
        <f>IF(AND('Mapa final NC'!#REF!="Alta",'Mapa final NC'!#REF!="Mayor"),CONCATENATE("R10C",'Mapa final NC'!#REF!),"")</f>
        <v>#REF!</v>
      </c>
      <c r="AF25" s="58" t="e">
        <f>IF(AND('Mapa final NC'!#REF!="Alta",'Mapa final NC'!#REF!="Mayor"),CONCATENATE("R10C",'Mapa final NC'!#REF!),"")</f>
        <v>#REF!</v>
      </c>
      <c r="AG25" s="59" t="e">
        <f>IF(AND('Mapa final NC'!#REF!="Alta",'Mapa final NC'!#REF!="Mayor"),CONCATENATE("R10C",'Mapa final NC'!#REF!),"")</f>
        <v>#REF!</v>
      </c>
      <c r="AH25" s="60" t="str">
        <f>IF(AND('Mapa final NC'!$Y$45="Alta",'Mapa final NC'!$AA$45="Catastrófico"),CONCATENATE("R10C",'Mapa final NC'!$O$45),"")</f>
        <v/>
      </c>
      <c r="AI25" s="61" t="str">
        <f>IF(AND('Mapa final NC'!$Y$46="Alta",'Mapa final NC'!$AA$46="Catastrófico"),CONCATENATE("R10C",'Mapa final NC'!$O$46),"")</f>
        <v/>
      </c>
      <c r="AJ25" s="61" t="str">
        <f>IF(AND('Mapa final NC'!$Y$47="Alta",'Mapa final NC'!$AA$47="Catastrófico"),CONCATENATE("R10C",'Mapa final NC'!$O$47),"")</f>
        <v/>
      </c>
      <c r="AK25" s="61" t="e">
        <f>IF(AND('Mapa final NC'!#REF!="Alta",'Mapa final NC'!#REF!="Catastrófico"),CONCATENATE("R10C",'Mapa final NC'!#REF!),"")</f>
        <v>#REF!</v>
      </c>
      <c r="AL25" s="61" t="e">
        <f>IF(AND('Mapa final NC'!#REF!="Alta",'Mapa final NC'!#REF!="Catastrófico"),CONCATENATE("R10C",'Mapa final NC'!#REF!),"")</f>
        <v>#REF!</v>
      </c>
      <c r="AM25" s="62" t="e">
        <f>IF(AND('Mapa final NC'!#REF!="Alta",'Mapa final NC'!#REF!="Catastrófico"),CONCATENATE("R10C",'Mapa final NC'!#REF!),"")</f>
        <v>#REF!</v>
      </c>
      <c r="AN25" s="82"/>
      <c r="AO25" s="470"/>
      <c r="AP25" s="471"/>
      <c r="AQ25" s="471"/>
      <c r="AR25" s="471"/>
      <c r="AS25" s="471"/>
      <c r="AT25" s="47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78"/>
      <c r="C26" s="378"/>
      <c r="D26" s="379"/>
      <c r="E26" s="473" t="s">
        <v>96</v>
      </c>
      <c r="F26" s="474"/>
      <c r="G26" s="474"/>
      <c r="H26" s="474"/>
      <c r="I26" s="491"/>
      <c r="J26" s="63" t="str">
        <f>IF(AND('Mapa final NC'!$Y$30="Media",'Mapa final NC'!$AA$30="Leve"),CONCATENATE("R1C",'Mapa final NC'!$O$30),"")</f>
        <v/>
      </c>
      <c r="K26" s="64" t="e">
        <f>IF(AND('Mapa final NC'!#REF!="Media",'Mapa final NC'!#REF!="Leve"),CONCATENATE("R1C",'Mapa final NC'!#REF!),"")</f>
        <v>#REF!</v>
      </c>
      <c r="L26" s="64" t="e">
        <f>IF(AND('Mapa final NC'!#REF!="Media",'Mapa final NC'!#REF!="Leve"),CONCATENATE("R1C",'Mapa final NC'!#REF!),"")</f>
        <v>#REF!</v>
      </c>
      <c r="M26" s="64" t="e">
        <f>IF(AND('Mapa final NC'!#REF!="Media",'Mapa final NC'!#REF!="Leve"),CONCATENATE("R1C",'Mapa final NC'!#REF!),"")</f>
        <v>#REF!</v>
      </c>
      <c r="N26" s="64" t="e">
        <f>IF(AND('Mapa final NC'!#REF!="Media",'Mapa final NC'!#REF!="Leve"),CONCATENATE("R1C",'Mapa final NC'!#REF!),"")</f>
        <v>#REF!</v>
      </c>
      <c r="O26" s="65" t="e">
        <f>IF(AND('Mapa final NC'!#REF!="Media",'Mapa final NC'!#REF!="Leve"),CONCATENATE("R1C",'Mapa final NC'!#REF!),"")</f>
        <v>#REF!</v>
      </c>
      <c r="P26" s="63" t="str">
        <f>IF(AND('Mapa final NC'!$Y$30="Media",'Mapa final NC'!$AA$30="Menor"),CONCATENATE("R1C",'Mapa final NC'!$O$30),"")</f>
        <v/>
      </c>
      <c r="Q26" s="64" t="e">
        <f>IF(AND('Mapa final NC'!#REF!="Media",'Mapa final NC'!#REF!="Menor"),CONCATENATE("R1C",'Mapa final NC'!#REF!),"")</f>
        <v>#REF!</v>
      </c>
      <c r="R26" s="64" t="e">
        <f>IF(AND('Mapa final NC'!#REF!="Media",'Mapa final NC'!#REF!="Menor"),CONCATENATE("R1C",'Mapa final NC'!#REF!),"")</f>
        <v>#REF!</v>
      </c>
      <c r="S26" s="64" t="e">
        <f>IF(AND('Mapa final NC'!#REF!="Media",'Mapa final NC'!#REF!="Menor"),CONCATENATE("R1C",'Mapa final NC'!#REF!),"")</f>
        <v>#REF!</v>
      </c>
      <c r="T26" s="64" t="e">
        <f>IF(AND('Mapa final NC'!#REF!="Media",'Mapa final NC'!#REF!="Menor"),CONCATENATE("R1C",'Mapa final NC'!#REF!),"")</f>
        <v>#REF!</v>
      </c>
      <c r="U26" s="65" t="e">
        <f>IF(AND('Mapa final NC'!#REF!="Media",'Mapa final NC'!#REF!="Menor"),CONCATENATE("R1C",'Mapa final NC'!#REF!),"")</f>
        <v>#REF!</v>
      </c>
      <c r="V26" s="63" t="str">
        <f>IF(AND('Mapa final NC'!$Y$30="Media",'Mapa final NC'!$AA$30="Moderado"),CONCATENATE("R1C",'Mapa final NC'!$O$30),"")</f>
        <v/>
      </c>
      <c r="W26" s="64" t="e">
        <f>IF(AND('Mapa final NC'!#REF!="Media",'Mapa final NC'!#REF!="Moderado"),CONCATENATE("R1C",'Mapa final NC'!#REF!),"")</f>
        <v>#REF!</v>
      </c>
      <c r="X26" s="64" t="e">
        <f>IF(AND('Mapa final NC'!#REF!="Media",'Mapa final NC'!#REF!="Moderado"),CONCATENATE("R1C",'Mapa final NC'!#REF!),"")</f>
        <v>#REF!</v>
      </c>
      <c r="Y26" s="64" t="e">
        <f>IF(AND('Mapa final NC'!#REF!="Media",'Mapa final NC'!#REF!="Moderado"),CONCATENATE("R1C",'Mapa final NC'!#REF!),"")</f>
        <v>#REF!</v>
      </c>
      <c r="Z26" s="64" t="e">
        <f>IF(AND('Mapa final NC'!#REF!="Media",'Mapa final NC'!#REF!="Moderado"),CONCATENATE("R1C",'Mapa final NC'!#REF!),"")</f>
        <v>#REF!</v>
      </c>
      <c r="AA26" s="65" t="e">
        <f>IF(AND('Mapa final NC'!#REF!="Media",'Mapa final NC'!#REF!="Moderado"),CONCATENATE("R1C",'Mapa final NC'!#REF!),"")</f>
        <v>#REF!</v>
      </c>
      <c r="AB26" s="45" t="str">
        <f>IF(AND('Mapa final NC'!$Y$30="Media",'Mapa final NC'!$AA$30="Mayor"),CONCATENATE("R1C",'Mapa final NC'!$O$30),"")</f>
        <v/>
      </c>
      <c r="AC26" s="46" t="e">
        <f>IF(AND('Mapa final NC'!#REF!="Media",'Mapa final NC'!#REF!="Mayor"),CONCATENATE("R1C",'Mapa final NC'!#REF!),"")</f>
        <v>#REF!</v>
      </c>
      <c r="AD26" s="46" t="e">
        <f>IF(AND('Mapa final NC'!#REF!="Media",'Mapa final NC'!#REF!="Mayor"),CONCATENATE("R1C",'Mapa final NC'!#REF!),"")</f>
        <v>#REF!</v>
      </c>
      <c r="AE26" s="46" t="e">
        <f>IF(AND('Mapa final NC'!#REF!="Media",'Mapa final NC'!#REF!="Mayor"),CONCATENATE("R1C",'Mapa final NC'!#REF!),"")</f>
        <v>#REF!</v>
      </c>
      <c r="AF26" s="46" t="e">
        <f>IF(AND('Mapa final NC'!#REF!="Media",'Mapa final NC'!#REF!="Mayor"),CONCATENATE("R1C",'Mapa final NC'!#REF!),"")</f>
        <v>#REF!</v>
      </c>
      <c r="AG26" s="47" t="e">
        <f>IF(AND('Mapa final NC'!#REF!="Media",'Mapa final NC'!#REF!="Mayor"),CONCATENATE("R1C",'Mapa final NC'!#REF!),"")</f>
        <v>#REF!</v>
      </c>
      <c r="AH26" s="48" t="str">
        <f>IF(AND('Mapa final NC'!$Y$30="Media",'Mapa final NC'!$AA$30="Catastrófico"),CONCATENATE("R1C",'Mapa final NC'!$O$30),"")</f>
        <v>R1C1</v>
      </c>
      <c r="AI26" s="49" t="e">
        <f>IF(AND('Mapa final NC'!#REF!="Media",'Mapa final NC'!#REF!="Catastrófico"),CONCATENATE("R1C",'Mapa final NC'!#REF!),"")</f>
        <v>#REF!</v>
      </c>
      <c r="AJ26" s="49" t="e">
        <f>IF(AND('Mapa final NC'!#REF!="Media",'Mapa final NC'!#REF!="Catastrófico"),CONCATENATE("R1C",'Mapa final NC'!#REF!),"")</f>
        <v>#REF!</v>
      </c>
      <c r="AK26" s="49" t="e">
        <f>IF(AND('Mapa final NC'!#REF!="Media",'Mapa final NC'!#REF!="Catastrófico"),CONCATENATE("R1C",'Mapa final NC'!#REF!),"")</f>
        <v>#REF!</v>
      </c>
      <c r="AL26" s="49" t="e">
        <f>IF(AND('Mapa final NC'!#REF!="Media",'Mapa final NC'!#REF!="Catastrófico"),CONCATENATE("R1C",'Mapa final NC'!#REF!),"")</f>
        <v>#REF!</v>
      </c>
      <c r="AM26" s="50" t="e">
        <f>IF(AND('Mapa final NC'!#REF!="Media",'Mapa final NC'!#REF!="Catastrófico"),CONCATENATE("R1C",'Mapa final NC'!#REF!),"")</f>
        <v>#REF!</v>
      </c>
      <c r="AN26" s="82"/>
      <c r="AO26" s="503" t="s">
        <v>97</v>
      </c>
      <c r="AP26" s="504"/>
      <c r="AQ26" s="504"/>
      <c r="AR26" s="504"/>
      <c r="AS26" s="504"/>
      <c r="AT26" s="505"/>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78"/>
      <c r="C27" s="378"/>
      <c r="D27" s="379"/>
      <c r="E27" s="475"/>
      <c r="F27" s="476"/>
      <c r="G27" s="476"/>
      <c r="H27" s="476"/>
      <c r="I27" s="492"/>
      <c r="J27" s="66" t="str">
        <f>IF(AND('Mapa final NC'!$Y$31="Media",'Mapa final NC'!$AA$31="Leve"),CONCATENATE("R2C",'Mapa final NC'!$O$31),"")</f>
        <v/>
      </c>
      <c r="K27" s="67" t="str">
        <f>IF(AND('Mapa final NC'!$Y$32="Media",'Mapa final NC'!$AA$32="Leve"),CONCATENATE("R2C",'Mapa final NC'!$O$32),"")</f>
        <v/>
      </c>
      <c r="L27" s="67" t="str">
        <f>IF(AND('Mapa final NC'!$Y$33="Media",'Mapa final NC'!$AA$33="Leve"),CONCATENATE("R2C",'Mapa final NC'!$O$33),"")</f>
        <v/>
      </c>
      <c r="M27" s="67" t="e">
        <f>IF(AND('Mapa final NC'!#REF!="Media",'Mapa final NC'!#REF!="Leve"),CONCATENATE("R2C",'Mapa final NC'!#REF!),"")</f>
        <v>#REF!</v>
      </c>
      <c r="N27" s="67" t="e">
        <f>IF(AND('Mapa final NC'!#REF!="Media",'Mapa final NC'!#REF!="Leve"),CONCATENATE("R2C",'Mapa final NC'!#REF!),"")</f>
        <v>#REF!</v>
      </c>
      <c r="O27" s="68" t="e">
        <f>IF(AND('Mapa final NC'!#REF!="Media",'Mapa final NC'!#REF!="Leve"),CONCATENATE("R2C",'Mapa final NC'!#REF!),"")</f>
        <v>#REF!</v>
      </c>
      <c r="P27" s="66" t="str">
        <f>IF(AND('Mapa final NC'!$Y$31="Media",'Mapa final NC'!$AA$31="Menor"),CONCATENATE("R2C",'Mapa final NC'!$O$31),"")</f>
        <v/>
      </c>
      <c r="Q27" s="67" t="str">
        <f>IF(AND('Mapa final NC'!$Y$32="Media",'Mapa final NC'!$AA$32="Menor"),CONCATENATE("R2C",'Mapa final NC'!$O$32),"")</f>
        <v/>
      </c>
      <c r="R27" s="67" t="str">
        <f>IF(AND('Mapa final NC'!$Y$33="Media",'Mapa final NC'!$AA$33="Menor"),CONCATENATE("R2C",'Mapa final NC'!$O$33),"")</f>
        <v/>
      </c>
      <c r="S27" s="67" t="e">
        <f>IF(AND('Mapa final NC'!#REF!="Media",'Mapa final NC'!#REF!="Menor"),CONCATENATE("R2C",'Mapa final NC'!#REF!),"")</f>
        <v>#REF!</v>
      </c>
      <c r="T27" s="67" t="e">
        <f>IF(AND('Mapa final NC'!#REF!="Media",'Mapa final NC'!#REF!="Menor"),CONCATENATE("R2C",'Mapa final NC'!#REF!),"")</f>
        <v>#REF!</v>
      </c>
      <c r="U27" s="68" t="e">
        <f>IF(AND('Mapa final NC'!#REF!="Media",'Mapa final NC'!#REF!="Menor"),CONCATENATE("R2C",'Mapa final NC'!#REF!),"")</f>
        <v>#REF!</v>
      </c>
      <c r="V27" s="66" t="str">
        <f>IF(AND('Mapa final NC'!$Y$31="Media",'Mapa final NC'!$AA$31="Moderado"),CONCATENATE("R2C",'Mapa final NC'!$O$31),"")</f>
        <v/>
      </c>
      <c r="W27" s="67" t="str">
        <f>IF(AND('Mapa final NC'!$Y$32="Media",'Mapa final NC'!$AA$32="Moderado"),CONCATENATE("R2C",'Mapa final NC'!$O$32),"")</f>
        <v/>
      </c>
      <c r="X27" s="67" t="str">
        <f>IF(AND('Mapa final NC'!$Y$33="Media",'Mapa final NC'!$AA$33="Moderado"),CONCATENATE("R2C",'Mapa final NC'!$O$33),"")</f>
        <v/>
      </c>
      <c r="Y27" s="67" t="e">
        <f>IF(AND('Mapa final NC'!#REF!="Media",'Mapa final NC'!#REF!="Moderado"),CONCATENATE("R2C",'Mapa final NC'!#REF!),"")</f>
        <v>#REF!</v>
      </c>
      <c r="Z27" s="67" t="e">
        <f>IF(AND('Mapa final NC'!#REF!="Media",'Mapa final NC'!#REF!="Moderado"),CONCATENATE("R2C",'Mapa final NC'!#REF!),"")</f>
        <v>#REF!</v>
      </c>
      <c r="AA27" s="68" t="e">
        <f>IF(AND('Mapa final NC'!#REF!="Media",'Mapa final NC'!#REF!="Moderado"),CONCATENATE("R2C",'Mapa final NC'!#REF!),"")</f>
        <v>#REF!</v>
      </c>
      <c r="AB27" s="51" t="str">
        <f>IF(AND('Mapa final NC'!$Y$31="Media",'Mapa final NC'!$AA$31="Mayor"),CONCATENATE("R2C",'Mapa final NC'!$O$31),"")</f>
        <v/>
      </c>
      <c r="AC27" s="52" t="str">
        <f>IF(AND('Mapa final NC'!$Y$32="Media",'Mapa final NC'!$AA$32="Mayor"),CONCATENATE("R2C",'Mapa final NC'!$O$32),"")</f>
        <v/>
      </c>
      <c r="AD27" s="52" t="str">
        <f>IF(AND('Mapa final NC'!$Y$33="Media",'Mapa final NC'!$AA$33="Mayor"),CONCATENATE("R2C",'Mapa final NC'!$O$33),"")</f>
        <v/>
      </c>
      <c r="AE27" s="52" t="e">
        <f>IF(AND('Mapa final NC'!#REF!="Media",'Mapa final NC'!#REF!="Mayor"),CONCATENATE("R2C",'Mapa final NC'!#REF!),"")</f>
        <v>#REF!</v>
      </c>
      <c r="AF27" s="52" t="e">
        <f>IF(AND('Mapa final NC'!#REF!="Media",'Mapa final NC'!#REF!="Mayor"),CONCATENATE("R2C",'Mapa final NC'!#REF!),"")</f>
        <v>#REF!</v>
      </c>
      <c r="AG27" s="53" t="e">
        <f>IF(AND('Mapa final NC'!#REF!="Media",'Mapa final NC'!#REF!="Mayor"),CONCATENATE("R2C",'Mapa final NC'!#REF!),"")</f>
        <v>#REF!</v>
      </c>
      <c r="AH27" s="54" t="str">
        <f>IF(AND('Mapa final NC'!$Y$31="Media",'Mapa final NC'!$AA$31="Catastrófico"),CONCATENATE("R2C",'Mapa final NC'!$O$31),"")</f>
        <v/>
      </c>
      <c r="AI27" s="55" t="str">
        <f>IF(AND('Mapa final NC'!$Y$32="Media",'Mapa final NC'!$AA$32="Catastrófico"),CONCATENATE("R2C",'Mapa final NC'!$O$32),"")</f>
        <v/>
      </c>
      <c r="AJ27" s="55" t="str">
        <f>IF(AND('Mapa final NC'!$Y$33="Media",'Mapa final NC'!$AA$33="Catastrófico"),CONCATENATE("R2C",'Mapa final NC'!$O$33),"")</f>
        <v/>
      </c>
      <c r="AK27" s="55" t="e">
        <f>IF(AND('Mapa final NC'!#REF!="Media",'Mapa final NC'!#REF!="Catastrófico"),CONCATENATE("R2C",'Mapa final NC'!#REF!),"")</f>
        <v>#REF!</v>
      </c>
      <c r="AL27" s="55" t="e">
        <f>IF(AND('Mapa final NC'!#REF!="Media",'Mapa final NC'!#REF!="Catastrófico"),CONCATENATE("R2C",'Mapa final NC'!#REF!),"")</f>
        <v>#REF!</v>
      </c>
      <c r="AM27" s="56" t="e">
        <f>IF(AND('Mapa final NC'!#REF!="Media",'Mapa final NC'!#REF!="Catastrófico"),CONCATENATE("R2C",'Mapa final NC'!#REF!),"")</f>
        <v>#REF!</v>
      </c>
      <c r="AN27" s="82"/>
      <c r="AO27" s="506"/>
      <c r="AP27" s="507"/>
      <c r="AQ27" s="507"/>
      <c r="AR27" s="507"/>
      <c r="AS27" s="507"/>
      <c r="AT27" s="508"/>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78"/>
      <c r="C28" s="378"/>
      <c r="D28" s="379"/>
      <c r="E28" s="477"/>
      <c r="F28" s="476"/>
      <c r="G28" s="476"/>
      <c r="H28" s="476"/>
      <c r="I28" s="492"/>
      <c r="J28" s="66" t="str">
        <f>IF(AND('Mapa final NC'!$Y$34="Media",'Mapa final NC'!$AA$34="Leve"),CONCATENATE("R3C",'Mapa final NC'!$O$34),"")</f>
        <v/>
      </c>
      <c r="K28" s="67" t="str">
        <f>IF(AND('Mapa final NC'!$Y$35="Media",'Mapa final NC'!$AA$35="Leve"),CONCATENATE("R3C",'Mapa final NC'!$O$35),"")</f>
        <v/>
      </c>
      <c r="L28" s="67" t="str">
        <f>IF(AND('Mapa final NC'!$Y$36="Media",'Mapa final NC'!$AA$36="Leve"),CONCATENATE("R3C",'Mapa final NC'!$O$36),"")</f>
        <v/>
      </c>
      <c r="M28" s="67" t="e">
        <f>IF(AND('Mapa final NC'!#REF!="Media",'Mapa final NC'!#REF!="Leve"),CONCATENATE("R3C",'Mapa final NC'!#REF!),"")</f>
        <v>#REF!</v>
      </c>
      <c r="N28" s="67" t="e">
        <f>IF(AND('Mapa final NC'!#REF!="Media",'Mapa final NC'!#REF!="Leve"),CONCATENATE("R3C",'Mapa final NC'!#REF!),"")</f>
        <v>#REF!</v>
      </c>
      <c r="O28" s="68" t="e">
        <f>IF(AND('Mapa final NC'!#REF!="Media",'Mapa final NC'!#REF!="Leve"),CONCATENATE("R3C",'Mapa final NC'!#REF!),"")</f>
        <v>#REF!</v>
      </c>
      <c r="P28" s="66" t="str">
        <f>IF(AND('Mapa final NC'!$Y$34="Media",'Mapa final NC'!$AA$34="Menor"),CONCATENATE("R3C",'Mapa final NC'!$O$34),"")</f>
        <v/>
      </c>
      <c r="Q28" s="67" t="str">
        <f>IF(AND('Mapa final NC'!$Y$35="Media",'Mapa final NC'!$AA$35="Menor"),CONCATENATE("R3C",'Mapa final NC'!$O$35),"")</f>
        <v/>
      </c>
      <c r="R28" s="67" t="str">
        <f>IF(AND('Mapa final NC'!$Y$36="Media",'Mapa final NC'!$AA$36="Menor"),CONCATENATE("R3C",'Mapa final NC'!$O$36),"")</f>
        <v/>
      </c>
      <c r="S28" s="67" t="e">
        <f>IF(AND('Mapa final NC'!#REF!="Media",'Mapa final NC'!#REF!="Menor"),CONCATENATE("R3C",'Mapa final NC'!#REF!),"")</f>
        <v>#REF!</v>
      </c>
      <c r="T28" s="67" t="e">
        <f>IF(AND('Mapa final NC'!#REF!="Media",'Mapa final NC'!#REF!="Menor"),CONCATENATE("R3C",'Mapa final NC'!#REF!),"")</f>
        <v>#REF!</v>
      </c>
      <c r="U28" s="68" t="e">
        <f>IF(AND('Mapa final NC'!#REF!="Media",'Mapa final NC'!#REF!="Menor"),CONCATENATE("R3C",'Mapa final NC'!#REF!),"")</f>
        <v>#REF!</v>
      </c>
      <c r="V28" s="66" t="str">
        <f>IF(AND('Mapa final NC'!$Y$34="Media",'Mapa final NC'!$AA$34="Moderado"),CONCATENATE("R3C",'Mapa final NC'!$O$34),"")</f>
        <v/>
      </c>
      <c r="W28" s="67" t="str">
        <f>IF(AND('Mapa final NC'!$Y$35="Media",'Mapa final NC'!$AA$35="Moderado"),CONCATENATE("R3C",'Mapa final NC'!$O$35),"")</f>
        <v/>
      </c>
      <c r="X28" s="67" t="str">
        <f>IF(AND('Mapa final NC'!$Y$36="Media",'Mapa final NC'!$AA$36="Moderado"),CONCATENATE("R3C",'Mapa final NC'!$O$36),"")</f>
        <v/>
      </c>
      <c r="Y28" s="67" t="e">
        <f>IF(AND('Mapa final NC'!#REF!="Media",'Mapa final NC'!#REF!="Moderado"),CONCATENATE("R3C",'Mapa final NC'!#REF!),"")</f>
        <v>#REF!</v>
      </c>
      <c r="Z28" s="67" t="e">
        <f>IF(AND('Mapa final NC'!#REF!="Media",'Mapa final NC'!#REF!="Moderado"),CONCATENATE("R3C",'Mapa final NC'!#REF!),"")</f>
        <v>#REF!</v>
      </c>
      <c r="AA28" s="68" t="e">
        <f>IF(AND('Mapa final NC'!#REF!="Media",'Mapa final NC'!#REF!="Moderado"),CONCATENATE("R3C",'Mapa final NC'!#REF!),"")</f>
        <v>#REF!</v>
      </c>
      <c r="AB28" s="51" t="str">
        <f>IF(AND('Mapa final NC'!$Y$34="Media",'Mapa final NC'!$AA$34="Mayor"),CONCATENATE("R3C",'Mapa final NC'!$O$34),"")</f>
        <v/>
      </c>
      <c r="AC28" s="52" t="str">
        <f>IF(AND('Mapa final NC'!$Y$35="Media",'Mapa final NC'!$AA$35="Mayor"),CONCATENATE("R3C",'Mapa final NC'!$O$35),"")</f>
        <v/>
      </c>
      <c r="AD28" s="52" t="str">
        <f>IF(AND('Mapa final NC'!$Y$36="Media",'Mapa final NC'!$AA$36="Mayor"),CONCATENATE("R3C",'Mapa final NC'!$O$36),"")</f>
        <v/>
      </c>
      <c r="AE28" s="52" t="e">
        <f>IF(AND('Mapa final NC'!#REF!="Media",'Mapa final NC'!#REF!="Mayor"),CONCATENATE("R3C",'Mapa final NC'!#REF!),"")</f>
        <v>#REF!</v>
      </c>
      <c r="AF28" s="52" t="e">
        <f>IF(AND('Mapa final NC'!#REF!="Media",'Mapa final NC'!#REF!="Mayor"),CONCATENATE("R3C",'Mapa final NC'!#REF!),"")</f>
        <v>#REF!</v>
      </c>
      <c r="AG28" s="53" t="e">
        <f>IF(AND('Mapa final NC'!#REF!="Media",'Mapa final NC'!#REF!="Mayor"),CONCATENATE("R3C",'Mapa final NC'!#REF!),"")</f>
        <v>#REF!</v>
      </c>
      <c r="AH28" s="54" t="str">
        <f>IF(AND('Mapa final NC'!$Y$34="Media",'Mapa final NC'!$AA$34="Catastrófico"),CONCATENATE("R3C",'Mapa final NC'!$O$34),"")</f>
        <v/>
      </c>
      <c r="AI28" s="55" t="str">
        <f>IF(AND('Mapa final NC'!$Y$35="Media",'Mapa final NC'!$AA$35="Catastrófico"),CONCATENATE("R3C",'Mapa final NC'!$O$35),"")</f>
        <v/>
      </c>
      <c r="AJ28" s="55" t="str">
        <f>IF(AND('Mapa final NC'!$Y$36="Media",'Mapa final NC'!$AA$36="Catastrófico"),CONCATENATE("R3C",'Mapa final NC'!$O$36),"")</f>
        <v/>
      </c>
      <c r="AK28" s="55" t="e">
        <f>IF(AND('Mapa final NC'!#REF!="Media",'Mapa final NC'!#REF!="Catastrófico"),CONCATENATE("R3C",'Mapa final NC'!#REF!),"")</f>
        <v>#REF!</v>
      </c>
      <c r="AL28" s="55" t="e">
        <f>IF(AND('Mapa final NC'!#REF!="Media",'Mapa final NC'!#REF!="Catastrófico"),CONCATENATE("R3C",'Mapa final NC'!#REF!),"")</f>
        <v>#REF!</v>
      </c>
      <c r="AM28" s="56" t="e">
        <f>IF(AND('Mapa final NC'!#REF!="Media",'Mapa final NC'!#REF!="Catastrófico"),CONCATENATE("R3C",'Mapa final NC'!#REF!),"")</f>
        <v>#REF!</v>
      </c>
      <c r="AN28" s="82"/>
      <c r="AO28" s="506"/>
      <c r="AP28" s="507"/>
      <c r="AQ28" s="507"/>
      <c r="AR28" s="507"/>
      <c r="AS28" s="507"/>
      <c r="AT28" s="508"/>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78"/>
      <c r="C29" s="378"/>
      <c r="D29" s="379"/>
      <c r="E29" s="477"/>
      <c r="F29" s="476"/>
      <c r="G29" s="476"/>
      <c r="H29" s="476"/>
      <c r="I29" s="492"/>
      <c r="J29" s="66" t="str">
        <f>IF(AND('Mapa final NC'!$Y$37="Media",'Mapa final NC'!$AA$37="Leve"),CONCATENATE("R4C",'Mapa final NC'!$O$37),"")</f>
        <v/>
      </c>
      <c r="K29" s="67" t="e">
        <f>IF(AND('Mapa final NC'!#REF!="Media",'Mapa final NC'!#REF!="Leve"),CONCATENATE("R4C",'Mapa final NC'!#REF!),"")</f>
        <v>#REF!</v>
      </c>
      <c r="L29" s="67" t="e">
        <f>IF(AND('Mapa final NC'!#REF!="Media",'Mapa final NC'!#REF!="Leve"),CONCATENATE("R4C",'Mapa final NC'!#REF!),"")</f>
        <v>#REF!</v>
      </c>
      <c r="M29" s="67" t="e">
        <f>IF(AND('Mapa final NC'!#REF!="Media",'Mapa final NC'!#REF!="Leve"),CONCATENATE("R4C",'Mapa final NC'!#REF!),"")</f>
        <v>#REF!</v>
      </c>
      <c r="N29" s="67" t="e">
        <f>IF(AND('Mapa final NC'!#REF!="Media",'Mapa final NC'!#REF!="Leve"),CONCATENATE("R4C",'Mapa final NC'!#REF!),"")</f>
        <v>#REF!</v>
      </c>
      <c r="O29" s="68" t="e">
        <f>IF(AND('Mapa final NC'!#REF!="Media",'Mapa final NC'!#REF!="Leve"),CONCATENATE("R4C",'Mapa final NC'!#REF!),"")</f>
        <v>#REF!</v>
      </c>
      <c r="P29" s="66" t="str">
        <f>IF(AND('Mapa final NC'!$Y$37="Media",'Mapa final NC'!$AA$37="Menor"),CONCATENATE("R4C",'Mapa final NC'!$O$37),"")</f>
        <v/>
      </c>
      <c r="Q29" s="67" t="e">
        <f>IF(AND('Mapa final NC'!#REF!="Media",'Mapa final NC'!#REF!="Menor"),CONCATENATE("R4C",'Mapa final NC'!#REF!),"")</f>
        <v>#REF!</v>
      </c>
      <c r="R29" s="67" t="e">
        <f>IF(AND('Mapa final NC'!#REF!="Media",'Mapa final NC'!#REF!="Menor"),CONCATENATE("R4C",'Mapa final NC'!#REF!),"")</f>
        <v>#REF!</v>
      </c>
      <c r="S29" s="67" t="e">
        <f>IF(AND('Mapa final NC'!#REF!="Media",'Mapa final NC'!#REF!="Menor"),CONCATENATE("R4C",'Mapa final NC'!#REF!),"")</f>
        <v>#REF!</v>
      </c>
      <c r="T29" s="67" t="e">
        <f>IF(AND('Mapa final NC'!#REF!="Media",'Mapa final NC'!#REF!="Menor"),CONCATENATE("R4C",'Mapa final NC'!#REF!),"")</f>
        <v>#REF!</v>
      </c>
      <c r="U29" s="68" t="e">
        <f>IF(AND('Mapa final NC'!#REF!="Media",'Mapa final NC'!#REF!="Menor"),CONCATENATE("R4C",'Mapa final NC'!#REF!),"")</f>
        <v>#REF!</v>
      </c>
      <c r="V29" s="66" t="str">
        <f>IF(AND('Mapa final NC'!$Y$37="Media",'Mapa final NC'!$AA$37="Moderado"),CONCATENATE("R4C",'Mapa final NC'!$O$37),"")</f>
        <v/>
      </c>
      <c r="W29" s="67" t="e">
        <f>IF(AND('Mapa final NC'!#REF!="Media",'Mapa final NC'!#REF!="Moderado"),CONCATENATE("R4C",'Mapa final NC'!#REF!),"")</f>
        <v>#REF!</v>
      </c>
      <c r="X29" s="67" t="e">
        <f>IF(AND('Mapa final NC'!#REF!="Media",'Mapa final NC'!#REF!="Moderado"),CONCATENATE("R4C",'Mapa final NC'!#REF!),"")</f>
        <v>#REF!</v>
      </c>
      <c r="Y29" s="67" t="e">
        <f>IF(AND('Mapa final NC'!#REF!="Media",'Mapa final NC'!#REF!="Moderado"),CONCATENATE("R4C",'Mapa final NC'!#REF!),"")</f>
        <v>#REF!</v>
      </c>
      <c r="Z29" s="67" t="e">
        <f>IF(AND('Mapa final NC'!#REF!="Media",'Mapa final NC'!#REF!="Moderado"),CONCATENATE("R4C",'Mapa final NC'!#REF!),"")</f>
        <v>#REF!</v>
      </c>
      <c r="AA29" s="68" t="e">
        <f>IF(AND('Mapa final NC'!#REF!="Media",'Mapa final NC'!#REF!="Moderado"),CONCATENATE("R4C",'Mapa final NC'!#REF!),"")</f>
        <v>#REF!</v>
      </c>
      <c r="AB29" s="51" t="str">
        <f>IF(AND('Mapa final NC'!$Y$37="Media",'Mapa final NC'!$AA$37="Mayor"),CONCATENATE("R4C",'Mapa final NC'!$O$37),"")</f>
        <v/>
      </c>
      <c r="AC29" s="52" t="e">
        <f>IF(AND('Mapa final NC'!#REF!="Media",'Mapa final NC'!#REF!="Mayor"),CONCATENATE("R4C",'Mapa final NC'!#REF!),"")</f>
        <v>#REF!</v>
      </c>
      <c r="AD29" s="52" t="e">
        <f>IF(AND('Mapa final NC'!#REF!="Media",'Mapa final NC'!#REF!="Mayor"),CONCATENATE("R4C",'Mapa final NC'!#REF!),"")</f>
        <v>#REF!</v>
      </c>
      <c r="AE29" s="52" t="e">
        <f>IF(AND('Mapa final NC'!#REF!="Media",'Mapa final NC'!#REF!="Mayor"),CONCATENATE("R4C",'Mapa final NC'!#REF!),"")</f>
        <v>#REF!</v>
      </c>
      <c r="AF29" s="52" t="e">
        <f>IF(AND('Mapa final NC'!#REF!="Media",'Mapa final NC'!#REF!="Mayor"),CONCATENATE("R4C",'Mapa final NC'!#REF!),"")</f>
        <v>#REF!</v>
      </c>
      <c r="AG29" s="53" t="e">
        <f>IF(AND('Mapa final NC'!#REF!="Media",'Mapa final NC'!#REF!="Mayor"),CONCATENATE("R4C",'Mapa final NC'!#REF!),"")</f>
        <v>#REF!</v>
      </c>
      <c r="AH29" s="54" t="str">
        <f>IF(AND('Mapa final NC'!$Y$37="Media",'Mapa final NC'!$AA$37="Catastrófico"),CONCATENATE("R4C",'Mapa final NC'!$O$37),"")</f>
        <v/>
      </c>
      <c r="AI29" s="55" t="e">
        <f>IF(AND('Mapa final NC'!#REF!="Media",'Mapa final NC'!#REF!="Catastrófico"),CONCATENATE("R4C",'Mapa final NC'!#REF!),"")</f>
        <v>#REF!</v>
      </c>
      <c r="AJ29" s="55" t="e">
        <f>IF(AND('Mapa final NC'!#REF!="Media",'Mapa final NC'!#REF!="Catastrófico"),CONCATENATE("R4C",'Mapa final NC'!#REF!),"")</f>
        <v>#REF!</v>
      </c>
      <c r="AK29" s="55" t="e">
        <f>IF(AND('Mapa final NC'!#REF!="Media",'Mapa final NC'!#REF!="Catastrófico"),CONCATENATE("R4C",'Mapa final NC'!#REF!),"")</f>
        <v>#REF!</v>
      </c>
      <c r="AL29" s="55" t="e">
        <f>IF(AND('Mapa final NC'!#REF!="Media",'Mapa final NC'!#REF!="Catastrófico"),CONCATENATE("R4C",'Mapa final NC'!#REF!),"")</f>
        <v>#REF!</v>
      </c>
      <c r="AM29" s="56" t="e">
        <f>IF(AND('Mapa final NC'!#REF!="Media",'Mapa final NC'!#REF!="Catastrófico"),CONCATENATE("R4C",'Mapa final NC'!#REF!),"")</f>
        <v>#REF!</v>
      </c>
      <c r="AN29" s="82"/>
      <c r="AO29" s="506"/>
      <c r="AP29" s="507"/>
      <c r="AQ29" s="507"/>
      <c r="AR29" s="507"/>
      <c r="AS29" s="507"/>
      <c r="AT29" s="508"/>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78"/>
      <c r="C30" s="378"/>
      <c r="D30" s="379"/>
      <c r="E30" s="477"/>
      <c r="F30" s="476"/>
      <c r="G30" s="476"/>
      <c r="H30" s="476"/>
      <c r="I30" s="492"/>
      <c r="J30" s="66" t="str">
        <f>IF(AND('Mapa final NC'!$Y$38="Media",'Mapa final NC'!$AA$38="Leve"),CONCATENATE("R5C",'Mapa final NC'!$O$38),"")</f>
        <v/>
      </c>
      <c r="K30" s="67" t="e">
        <f>IF(AND('Mapa final NC'!#REF!="Media",'Mapa final NC'!#REF!="Leve"),CONCATENATE("R5C",'Mapa final NC'!#REF!),"")</f>
        <v>#REF!</v>
      </c>
      <c r="L30" s="67" t="e">
        <f>IF(AND('Mapa final NC'!#REF!="Media",'Mapa final NC'!#REF!="Leve"),CONCATENATE("R5C",'Mapa final NC'!#REF!),"")</f>
        <v>#REF!</v>
      </c>
      <c r="M30" s="67" t="e">
        <f>IF(AND('Mapa final NC'!#REF!="Media",'Mapa final NC'!#REF!="Leve"),CONCATENATE("R5C",'Mapa final NC'!#REF!),"")</f>
        <v>#REF!</v>
      </c>
      <c r="N30" s="67" t="e">
        <f>IF(AND('Mapa final NC'!#REF!="Media",'Mapa final NC'!#REF!="Leve"),CONCATENATE("R5C",'Mapa final NC'!#REF!),"")</f>
        <v>#REF!</v>
      </c>
      <c r="O30" s="68" t="e">
        <f>IF(AND('Mapa final NC'!#REF!="Media",'Mapa final NC'!#REF!="Leve"),CONCATENATE("R5C",'Mapa final NC'!#REF!),"")</f>
        <v>#REF!</v>
      </c>
      <c r="P30" s="66" t="str">
        <f>IF(AND('Mapa final NC'!$Y$38="Media",'Mapa final NC'!$AA$38="Menor"),CONCATENATE("R5C",'Mapa final NC'!$O$38),"")</f>
        <v/>
      </c>
      <c r="Q30" s="67" t="e">
        <f>IF(AND('Mapa final NC'!#REF!="Media",'Mapa final NC'!#REF!="Menor"),CONCATENATE("R5C",'Mapa final NC'!#REF!),"")</f>
        <v>#REF!</v>
      </c>
      <c r="R30" s="67" t="e">
        <f>IF(AND('Mapa final NC'!#REF!="Media",'Mapa final NC'!#REF!="Menor"),CONCATENATE("R5C",'Mapa final NC'!#REF!),"")</f>
        <v>#REF!</v>
      </c>
      <c r="S30" s="67" t="e">
        <f>IF(AND('Mapa final NC'!#REF!="Media",'Mapa final NC'!#REF!="Menor"),CONCATENATE("R5C",'Mapa final NC'!#REF!),"")</f>
        <v>#REF!</v>
      </c>
      <c r="T30" s="67" t="e">
        <f>IF(AND('Mapa final NC'!#REF!="Media",'Mapa final NC'!#REF!="Menor"),CONCATENATE("R5C",'Mapa final NC'!#REF!),"")</f>
        <v>#REF!</v>
      </c>
      <c r="U30" s="68" t="e">
        <f>IF(AND('Mapa final NC'!#REF!="Media",'Mapa final NC'!#REF!="Menor"),CONCATENATE("R5C",'Mapa final NC'!#REF!),"")</f>
        <v>#REF!</v>
      </c>
      <c r="V30" s="66" t="str">
        <f>IF(AND('Mapa final NC'!$Y$38="Media",'Mapa final NC'!$AA$38="Moderado"),CONCATENATE("R5C",'Mapa final NC'!$O$38),"")</f>
        <v/>
      </c>
      <c r="W30" s="67" t="e">
        <f>IF(AND('Mapa final NC'!#REF!="Media",'Mapa final NC'!#REF!="Moderado"),CONCATENATE("R5C",'Mapa final NC'!#REF!),"")</f>
        <v>#REF!</v>
      </c>
      <c r="X30" s="67" t="e">
        <f>IF(AND('Mapa final NC'!#REF!="Media",'Mapa final NC'!#REF!="Moderado"),CONCATENATE("R5C",'Mapa final NC'!#REF!),"")</f>
        <v>#REF!</v>
      </c>
      <c r="Y30" s="67" t="e">
        <f>IF(AND('Mapa final NC'!#REF!="Media",'Mapa final NC'!#REF!="Moderado"),CONCATENATE("R5C",'Mapa final NC'!#REF!),"")</f>
        <v>#REF!</v>
      </c>
      <c r="Z30" s="67" t="e">
        <f>IF(AND('Mapa final NC'!#REF!="Media",'Mapa final NC'!#REF!="Moderado"),CONCATENATE("R5C",'Mapa final NC'!#REF!),"")</f>
        <v>#REF!</v>
      </c>
      <c r="AA30" s="68" t="e">
        <f>IF(AND('Mapa final NC'!#REF!="Media",'Mapa final NC'!#REF!="Moderado"),CONCATENATE("R5C",'Mapa final NC'!#REF!),"")</f>
        <v>#REF!</v>
      </c>
      <c r="AB30" s="51" t="str">
        <f>IF(AND('Mapa final NC'!$Y$38="Media",'Mapa final NC'!$AA$38="Mayor"),CONCATENATE("R5C",'Mapa final NC'!$O$38),"")</f>
        <v>R5C1</v>
      </c>
      <c r="AC30" s="52" t="e">
        <f>IF(AND('Mapa final NC'!#REF!="Media",'Mapa final NC'!#REF!="Mayor"),CONCATENATE("R5C",'Mapa final NC'!#REF!),"")</f>
        <v>#REF!</v>
      </c>
      <c r="AD30" s="52" t="e">
        <f>IF(AND('Mapa final NC'!#REF!="Media",'Mapa final NC'!#REF!="Mayor"),CONCATENATE("R5C",'Mapa final NC'!#REF!),"")</f>
        <v>#REF!</v>
      </c>
      <c r="AE30" s="52" t="e">
        <f>IF(AND('Mapa final NC'!#REF!="Media",'Mapa final NC'!#REF!="Mayor"),CONCATENATE("R5C",'Mapa final NC'!#REF!),"")</f>
        <v>#REF!</v>
      </c>
      <c r="AF30" s="52" t="e">
        <f>IF(AND('Mapa final NC'!#REF!="Media",'Mapa final NC'!#REF!="Mayor"),CONCATENATE("R5C",'Mapa final NC'!#REF!),"")</f>
        <v>#REF!</v>
      </c>
      <c r="AG30" s="53" t="e">
        <f>IF(AND('Mapa final NC'!#REF!="Media",'Mapa final NC'!#REF!="Mayor"),CONCATENATE("R5C",'Mapa final NC'!#REF!),"")</f>
        <v>#REF!</v>
      </c>
      <c r="AH30" s="54" t="str">
        <f>IF(AND('Mapa final NC'!$Y$38="Media",'Mapa final NC'!$AA$38="Catastrófico"),CONCATENATE("R5C",'Mapa final NC'!$O$38),"")</f>
        <v/>
      </c>
      <c r="AI30" s="55" t="e">
        <f>IF(AND('Mapa final NC'!#REF!="Media",'Mapa final NC'!#REF!="Catastrófico"),CONCATENATE("R5C",'Mapa final NC'!#REF!),"")</f>
        <v>#REF!</v>
      </c>
      <c r="AJ30" s="55" t="e">
        <f>IF(AND('Mapa final NC'!#REF!="Media",'Mapa final NC'!#REF!="Catastrófico"),CONCATENATE("R5C",'Mapa final NC'!#REF!),"")</f>
        <v>#REF!</v>
      </c>
      <c r="AK30" s="55" t="e">
        <f>IF(AND('Mapa final NC'!#REF!="Media",'Mapa final NC'!#REF!="Catastrófico"),CONCATENATE("R5C",'Mapa final NC'!#REF!),"")</f>
        <v>#REF!</v>
      </c>
      <c r="AL30" s="55" t="e">
        <f>IF(AND('Mapa final NC'!#REF!="Media",'Mapa final NC'!#REF!="Catastrófico"),CONCATENATE("R5C",'Mapa final NC'!#REF!),"")</f>
        <v>#REF!</v>
      </c>
      <c r="AM30" s="56" t="e">
        <f>IF(AND('Mapa final NC'!#REF!="Media",'Mapa final NC'!#REF!="Catastrófico"),CONCATENATE("R5C",'Mapa final NC'!#REF!),"")</f>
        <v>#REF!</v>
      </c>
      <c r="AN30" s="82"/>
      <c r="AO30" s="506"/>
      <c r="AP30" s="507"/>
      <c r="AQ30" s="507"/>
      <c r="AR30" s="507"/>
      <c r="AS30" s="507"/>
      <c r="AT30" s="508"/>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78"/>
      <c r="C31" s="378"/>
      <c r="D31" s="379"/>
      <c r="E31" s="477"/>
      <c r="F31" s="476"/>
      <c r="G31" s="476"/>
      <c r="H31" s="476"/>
      <c r="I31" s="492"/>
      <c r="J31" s="66" t="str">
        <f>IF(AND('Mapa final NC'!$Y$39="Media",'Mapa final NC'!$AA$39="Leve"),CONCATENATE("R6C",'Mapa final NC'!$O$39),"")</f>
        <v>R6C1</v>
      </c>
      <c r="K31" s="67" t="e">
        <f>IF(AND('Mapa final NC'!#REF!="Media",'Mapa final NC'!#REF!="Leve"),CONCATENATE("R6C",'Mapa final NC'!#REF!),"")</f>
        <v>#REF!</v>
      </c>
      <c r="L31" s="67" t="e">
        <f>IF(AND('Mapa final NC'!#REF!="Media",'Mapa final NC'!#REF!="Leve"),CONCATENATE("R6C",'Mapa final NC'!#REF!),"")</f>
        <v>#REF!</v>
      </c>
      <c r="M31" s="67" t="e">
        <f>IF(AND('Mapa final NC'!#REF!="Media",'Mapa final NC'!#REF!="Leve"),CONCATENATE("R6C",'Mapa final NC'!#REF!),"")</f>
        <v>#REF!</v>
      </c>
      <c r="N31" s="67" t="e">
        <f>IF(AND('Mapa final NC'!#REF!="Media",'Mapa final NC'!#REF!="Leve"),CONCATENATE("R6C",'Mapa final NC'!#REF!),"")</f>
        <v>#REF!</v>
      </c>
      <c r="O31" s="68" t="e">
        <f>IF(AND('Mapa final NC'!#REF!="Media",'Mapa final NC'!#REF!="Leve"),CONCATENATE("R6C",'Mapa final NC'!#REF!),"")</f>
        <v>#REF!</v>
      </c>
      <c r="P31" s="66" t="str">
        <f>IF(AND('Mapa final NC'!$Y$39="Media",'Mapa final NC'!$AA$39="Menor"),CONCATENATE("R6C",'Mapa final NC'!$O$39),"")</f>
        <v/>
      </c>
      <c r="Q31" s="67" t="e">
        <f>IF(AND('Mapa final NC'!#REF!="Media",'Mapa final NC'!#REF!="Menor"),CONCATENATE("R6C",'Mapa final NC'!#REF!),"")</f>
        <v>#REF!</v>
      </c>
      <c r="R31" s="67" t="e">
        <f>IF(AND('Mapa final NC'!#REF!="Media",'Mapa final NC'!#REF!="Menor"),CONCATENATE("R6C",'Mapa final NC'!#REF!),"")</f>
        <v>#REF!</v>
      </c>
      <c r="S31" s="67" t="e">
        <f>IF(AND('Mapa final NC'!#REF!="Media",'Mapa final NC'!#REF!="Menor"),CONCATENATE("R6C",'Mapa final NC'!#REF!),"")</f>
        <v>#REF!</v>
      </c>
      <c r="T31" s="67" t="e">
        <f>IF(AND('Mapa final NC'!#REF!="Media",'Mapa final NC'!#REF!="Menor"),CONCATENATE("R6C",'Mapa final NC'!#REF!),"")</f>
        <v>#REF!</v>
      </c>
      <c r="U31" s="68" t="e">
        <f>IF(AND('Mapa final NC'!#REF!="Media",'Mapa final NC'!#REF!="Menor"),CONCATENATE("R6C",'Mapa final NC'!#REF!),"")</f>
        <v>#REF!</v>
      </c>
      <c r="V31" s="66" t="str">
        <f>IF(AND('Mapa final NC'!$Y$39="Media",'Mapa final NC'!$AA$39="Moderado"),CONCATENATE("R6C",'Mapa final NC'!$O$39),"")</f>
        <v/>
      </c>
      <c r="W31" s="67" t="e">
        <f>IF(AND('Mapa final NC'!#REF!="Media",'Mapa final NC'!#REF!="Moderado"),CONCATENATE("R6C",'Mapa final NC'!#REF!),"")</f>
        <v>#REF!</v>
      </c>
      <c r="X31" s="67" t="e">
        <f>IF(AND('Mapa final NC'!#REF!="Media",'Mapa final NC'!#REF!="Moderado"),CONCATENATE("R6C",'Mapa final NC'!#REF!),"")</f>
        <v>#REF!</v>
      </c>
      <c r="Y31" s="67" t="e">
        <f>IF(AND('Mapa final NC'!#REF!="Media",'Mapa final NC'!#REF!="Moderado"),CONCATENATE("R6C",'Mapa final NC'!#REF!),"")</f>
        <v>#REF!</v>
      </c>
      <c r="Z31" s="67" t="e">
        <f>IF(AND('Mapa final NC'!#REF!="Media",'Mapa final NC'!#REF!="Moderado"),CONCATENATE("R6C",'Mapa final NC'!#REF!),"")</f>
        <v>#REF!</v>
      </c>
      <c r="AA31" s="68" t="e">
        <f>IF(AND('Mapa final NC'!#REF!="Media",'Mapa final NC'!#REF!="Moderado"),CONCATENATE("R6C",'Mapa final NC'!#REF!),"")</f>
        <v>#REF!</v>
      </c>
      <c r="AB31" s="51" t="str">
        <f>IF(AND('Mapa final NC'!$Y$39="Media",'Mapa final NC'!$AA$39="Mayor"),CONCATENATE("R6C",'Mapa final NC'!$O$39),"")</f>
        <v/>
      </c>
      <c r="AC31" s="52" t="e">
        <f>IF(AND('Mapa final NC'!#REF!="Media",'Mapa final NC'!#REF!="Mayor"),CONCATENATE("R6C",'Mapa final NC'!#REF!),"")</f>
        <v>#REF!</v>
      </c>
      <c r="AD31" s="52" t="e">
        <f>IF(AND('Mapa final NC'!#REF!="Media",'Mapa final NC'!#REF!="Mayor"),CONCATENATE("R6C",'Mapa final NC'!#REF!),"")</f>
        <v>#REF!</v>
      </c>
      <c r="AE31" s="52" t="e">
        <f>IF(AND('Mapa final NC'!#REF!="Media",'Mapa final NC'!#REF!="Mayor"),CONCATENATE("R6C",'Mapa final NC'!#REF!),"")</f>
        <v>#REF!</v>
      </c>
      <c r="AF31" s="52" t="e">
        <f>IF(AND('Mapa final NC'!#REF!="Media",'Mapa final NC'!#REF!="Mayor"),CONCATENATE("R6C",'Mapa final NC'!#REF!),"")</f>
        <v>#REF!</v>
      </c>
      <c r="AG31" s="53" t="e">
        <f>IF(AND('Mapa final NC'!#REF!="Media",'Mapa final NC'!#REF!="Mayor"),CONCATENATE("R6C",'Mapa final NC'!#REF!),"")</f>
        <v>#REF!</v>
      </c>
      <c r="AH31" s="54" t="str">
        <f>IF(AND('Mapa final NC'!$Y$39="Media",'Mapa final NC'!$AA$39="Catastrófico"),CONCATENATE("R6C",'Mapa final NC'!$O$39),"")</f>
        <v/>
      </c>
      <c r="AI31" s="55" t="e">
        <f>IF(AND('Mapa final NC'!#REF!="Media",'Mapa final NC'!#REF!="Catastrófico"),CONCATENATE("R6C",'Mapa final NC'!#REF!),"")</f>
        <v>#REF!</v>
      </c>
      <c r="AJ31" s="55" t="e">
        <f>IF(AND('Mapa final NC'!#REF!="Media",'Mapa final NC'!#REF!="Catastrófico"),CONCATENATE("R6C",'Mapa final NC'!#REF!),"")</f>
        <v>#REF!</v>
      </c>
      <c r="AK31" s="55" t="e">
        <f>IF(AND('Mapa final NC'!#REF!="Media",'Mapa final NC'!#REF!="Catastrófico"),CONCATENATE("R6C",'Mapa final NC'!#REF!),"")</f>
        <v>#REF!</v>
      </c>
      <c r="AL31" s="55" t="e">
        <f>IF(AND('Mapa final NC'!#REF!="Media",'Mapa final NC'!#REF!="Catastrófico"),CONCATENATE("R6C",'Mapa final NC'!#REF!),"")</f>
        <v>#REF!</v>
      </c>
      <c r="AM31" s="56" t="e">
        <f>IF(AND('Mapa final NC'!#REF!="Media",'Mapa final NC'!#REF!="Catastrófico"),CONCATENATE("R6C",'Mapa final NC'!#REF!),"")</f>
        <v>#REF!</v>
      </c>
      <c r="AN31" s="82"/>
      <c r="AO31" s="506"/>
      <c r="AP31" s="507"/>
      <c r="AQ31" s="507"/>
      <c r="AR31" s="507"/>
      <c r="AS31" s="507"/>
      <c r="AT31" s="508"/>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78"/>
      <c r="C32" s="378"/>
      <c r="D32" s="379"/>
      <c r="E32" s="477"/>
      <c r="F32" s="476"/>
      <c r="G32" s="476"/>
      <c r="H32" s="476"/>
      <c r="I32" s="492"/>
      <c r="J32" s="66" t="str">
        <f>IF(AND('Mapa final NC'!$Y$40="Media",'Mapa final NC'!$AA$40="Leve"),CONCATENATE("R7C",'Mapa final NC'!$O$40),"")</f>
        <v/>
      </c>
      <c r="K32" s="67" t="str">
        <f>IF(AND('Mapa final NC'!$Y$41="Media",'Mapa final NC'!$AA$41="Leve"),CONCATENATE("R7C",'Mapa final NC'!$O$41),"")</f>
        <v/>
      </c>
      <c r="L32" s="67" t="e">
        <f>IF(AND('Mapa final NC'!#REF!="Media",'Mapa final NC'!#REF!="Leve"),CONCATENATE("R7C",'Mapa final NC'!#REF!),"")</f>
        <v>#REF!</v>
      </c>
      <c r="M32" s="67" t="e">
        <f>IF(AND('Mapa final NC'!#REF!="Media",'Mapa final NC'!#REF!="Leve"),CONCATENATE("R7C",'Mapa final NC'!#REF!),"")</f>
        <v>#REF!</v>
      </c>
      <c r="N32" s="67" t="e">
        <f>IF(AND('Mapa final NC'!#REF!="Media",'Mapa final NC'!#REF!="Leve"),CONCATENATE("R7C",'Mapa final NC'!#REF!),"")</f>
        <v>#REF!</v>
      </c>
      <c r="O32" s="68" t="e">
        <f>IF(AND('Mapa final NC'!#REF!="Media",'Mapa final NC'!#REF!="Leve"),CONCATENATE("R7C",'Mapa final NC'!#REF!),"")</f>
        <v>#REF!</v>
      </c>
      <c r="P32" s="66" t="str">
        <f>IF(AND('Mapa final NC'!$Y$40="Media",'Mapa final NC'!$AA$40="Menor"),CONCATENATE("R7C",'Mapa final NC'!$O$40),"")</f>
        <v/>
      </c>
      <c r="Q32" s="67" t="str">
        <f>IF(AND('Mapa final NC'!$Y$41="Media",'Mapa final NC'!$AA$41="Menor"),CONCATENATE("R7C",'Mapa final NC'!$O$41),"")</f>
        <v/>
      </c>
      <c r="R32" s="67" t="e">
        <f>IF(AND('Mapa final NC'!#REF!="Media",'Mapa final NC'!#REF!="Menor"),CONCATENATE("R7C",'Mapa final NC'!#REF!),"")</f>
        <v>#REF!</v>
      </c>
      <c r="S32" s="67" t="e">
        <f>IF(AND('Mapa final NC'!#REF!="Media",'Mapa final NC'!#REF!="Menor"),CONCATENATE("R7C",'Mapa final NC'!#REF!),"")</f>
        <v>#REF!</v>
      </c>
      <c r="T32" s="67" t="e">
        <f>IF(AND('Mapa final NC'!#REF!="Media",'Mapa final NC'!#REF!="Menor"),CONCATENATE("R7C",'Mapa final NC'!#REF!),"")</f>
        <v>#REF!</v>
      </c>
      <c r="U32" s="68" t="e">
        <f>IF(AND('Mapa final NC'!#REF!="Media",'Mapa final NC'!#REF!="Menor"),CONCATENATE("R7C",'Mapa final NC'!#REF!),"")</f>
        <v>#REF!</v>
      </c>
      <c r="V32" s="66" t="str">
        <f>IF(AND('Mapa final NC'!$Y$40="Media",'Mapa final NC'!$AA$40="Moderado"),CONCATENATE("R7C",'Mapa final NC'!$O$40),"")</f>
        <v/>
      </c>
      <c r="W32" s="67" t="str">
        <f>IF(AND('Mapa final NC'!$Y$41="Media",'Mapa final NC'!$AA$41="Moderado"),CONCATENATE("R7C",'Mapa final NC'!$O$41),"")</f>
        <v/>
      </c>
      <c r="X32" s="67" t="e">
        <f>IF(AND('Mapa final NC'!#REF!="Media",'Mapa final NC'!#REF!="Moderado"),CONCATENATE("R7C",'Mapa final NC'!#REF!),"")</f>
        <v>#REF!</v>
      </c>
      <c r="Y32" s="67" t="e">
        <f>IF(AND('Mapa final NC'!#REF!="Media",'Mapa final NC'!#REF!="Moderado"),CONCATENATE("R7C",'Mapa final NC'!#REF!),"")</f>
        <v>#REF!</v>
      </c>
      <c r="Z32" s="67" t="e">
        <f>IF(AND('Mapa final NC'!#REF!="Media",'Mapa final NC'!#REF!="Moderado"),CONCATENATE("R7C",'Mapa final NC'!#REF!),"")</f>
        <v>#REF!</v>
      </c>
      <c r="AA32" s="68" t="e">
        <f>IF(AND('Mapa final NC'!#REF!="Media",'Mapa final NC'!#REF!="Moderado"),CONCATENATE("R7C",'Mapa final NC'!#REF!),"")</f>
        <v>#REF!</v>
      </c>
      <c r="AB32" s="51" t="str">
        <f>IF(AND('Mapa final NC'!$Y$40="Media",'Mapa final NC'!$AA$40="Mayor"),CONCATENATE("R7C",'Mapa final NC'!$O$40),"")</f>
        <v/>
      </c>
      <c r="AC32" s="52" t="str">
        <f>IF(AND('Mapa final NC'!$Y$41="Media",'Mapa final NC'!$AA$41="Mayor"),CONCATENATE("R7C",'Mapa final NC'!$O$41),"")</f>
        <v/>
      </c>
      <c r="AD32" s="52" t="e">
        <f>IF(AND('Mapa final NC'!#REF!="Media",'Mapa final NC'!#REF!="Mayor"),CONCATENATE("R7C",'Mapa final NC'!#REF!),"")</f>
        <v>#REF!</v>
      </c>
      <c r="AE32" s="52" t="e">
        <f>IF(AND('Mapa final NC'!#REF!="Media",'Mapa final NC'!#REF!="Mayor"),CONCATENATE("R7C",'Mapa final NC'!#REF!),"")</f>
        <v>#REF!</v>
      </c>
      <c r="AF32" s="52" t="e">
        <f>IF(AND('Mapa final NC'!#REF!="Media",'Mapa final NC'!#REF!="Mayor"),CONCATENATE("R7C",'Mapa final NC'!#REF!),"")</f>
        <v>#REF!</v>
      </c>
      <c r="AG32" s="53" t="e">
        <f>IF(AND('Mapa final NC'!#REF!="Media",'Mapa final NC'!#REF!="Mayor"),CONCATENATE("R7C",'Mapa final NC'!#REF!),"")</f>
        <v>#REF!</v>
      </c>
      <c r="AH32" s="54" t="str">
        <f>IF(AND('Mapa final NC'!$Y$40="Media",'Mapa final NC'!$AA$40="Catastrófico"),CONCATENATE("R7C",'Mapa final NC'!$O$40),"")</f>
        <v/>
      </c>
      <c r="AI32" s="55" t="str">
        <f>IF(AND('Mapa final NC'!$Y$41="Media",'Mapa final NC'!$AA$41="Catastrófico"),CONCATENATE("R7C",'Mapa final NC'!$O$41),"")</f>
        <v/>
      </c>
      <c r="AJ32" s="55" t="e">
        <f>IF(AND('Mapa final NC'!#REF!="Media",'Mapa final NC'!#REF!="Catastrófico"),CONCATENATE("R7C",'Mapa final NC'!#REF!),"")</f>
        <v>#REF!</v>
      </c>
      <c r="AK32" s="55" t="e">
        <f>IF(AND('Mapa final NC'!#REF!="Media",'Mapa final NC'!#REF!="Catastrófico"),CONCATENATE("R7C",'Mapa final NC'!#REF!),"")</f>
        <v>#REF!</v>
      </c>
      <c r="AL32" s="55" t="e">
        <f>IF(AND('Mapa final NC'!#REF!="Media",'Mapa final NC'!#REF!="Catastrófico"),CONCATENATE("R7C",'Mapa final NC'!#REF!),"")</f>
        <v>#REF!</v>
      </c>
      <c r="AM32" s="56" t="e">
        <f>IF(AND('Mapa final NC'!#REF!="Media",'Mapa final NC'!#REF!="Catastrófico"),CONCATENATE("R7C",'Mapa final NC'!#REF!),"")</f>
        <v>#REF!</v>
      </c>
      <c r="AN32" s="82"/>
      <c r="AO32" s="506"/>
      <c r="AP32" s="507"/>
      <c r="AQ32" s="507"/>
      <c r="AR32" s="507"/>
      <c r="AS32" s="507"/>
      <c r="AT32" s="508"/>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78"/>
      <c r="C33" s="378"/>
      <c r="D33" s="379"/>
      <c r="E33" s="477"/>
      <c r="F33" s="476"/>
      <c r="G33" s="476"/>
      <c r="H33" s="476"/>
      <c r="I33" s="492"/>
      <c r="J33" s="66" t="str">
        <f>IF(AND('Mapa final NC'!$Y$42="Media",'Mapa final NC'!$AA$42="Leve"),CONCATENATE("R8C",'Mapa final NC'!$O$42),"")</f>
        <v/>
      </c>
      <c r="K33" s="67" t="e">
        <f>IF(AND('Mapa final NC'!#REF!="Media",'Mapa final NC'!#REF!="Leve"),CONCATENATE("R8C",'Mapa final NC'!#REF!),"")</f>
        <v>#REF!</v>
      </c>
      <c r="L33" s="67" t="e">
        <f>IF(AND('Mapa final NC'!#REF!="Media",'Mapa final NC'!#REF!="Leve"),CONCATENATE("R8C",'Mapa final NC'!#REF!),"")</f>
        <v>#REF!</v>
      </c>
      <c r="M33" s="67" t="e">
        <f>IF(AND('Mapa final NC'!#REF!="Media",'Mapa final NC'!#REF!="Leve"),CONCATENATE("R8C",'Mapa final NC'!#REF!),"")</f>
        <v>#REF!</v>
      </c>
      <c r="N33" s="67" t="e">
        <f>IF(AND('Mapa final NC'!#REF!="Media",'Mapa final NC'!#REF!="Leve"),CONCATENATE("R8C",'Mapa final NC'!#REF!),"")</f>
        <v>#REF!</v>
      </c>
      <c r="O33" s="68" t="e">
        <f>IF(AND('Mapa final NC'!#REF!="Media",'Mapa final NC'!#REF!="Leve"),CONCATENATE("R8C",'Mapa final NC'!#REF!),"")</f>
        <v>#REF!</v>
      </c>
      <c r="P33" s="66" t="str">
        <f>IF(AND('Mapa final NC'!$Y$42="Media",'Mapa final NC'!$AA$42="Menor"),CONCATENATE("R8C",'Mapa final NC'!$O$42),"")</f>
        <v/>
      </c>
      <c r="Q33" s="67" t="e">
        <f>IF(AND('Mapa final NC'!#REF!="Media",'Mapa final NC'!#REF!="Menor"),CONCATENATE("R8C",'Mapa final NC'!#REF!),"")</f>
        <v>#REF!</v>
      </c>
      <c r="R33" s="67" t="e">
        <f>IF(AND('Mapa final NC'!#REF!="Media",'Mapa final NC'!#REF!="Menor"),CONCATENATE("R8C",'Mapa final NC'!#REF!),"")</f>
        <v>#REF!</v>
      </c>
      <c r="S33" s="67" t="e">
        <f>IF(AND('Mapa final NC'!#REF!="Media",'Mapa final NC'!#REF!="Menor"),CONCATENATE("R8C",'Mapa final NC'!#REF!),"")</f>
        <v>#REF!</v>
      </c>
      <c r="T33" s="67" t="e">
        <f>IF(AND('Mapa final NC'!#REF!="Media",'Mapa final NC'!#REF!="Menor"),CONCATENATE("R8C",'Mapa final NC'!#REF!),"")</f>
        <v>#REF!</v>
      </c>
      <c r="U33" s="68" t="e">
        <f>IF(AND('Mapa final NC'!#REF!="Media",'Mapa final NC'!#REF!="Menor"),CONCATENATE("R8C",'Mapa final NC'!#REF!),"")</f>
        <v>#REF!</v>
      </c>
      <c r="V33" s="66" t="str">
        <f>IF(AND('Mapa final NC'!$Y$42="Media",'Mapa final NC'!$AA$42="Moderado"),CONCATENATE("R8C",'Mapa final NC'!$O$42),"")</f>
        <v/>
      </c>
      <c r="W33" s="67" t="e">
        <f>IF(AND('Mapa final NC'!#REF!="Media",'Mapa final NC'!#REF!="Moderado"),CONCATENATE("R8C",'Mapa final NC'!#REF!),"")</f>
        <v>#REF!</v>
      </c>
      <c r="X33" s="67" t="e">
        <f>IF(AND('Mapa final NC'!#REF!="Media",'Mapa final NC'!#REF!="Moderado"),CONCATENATE("R8C",'Mapa final NC'!#REF!),"")</f>
        <v>#REF!</v>
      </c>
      <c r="Y33" s="67" t="e">
        <f>IF(AND('Mapa final NC'!#REF!="Media",'Mapa final NC'!#REF!="Moderado"),CONCATENATE("R8C",'Mapa final NC'!#REF!),"")</f>
        <v>#REF!</v>
      </c>
      <c r="Z33" s="67" t="e">
        <f>IF(AND('Mapa final NC'!#REF!="Media",'Mapa final NC'!#REF!="Moderado"),CONCATENATE("R8C",'Mapa final NC'!#REF!),"")</f>
        <v>#REF!</v>
      </c>
      <c r="AA33" s="68" t="e">
        <f>IF(AND('Mapa final NC'!#REF!="Media",'Mapa final NC'!#REF!="Moderado"),CONCATENATE("R8C",'Mapa final NC'!#REF!),"")</f>
        <v>#REF!</v>
      </c>
      <c r="AB33" s="51" t="str">
        <f>IF(AND('Mapa final NC'!$Y$42="Media",'Mapa final NC'!$AA$42="Mayor"),CONCATENATE("R8C",'Mapa final NC'!$O$42),"")</f>
        <v/>
      </c>
      <c r="AC33" s="52" t="e">
        <f>IF(AND('Mapa final NC'!#REF!="Media",'Mapa final NC'!#REF!="Mayor"),CONCATENATE("R8C",'Mapa final NC'!#REF!),"")</f>
        <v>#REF!</v>
      </c>
      <c r="AD33" s="52" t="e">
        <f>IF(AND('Mapa final NC'!#REF!="Media",'Mapa final NC'!#REF!="Mayor"),CONCATENATE("R8C",'Mapa final NC'!#REF!),"")</f>
        <v>#REF!</v>
      </c>
      <c r="AE33" s="52" t="e">
        <f>IF(AND('Mapa final NC'!#REF!="Media",'Mapa final NC'!#REF!="Mayor"),CONCATENATE("R8C",'Mapa final NC'!#REF!),"")</f>
        <v>#REF!</v>
      </c>
      <c r="AF33" s="52" t="e">
        <f>IF(AND('Mapa final NC'!#REF!="Media",'Mapa final NC'!#REF!="Mayor"),CONCATENATE("R8C",'Mapa final NC'!#REF!),"")</f>
        <v>#REF!</v>
      </c>
      <c r="AG33" s="53" t="e">
        <f>IF(AND('Mapa final NC'!#REF!="Media",'Mapa final NC'!#REF!="Mayor"),CONCATENATE("R8C",'Mapa final NC'!#REF!),"")</f>
        <v>#REF!</v>
      </c>
      <c r="AH33" s="54" t="str">
        <f>IF(AND('Mapa final NC'!$Y$42="Media",'Mapa final NC'!$AA$42="Catastrófico"),CONCATENATE("R8C",'Mapa final NC'!$O$42),"")</f>
        <v/>
      </c>
      <c r="AI33" s="55" t="e">
        <f>IF(AND('Mapa final NC'!#REF!="Media",'Mapa final NC'!#REF!="Catastrófico"),CONCATENATE("R8C",'Mapa final NC'!#REF!),"")</f>
        <v>#REF!</v>
      </c>
      <c r="AJ33" s="55" t="e">
        <f>IF(AND('Mapa final NC'!#REF!="Media",'Mapa final NC'!#REF!="Catastrófico"),CONCATENATE("R8C",'Mapa final NC'!#REF!),"")</f>
        <v>#REF!</v>
      </c>
      <c r="AK33" s="55" t="e">
        <f>IF(AND('Mapa final NC'!#REF!="Media",'Mapa final NC'!#REF!="Catastrófico"),CONCATENATE("R8C",'Mapa final NC'!#REF!),"")</f>
        <v>#REF!</v>
      </c>
      <c r="AL33" s="55" t="e">
        <f>IF(AND('Mapa final NC'!#REF!="Media",'Mapa final NC'!#REF!="Catastrófico"),CONCATENATE("R8C",'Mapa final NC'!#REF!),"")</f>
        <v>#REF!</v>
      </c>
      <c r="AM33" s="56" t="e">
        <f>IF(AND('Mapa final NC'!#REF!="Media",'Mapa final NC'!#REF!="Catastrófico"),CONCATENATE("R8C",'Mapa final NC'!#REF!),"")</f>
        <v>#REF!</v>
      </c>
      <c r="AN33" s="82"/>
      <c r="AO33" s="506"/>
      <c r="AP33" s="507"/>
      <c r="AQ33" s="507"/>
      <c r="AR33" s="507"/>
      <c r="AS33" s="507"/>
      <c r="AT33" s="508"/>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78"/>
      <c r="C34" s="378"/>
      <c r="D34" s="379"/>
      <c r="E34" s="477"/>
      <c r="F34" s="476"/>
      <c r="G34" s="476"/>
      <c r="H34" s="476"/>
      <c r="I34" s="492"/>
      <c r="J34" s="66" t="str">
        <f>IF(AND('Mapa final NC'!$Y$43="Media",'Mapa final NC'!$AA$43="Leve"),CONCATENATE("R9C",'Mapa final NC'!$O$43),"")</f>
        <v/>
      </c>
      <c r="K34" s="67" t="str">
        <f>IF(AND('Mapa final NC'!$Y$44="Media",'Mapa final NC'!$AA$44="Leve"),CONCATENATE("R9C",'Mapa final NC'!$O$44),"")</f>
        <v/>
      </c>
      <c r="L34" s="67" t="e">
        <f>IF(AND('Mapa final NC'!#REF!="Media",'Mapa final NC'!#REF!="Leve"),CONCATENATE("R9C",'Mapa final NC'!#REF!),"")</f>
        <v>#REF!</v>
      </c>
      <c r="M34" s="67" t="e">
        <f>IF(AND('Mapa final NC'!#REF!="Media",'Mapa final NC'!#REF!="Leve"),CONCATENATE("R9C",'Mapa final NC'!#REF!),"")</f>
        <v>#REF!</v>
      </c>
      <c r="N34" s="67" t="e">
        <f>IF(AND('Mapa final NC'!#REF!="Media",'Mapa final NC'!#REF!="Leve"),CONCATENATE("R9C",'Mapa final NC'!#REF!),"")</f>
        <v>#REF!</v>
      </c>
      <c r="O34" s="68" t="e">
        <f>IF(AND('Mapa final NC'!#REF!="Media",'Mapa final NC'!#REF!="Leve"),CONCATENATE("R9C",'Mapa final NC'!#REF!),"")</f>
        <v>#REF!</v>
      </c>
      <c r="P34" s="66" t="str">
        <f>IF(AND('Mapa final NC'!$Y$43="Media",'Mapa final NC'!$AA$43="Menor"),CONCATENATE("R9C",'Mapa final NC'!$O$43),"")</f>
        <v/>
      </c>
      <c r="Q34" s="67" t="str">
        <f>IF(AND('Mapa final NC'!$Y$44="Media",'Mapa final NC'!$AA$44="Menor"),CONCATENATE("R9C",'Mapa final NC'!$O$44),"")</f>
        <v/>
      </c>
      <c r="R34" s="67" t="e">
        <f>IF(AND('Mapa final NC'!#REF!="Media",'Mapa final NC'!#REF!="Menor"),CONCATENATE("R9C",'Mapa final NC'!#REF!),"")</f>
        <v>#REF!</v>
      </c>
      <c r="S34" s="67" t="e">
        <f>IF(AND('Mapa final NC'!#REF!="Media",'Mapa final NC'!#REF!="Menor"),CONCATENATE("R9C",'Mapa final NC'!#REF!),"")</f>
        <v>#REF!</v>
      </c>
      <c r="T34" s="67" t="e">
        <f>IF(AND('Mapa final NC'!#REF!="Media",'Mapa final NC'!#REF!="Menor"),CONCATENATE("R9C",'Mapa final NC'!#REF!),"")</f>
        <v>#REF!</v>
      </c>
      <c r="U34" s="68" t="e">
        <f>IF(AND('Mapa final NC'!#REF!="Media",'Mapa final NC'!#REF!="Menor"),CONCATENATE("R9C",'Mapa final NC'!#REF!),"")</f>
        <v>#REF!</v>
      </c>
      <c r="V34" s="66" t="str">
        <f>IF(AND('Mapa final NC'!$Y$43="Media",'Mapa final NC'!$AA$43="Moderado"),CONCATENATE("R9C",'Mapa final NC'!$O$43),"")</f>
        <v>R9C1</v>
      </c>
      <c r="W34" s="67" t="str">
        <f>IF(AND('Mapa final NC'!$Y$44="Media",'Mapa final NC'!$AA$44="Moderado"),CONCATENATE("R9C",'Mapa final NC'!$O$44),"")</f>
        <v/>
      </c>
      <c r="X34" s="67" t="e">
        <f>IF(AND('Mapa final NC'!#REF!="Media",'Mapa final NC'!#REF!="Moderado"),CONCATENATE("R9C",'Mapa final NC'!#REF!),"")</f>
        <v>#REF!</v>
      </c>
      <c r="Y34" s="67" t="e">
        <f>IF(AND('Mapa final NC'!#REF!="Media",'Mapa final NC'!#REF!="Moderado"),CONCATENATE("R9C",'Mapa final NC'!#REF!),"")</f>
        <v>#REF!</v>
      </c>
      <c r="Z34" s="67" t="e">
        <f>IF(AND('Mapa final NC'!#REF!="Media",'Mapa final NC'!#REF!="Moderado"),CONCATENATE("R9C",'Mapa final NC'!#REF!),"")</f>
        <v>#REF!</v>
      </c>
      <c r="AA34" s="68" t="e">
        <f>IF(AND('Mapa final NC'!#REF!="Media",'Mapa final NC'!#REF!="Moderado"),CONCATENATE("R9C",'Mapa final NC'!#REF!),"")</f>
        <v>#REF!</v>
      </c>
      <c r="AB34" s="51" t="str">
        <f>IF(AND('Mapa final NC'!$Y$43="Media",'Mapa final NC'!$AA$43="Mayor"),CONCATENATE("R9C",'Mapa final NC'!$O$43),"")</f>
        <v/>
      </c>
      <c r="AC34" s="52" t="str">
        <f>IF(AND('Mapa final NC'!$Y$44="Media",'Mapa final NC'!$AA$44="Mayor"),CONCATENATE("R9C",'Mapa final NC'!$O$44),"")</f>
        <v/>
      </c>
      <c r="AD34" s="52" t="e">
        <f>IF(AND('Mapa final NC'!#REF!="Media",'Mapa final NC'!#REF!="Mayor"),CONCATENATE("R9C",'Mapa final NC'!#REF!),"")</f>
        <v>#REF!</v>
      </c>
      <c r="AE34" s="52" t="e">
        <f>IF(AND('Mapa final NC'!#REF!="Media",'Mapa final NC'!#REF!="Mayor"),CONCATENATE("R9C",'Mapa final NC'!#REF!),"")</f>
        <v>#REF!</v>
      </c>
      <c r="AF34" s="52" t="e">
        <f>IF(AND('Mapa final NC'!#REF!="Media",'Mapa final NC'!#REF!="Mayor"),CONCATENATE("R9C",'Mapa final NC'!#REF!),"")</f>
        <v>#REF!</v>
      </c>
      <c r="AG34" s="53" t="e">
        <f>IF(AND('Mapa final NC'!#REF!="Media",'Mapa final NC'!#REF!="Mayor"),CONCATENATE("R9C",'Mapa final NC'!#REF!),"")</f>
        <v>#REF!</v>
      </c>
      <c r="AH34" s="54" t="str">
        <f>IF(AND('Mapa final NC'!$Y$43="Media",'Mapa final NC'!$AA$43="Catastrófico"),CONCATENATE("R9C",'Mapa final NC'!$O$43),"")</f>
        <v/>
      </c>
      <c r="AI34" s="55" t="str">
        <f>IF(AND('Mapa final NC'!$Y$44="Media",'Mapa final NC'!$AA$44="Catastrófico"),CONCATENATE("R9C",'Mapa final NC'!$O$44),"")</f>
        <v/>
      </c>
      <c r="AJ34" s="55" t="e">
        <f>IF(AND('Mapa final NC'!#REF!="Media",'Mapa final NC'!#REF!="Catastrófico"),CONCATENATE("R9C",'Mapa final NC'!#REF!),"")</f>
        <v>#REF!</v>
      </c>
      <c r="AK34" s="55" t="e">
        <f>IF(AND('Mapa final NC'!#REF!="Media",'Mapa final NC'!#REF!="Catastrófico"),CONCATENATE("R9C",'Mapa final NC'!#REF!),"")</f>
        <v>#REF!</v>
      </c>
      <c r="AL34" s="55" t="e">
        <f>IF(AND('Mapa final NC'!#REF!="Media",'Mapa final NC'!#REF!="Catastrófico"),CONCATENATE("R9C",'Mapa final NC'!#REF!),"")</f>
        <v>#REF!</v>
      </c>
      <c r="AM34" s="56" t="e">
        <f>IF(AND('Mapa final NC'!#REF!="Media",'Mapa final NC'!#REF!="Catastrófico"),CONCATENATE("R9C",'Mapa final NC'!#REF!),"")</f>
        <v>#REF!</v>
      </c>
      <c r="AN34" s="82"/>
      <c r="AO34" s="506"/>
      <c r="AP34" s="507"/>
      <c r="AQ34" s="507"/>
      <c r="AR34" s="507"/>
      <c r="AS34" s="507"/>
      <c r="AT34" s="508"/>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78"/>
      <c r="C35" s="378"/>
      <c r="D35" s="379"/>
      <c r="E35" s="478"/>
      <c r="F35" s="479"/>
      <c r="G35" s="479"/>
      <c r="H35" s="479"/>
      <c r="I35" s="493"/>
      <c r="J35" s="66" t="str">
        <f>IF(AND('Mapa final NC'!$Y$45="Media",'Mapa final NC'!$AA$45="Leve"),CONCATENATE("R10C",'Mapa final NC'!$O$45),"")</f>
        <v>R10C1</v>
      </c>
      <c r="K35" s="67" t="str">
        <f>IF(AND('Mapa final NC'!$Y$46="Media",'Mapa final NC'!$AA$46="Leve"),CONCATENATE("R10C",'Mapa final NC'!$O$46),"")</f>
        <v/>
      </c>
      <c r="L35" s="67" t="str">
        <f>IF(AND('Mapa final NC'!$Y$47="Media",'Mapa final NC'!$AA$47="Leve"),CONCATENATE("R10C",'Mapa final NC'!$O$47),"")</f>
        <v/>
      </c>
      <c r="M35" s="67" t="e">
        <f>IF(AND('Mapa final NC'!#REF!="Media",'Mapa final NC'!#REF!="Leve"),CONCATENATE("R10C",'Mapa final NC'!#REF!),"")</f>
        <v>#REF!</v>
      </c>
      <c r="N35" s="67" t="e">
        <f>IF(AND('Mapa final NC'!#REF!="Media",'Mapa final NC'!#REF!="Leve"),CONCATENATE("R10C",'Mapa final NC'!#REF!),"")</f>
        <v>#REF!</v>
      </c>
      <c r="O35" s="68" t="e">
        <f>IF(AND('Mapa final NC'!#REF!="Media",'Mapa final NC'!#REF!="Leve"),CONCATENATE("R10C",'Mapa final NC'!#REF!),"")</f>
        <v>#REF!</v>
      </c>
      <c r="P35" s="66" t="str">
        <f>IF(AND('Mapa final NC'!$Y$45="Media",'Mapa final NC'!$AA$45="Menor"),CONCATENATE("R10C",'Mapa final NC'!$O$45),"")</f>
        <v/>
      </c>
      <c r="Q35" s="67" t="str">
        <f>IF(AND('Mapa final NC'!$Y$46="Media",'Mapa final NC'!$AA$46="Menor"),CONCATENATE("R10C",'Mapa final NC'!$O$46),"")</f>
        <v/>
      </c>
      <c r="R35" s="67" t="str">
        <f>IF(AND('Mapa final NC'!$Y$47="Media",'Mapa final NC'!$AA$47="Menor"),CONCATENATE("R10C",'Mapa final NC'!$O$47),"")</f>
        <v/>
      </c>
      <c r="S35" s="67" t="e">
        <f>IF(AND('Mapa final NC'!#REF!="Media",'Mapa final NC'!#REF!="Menor"),CONCATENATE("R10C",'Mapa final NC'!#REF!),"")</f>
        <v>#REF!</v>
      </c>
      <c r="T35" s="67" t="e">
        <f>IF(AND('Mapa final NC'!#REF!="Media",'Mapa final NC'!#REF!="Menor"),CONCATENATE("R10C",'Mapa final NC'!#REF!),"")</f>
        <v>#REF!</v>
      </c>
      <c r="U35" s="68" t="e">
        <f>IF(AND('Mapa final NC'!#REF!="Media",'Mapa final NC'!#REF!="Menor"),CONCATENATE("R10C",'Mapa final NC'!#REF!),"")</f>
        <v>#REF!</v>
      </c>
      <c r="V35" s="66" t="str">
        <f>IF(AND('Mapa final NC'!$Y$45="Media",'Mapa final NC'!$AA$45="Moderado"),CONCATENATE("R10C",'Mapa final NC'!$O$45),"")</f>
        <v/>
      </c>
      <c r="W35" s="67" t="str">
        <f>IF(AND('Mapa final NC'!$Y$46="Media",'Mapa final NC'!$AA$46="Moderado"),CONCATENATE("R10C",'Mapa final NC'!$O$46),"")</f>
        <v/>
      </c>
      <c r="X35" s="67" t="str">
        <f>IF(AND('Mapa final NC'!$Y$47="Media",'Mapa final NC'!$AA$47="Moderado"),CONCATENATE("R10C",'Mapa final NC'!$O$47),"")</f>
        <v/>
      </c>
      <c r="Y35" s="67" t="e">
        <f>IF(AND('Mapa final NC'!#REF!="Media",'Mapa final NC'!#REF!="Moderado"),CONCATENATE("R10C",'Mapa final NC'!#REF!),"")</f>
        <v>#REF!</v>
      </c>
      <c r="Z35" s="67" t="e">
        <f>IF(AND('Mapa final NC'!#REF!="Media",'Mapa final NC'!#REF!="Moderado"),CONCATENATE("R10C",'Mapa final NC'!#REF!),"")</f>
        <v>#REF!</v>
      </c>
      <c r="AA35" s="68" t="e">
        <f>IF(AND('Mapa final NC'!#REF!="Media",'Mapa final NC'!#REF!="Moderado"),CONCATENATE("R10C",'Mapa final NC'!#REF!),"")</f>
        <v>#REF!</v>
      </c>
      <c r="AB35" s="57" t="str">
        <f>IF(AND('Mapa final NC'!$Y$45="Media",'Mapa final NC'!$AA$45="Mayor"),CONCATENATE("R10C",'Mapa final NC'!$O$45),"")</f>
        <v/>
      </c>
      <c r="AC35" s="58" t="str">
        <f>IF(AND('Mapa final NC'!$Y$46="Media",'Mapa final NC'!$AA$46="Mayor"),CONCATENATE("R10C",'Mapa final NC'!$O$46),"")</f>
        <v/>
      </c>
      <c r="AD35" s="58" t="str">
        <f>IF(AND('Mapa final NC'!$Y$47="Media",'Mapa final NC'!$AA$47="Mayor"),CONCATENATE("R10C",'Mapa final NC'!$O$47),"")</f>
        <v/>
      </c>
      <c r="AE35" s="58" t="e">
        <f>IF(AND('Mapa final NC'!#REF!="Media",'Mapa final NC'!#REF!="Mayor"),CONCATENATE("R10C",'Mapa final NC'!#REF!),"")</f>
        <v>#REF!</v>
      </c>
      <c r="AF35" s="58" t="e">
        <f>IF(AND('Mapa final NC'!#REF!="Media",'Mapa final NC'!#REF!="Mayor"),CONCATENATE("R10C",'Mapa final NC'!#REF!),"")</f>
        <v>#REF!</v>
      </c>
      <c r="AG35" s="59" t="e">
        <f>IF(AND('Mapa final NC'!#REF!="Media",'Mapa final NC'!#REF!="Mayor"),CONCATENATE("R10C",'Mapa final NC'!#REF!),"")</f>
        <v>#REF!</v>
      </c>
      <c r="AH35" s="60" t="str">
        <f>IF(AND('Mapa final NC'!$Y$45="Media",'Mapa final NC'!$AA$45="Catastrófico"),CONCATENATE("R10C",'Mapa final NC'!$O$45),"")</f>
        <v/>
      </c>
      <c r="AI35" s="61" t="str">
        <f>IF(AND('Mapa final NC'!$Y$46="Media",'Mapa final NC'!$AA$46="Catastrófico"),CONCATENATE("R10C",'Mapa final NC'!$O$46),"")</f>
        <v/>
      </c>
      <c r="AJ35" s="61" t="str">
        <f>IF(AND('Mapa final NC'!$Y$47="Media",'Mapa final NC'!$AA$47="Catastrófico"),CONCATENATE("R10C",'Mapa final NC'!$O$47),"")</f>
        <v/>
      </c>
      <c r="AK35" s="61" t="e">
        <f>IF(AND('Mapa final NC'!#REF!="Media",'Mapa final NC'!#REF!="Catastrófico"),CONCATENATE("R10C",'Mapa final NC'!#REF!),"")</f>
        <v>#REF!</v>
      </c>
      <c r="AL35" s="61" t="e">
        <f>IF(AND('Mapa final NC'!#REF!="Media",'Mapa final NC'!#REF!="Catastrófico"),CONCATENATE("R10C",'Mapa final NC'!#REF!),"")</f>
        <v>#REF!</v>
      </c>
      <c r="AM35" s="62" t="e">
        <f>IF(AND('Mapa final NC'!#REF!="Media",'Mapa final NC'!#REF!="Catastrófico"),CONCATENATE("R10C",'Mapa final NC'!#REF!),"")</f>
        <v>#REF!</v>
      </c>
      <c r="AN35" s="82"/>
      <c r="AO35" s="509"/>
      <c r="AP35" s="510"/>
      <c r="AQ35" s="510"/>
      <c r="AR35" s="510"/>
      <c r="AS35" s="510"/>
      <c r="AT35" s="511"/>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78"/>
      <c r="C36" s="378"/>
      <c r="D36" s="379"/>
      <c r="E36" s="473" t="s">
        <v>98</v>
      </c>
      <c r="F36" s="474"/>
      <c r="G36" s="474"/>
      <c r="H36" s="474"/>
      <c r="I36" s="474"/>
      <c r="J36" s="72" t="str">
        <f>IF(AND('Mapa final NC'!$Y$30="Baja",'Mapa final NC'!$AA$30="Leve"),CONCATENATE("R1C",'Mapa final NC'!$O$30),"")</f>
        <v/>
      </c>
      <c r="K36" s="73" t="e">
        <f>IF(AND('Mapa final NC'!#REF!="Baja",'Mapa final NC'!#REF!="Leve"),CONCATENATE("R1C",'Mapa final NC'!#REF!),"")</f>
        <v>#REF!</v>
      </c>
      <c r="L36" s="73" t="e">
        <f>IF(AND('Mapa final NC'!#REF!="Baja",'Mapa final NC'!#REF!="Leve"),CONCATENATE("R1C",'Mapa final NC'!#REF!),"")</f>
        <v>#REF!</v>
      </c>
      <c r="M36" s="73" t="e">
        <f>IF(AND('Mapa final NC'!#REF!="Baja",'Mapa final NC'!#REF!="Leve"),CONCATENATE("R1C",'Mapa final NC'!#REF!),"")</f>
        <v>#REF!</v>
      </c>
      <c r="N36" s="73" t="e">
        <f>IF(AND('Mapa final NC'!#REF!="Baja",'Mapa final NC'!#REF!="Leve"),CONCATENATE("R1C",'Mapa final NC'!#REF!),"")</f>
        <v>#REF!</v>
      </c>
      <c r="O36" s="74" t="e">
        <f>IF(AND('Mapa final NC'!#REF!="Baja",'Mapa final NC'!#REF!="Leve"),CONCATENATE("R1C",'Mapa final NC'!#REF!),"")</f>
        <v>#REF!</v>
      </c>
      <c r="P36" s="63" t="str">
        <f>IF(AND('Mapa final NC'!$Y$30="Baja",'Mapa final NC'!$AA$30="Menor"),CONCATENATE("R1C",'Mapa final NC'!$O$30),"")</f>
        <v/>
      </c>
      <c r="Q36" s="64" t="e">
        <f>IF(AND('Mapa final NC'!#REF!="Baja",'Mapa final NC'!#REF!="Menor"),CONCATENATE("R1C",'Mapa final NC'!#REF!),"")</f>
        <v>#REF!</v>
      </c>
      <c r="R36" s="64" t="e">
        <f>IF(AND('Mapa final NC'!#REF!="Baja",'Mapa final NC'!#REF!="Menor"),CONCATENATE("R1C",'Mapa final NC'!#REF!),"")</f>
        <v>#REF!</v>
      </c>
      <c r="S36" s="64" t="e">
        <f>IF(AND('Mapa final NC'!#REF!="Baja",'Mapa final NC'!#REF!="Menor"),CONCATENATE("R1C",'Mapa final NC'!#REF!),"")</f>
        <v>#REF!</v>
      </c>
      <c r="T36" s="64" t="e">
        <f>IF(AND('Mapa final NC'!#REF!="Baja",'Mapa final NC'!#REF!="Menor"),CONCATENATE("R1C",'Mapa final NC'!#REF!),"")</f>
        <v>#REF!</v>
      </c>
      <c r="U36" s="65" t="e">
        <f>IF(AND('Mapa final NC'!#REF!="Baja",'Mapa final NC'!#REF!="Menor"),CONCATENATE("R1C",'Mapa final NC'!#REF!),"")</f>
        <v>#REF!</v>
      </c>
      <c r="V36" s="63" t="str">
        <f>IF(AND('Mapa final NC'!$Y$30="Baja",'Mapa final NC'!$AA$30="Moderado"),CONCATENATE("R1C",'Mapa final NC'!$O$30),"")</f>
        <v/>
      </c>
      <c r="W36" s="64" t="e">
        <f>IF(AND('Mapa final NC'!#REF!="Baja",'Mapa final NC'!#REF!="Moderado"),CONCATENATE("R1C",'Mapa final NC'!#REF!),"")</f>
        <v>#REF!</v>
      </c>
      <c r="X36" s="64" t="e">
        <f>IF(AND('Mapa final NC'!#REF!="Baja",'Mapa final NC'!#REF!="Moderado"),CONCATENATE("R1C",'Mapa final NC'!#REF!),"")</f>
        <v>#REF!</v>
      </c>
      <c r="Y36" s="64" t="e">
        <f>IF(AND('Mapa final NC'!#REF!="Baja",'Mapa final NC'!#REF!="Moderado"),CONCATENATE("R1C",'Mapa final NC'!#REF!),"")</f>
        <v>#REF!</v>
      </c>
      <c r="Z36" s="64" t="e">
        <f>IF(AND('Mapa final NC'!#REF!="Baja",'Mapa final NC'!#REF!="Moderado"),CONCATENATE("R1C",'Mapa final NC'!#REF!),"")</f>
        <v>#REF!</v>
      </c>
      <c r="AA36" s="65" t="e">
        <f>IF(AND('Mapa final NC'!#REF!="Baja",'Mapa final NC'!#REF!="Moderado"),CONCATENATE("R1C",'Mapa final NC'!#REF!),"")</f>
        <v>#REF!</v>
      </c>
      <c r="AB36" s="45" t="str">
        <f>IF(AND('Mapa final NC'!$Y$30="Baja",'Mapa final NC'!$AA$30="Mayor"),CONCATENATE("R1C",'Mapa final NC'!$O$30),"")</f>
        <v/>
      </c>
      <c r="AC36" s="46" t="e">
        <f>IF(AND('Mapa final NC'!#REF!="Baja",'Mapa final NC'!#REF!="Mayor"),CONCATENATE("R1C",'Mapa final NC'!#REF!),"")</f>
        <v>#REF!</v>
      </c>
      <c r="AD36" s="46" t="e">
        <f>IF(AND('Mapa final NC'!#REF!="Baja",'Mapa final NC'!#REF!="Mayor"),CONCATENATE("R1C",'Mapa final NC'!#REF!),"")</f>
        <v>#REF!</v>
      </c>
      <c r="AE36" s="46" t="e">
        <f>IF(AND('Mapa final NC'!#REF!="Baja",'Mapa final NC'!#REF!="Mayor"),CONCATENATE("R1C",'Mapa final NC'!#REF!),"")</f>
        <v>#REF!</v>
      </c>
      <c r="AF36" s="46" t="e">
        <f>IF(AND('Mapa final NC'!#REF!="Baja",'Mapa final NC'!#REF!="Mayor"),CONCATENATE("R1C",'Mapa final NC'!#REF!),"")</f>
        <v>#REF!</v>
      </c>
      <c r="AG36" s="47" t="e">
        <f>IF(AND('Mapa final NC'!#REF!="Baja",'Mapa final NC'!#REF!="Mayor"),CONCATENATE("R1C",'Mapa final NC'!#REF!),"")</f>
        <v>#REF!</v>
      </c>
      <c r="AH36" s="48" t="str">
        <f>IF(AND('Mapa final NC'!$Y$30="Baja",'Mapa final NC'!$AA$30="Catastrófico"),CONCATENATE("R1C",'Mapa final NC'!$O$30),"")</f>
        <v/>
      </c>
      <c r="AI36" s="49" t="e">
        <f>IF(AND('Mapa final NC'!#REF!="Baja",'Mapa final NC'!#REF!="Catastrófico"),CONCATENATE("R1C",'Mapa final NC'!#REF!),"")</f>
        <v>#REF!</v>
      </c>
      <c r="AJ36" s="49" t="e">
        <f>IF(AND('Mapa final NC'!#REF!="Baja",'Mapa final NC'!#REF!="Catastrófico"),CONCATENATE("R1C",'Mapa final NC'!#REF!),"")</f>
        <v>#REF!</v>
      </c>
      <c r="AK36" s="49" t="e">
        <f>IF(AND('Mapa final NC'!#REF!="Baja",'Mapa final NC'!#REF!="Catastrófico"),CONCATENATE("R1C",'Mapa final NC'!#REF!),"")</f>
        <v>#REF!</v>
      </c>
      <c r="AL36" s="49" t="e">
        <f>IF(AND('Mapa final NC'!#REF!="Baja",'Mapa final NC'!#REF!="Catastrófico"),CONCATENATE("R1C",'Mapa final NC'!#REF!),"")</f>
        <v>#REF!</v>
      </c>
      <c r="AM36" s="50" t="e">
        <f>IF(AND('Mapa final NC'!#REF!="Baja",'Mapa final NC'!#REF!="Catastrófico"),CONCATENATE("R1C",'Mapa final NC'!#REF!),"")</f>
        <v>#REF!</v>
      </c>
      <c r="AN36" s="82"/>
      <c r="AO36" s="494" t="s">
        <v>99</v>
      </c>
      <c r="AP36" s="495"/>
      <c r="AQ36" s="495"/>
      <c r="AR36" s="495"/>
      <c r="AS36" s="495"/>
      <c r="AT36" s="496"/>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78"/>
      <c r="C37" s="378"/>
      <c r="D37" s="379"/>
      <c r="E37" s="475"/>
      <c r="F37" s="476"/>
      <c r="G37" s="476"/>
      <c r="H37" s="476"/>
      <c r="I37" s="476"/>
      <c r="J37" s="75" t="str">
        <f>IF(AND('Mapa final NC'!$Y$31="Baja",'Mapa final NC'!$AA$31="Leve"),CONCATENATE("R2C",'Mapa final NC'!$O$31),"")</f>
        <v>R2C1</v>
      </c>
      <c r="K37" s="76" t="str">
        <f>IF(AND('Mapa final NC'!$Y$32="Baja",'Mapa final NC'!$AA$32="Leve"),CONCATENATE("R2C",'Mapa final NC'!$O$32),"")</f>
        <v>R2C2</v>
      </c>
      <c r="L37" s="76" t="str">
        <f>IF(AND('Mapa final NC'!$Y$33="Baja",'Mapa final NC'!$AA$33="Leve"),CONCATENATE("R2C",'Mapa final NC'!$O$33),"")</f>
        <v/>
      </c>
      <c r="M37" s="76" t="e">
        <f>IF(AND('Mapa final NC'!#REF!="Baja",'Mapa final NC'!#REF!="Leve"),CONCATENATE("R2C",'Mapa final NC'!#REF!),"")</f>
        <v>#REF!</v>
      </c>
      <c r="N37" s="76" t="e">
        <f>IF(AND('Mapa final NC'!#REF!="Baja",'Mapa final NC'!#REF!="Leve"),CONCATENATE("R2C",'Mapa final NC'!#REF!),"")</f>
        <v>#REF!</v>
      </c>
      <c r="O37" s="77" t="e">
        <f>IF(AND('Mapa final NC'!#REF!="Baja",'Mapa final NC'!#REF!="Leve"),CONCATENATE("R2C",'Mapa final NC'!#REF!),"")</f>
        <v>#REF!</v>
      </c>
      <c r="P37" s="66" t="str">
        <f>IF(AND('Mapa final NC'!$Y$31="Baja",'Mapa final NC'!$AA$31="Menor"),CONCATENATE("R2C",'Mapa final NC'!$O$31),"")</f>
        <v/>
      </c>
      <c r="Q37" s="67" t="str">
        <f>IF(AND('Mapa final NC'!$Y$32="Baja",'Mapa final NC'!$AA$32="Menor"),CONCATENATE("R2C",'Mapa final NC'!$O$32),"")</f>
        <v/>
      </c>
      <c r="R37" s="67" t="str">
        <f>IF(AND('Mapa final NC'!$Y$33="Baja",'Mapa final NC'!$AA$33="Menor"),CONCATENATE("R2C",'Mapa final NC'!$O$33),"")</f>
        <v/>
      </c>
      <c r="S37" s="67" t="e">
        <f>IF(AND('Mapa final NC'!#REF!="Baja",'Mapa final NC'!#REF!="Menor"),CONCATENATE("R2C",'Mapa final NC'!#REF!),"")</f>
        <v>#REF!</v>
      </c>
      <c r="T37" s="67" t="e">
        <f>IF(AND('Mapa final NC'!#REF!="Baja",'Mapa final NC'!#REF!="Menor"),CONCATENATE("R2C",'Mapa final NC'!#REF!),"")</f>
        <v>#REF!</v>
      </c>
      <c r="U37" s="68" t="e">
        <f>IF(AND('Mapa final NC'!#REF!="Baja",'Mapa final NC'!#REF!="Menor"),CONCATENATE("R2C",'Mapa final NC'!#REF!),"")</f>
        <v>#REF!</v>
      </c>
      <c r="V37" s="66" t="str">
        <f>IF(AND('Mapa final NC'!$Y$31="Baja",'Mapa final NC'!$AA$31="Moderado"),CONCATENATE("R2C",'Mapa final NC'!$O$31),"")</f>
        <v/>
      </c>
      <c r="W37" s="67" t="str">
        <f>IF(AND('Mapa final NC'!$Y$32="Baja",'Mapa final NC'!$AA$32="Moderado"),CONCATENATE("R2C",'Mapa final NC'!$O$32),"")</f>
        <v/>
      </c>
      <c r="X37" s="67" t="str">
        <f>IF(AND('Mapa final NC'!$Y$33="Baja",'Mapa final NC'!$AA$33="Moderado"),CONCATENATE("R2C",'Mapa final NC'!$O$33),"")</f>
        <v/>
      </c>
      <c r="Y37" s="67" t="e">
        <f>IF(AND('Mapa final NC'!#REF!="Baja",'Mapa final NC'!#REF!="Moderado"),CONCATENATE("R2C",'Mapa final NC'!#REF!),"")</f>
        <v>#REF!</v>
      </c>
      <c r="Z37" s="67" t="e">
        <f>IF(AND('Mapa final NC'!#REF!="Baja",'Mapa final NC'!#REF!="Moderado"),CONCATENATE("R2C",'Mapa final NC'!#REF!),"")</f>
        <v>#REF!</v>
      </c>
      <c r="AA37" s="68" t="e">
        <f>IF(AND('Mapa final NC'!#REF!="Baja",'Mapa final NC'!#REF!="Moderado"),CONCATENATE("R2C",'Mapa final NC'!#REF!),"")</f>
        <v>#REF!</v>
      </c>
      <c r="AB37" s="51" t="str">
        <f>IF(AND('Mapa final NC'!$Y$31="Baja",'Mapa final NC'!$AA$31="Mayor"),CONCATENATE("R2C",'Mapa final NC'!$O$31),"")</f>
        <v/>
      </c>
      <c r="AC37" s="52" t="str">
        <f>IF(AND('Mapa final NC'!$Y$32="Baja",'Mapa final NC'!$AA$32="Mayor"),CONCATENATE("R2C",'Mapa final NC'!$O$32),"")</f>
        <v/>
      </c>
      <c r="AD37" s="52" t="str">
        <f>IF(AND('Mapa final NC'!$Y$33="Baja",'Mapa final NC'!$AA$33="Mayor"),CONCATENATE("R2C",'Mapa final NC'!$O$33),"")</f>
        <v/>
      </c>
      <c r="AE37" s="52" t="e">
        <f>IF(AND('Mapa final NC'!#REF!="Baja",'Mapa final NC'!#REF!="Mayor"),CONCATENATE("R2C",'Mapa final NC'!#REF!),"")</f>
        <v>#REF!</v>
      </c>
      <c r="AF37" s="52" t="e">
        <f>IF(AND('Mapa final NC'!#REF!="Baja",'Mapa final NC'!#REF!="Mayor"),CONCATENATE("R2C",'Mapa final NC'!#REF!),"")</f>
        <v>#REF!</v>
      </c>
      <c r="AG37" s="53" t="e">
        <f>IF(AND('Mapa final NC'!#REF!="Baja",'Mapa final NC'!#REF!="Mayor"),CONCATENATE("R2C",'Mapa final NC'!#REF!),"")</f>
        <v>#REF!</v>
      </c>
      <c r="AH37" s="54" t="str">
        <f>IF(AND('Mapa final NC'!$Y$31="Baja",'Mapa final NC'!$AA$31="Catastrófico"),CONCATENATE("R2C",'Mapa final NC'!$O$31),"")</f>
        <v/>
      </c>
      <c r="AI37" s="55" t="str">
        <f>IF(AND('Mapa final NC'!$Y$32="Baja",'Mapa final NC'!$AA$32="Catastrófico"),CONCATENATE("R2C",'Mapa final NC'!$O$32),"")</f>
        <v/>
      </c>
      <c r="AJ37" s="55" t="str">
        <f>IF(AND('Mapa final NC'!$Y$33="Baja",'Mapa final NC'!$AA$33="Catastrófico"),CONCATENATE("R2C",'Mapa final NC'!$O$33),"")</f>
        <v/>
      </c>
      <c r="AK37" s="55" t="e">
        <f>IF(AND('Mapa final NC'!#REF!="Baja",'Mapa final NC'!#REF!="Catastrófico"),CONCATENATE("R2C",'Mapa final NC'!#REF!),"")</f>
        <v>#REF!</v>
      </c>
      <c r="AL37" s="55" t="e">
        <f>IF(AND('Mapa final NC'!#REF!="Baja",'Mapa final NC'!#REF!="Catastrófico"),CONCATENATE("R2C",'Mapa final NC'!#REF!),"")</f>
        <v>#REF!</v>
      </c>
      <c r="AM37" s="56" t="e">
        <f>IF(AND('Mapa final NC'!#REF!="Baja",'Mapa final NC'!#REF!="Catastrófico"),CONCATENATE("R2C",'Mapa final NC'!#REF!),"")</f>
        <v>#REF!</v>
      </c>
      <c r="AN37" s="82"/>
      <c r="AO37" s="497"/>
      <c r="AP37" s="498"/>
      <c r="AQ37" s="498"/>
      <c r="AR37" s="498"/>
      <c r="AS37" s="498"/>
      <c r="AT37" s="499"/>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78"/>
      <c r="C38" s="378"/>
      <c r="D38" s="379"/>
      <c r="E38" s="477"/>
      <c r="F38" s="476"/>
      <c r="G38" s="476"/>
      <c r="H38" s="476"/>
      <c r="I38" s="476"/>
      <c r="J38" s="75" t="str">
        <f>IF(AND('Mapa final NC'!$Y$34="Baja",'Mapa final NC'!$AA$34="Leve"),CONCATENATE("R3C",'Mapa final NC'!$O$34),"")</f>
        <v/>
      </c>
      <c r="K38" s="76" t="str">
        <f>IF(AND('Mapa final NC'!$Y$35="Baja",'Mapa final NC'!$AA$35="Leve"),CONCATENATE("R3C",'Mapa final NC'!$O$35),"")</f>
        <v/>
      </c>
      <c r="L38" s="76" t="str">
        <f>IF(AND('Mapa final NC'!$Y$36="Baja",'Mapa final NC'!$AA$36="Leve"),CONCATENATE("R3C",'Mapa final NC'!$O$36),"")</f>
        <v/>
      </c>
      <c r="M38" s="76" t="e">
        <f>IF(AND('Mapa final NC'!#REF!="Baja",'Mapa final NC'!#REF!="Leve"),CONCATENATE("R3C",'Mapa final NC'!#REF!),"")</f>
        <v>#REF!</v>
      </c>
      <c r="N38" s="76" t="e">
        <f>IF(AND('Mapa final NC'!#REF!="Baja",'Mapa final NC'!#REF!="Leve"),CONCATENATE("R3C",'Mapa final NC'!#REF!),"")</f>
        <v>#REF!</v>
      </c>
      <c r="O38" s="77" t="e">
        <f>IF(AND('Mapa final NC'!#REF!="Baja",'Mapa final NC'!#REF!="Leve"),CONCATENATE("R3C",'Mapa final NC'!#REF!),"")</f>
        <v>#REF!</v>
      </c>
      <c r="P38" s="66" t="str">
        <f>IF(AND('Mapa final NC'!$Y$34="Baja",'Mapa final NC'!$AA$34="Menor"),CONCATENATE("R3C",'Mapa final NC'!$O$34),"")</f>
        <v/>
      </c>
      <c r="Q38" s="67" t="str">
        <f>IF(AND('Mapa final NC'!$Y$35="Baja",'Mapa final NC'!$AA$35="Menor"),CONCATENATE("R3C",'Mapa final NC'!$O$35),"")</f>
        <v/>
      </c>
      <c r="R38" s="67" t="str">
        <f>IF(AND('Mapa final NC'!$Y$36="Baja",'Mapa final NC'!$AA$36="Menor"),CONCATENATE("R3C",'Mapa final NC'!$O$36),"")</f>
        <v/>
      </c>
      <c r="S38" s="67" t="e">
        <f>IF(AND('Mapa final NC'!#REF!="Baja",'Mapa final NC'!#REF!="Menor"),CONCATENATE("R3C",'Mapa final NC'!#REF!),"")</f>
        <v>#REF!</v>
      </c>
      <c r="T38" s="67" t="e">
        <f>IF(AND('Mapa final NC'!#REF!="Baja",'Mapa final NC'!#REF!="Menor"),CONCATENATE("R3C",'Mapa final NC'!#REF!),"")</f>
        <v>#REF!</v>
      </c>
      <c r="U38" s="68" t="e">
        <f>IF(AND('Mapa final NC'!#REF!="Baja",'Mapa final NC'!#REF!="Menor"),CONCATENATE("R3C",'Mapa final NC'!#REF!),"")</f>
        <v>#REF!</v>
      </c>
      <c r="V38" s="66" t="str">
        <f>IF(AND('Mapa final NC'!$Y$34="Baja",'Mapa final NC'!$AA$34="Moderado"),CONCATENATE("R3C",'Mapa final NC'!$O$34),"")</f>
        <v>R3C1</v>
      </c>
      <c r="W38" s="67" t="str">
        <f>IF(AND('Mapa final NC'!$Y$35="Baja",'Mapa final NC'!$AA$35="Moderado"),CONCATENATE("R3C",'Mapa final NC'!$O$35),"")</f>
        <v/>
      </c>
      <c r="X38" s="67" t="str">
        <f>IF(AND('Mapa final NC'!$Y$36="Baja",'Mapa final NC'!$AA$36="Moderado"),CONCATENATE("R3C",'Mapa final NC'!$O$36),"")</f>
        <v/>
      </c>
      <c r="Y38" s="67" t="e">
        <f>IF(AND('Mapa final NC'!#REF!="Baja",'Mapa final NC'!#REF!="Moderado"),CONCATENATE("R3C",'Mapa final NC'!#REF!),"")</f>
        <v>#REF!</v>
      </c>
      <c r="Z38" s="67" t="e">
        <f>IF(AND('Mapa final NC'!#REF!="Baja",'Mapa final NC'!#REF!="Moderado"),CONCATENATE("R3C",'Mapa final NC'!#REF!),"")</f>
        <v>#REF!</v>
      </c>
      <c r="AA38" s="68" t="e">
        <f>IF(AND('Mapa final NC'!#REF!="Baja",'Mapa final NC'!#REF!="Moderado"),CONCATENATE("R3C",'Mapa final NC'!#REF!),"")</f>
        <v>#REF!</v>
      </c>
      <c r="AB38" s="51" t="str">
        <f>IF(AND('Mapa final NC'!$Y$34="Baja",'Mapa final NC'!$AA$34="Mayor"),CONCATENATE("R3C",'Mapa final NC'!$O$34),"")</f>
        <v/>
      </c>
      <c r="AC38" s="52" t="str">
        <f>IF(AND('Mapa final NC'!$Y$35="Baja",'Mapa final NC'!$AA$35="Mayor"),CONCATENATE("R3C",'Mapa final NC'!$O$35),"")</f>
        <v/>
      </c>
      <c r="AD38" s="52" t="str">
        <f>IF(AND('Mapa final NC'!$Y$36="Baja",'Mapa final NC'!$AA$36="Mayor"),CONCATENATE("R3C",'Mapa final NC'!$O$36),"")</f>
        <v/>
      </c>
      <c r="AE38" s="52" t="e">
        <f>IF(AND('Mapa final NC'!#REF!="Baja",'Mapa final NC'!#REF!="Mayor"),CONCATENATE("R3C",'Mapa final NC'!#REF!),"")</f>
        <v>#REF!</v>
      </c>
      <c r="AF38" s="52" t="e">
        <f>IF(AND('Mapa final NC'!#REF!="Baja",'Mapa final NC'!#REF!="Mayor"),CONCATENATE("R3C",'Mapa final NC'!#REF!),"")</f>
        <v>#REF!</v>
      </c>
      <c r="AG38" s="53" t="e">
        <f>IF(AND('Mapa final NC'!#REF!="Baja",'Mapa final NC'!#REF!="Mayor"),CONCATENATE("R3C",'Mapa final NC'!#REF!),"")</f>
        <v>#REF!</v>
      </c>
      <c r="AH38" s="54" t="str">
        <f>IF(AND('Mapa final NC'!$Y$34="Baja",'Mapa final NC'!$AA$34="Catastrófico"),CONCATENATE("R3C",'Mapa final NC'!$O$34),"")</f>
        <v/>
      </c>
      <c r="AI38" s="55" t="str">
        <f>IF(AND('Mapa final NC'!$Y$35="Baja",'Mapa final NC'!$AA$35="Catastrófico"),CONCATENATE("R3C",'Mapa final NC'!$O$35),"")</f>
        <v/>
      </c>
      <c r="AJ38" s="55" t="str">
        <f>IF(AND('Mapa final NC'!$Y$36="Baja",'Mapa final NC'!$AA$36="Catastrófico"),CONCATENATE("R3C",'Mapa final NC'!$O$36),"")</f>
        <v/>
      </c>
      <c r="AK38" s="55" t="e">
        <f>IF(AND('Mapa final NC'!#REF!="Baja",'Mapa final NC'!#REF!="Catastrófico"),CONCATENATE("R3C",'Mapa final NC'!#REF!),"")</f>
        <v>#REF!</v>
      </c>
      <c r="AL38" s="55" t="e">
        <f>IF(AND('Mapa final NC'!#REF!="Baja",'Mapa final NC'!#REF!="Catastrófico"),CONCATENATE("R3C",'Mapa final NC'!#REF!),"")</f>
        <v>#REF!</v>
      </c>
      <c r="AM38" s="56" t="e">
        <f>IF(AND('Mapa final NC'!#REF!="Baja",'Mapa final NC'!#REF!="Catastrófico"),CONCATENATE("R3C",'Mapa final NC'!#REF!),"")</f>
        <v>#REF!</v>
      </c>
      <c r="AN38" s="82"/>
      <c r="AO38" s="497"/>
      <c r="AP38" s="498"/>
      <c r="AQ38" s="498"/>
      <c r="AR38" s="498"/>
      <c r="AS38" s="498"/>
      <c r="AT38" s="499"/>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78"/>
      <c r="C39" s="378"/>
      <c r="D39" s="379"/>
      <c r="E39" s="477"/>
      <c r="F39" s="476"/>
      <c r="G39" s="476"/>
      <c r="H39" s="476"/>
      <c r="I39" s="476"/>
      <c r="J39" s="75" t="str">
        <f>IF(AND('Mapa final NC'!$Y$37="Baja",'Mapa final NC'!$AA$37="Leve"),CONCATENATE("R4C",'Mapa final NC'!$O$37),"")</f>
        <v>R4C1</v>
      </c>
      <c r="K39" s="76" t="e">
        <f>IF(AND('Mapa final NC'!#REF!="Baja",'Mapa final NC'!#REF!="Leve"),CONCATENATE("R4C",'Mapa final NC'!#REF!),"")</f>
        <v>#REF!</v>
      </c>
      <c r="L39" s="76" t="e">
        <f>IF(AND('Mapa final NC'!#REF!="Baja",'Mapa final NC'!#REF!="Leve"),CONCATENATE("R4C",'Mapa final NC'!#REF!),"")</f>
        <v>#REF!</v>
      </c>
      <c r="M39" s="76" t="e">
        <f>IF(AND('Mapa final NC'!#REF!="Baja",'Mapa final NC'!#REF!="Leve"),CONCATENATE("R4C",'Mapa final NC'!#REF!),"")</f>
        <v>#REF!</v>
      </c>
      <c r="N39" s="76" t="e">
        <f>IF(AND('Mapa final NC'!#REF!="Baja",'Mapa final NC'!#REF!="Leve"),CONCATENATE("R4C",'Mapa final NC'!#REF!),"")</f>
        <v>#REF!</v>
      </c>
      <c r="O39" s="77" t="e">
        <f>IF(AND('Mapa final NC'!#REF!="Baja",'Mapa final NC'!#REF!="Leve"),CONCATENATE("R4C",'Mapa final NC'!#REF!),"")</f>
        <v>#REF!</v>
      </c>
      <c r="P39" s="66" t="str">
        <f>IF(AND('Mapa final NC'!$Y$37="Baja",'Mapa final NC'!$AA$37="Menor"),CONCATENATE("R4C",'Mapa final NC'!$O$37),"")</f>
        <v/>
      </c>
      <c r="Q39" s="67" t="e">
        <f>IF(AND('Mapa final NC'!#REF!="Baja",'Mapa final NC'!#REF!="Menor"),CONCATENATE("R4C",'Mapa final NC'!#REF!),"")</f>
        <v>#REF!</v>
      </c>
      <c r="R39" s="67" t="e">
        <f>IF(AND('Mapa final NC'!#REF!="Baja",'Mapa final NC'!#REF!="Menor"),CONCATENATE("R4C",'Mapa final NC'!#REF!),"")</f>
        <v>#REF!</v>
      </c>
      <c r="S39" s="67" t="e">
        <f>IF(AND('Mapa final NC'!#REF!="Baja",'Mapa final NC'!#REF!="Menor"),CONCATENATE("R4C",'Mapa final NC'!#REF!),"")</f>
        <v>#REF!</v>
      </c>
      <c r="T39" s="67" t="e">
        <f>IF(AND('Mapa final NC'!#REF!="Baja",'Mapa final NC'!#REF!="Menor"),CONCATENATE("R4C",'Mapa final NC'!#REF!),"")</f>
        <v>#REF!</v>
      </c>
      <c r="U39" s="68" t="e">
        <f>IF(AND('Mapa final NC'!#REF!="Baja",'Mapa final NC'!#REF!="Menor"),CONCATENATE("R4C",'Mapa final NC'!#REF!),"")</f>
        <v>#REF!</v>
      </c>
      <c r="V39" s="66" t="str">
        <f>IF(AND('Mapa final NC'!$Y$37="Baja",'Mapa final NC'!$AA$37="Moderado"),CONCATENATE("R4C",'Mapa final NC'!$O$37),"")</f>
        <v/>
      </c>
      <c r="W39" s="67" t="e">
        <f>IF(AND('Mapa final NC'!#REF!="Baja",'Mapa final NC'!#REF!="Moderado"),CONCATENATE("R4C",'Mapa final NC'!#REF!),"")</f>
        <v>#REF!</v>
      </c>
      <c r="X39" s="67" t="e">
        <f>IF(AND('Mapa final NC'!#REF!="Baja",'Mapa final NC'!#REF!="Moderado"),CONCATENATE("R4C",'Mapa final NC'!#REF!),"")</f>
        <v>#REF!</v>
      </c>
      <c r="Y39" s="67" t="e">
        <f>IF(AND('Mapa final NC'!#REF!="Baja",'Mapa final NC'!#REF!="Moderado"),CONCATENATE("R4C",'Mapa final NC'!#REF!),"")</f>
        <v>#REF!</v>
      </c>
      <c r="Z39" s="67" t="e">
        <f>IF(AND('Mapa final NC'!#REF!="Baja",'Mapa final NC'!#REF!="Moderado"),CONCATENATE("R4C",'Mapa final NC'!#REF!),"")</f>
        <v>#REF!</v>
      </c>
      <c r="AA39" s="68" t="e">
        <f>IF(AND('Mapa final NC'!#REF!="Baja",'Mapa final NC'!#REF!="Moderado"),CONCATENATE("R4C",'Mapa final NC'!#REF!),"")</f>
        <v>#REF!</v>
      </c>
      <c r="AB39" s="51" t="str">
        <f>IF(AND('Mapa final NC'!$Y$37="Baja",'Mapa final NC'!$AA$37="Mayor"),CONCATENATE("R4C",'Mapa final NC'!$O$37),"")</f>
        <v/>
      </c>
      <c r="AC39" s="52" t="e">
        <f>IF(AND('Mapa final NC'!#REF!="Baja",'Mapa final NC'!#REF!="Mayor"),CONCATENATE("R4C",'Mapa final NC'!#REF!),"")</f>
        <v>#REF!</v>
      </c>
      <c r="AD39" s="52" t="e">
        <f>IF(AND('Mapa final NC'!#REF!="Baja",'Mapa final NC'!#REF!="Mayor"),CONCATENATE("R4C",'Mapa final NC'!#REF!),"")</f>
        <v>#REF!</v>
      </c>
      <c r="AE39" s="52" t="e">
        <f>IF(AND('Mapa final NC'!#REF!="Baja",'Mapa final NC'!#REF!="Mayor"),CONCATENATE("R4C",'Mapa final NC'!#REF!),"")</f>
        <v>#REF!</v>
      </c>
      <c r="AF39" s="52" t="e">
        <f>IF(AND('Mapa final NC'!#REF!="Baja",'Mapa final NC'!#REF!="Mayor"),CONCATENATE("R4C",'Mapa final NC'!#REF!),"")</f>
        <v>#REF!</v>
      </c>
      <c r="AG39" s="53" t="e">
        <f>IF(AND('Mapa final NC'!#REF!="Baja",'Mapa final NC'!#REF!="Mayor"),CONCATENATE("R4C",'Mapa final NC'!#REF!),"")</f>
        <v>#REF!</v>
      </c>
      <c r="AH39" s="54" t="str">
        <f>IF(AND('Mapa final NC'!$Y$37="Baja",'Mapa final NC'!$AA$37="Catastrófico"),CONCATENATE("R4C",'Mapa final NC'!$O$37),"")</f>
        <v/>
      </c>
      <c r="AI39" s="55" t="e">
        <f>IF(AND('Mapa final NC'!#REF!="Baja",'Mapa final NC'!#REF!="Catastrófico"),CONCATENATE("R4C",'Mapa final NC'!#REF!),"")</f>
        <v>#REF!</v>
      </c>
      <c r="AJ39" s="55" t="e">
        <f>IF(AND('Mapa final NC'!#REF!="Baja",'Mapa final NC'!#REF!="Catastrófico"),CONCATENATE("R4C",'Mapa final NC'!#REF!),"")</f>
        <v>#REF!</v>
      </c>
      <c r="AK39" s="55" t="e">
        <f>IF(AND('Mapa final NC'!#REF!="Baja",'Mapa final NC'!#REF!="Catastrófico"),CONCATENATE("R4C",'Mapa final NC'!#REF!),"")</f>
        <v>#REF!</v>
      </c>
      <c r="AL39" s="55" t="e">
        <f>IF(AND('Mapa final NC'!#REF!="Baja",'Mapa final NC'!#REF!="Catastrófico"),CONCATENATE("R4C",'Mapa final NC'!#REF!),"")</f>
        <v>#REF!</v>
      </c>
      <c r="AM39" s="56" t="e">
        <f>IF(AND('Mapa final NC'!#REF!="Baja",'Mapa final NC'!#REF!="Catastrófico"),CONCATENATE("R4C",'Mapa final NC'!#REF!),"")</f>
        <v>#REF!</v>
      </c>
      <c r="AN39" s="82"/>
      <c r="AO39" s="497"/>
      <c r="AP39" s="498"/>
      <c r="AQ39" s="498"/>
      <c r="AR39" s="498"/>
      <c r="AS39" s="498"/>
      <c r="AT39" s="499"/>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78"/>
      <c r="C40" s="378"/>
      <c r="D40" s="379"/>
      <c r="E40" s="477"/>
      <c r="F40" s="476"/>
      <c r="G40" s="476"/>
      <c r="H40" s="476"/>
      <c r="I40" s="476"/>
      <c r="J40" s="75" t="str">
        <f>IF(AND('Mapa final NC'!$Y$38="Baja",'Mapa final NC'!$AA$38="Leve"),CONCATENATE("R5C",'Mapa final NC'!$O$38),"")</f>
        <v/>
      </c>
      <c r="K40" s="76" t="e">
        <f>IF(AND('Mapa final NC'!#REF!="Baja",'Mapa final NC'!#REF!="Leve"),CONCATENATE("R5C",'Mapa final NC'!#REF!),"")</f>
        <v>#REF!</v>
      </c>
      <c r="L40" s="76" t="e">
        <f>IF(AND('Mapa final NC'!#REF!="Baja",'Mapa final NC'!#REF!="Leve"),CONCATENATE("R5C",'Mapa final NC'!#REF!),"")</f>
        <v>#REF!</v>
      </c>
      <c r="M40" s="76" t="e">
        <f>IF(AND('Mapa final NC'!#REF!="Baja",'Mapa final NC'!#REF!="Leve"),CONCATENATE("R5C",'Mapa final NC'!#REF!),"")</f>
        <v>#REF!</v>
      </c>
      <c r="N40" s="76" t="e">
        <f>IF(AND('Mapa final NC'!#REF!="Baja",'Mapa final NC'!#REF!="Leve"),CONCATENATE("R5C",'Mapa final NC'!#REF!),"")</f>
        <v>#REF!</v>
      </c>
      <c r="O40" s="77" t="e">
        <f>IF(AND('Mapa final NC'!#REF!="Baja",'Mapa final NC'!#REF!="Leve"),CONCATENATE("R5C",'Mapa final NC'!#REF!),"")</f>
        <v>#REF!</v>
      </c>
      <c r="P40" s="66" t="str">
        <f>IF(AND('Mapa final NC'!$Y$38="Baja",'Mapa final NC'!$AA$38="Menor"),CONCATENATE("R5C",'Mapa final NC'!$O$38),"")</f>
        <v/>
      </c>
      <c r="Q40" s="67" t="e">
        <f>IF(AND('Mapa final NC'!#REF!="Baja",'Mapa final NC'!#REF!="Menor"),CONCATENATE("R5C",'Mapa final NC'!#REF!),"")</f>
        <v>#REF!</v>
      </c>
      <c r="R40" s="67" t="e">
        <f>IF(AND('Mapa final NC'!#REF!="Baja",'Mapa final NC'!#REF!="Menor"),CONCATENATE("R5C",'Mapa final NC'!#REF!),"")</f>
        <v>#REF!</v>
      </c>
      <c r="S40" s="67" t="e">
        <f>IF(AND('Mapa final NC'!#REF!="Baja",'Mapa final NC'!#REF!="Menor"),CONCATENATE("R5C",'Mapa final NC'!#REF!),"")</f>
        <v>#REF!</v>
      </c>
      <c r="T40" s="67" t="e">
        <f>IF(AND('Mapa final NC'!#REF!="Baja",'Mapa final NC'!#REF!="Menor"),CONCATENATE("R5C",'Mapa final NC'!#REF!),"")</f>
        <v>#REF!</v>
      </c>
      <c r="U40" s="68" t="e">
        <f>IF(AND('Mapa final NC'!#REF!="Baja",'Mapa final NC'!#REF!="Menor"),CONCATENATE("R5C",'Mapa final NC'!#REF!),"")</f>
        <v>#REF!</v>
      </c>
      <c r="V40" s="66" t="str">
        <f>IF(AND('Mapa final NC'!$Y$38="Baja",'Mapa final NC'!$AA$38="Moderado"),CONCATENATE("R5C",'Mapa final NC'!$O$38),"")</f>
        <v/>
      </c>
      <c r="W40" s="67" t="e">
        <f>IF(AND('Mapa final NC'!#REF!="Baja",'Mapa final NC'!#REF!="Moderado"),CONCATENATE("R5C",'Mapa final NC'!#REF!),"")</f>
        <v>#REF!</v>
      </c>
      <c r="X40" s="67" t="e">
        <f>IF(AND('Mapa final NC'!#REF!="Baja",'Mapa final NC'!#REF!="Moderado"),CONCATENATE("R5C",'Mapa final NC'!#REF!),"")</f>
        <v>#REF!</v>
      </c>
      <c r="Y40" s="67" t="e">
        <f>IF(AND('Mapa final NC'!#REF!="Baja",'Mapa final NC'!#REF!="Moderado"),CONCATENATE("R5C",'Mapa final NC'!#REF!),"")</f>
        <v>#REF!</v>
      </c>
      <c r="Z40" s="67" t="e">
        <f>IF(AND('Mapa final NC'!#REF!="Baja",'Mapa final NC'!#REF!="Moderado"),CONCATENATE("R5C",'Mapa final NC'!#REF!),"")</f>
        <v>#REF!</v>
      </c>
      <c r="AA40" s="68" t="e">
        <f>IF(AND('Mapa final NC'!#REF!="Baja",'Mapa final NC'!#REF!="Moderado"),CONCATENATE("R5C",'Mapa final NC'!#REF!),"")</f>
        <v>#REF!</v>
      </c>
      <c r="AB40" s="51" t="str">
        <f>IF(AND('Mapa final NC'!$Y$38="Baja",'Mapa final NC'!$AA$38="Mayor"),CONCATENATE("R5C",'Mapa final NC'!$O$38),"")</f>
        <v/>
      </c>
      <c r="AC40" s="52" t="e">
        <f>IF(AND('Mapa final NC'!#REF!="Baja",'Mapa final NC'!#REF!="Mayor"),CONCATENATE("R5C",'Mapa final NC'!#REF!),"")</f>
        <v>#REF!</v>
      </c>
      <c r="AD40" s="52" t="e">
        <f>IF(AND('Mapa final NC'!#REF!="Baja",'Mapa final NC'!#REF!="Mayor"),CONCATENATE("R5C",'Mapa final NC'!#REF!),"")</f>
        <v>#REF!</v>
      </c>
      <c r="AE40" s="52" t="e">
        <f>IF(AND('Mapa final NC'!#REF!="Baja",'Mapa final NC'!#REF!="Mayor"),CONCATENATE("R5C",'Mapa final NC'!#REF!),"")</f>
        <v>#REF!</v>
      </c>
      <c r="AF40" s="52" t="e">
        <f>IF(AND('Mapa final NC'!#REF!="Baja",'Mapa final NC'!#REF!="Mayor"),CONCATENATE("R5C",'Mapa final NC'!#REF!),"")</f>
        <v>#REF!</v>
      </c>
      <c r="AG40" s="53" t="e">
        <f>IF(AND('Mapa final NC'!#REF!="Baja",'Mapa final NC'!#REF!="Mayor"),CONCATENATE("R5C",'Mapa final NC'!#REF!),"")</f>
        <v>#REF!</v>
      </c>
      <c r="AH40" s="54" t="str">
        <f>IF(AND('Mapa final NC'!$Y$38="Baja",'Mapa final NC'!$AA$38="Catastrófico"),CONCATENATE("R5C",'Mapa final NC'!$O$38),"")</f>
        <v/>
      </c>
      <c r="AI40" s="55" t="e">
        <f>IF(AND('Mapa final NC'!#REF!="Baja",'Mapa final NC'!#REF!="Catastrófico"),CONCATENATE("R5C",'Mapa final NC'!#REF!),"")</f>
        <v>#REF!</v>
      </c>
      <c r="AJ40" s="55" t="e">
        <f>IF(AND('Mapa final NC'!#REF!="Baja",'Mapa final NC'!#REF!="Catastrófico"),CONCATENATE("R5C",'Mapa final NC'!#REF!),"")</f>
        <v>#REF!</v>
      </c>
      <c r="AK40" s="55" t="e">
        <f>IF(AND('Mapa final NC'!#REF!="Baja",'Mapa final NC'!#REF!="Catastrófico"),CONCATENATE("R5C",'Mapa final NC'!#REF!),"")</f>
        <v>#REF!</v>
      </c>
      <c r="AL40" s="55" t="e">
        <f>IF(AND('Mapa final NC'!#REF!="Baja",'Mapa final NC'!#REF!="Catastrófico"),CONCATENATE("R5C",'Mapa final NC'!#REF!),"")</f>
        <v>#REF!</v>
      </c>
      <c r="AM40" s="56" t="e">
        <f>IF(AND('Mapa final NC'!#REF!="Baja",'Mapa final NC'!#REF!="Catastrófico"),CONCATENATE("R5C",'Mapa final NC'!#REF!),"")</f>
        <v>#REF!</v>
      </c>
      <c r="AN40" s="82"/>
      <c r="AO40" s="497"/>
      <c r="AP40" s="498"/>
      <c r="AQ40" s="498"/>
      <c r="AR40" s="498"/>
      <c r="AS40" s="498"/>
      <c r="AT40" s="499"/>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78"/>
      <c r="C41" s="378"/>
      <c r="D41" s="379"/>
      <c r="E41" s="477"/>
      <c r="F41" s="476"/>
      <c r="G41" s="476"/>
      <c r="H41" s="476"/>
      <c r="I41" s="476"/>
      <c r="J41" s="75" t="str">
        <f>IF(AND('Mapa final NC'!$Y$39="Baja",'Mapa final NC'!$AA$39="Leve"),CONCATENATE("R6C",'Mapa final NC'!$O$39),"")</f>
        <v/>
      </c>
      <c r="K41" s="76" t="e">
        <f>IF(AND('Mapa final NC'!#REF!="Baja",'Mapa final NC'!#REF!="Leve"),CONCATENATE("R6C",'Mapa final NC'!#REF!),"")</f>
        <v>#REF!</v>
      </c>
      <c r="L41" s="76" t="e">
        <f>IF(AND('Mapa final NC'!#REF!="Baja",'Mapa final NC'!#REF!="Leve"),CONCATENATE("R6C",'Mapa final NC'!#REF!),"")</f>
        <v>#REF!</v>
      </c>
      <c r="M41" s="76" t="e">
        <f>IF(AND('Mapa final NC'!#REF!="Baja",'Mapa final NC'!#REF!="Leve"),CONCATENATE("R6C",'Mapa final NC'!#REF!),"")</f>
        <v>#REF!</v>
      </c>
      <c r="N41" s="76" t="e">
        <f>IF(AND('Mapa final NC'!#REF!="Baja",'Mapa final NC'!#REF!="Leve"),CONCATENATE("R6C",'Mapa final NC'!#REF!),"")</f>
        <v>#REF!</v>
      </c>
      <c r="O41" s="77" t="e">
        <f>IF(AND('Mapa final NC'!#REF!="Baja",'Mapa final NC'!#REF!="Leve"),CONCATENATE("R6C",'Mapa final NC'!#REF!),"")</f>
        <v>#REF!</v>
      </c>
      <c r="P41" s="66" t="str">
        <f>IF(AND('Mapa final NC'!$Y$39="Baja",'Mapa final NC'!$AA$39="Menor"),CONCATENATE("R6C",'Mapa final NC'!$O$39),"")</f>
        <v/>
      </c>
      <c r="Q41" s="67" t="e">
        <f>IF(AND('Mapa final NC'!#REF!="Baja",'Mapa final NC'!#REF!="Menor"),CONCATENATE("R6C",'Mapa final NC'!#REF!),"")</f>
        <v>#REF!</v>
      </c>
      <c r="R41" s="67" t="e">
        <f>IF(AND('Mapa final NC'!#REF!="Baja",'Mapa final NC'!#REF!="Menor"),CONCATENATE("R6C",'Mapa final NC'!#REF!),"")</f>
        <v>#REF!</v>
      </c>
      <c r="S41" s="67" t="e">
        <f>IF(AND('Mapa final NC'!#REF!="Baja",'Mapa final NC'!#REF!="Menor"),CONCATENATE("R6C",'Mapa final NC'!#REF!),"")</f>
        <v>#REF!</v>
      </c>
      <c r="T41" s="67" t="e">
        <f>IF(AND('Mapa final NC'!#REF!="Baja",'Mapa final NC'!#REF!="Menor"),CONCATENATE("R6C",'Mapa final NC'!#REF!),"")</f>
        <v>#REF!</v>
      </c>
      <c r="U41" s="68" t="e">
        <f>IF(AND('Mapa final NC'!#REF!="Baja",'Mapa final NC'!#REF!="Menor"),CONCATENATE("R6C",'Mapa final NC'!#REF!),"")</f>
        <v>#REF!</v>
      </c>
      <c r="V41" s="66" t="str">
        <f>IF(AND('Mapa final NC'!$Y$39="Baja",'Mapa final NC'!$AA$39="Moderado"),CONCATENATE("R6C",'Mapa final NC'!$O$39),"")</f>
        <v/>
      </c>
      <c r="W41" s="67" t="e">
        <f>IF(AND('Mapa final NC'!#REF!="Baja",'Mapa final NC'!#REF!="Moderado"),CONCATENATE("R6C",'Mapa final NC'!#REF!),"")</f>
        <v>#REF!</v>
      </c>
      <c r="X41" s="67" t="e">
        <f>IF(AND('Mapa final NC'!#REF!="Baja",'Mapa final NC'!#REF!="Moderado"),CONCATENATE("R6C",'Mapa final NC'!#REF!),"")</f>
        <v>#REF!</v>
      </c>
      <c r="Y41" s="67" t="e">
        <f>IF(AND('Mapa final NC'!#REF!="Baja",'Mapa final NC'!#REF!="Moderado"),CONCATENATE("R6C",'Mapa final NC'!#REF!),"")</f>
        <v>#REF!</v>
      </c>
      <c r="Z41" s="67" t="e">
        <f>IF(AND('Mapa final NC'!#REF!="Baja",'Mapa final NC'!#REF!="Moderado"),CONCATENATE("R6C",'Mapa final NC'!#REF!),"")</f>
        <v>#REF!</v>
      </c>
      <c r="AA41" s="68" t="e">
        <f>IF(AND('Mapa final NC'!#REF!="Baja",'Mapa final NC'!#REF!="Moderado"),CONCATENATE("R6C",'Mapa final NC'!#REF!),"")</f>
        <v>#REF!</v>
      </c>
      <c r="AB41" s="51" t="str">
        <f>IF(AND('Mapa final NC'!$Y$39="Baja",'Mapa final NC'!$AA$39="Mayor"),CONCATENATE("R6C",'Mapa final NC'!$O$39),"")</f>
        <v/>
      </c>
      <c r="AC41" s="52" t="e">
        <f>IF(AND('Mapa final NC'!#REF!="Baja",'Mapa final NC'!#REF!="Mayor"),CONCATENATE("R6C",'Mapa final NC'!#REF!),"")</f>
        <v>#REF!</v>
      </c>
      <c r="AD41" s="52" t="e">
        <f>IF(AND('Mapa final NC'!#REF!="Baja",'Mapa final NC'!#REF!="Mayor"),CONCATENATE("R6C",'Mapa final NC'!#REF!),"")</f>
        <v>#REF!</v>
      </c>
      <c r="AE41" s="52" t="e">
        <f>IF(AND('Mapa final NC'!#REF!="Baja",'Mapa final NC'!#REF!="Mayor"),CONCATENATE("R6C",'Mapa final NC'!#REF!),"")</f>
        <v>#REF!</v>
      </c>
      <c r="AF41" s="52" t="e">
        <f>IF(AND('Mapa final NC'!#REF!="Baja",'Mapa final NC'!#REF!="Mayor"),CONCATENATE("R6C",'Mapa final NC'!#REF!),"")</f>
        <v>#REF!</v>
      </c>
      <c r="AG41" s="53" t="e">
        <f>IF(AND('Mapa final NC'!#REF!="Baja",'Mapa final NC'!#REF!="Mayor"),CONCATENATE("R6C",'Mapa final NC'!#REF!),"")</f>
        <v>#REF!</v>
      </c>
      <c r="AH41" s="54" t="str">
        <f>IF(AND('Mapa final NC'!$Y$39="Baja",'Mapa final NC'!$AA$39="Catastrófico"),CONCATENATE("R6C",'Mapa final NC'!$O$39),"")</f>
        <v/>
      </c>
      <c r="AI41" s="55" t="e">
        <f>IF(AND('Mapa final NC'!#REF!="Baja",'Mapa final NC'!#REF!="Catastrófico"),CONCATENATE("R6C",'Mapa final NC'!#REF!),"")</f>
        <v>#REF!</v>
      </c>
      <c r="AJ41" s="55" t="e">
        <f>IF(AND('Mapa final NC'!#REF!="Baja",'Mapa final NC'!#REF!="Catastrófico"),CONCATENATE("R6C",'Mapa final NC'!#REF!),"")</f>
        <v>#REF!</v>
      </c>
      <c r="AK41" s="55" t="e">
        <f>IF(AND('Mapa final NC'!#REF!="Baja",'Mapa final NC'!#REF!="Catastrófico"),CONCATENATE("R6C",'Mapa final NC'!#REF!),"")</f>
        <v>#REF!</v>
      </c>
      <c r="AL41" s="55" t="e">
        <f>IF(AND('Mapa final NC'!#REF!="Baja",'Mapa final NC'!#REF!="Catastrófico"),CONCATENATE("R6C",'Mapa final NC'!#REF!),"")</f>
        <v>#REF!</v>
      </c>
      <c r="AM41" s="56" t="e">
        <f>IF(AND('Mapa final NC'!#REF!="Baja",'Mapa final NC'!#REF!="Catastrófico"),CONCATENATE("R6C",'Mapa final NC'!#REF!),"")</f>
        <v>#REF!</v>
      </c>
      <c r="AN41" s="82"/>
      <c r="AO41" s="497"/>
      <c r="AP41" s="498"/>
      <c r="AQ41" s="498"/>
      <c r="AR41" s="498"/>
      <c r="AS41" s="498"/>
      <c r="AT41" s="499"/>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78"/>
      <c r="C42" s="378"/>
      <c r="D42" s="379"/>
      <c r="E42" s="477"/>
      <c r="F42" s="476"/>
      <c r="G42" s="476"/>
      <c r="H42" s="476"/>
      <c r="I42" s="476"/>
      <c r="J42" s="75" t="str">
        <f>IF(AND('Mapa final NC'!$Y$40="Baja",'Mapa final NC'!$AA$40="Leve"),CONCATENATE("R7C",'Mapa final NC'!$O$40),"")</f>
        <v>R7C1</v>
      </c>
      <c r="K42" s="76" t="str">
        <f>IF(AND('Mapa final NC'!$Y$41="Baja",'Mapa final NC'!$AA$41="Leve"),CONCATENATE("R7C",'Mapa final NC'!$O$41),"")</f>
        <v/>
      </c>
      <c r="L42" s="76" t="e">
        <f>IF(AND('Mapa final NC'!#REF!="Baja",'Mapa final NC'!#REF!="Leve"),CONCATENATE("R7C",'Mapa final NC'!#REF!),"")</f>
        <v>#REF!</v>
      </c>
      <c r="M42" s="76" t="e">
        <f>IF(AND('Mapa final NC'!#REF!="Baja",'Mapa final NC'!#REF!="Leve"),CONCATENATE("R7C",'Mapa final NC'!#REF!),"")</f>
        <v>#REF!</v>
      </c>
      <c r="N42" s="76" t="e">
        <f>IF(AND('Mapa final NC'!#REF!="Baja",'Mapa final NC'!#REF!="Leve"),CONCATENATE("R7C",'Mapa final NC'!#REF!),"")</f>
        <v>#REF!</v>
      </c>
      <c r="O42" s="77" t="e">
        <f>IF(AND('Mapa final NC'!#REF!="Baja",'Mapa final NC'!#REF!="Leve"),CONCATENATE("R7C",'Mapa final NC'!#REF!),"")</f>
        <v>#REF!</v>
      </c>
      <c r="P42" s="66" t="str">
        <f>IF(AND('Mapa final NC'!$Y$40="Baja",'Mapa final NC'!$AA$40="Menor"),CONCATENATE("R7C",'Mapa final NC'!$O$40),"")</f>
        <v/>
      </c>
      <c r="Q42" s="67" t="str">
        <f>IF(AND('Mapa final NC'!$Y$41="Baja",'Mapa final NC'!$AA$41="Menor"),CONCATENATE("R7C",'Mapa final NC'!$O$41),"")</f>
        <v/>
      </c>
      <c r="R42" s="67" t="e">
        <f>IF(AND('Mapa final NC'!#REF!="Baja",'Mapa final NC'!#REF!="Menor"),CONCATENATE("R7C",'Mapa final NC'!#REF!),"")</f>
        <v>#REF!</v>
      </c>
      <c r="S42" s="67" t="e">
        <f>IF(AND('Mapa final NC'!#REF!="Baja",'Mapa final NC'!#REF!="Menor"),CONCATENATE("R7C",'Mapa final NC'!#REF!),"")</f>
        <v>#REF!</v>
      </c>
      <c r="T42" s="67" t="e">
        <f>IF(AND('Mapa final NC'!#REF!="Baja",'Mapa final NC'!#REF!="Menor"),CONCATENATE("R7C",'Mapa final NC'!#REF!),"")</f>
        <v>#REF!</v>
      </c>
      <c r="U42" s="68" t="e">
        <f>IF(AND('Mapa final NC'!#REF!="Baja",'Mapa final NC'!#REF!="Menor"),CONCATENATE("R7C",'Mapa final NC'!#REF!),"")</f>
        <v>#REF!</v>
      </c>
      <c r="V42" s="66" t="str">
        <f>IF(AND('Mapa final NC'!$Y$40="Baja",'Mapa final NC'!$AA$40="Moderado"),CONCATENATE("R7C",'Mapa final NC'!$O$40),"")</f>
        <v/>
      </c>
      <c r="W42" s="67" t="str">
        <f>IF(AND('Mapa final NC'!$Y$41="Baja",'Mapa final NC'!$AA$41="Moderado"),CONCATENATE("R7C",'Mapa final NC'!$O$41),"")</f>
        <v/>
      </c>
      <c r="X42" s="67" t="e">
        <f>IF(AND('Mapa final NC'!#REF!="Baja",'Mapa final NC'!#REF!="Moderado"),CONCATENATE("R7C",'Mapa final NC'!#REF!),"")</f>
        <v>#REF!</v>
      </c>
      <c r="Y42" s="67" t="e">
        <f>IF(AND('Mapa final NC'!#REF!="Baja",'Mapa final NC'!#REF!="Moderado"),CONCATENATE("R7C",'Mapa final NC'!#REF!),"")</f>
        <v>#REF!</v>
      </c>
      <c r="Z42" s="67" t="e">
        <f>IF(AND('Mapa final NC'!#REF!="Baja",'Mapa final NC'!#REF!="Moderado"),CONCATENATE("R7C",'Mapa final NC'!#REF!),"")</f>
        <v>#REF!</v>
      </c>
      <c r="AA42" s="68" t="e">
        <f>IF(AND('Mapa final NC'!#REF!="Baja",'Mapa final NC'!#REF!="Moderado"),CONCATENATE("R7C",'Mapa final NC'!#REF!),"")</f>
        <v>#REF!</v>
      </c>
      <c r="AB42" s="51" t="str">
        <f>IF(AND('Mapa final NC'!$Y$40="Baja",'Mapa final NC'!$AA$40="Mayor"),CONCATENATE("R7C",'Mapa final NC'!$O$40),"")</f>
        <v/>
      </c>
      <c r="AC42" s="52" t="str">
        <f>IF(AND('Mapa final NC'!$Y$41="Baja",'Mapa final NC'!$AA$41="Mayor"),CONCATENATE("R7C",'Mapa final NC'!$O$41),"")</f>
        <v/>
      </c>
      <c r="AD42" s="52" t="e">
        <f>IF(AND('Mapa final NC'!#REF!="Baja",'Mapa final NC'!#REF!="Mayor"),CONCATENATE("R7C",'Mapa final NC'!#REF!),"")</f>
        <v>#REF!</v>
      </c>
      <c r="AE42" s="52" t="e">
        <f>IF(AND('Mapa final NC'!#REF!="Baja",'Mapa final NC'!#REF!="Mayor"),CONCATENATE("R7C",'Mapa final NC'!#REF!),"")</f>
        <v>#REF!</v>
      </c>
      <c r="AF42" s="52" t="e">
        <f>IF(AND('Mapa final NC'!#REF!="Baja",'Mapa final NC'!#REF!="Mayor"),CONCATENATE("R7C",'Mapa final NC'!#REF!),"")</f>
        <v>#REF!</v>
      </c>
      <c r="AG42" s="53" t="e">
        <f>IF(AND('Mapa final NC'!#REF!="Baja",'Mapa final NC'!#REF!="Mayor"),CONCATENATE("R7C",'Mapa final NC'!#REF!),"")</f>
        <v>#REF!</v>
      </c>
      <c r="AH42" s="54" t="str">
        <f>IF(AND('Mapa final NC'!$Y$40="Baja",'Mapa final NC'!$AA$40="Catastrófico"),CONCATENATE("R7C",'Mapa final NC'!$O$40),"")</f>
        <v/>
      </c>
      <c r="AI42" s="55" t="str">
        <f>IF(AND('Mapa final NC'!$Y$41="Baja",'Mapa final NC'!$AA$41="Catastrófico"),CONCATENATE("R7C",'Mapa final NC'!$O$41),"")</f>
        <v/>
      </c>
      <c r="AJ42" s="55" t="e">
        <f>IF(AND('Mapa final NC'!#REF!="Baja",'Mapa final NC'!#REF!="Catastrófico"),CONCATENATE("R7C",'Mapa final NC'!#REF!),"")</f>
        <v>#REF!</v>
      </c>
      <c r="AK42" s="55" t="e">
        <f>IF(AND('Mapa final NC'!#REF!="Baja",'Mapa final NC'!#REF!="Catastrófico"),CONCATENATE("R7C",'Mapa final NC'!#REF!),"")</f>
        <v>#REF!</v>
      </c>
      <c r="AL42" s="55" t="e">
        <f>IF(AND('Mapa final NC'!#REF!="Baja",'Mapa final NC'!#REF!="Catastrófico"),CONCATENATE("R7C",'Mapa final NC'!#REF!),"")</f>
        <v>#REF!</v>
      </c>
      <c r="AM42" s="56" t="e">
        <f>IF(AND('Mapa final NC'!#REF!="Baja",'Mapa final NC'!#REF!="Catastrófico"),CONCATENATE("R7C",'Mapa final NC'!#REF!),"")</f>
        <v>#REF!</v>
      </c>
      <c r="AN42" s="82"/>
      <c r="AO42" s="497"/>
      <c r="AP42" s="498"/>
      <c r="AQ42" s="498"/>
      <c r="AR42" s="498"/>
      <c r="AS42" s="498"/>
      <c r="AT42" s="499"/>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78"/>
      <c r="C43" s="378"/>
      <c r="D43" s="379"/>
      <c r="E43" s="477"/>
      <c r="F43" s="476"/>
      <c r="G43" s="476"/>
      <c r="H43" s="476"/>
      <c r="I43" s="476"/>
      <c r="J43" s="75" t="str">
        <f>IF(AND('Mapa final NC'!$Y$42="Baja",'Mapa final NC'!$AA$42="Leve"),CONCATENATE("R8C",'Mapa final NC'!$O$42),"")</f>
        <v/>
      </c>
      <c r="K43" s="76" t="e">
        <f>IF(AND('Mapa final NC'!#REF!="Baja",'Mapa final NC'!#REF!="Leve"),CONCATENATE("R8C",'Mapa final NC'!#REF!),"")</f>
        <v>#REF!</v>
      </c>
      <c r="L43" s="76" t="e">
        <f>IF(AND('Mapa final NC'!#REF!="Baja",'Mapa final NC'!#REF!="Leve"),CONCATENATE("R8C",'Mapa final NC'!#REF!),"")</f>
        <v>#REF!</v>
      </c>
      <c r="M43" s="76" t="e">
        <f>IF(AND('Mapa final NC'!#REF!="Baja",'Mapa final NC'!#REF!="Leve"),CONCATENATE("R8C",'Mapa final NC'!#REF!),"")</f>
        <v>#REF!</v>
      </c>
      <c r="N43" s="76" t="e">
        <f>IF(AND('Mapa final NC'!#REF!="Baja",'Mapa final NC'!#REF!="Leve"),CONCATENATE("R8C",'Mapa final NC'!#REF!),"")</f>
        <v>#REF!</v>
      </c>
      <c r="O43" s="77" t="e">
        <f>IF(AND('Mapa final NC'!#REF!="Baja",'Mapa final NC'!#REF!="Leve"),CONCATENATE("R8C",'Mapa final NC'!#REF!),"")</f>
        <v>#REF!</v>
      </c>
      <c r="P43" s="66" t="str">
        <f>IF(AND('Mapa final NC'!$Y$42="Baja",'Mapa final NC'!$AA$42="Menor"),CONCATENATE("R8C",'Mapa final NC'!$O$42),"")</f>
        <v/>
      </c>
      <c r="Q43" s="67" t="e">
        <f>IF(AND('Mapa final NC'!#REF!="Baja",'Mapa final NC'!#REF!="Menor"),CONCATENATE("R8C",'Mapa final NC'!#REF!),"")</f>
        <v>#REF!</v>
      </c>
      <c r="R43" s="67" t="e">
        <f>IF(AND('Mapa final NC'!#REF!="Baja",'Mapa final NC'!#REF!="Menor"),CONCATENATE("R8C",'Mapa final NC'!#REF!),"")</f>
        <v>#REF!</v>
      </c>
      <c r="S43" s="67" t="e">
        <f>IF(AND('Mapa final NC'!#REF!="Baja",'Mapa final NC'!#REF!="Menor"),CONCATENATE("R8C",'Mapa final NC'!#REF!),"")</f>
        <v>#REF!</v>
      </c>
      <c r="T43" s="67" t="e">
        <f>IF(AND('Mapa final NC'!#REF!="Baja",'Mapa final NC'!#REF!="Menor"),CONCATENATE("R8C",'Mapa final NC'!#REF!),"")</f>
        <v>#REF!</v>
      </c>
      <c r="U43" s="68" t="e">
        <f>IF(AND('Mapa final NC'!#REF!="Baja",'Mapa final NC'!#REF!="Menor"),CONCATENATE("R8C",'Mapa final NC'!#REF!),"")</f>
        <v>#REF!</v>
      </c>
      <c r="V43" s="66" t="str">
        <f>IF(AND('Mapa final NC'!$Y$42="Baja",'Mapa final NC'!$AA$42="Moderado"),CONCATENATE("R8C",'Mapa final NC'!$O$42),"")</f>
        <v>R8C1</v>
      </c>
      <c r="W43" s="67" t="e">
        <f>IF(AND('Mapa final NC'!#REF!="Baja",'Mapa final NC'!#REF!="Moderado"),CONCATENATE("R8C",'Mapa final NC'!#REF!),"")</f>
        <v>#REF!</v>
      </c>
      <c r="X43" s="67" t="e">
        <f>IF(AND('Mapa final NC'!#REF!="Baja",'Mapa final NC'!#REF!="Moderado"),CONCATENATE("R8C",'Mapa final NC'!#REF!),"")</f>
        <v>#REF!</v>
      </c>
      <c r="Y43" s="67" t="e">
        <f>IF(AND('Mapa final NC'!#REF!="Baja",'Mapa final NC'!#REF!="Moderado"),CONCATENATE("R8C",'Mapa final NC'!#REF!),"")</f>
        <v>#REF!</v>
      </c>
      <c r="Z43" s="67" t="e">
        <f>IF(AND('Mapa final NC'!#REF!="Baja",'Mapa final NC'!#REF!="Moderado"),CONCATENATE("R8C",'Mapa final NC'!#REF!),"")</f>
        <v>#REF!</v>
      </c>
      <c r="AA43" s="68" t="e">
        <f>IF(AND('Mapa final NC'!#REF!="Baja",'Mapa final NC'!#REF!="Moderado"),CONCATENATE("R8C",'Mapa final NC'!#REF!),"")</f>
        <v>#REF!</v>
      </c>
      <c r="AB43" s="51" t="str">
        <f>IF(AND('Mapa final NC'!$Y$42="Baja",'Mapa final NC'!$AA$42="Mayor"),CONCATENATE("R8C",'Mapa final NC'!$O$42),"")</f>
        <v/>
      </c>
      <c r="AC43" s="52" t="e">
        <f>IF(AND('Mapa final NC'!#REF!="Baja",'Mapa final NC'!#REF!="Mayor"),CONCATENATE("R8C",'Mapa final NC'!#REF!),"")</f>
        <v>#REF!</v>
      </c>
      <c r="AD43" s="52" t="e">
        <f>IF(AND('Mapa final NC'!#REF!="Baja",'Mapa final NC'!#REF!="Mayor"),CONCATENATE("R8C",'Mapa final NC'!#REF!),"")</f>
        <v>#REF!</v>
      </c>
      <c r="AE43" s="52" t="e">
        <f>IF(AND('Mapa final NC'!#REF!="Baja",'Mapa final NC'!#REF!="Mayor"),CONCATENATE("R8C",'Mapa final NC'!#REF!),"")</f>
        <v>#REF!</v>
      </c>
      <c r="AF43" s="52" t="e">
        <f>IF(AND('Mapa final NC'!#REF!="Baja",'Mapa final NC'!#REF!="Mayor"),CONCATENATE("R8C",'Mapa final NC'!#REF!),"")</f>
        <v>#REF!</v>
      </c>
      <c r="AG43" s="53" t="e">
        <f>IF(AND('Mapa final NC'!#REF!="Baja",'Mapa final NC'!#REF!="Mayor"),CONCATENATE("R8C",'Mapa final NC'!#REF!),"")</f>
        <v>#REF!</v>
      </c>
      <c r="AH43" s="54" t="str">
        <f>IF(AND('Mapa final NC'!$Y$42="Baja",'Mapa final NC'!$AA$42="Catastrófico"),CONCATENATE("R8C",'Mapa final NC'!$O$42),"")</f>
        <v/>
      </c>
      <c r="AI43" s="55" t="e">
        <f>IF(AND('Mapa final NC'!#REF!="Baja",'Mapa final NC'!#REF!="Catastrófico"),CONCATENATE("R8C",'Mapa final NC'!#REF!),"")</f>
        <v>#REF!</v>
      </c>
      <c r="AJ43" s="55" t="e">
        <f>IF(AND('Mapa final NC'!#REF!="Baja",'Mapa final NC'!#REF!="Catastrófico"),CONCATENATE("R8C",'Mapa final NC'!#REF!),"")</f>
        <v>#REF!</v>
      </c>
      <c r="AK43" s="55" t="e">
        <f>IF(AND('Mapa final NC'!#REF!="Baja",'Mapa final NC'!#REF!="Catastrófico"),CONCATENATE("R8C",'Mapa final NC'!#REF!),"")</f>
        <v>#REF!</v>
      </c>
      <c r="AL43" s="55" t="e">
        <f>IF(AND('Mapa final NC'!#REF!="Baja",'Mapa final NC'!#REF!="Catastrófico"),CONCATENATE("R8C",'Mapa final NC'!#REF!),"")</f>
        <v>#REF!</v>
      </c>
      <c r="AM43" s="56" t="e">
        <f>IF(AND('Mapa final NC'!#REF!="Baja",'Mapa final NC'!#REF!="Catastrófico"),CONCATENATE("R8C",'Mapa final NC'!#REF!),"")</f>
        <v>#REF!</v>
      </c>
      <c r="AN43" s="82"/>
      <c r="AO43" s="497"/>
      <c r="AP43" s="498"/>
      <c r="AQ43" s="498"/>
      <c r="AR43" s="498"/>
      <c r="AS43" s="498"/>
      <c r="AT43" s="499"/>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78"/>
      <c r="C44" s="378"/>
      <c r="D44" s="379"/>
      <c r="E44" s="477"/>
      <c r="F44" s="476"/>
      <c r="G44" s="476"/>
      <c r="H44" s="476"/>
      <c r="I44" s="476"/>
      <c r="J44" s="75" t="str">
        <f>IF(AND('Mapa final NC'!$Y$43="Baja",'Mapa final NC'!$AA$43="Leve"),CONCATENATE("R9C",'Mapa final NC'!$O$43),"")</f>
        <v/>
      </c>
      <c r="K44" s="76" t="str">
        <f>IF(AND('Mapa final NC'!$Y$44="Baja",'Mapa final NC'!$AA$44="Leve"),CONCATENATE("R9C",'Mapa final NC'!$O$44),"")</f>
        <v/>
      </c>
      <c r="L44" s="76" t="e">
        <f>IF(AND('Mapa final NC'!#REF!="Baja",'Mapa final NC'!#REF!="Leve"),CONCATENATE("R9C",'Mapa final NC'!#REF!),"")</f>
        <v>#REF!</v>
      </c>
      <c r="M44" s="76" t="e">
        <f>IF(AND('Mapa final NC'!#REF!="Baja",'Mapa final NC'!#REF!="Leve"),CONCATENATE("R9C",'Mapa final NC'!#REF!),"")</f>
        <v>#REF!</v>
      </c>
      <c r="N44" s="76" t="e">
        <f>IF(AND('Mapa final NC'!#REF!="Baja",'Mapa final NC'!#REF!="Leve"),CONCATENATE("R9C",'Mapa final NC'!#REF!),"")</f>
        <v>#REF!</v>
      </c>
      <c r="O44" s="77" t="e">
        <f>IF(AND('Mapa final NC'!#REF!="Baja",'Mapa final NC'!#REF!="Leve"),CONCATENATE("R9C",'Mapa final NC'!#REF!),"")</f>
        <v>#REF!</v>
      </c>
      <c r="P44" s="66" t="str">
        <f>IF(AND('Mapa final NC'!$Y$43="Baja",'Mapa final NC'!$AA$43="Menor"),CONCATENATE("R9C",'Mapa final NC'!$O$43),"")</f>
        <v/>
      </c>
      <c r="Q44" s="67" t="str">
        <f>IF(AND('Mapa final NC'!$Y$44="Baja",'Mapa final NC'!$AA$44="Menor"),CONCATENATE("R9C",'Mapa final NC'!$O$44),"")</f>
        <v/>
      </c>
      <c r="R44" s="67" t="e">
        <f>IF(AND('Mapa final NC'!#REF!="Baja",'Mapa final NC'!#REF!="Menor"),CONCATENATE("R9C",'Mapa final NC'!#REF!),"")</f>
        <v>#REF!</v>
      </c>
      <c r="S44" s="67" t="e">
        <f>IF(AND('Mapa final NC'!#REF!="Baja",'Mapa final NC'!#REF!="Menor"),CONCATENATE("R9C",'Mapa final NC'!#REF!),"")</f>
        <v>#REF!</v>
      </c>
      <c r="T44" s="67" t="e">
        <f>IF(AND('Mapa final NC'!#REF!="Baja",'Mapa final NC'!#REF!="Menor"),CONCATENATE("R9C",'Mapa final NC'!#REF!),"")</f>
        <v>#REF!</v>
      </c>
      <c r="U44" s="68" t="e">
        <f>IF(AND('Mapa final NC'!#REF!="Baja",'Mapa final NC'!#REF!="Menor"),CONCATENATE("R9C",'Mapa final NC'!#REF!),"")</f>
        <v>#REF!</v>
      </c>
      <c r="V44" s="66" t="str">
        <f>IF(AND('Mapa final NC'!$Y$43="Baja",'Mapa final NC'!$AA$43="Moderado"),CONCATENATE("R9C",'Mapa final NC'!$O$43),"")</f>
        <v/>
      </c>
      <c r="W44" s="67" t="str">
        <f>IF(AND('Mapa final NC'!$Y$44="Baja",'Mapa final NC'!$AA$44="Moderado"),CONCATENATE("R9C",'Mapa final NC'!$O$44),"")</f>
        <v/>
      </c>
      <c r="X44" s="67" t="e">
        <f>IF(AND('Mapa final NC'!#REF!="Baja",'Mapa final NC'!#REF!="Moderado"),CONCATENATE("R9C",'Mapa final NC'!#REF!),"")</f>
        <v>#REF!</v>
      </c>
      <c r="Y44" s="67" t="e">
        <f>IF(AND('Mapa final NC'!#REF!="Baja",'Mapa final NC'!#REF!="Moderado"),CONCATENATE("R9C",'Mapa final NC'!#REF!),"")</f>
        <v>#REF!</v>
      </c>
      <c r="Z44" s="67" t="e">
        <f>IF(AND('Mapa final NC'!#REF!="Baja",'Mapa final NC'!#REF!="Moderado"),CONCATENATE("R9C",'Mapa final NC'!#REF!),"")</f>
        <v>#REF!</v>
      </c>
      <c r="AA44" s="68" t="e">
        <f>IF(AND('Mapa final NC'!#REF!="Baja",'Mapa final NC'!#REF!="Moderado"),CONCATENATE("R9C",'Mapa final NC'!#REF!),"")</f>
        <v>#REF!</v>
      </c>
      <c r="AB44" s="51" t="str">
        <f>IF(AND('Mapa final NC'!$Y$43="Baja",'Mapa final NC'!$AA$43="Mayor"),CONCATENATE("R9C",'Mapa final NC'!$O$43),"")</f>
        <v/>
      </c>
      <c r="AC44" s="52" t="str">
        <f>IF(AND('Mapa final NC'!$Y$44="Baja",'Mapa final NC'!$AA$44="Mayor"),CONCATENATE("R9C",'Mapa final NC'!$O$44),"")</f>
        <v/>
      </c>
      <c r="AD44" s="52" t="e">
        <f>IF(AND('Mapa final NC'!#REF!="Baja",'Mapa final NC'!#REF!="Mayor"),CONCATENATE("R9C",'Mapa final NC'!#REF!),"")</f>
        <v>#REF!</v>
      </c>
      <c r="AE44" s="52" t="e">
        <f>IF(AND('Mapa final NC'!#REF!="Baja",'Mapa final NC'!#REF!="Mayor"),CONCATENATE("R9C",'Mapa final NC'!#REF!),"")</f>
        <v>#REF!</v>
      </c>
      <c r="AF44" s="52" t="e">
        <f>IF(AND('Mapa final NC'!#REF!="Baja",'Mapa final NC'!#REF!="Mayor"),CONCATENATE("R9C",'Mapa final NC'!#REF!),"")</f>
        <v>#REF!</v>
      </c>
      <c r="AG44" s="53" t="e">
        <f>IF(AND('Mapa final NC'!#REF!="Baja",'Mapa final NC'!#REF!="Mayor"),CONCATENATE("R9C",'Mapa final NC'!#REF!),"")</f>
        <v>#REF!</v>
      </c>
      <c r="AH44" s="54" t="str">
        <f>IF(AND('Mapa final NC'!$Y$43="Baja",'Mapa final NC'!$AA$43="Catastrófico"),CONCATENATE("R9C",'Mapa final NC'!$O$43),"")</f>
        <v/>
      </c>
      <c r="AI44" s="55" t="str">
        <f>IF(AND('Mapa final NC'!$Y$44="Baja",'Mapa final NC'!$AA$44="Catastrófico"),CONCATENATE("R9C",'Mapa final NC'!$O$44),"")</f>
        <v/>
      </c>
      <c r="AJ44" s="55" t="e">
        <f>IF(AND('Mapa final NC'!#REF!="Baja",'Mapa final NC'!#REF!="Catastrófico"),CONCATENATE("R9C",'Mapa final NC'!#REF!),"")</f>
        <v>#REF!</v>
      </c>
      <c r="AK44" s="55" t="e">
        <f>IF(AND('Mapa final NC'!#REF!="Baja",'Mapa final NC'!#REF!="Catastrófico"),CONCATENATE("R9C",'Mapa final NC'!#REF!),"")</f>
        <v>#REF!</v>
      </c>
      <c r="AL44" s="55" t="e">
        <f>IF(AND('Mapa final NC'!#REF!="Baja",'Mapa final NC'!#REF!="Catastrófico"),CONCATENATE("R9C",'Mapa final NC'!#REF!),"")</f>
        <v>#REF!</v>
      </c>
      <c r="AM44" s="56" t="e">
        <f>IF(AND('Mapa final NC'!#REF!="Baja",'Mapa final NC'!#REF!="Catastrófico"),CONCATENATE("R9C",'Mapa final NC'!#REF!),"")</f>
        <v>#REF!</v>
      </c>
      <c r="AN44" s="82"/>
      <c r="AO44" s="497"/>
      <c r="AP44" s="498"/>
      <c r="AQ44" s="498"/>
      <c r="AR44" s="498"/>
      <c r="AS44" s="498"/>
      <c r="AT44" s="499"/>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78"/>
      <c r="C45" s="378"/>
      <c r="D45" s="379"/>
      <c r="E45" s="478"/>
      <c r="F45" s="479"/>
      <c r="G45" s="479"/>
      <c r="H45" s="479"/>
      <c r="I45" s="479"/>
      <c r="J45" s="78" t="str">
        <f>IF(AND('Mapa final NC'!$Y$45="Baja",'Mapa final NC'!$AA$45="Leve"),CONCATENATE("R10C",'Mapa final NC'!$O$45),"")</f>
        <v/>
      </c>
      <c r="K45" s="79" t="str">
        <f>IF(AND('Mapa final NC'!$Y$46="Baja",'Mapa final NC'!$AA$46="Leve"),CONCATENATE("R10C",'Mapa final NC'!$O$46),"")</f>
        <v>R10C2</v>
      </c>
      <c r="L45" s="79" t="str">
        <f>IF(AND('Mapa final NC'!$Y$47="Baja",'Mapa final NC'!$AA$47="Leve"),CONCATENATE("R10C",'Mapa final NC'!$O$47),"")</f>
        <v/>
      </c>
      <c r="M45" s="79" t="e">
        <f>IF(AND('Mapa final NC'!#REF!="Baja",'Mapa final NC'!#REF!="Leve"),CONCATENATE("R10C",'Mapa final NC'!#REF!),"")</f>
        <v>#REF!</v>
      </c>
      <c r="N45" s="79" t="e">
        <f>IF(AND('Mapa final NC'!#REF!="Baja",'Mapa final NC'!#REF!="Leve"),CONCATENATE("R10C",'Mapa final NC'!#REF!),"")</f>
        <v>#REF!</v>
      </c>
      <c r="O45" s="80" t="e">
        <f>IF(AND('Mapa final NC'!#REF!="Baja",'Mapa final NC'!#REF!="Leve"),CONCATENATE("R10C",'Mapa final NC'!#REF!),"")</f>
        <v>#REF!</v>
      </c>
      <c r="P45" s="66" t="str">
        <f>IF(AND('Mapa final NC'!$Y$45="Baja",'Mapa final NC'!$AA$45="Menor"),CONCATENATE("R10C",'Mapa final NC'!$O$45),"")</f>
        <v/>
      </c>
      <c r="Q45" s="67" t="str">
        <f>IF(AND('Mapa final NC'!$Y$46="Baja",'Mapa final NC'!$AA$46="Menor"),CONCATENATE("R10C",'Mapa final NC'!$O$46),"")</f>
        <v/>
      </c>
      <c r="R45" s="67" t="str">
        <f>IF(AND('Mapa final NC'!$Y$47="Baja",'Mapa final NC'!$AA$47="Menor"),CONCATENATE("R10C",'Mapa final NC'!$O$47),"")</f>
        <v/>
      </c>
      <c r="S45" s="67" t="e">
        <f>IF(AND('Mapa final NC'!#REF!="Baja",'Mapa final NC'!#REF!="Menor"),CONCATENATE("R10C",'Mapa final NC'!#REF!),"")</f>
        <v>#REF!</v>
      </c>
      <c r="T45" s="67" t="e">
        <f>IF(AND('Mapa final NC'!#REF!="Baja",'Mapa final NC'!#REF!="Menor"),CONCATENATE("R10C",'Mapa final NC'!#REF!),"")</f>
        <v>#REF!</v>
      </c>
      <c r="U45" s="68" t="e">
        <f>IF(AND('Mapa final NC'!#REF!="Baja",'Mapa final NC'!#REF!="Menor"),CONCATENATE("R10C",'Mapa final NC'!#REF!),"")</f>
        <v>#REF!</v>
      </c>
      <c r="V45" s="69" t="str">
        <f>IF(AND('Mapa final NC'!$Y$45="Baja",'Mapa final NC'!$AA$45="Moderado"),CONCATENATE("R10C",'Mapa final NC'!$O$45),"")</f>
        <v/>
      </c>
      <c r="W45" s="70" t="str">
        <f>IF(AND('Mapa final NC'!$Y$46="Baja",'Mapa final NC'!$AA$46="Moderado"),CONCATENATE("R10C",'Mapa final NC'!$O$46),"")</f>
        <v/>
      </c>
      <c r="X45" s="70" t="str">
        <f>IF(AND('Mapa final NC'!$Y$47="Baja",'Mapa final NC'!$AA$47="Moderado"),CONCATENATE("R10C",'Mapa final NC'!$O$47),"")</f>
        <v/>
      </c>
      <c r="Y45" s="70" t="e">
        <f>IF(AND('Mapa final NC'!#REF!="Baja",'Mapa final NC'!#REF!="Moderado"),CONCATENATE("R10C",'Mapa final NC'!#REF!),"")</f>
        <v>#REF!</v>
      </c>
      <c r="Z45" s="70" t="e">
        <f>IF(AND('Mapa final NC'!#REF!="Baja",'Mapa final NC'!#REF!="Moderado"),CONCATENATE("R10C",'Mapa final NC'!#REF!),"")</f>
        <v>#REF!</v>
      </c>
      <c r="AA45" s="71" t="e">
        <f>IF(AND('Mapa final NC'!#REF!="Baja",'Mapa final NC'!#REF!="Moderado"),CONCATENATE("R10C",'Mapa final NC'!#REF!),"")</f>
        <v>#REF!</v>
      </c>
      <c r="AB45" s="57" t="str">
        <f>IF(AND('Mapa final NC'!$Y$45="Baja",'Mapa final NC'!$AA$45="Mayor"),CONCATENATE("R10C",'Mapa final NC'!$O$45),"")</f>
        <v/>
      </c>
      <c r="AC45" s="58" t="str">
        <f>IF(AND('Mapa final NC'!$Y$46="Baja",'Mapa final NC'!$AA$46="Mayor"),CONCATENATE("R10C",'Mapa final NC'!$O$46),"")</f>
        <v/>
      </c>
      <c r="AD45" s="58" t="str">
        <f>IF(AND('Mapa final NC'!$Y$47="Baja",'Mapa final NC'!$AA$47="Mayor"),CONCATENATE("R10C",'Mapa final NC'!$O$47),"")</f>
        <v/>
      </c>
      <c r="AE45" s="58" t="e">
        <f>IF(AND('Mapa final NC'!#REF!="Baja",'Mapa final NC'!#REF!="Mayor"),CONCATENATE("R10C",'Mapa final NC'!#REF!),"")</f>
        <v>#REF!</v>
      </c>
      <c r="AF45" s="58" t="e">
        <f>IF(AND('Mapa final NC'!#REF!="Baja",'Mapa final NC'!#REF!="Mayor"),CONCATENATE("R10C",'Mapa final NC'!#REF!),"")</f>
        <v>#REF!</v>
      </c>
      <c r="AG45" s="59" t="e">
        <f>IF(AND('Mapa final NC'!#REF!="Baja",'Mapa final NC'!#REF!="Mayor"),CONCATENATE("R10C",'Mapa final NC'!#REF!),"")</f>
        <v>#REF!</v>
      </c>
      <c r="AH45" s="60" t="str">
        <f>IF(AND('Mapa final NC'!$Y$45="Baja",'Mapa final NC'!$AA$45="Catastrófico"),CONCATENATE("R10C",'Mapa final NC'!$O$45),"")</f>
        <v/>
      </c>
      <c r="AI45" s="61" t="str">
        <f>IF(AND('Mapa final NC'!$Y$46="Baja",'Mapa final NC'!$AA$46="Catastrófico"),CONCATENATE("R10C",'Mapa final NC'!$O$46),"")</f>
        <v/>
      </c>
      <c r="AJ45" s="61" t="str">
        <f>IF(AND('Mapa final NC'!$Y$47="Baja",'Mapa final NC'!$AA$47="Catastrófico"),CONCATENATE("R10C",'Mapa final NC'!$O$47),"")</f>
        <v/>
      </c>
      <c r="AK45" s="61" t="e">
        <f>IF(AND('Mapa final NC'!#REF!="Baja",'Mapa final NC'!#REF!="Catastrófico"),CONCATENATE("R10C",'Mapa final NC'!#REF!),"")</f>
        <v>#REF!</v>
      </c>
      <c r="AL45" s="61" t="e">
        <f>IF(AND('Mapa final NC'!#REF!="Baja",'Mapa final NC'!#REF!="Catastrófico"),CONCATENATE("R10C",'Mapa final NC'!#REF!),"")</f>
        <v>#REF!</v>
      </c>
      <c r="AM45" s="62" t="e">
        <f>IF(AND('Mapa final NC'!#REF!="Baja",'Mapa final NC'!#REF!="Catastrófico"),CONCATENATE("R10C",'Mapa final NC'!#REF!),"")</f>
        <v>#REF!</v>
      </c>
      <c r="AN45" s="82"/>
      <c r="AO45" s="500"/>
      <c r="AP45" s="501"/>
      <c r="AQ45" s="501"/>
      <c r="AR45" s="501"/>
      <c r="AS45" s="501"/>
      <c r="AT45" s="502"/>
    </row>
    <row r="46" spans="1:80" ht="46.5" customHeight="1" x14ac:dyDescent="0.35">
      <c r="A46" s="82"/>
      <c r="B46" s="378"/>
      <c r="C46" s="378"/>
      <c r="D46" s="379"/>
      <c r="E46" s="473" t="s">
        <v>100</v>
      </c>
      <c r="F46" s="474"/>
      <c r="G46" s="474"/>
      <c r="H46" s="474"/>
      <c r="I46" s="491"/>
      <c r="J46" s="72" t="str">
        <f>IF(AND('Mapa final NC'!$Y$30="Muy Baja",'Mapa final NC'!$AA$30="Leve"),CONCATENATE("R1C",'Mapa final NC'!$O$30),"")</f>
        <v/>
      </c>
      <c r="K46" s="73" t="e">
        <f>IF(AND('Mapa final NC'!#REF!="Muy Baja",'Mapa final NC'!#REF!="Leve"),CONCATENATE("R1C",'Mapa final NC'!#REF!),"")</f>
        <v>#REF!</v>
      </c>
      <c r="L46" s="73" t="e">
        <f>IF(AND('Mapa final NC'!#REF!="Muy Baja",'Mapa final NC'!#REF!="Leve"),CONCATENATE("R1C",'Mapa final NC'!#REF!),"")</f>
        <v>#REF!</v>
      </c>
      <c r="M46" s="73" t="e">
        <f>IF(AND('Mapa final NC'!#REF!="Muy Baja",'Mapa final NC'!#REF!="Leve"),CONCATENATE("R1C",'Mapa final NC'!#REF!),"")</f>
        <v>#REF!</v>
      </c>
      <c r="N46" s="73" t="e">
        <f>IF(AND('Mapa final NC'!#REF!="Muy Baja",'Mapa final NC'!#REF!="Leve"),CONCATENATE("R1C",'Mapa final NC'!#REF!),"")</f>
        <v>#REF!</v>
      </c>
      <c r="O46" s="74" t="e">
        <f>IF(AND('Mapa final NC'!#REF!="Muy Baja",'Mapa final NC'!#REF!="Leve"),CONCATENATE("R1C",'Mapa final NC'!#REF!),"")</f>
        <v>#REF!</v>
      </c>
      <c r="P46" s="72" t="str">
        <f>IF(AND('Mapa final NC'!$Y$30="Muy Baja",'Mapa final NC'!$AA$30="Menor"),CONCATENATE("R1C",'Mapa final NC'!$O$30),"")</f>
        <v/>
      </c>
      <c r="Q46" s="73" t="e">
        <f>IF(AND('Mapa final NC'!#REF!="Muy Baja",'Mapa final NC'!#REF!="Menor"),CONCATENATE("R1C",'Mapa final NC'!#REF!),"")</f>
        <v>#REF!</v>
      </c>
      <c r="R46" s="73" t="e">
        <f>IF(AND('Mapa final NC'!#REF!="Muy Baja",'Mapa final NC'!#REF!="Menor"),CONCATENATE("R1C",'Mapa final NC'!#REF!),"")</f>
        <v>#REF!</v>
      </c>
      <c r="S46" s="73" t="e">
        <f>IF(AND('Mapa final NC'!#REF!="Muy Baja",'Mapa final NC'!#REF!="Menor"),CONCATENATE("R1C",'Mapa final NC'!#REF!),"")</f>
        <v>#REF!</v>
      </c>
      <c r="T46" s="73" t="e">
        <f>IF(AND('Mapa final NC'!#REF!="Muy Baja",'Mapa final NC'!#REF!="Menor"),CONCATENATE("R1C",'Mapa final NC'!#REF!),"")</f>
        <v>#REF!</v>
      </c>
      <c r="U46" s="74" t="e">
        <f>IF(AND('Mapa final NC'!#REF!="Muy Baja",'Mapa final NC'!#REF!="Menor"),CONCATENATE("R1C",'Mapa final NC'!#REF!),"")</f>
        <v>#REF!</v>
      </c>
      <c r="V46" s="63" t="str">
        <f>IF(AND('Mapa final NC'!$Y$30="Muy Baja",'Mapa final NC'!$AA$30="Moderado"),CONCATENATE("R1C",'Mapa final NC'!$O$30),"")</f>
        <v/>
      </c>
      <c r="W46" s="81" t="e">
        <f>IF(AND('Mapa final NC'!#REF!="Muy Baja",'Mapa final NC'!#REF!="Moderado"),CONCATENATE("R1C",'Mapa final NC'!#REF!),"")</f>
        <v>#REF!</v>
      </c>
      <c r="X46" s="64" t="e">
        <f>IF(AND('Mapa final NC'!#REF!="Muy Baja",'Mapa final NC'!#REF!="Moderado"),CONCATENATE("R1C",'Mapa final NC'!#REF!),"")</f>
        <v>#REF!</v>
      </c>
      <c r="Y46" s="64" t="e">
        <f>IF(AND('Mapa final NC'!#REF!="Muy Baja",'Mapa final NC'!#REF!="Moderado"),CONCATENATE("R1C",'Mapa final NC'!#REF!),"")</f>
        <v>#REF!</v>
      </c>
      <c r="Z46" s="64" t="e">
        <f>IF(AND('Mapa final NC'!#REF!="Muy Baja",'Mapa final NC'!#REF!="Moderado"),CONCATENATE("R1C",'Mapa final NC'!#REF!),"")</f>
        <v>#REF!</v>
      </c>
      <c r="AA46" s="65" t="e">
        <f>IF(AND('Mapa final NC'!#REF!="Muy Baja",'Mapa final NC'!#REF!="Moderado"),CONCATENATE("R1C",'Mapa final NC'!#REF!),"")</f>
        <v>#REF!</v>
      </c>
      <c r="AB46" s="45" t="str">
        <f>IF(AND('Mapa final NC'!$Y$30="Muy Baja",'Mapa final NC'!$AA$30="Mayor"),CONCATENATE("R1C",'Mapa final NC'!$O$30),"")</f>
        <v/>
      </c>
      <c r="AC46" s="46" t="e">
        <f>IF(AND('Mapa final NC'!#REF!="Muy Baja",'Mapa final NC'!#REF!="Mayor"),CONCATENATE("R1C",'Mapa final NC'!#REF!),"")</f>
        <v>#REF!</v>
      </c>
      <c r="AD46" s="46" t="e">
        <f>IF(AND('Mapa final NC'!#REF!="Muy Baja",'Mapa final NC'!#REF!="Mayor"),CONCATENATE("R1C",'Mapa final NC'!#REF!),"")</f>
        <v>#REF!</v>
      </c>
      <c r="AE46" s="46" t="e">
        <f>IF(AND('Mapa final NC'!#REF!="Muy Baja",'Mapa final NC'!#REF!="Mayor"),CONCATENATE("R1C",'Mapa final NC'!#REF!),"")</f>
        <v>#REF!</v>
      </c>
      <c r="AF46" s="46" t="e">
        <f>IF(AND('Mapa final NC'!#REF!="Muy Baja",'Mapa final NC'!#REF!="Mayor"),CONCATENATE("R1C",'Mapa final NC'!#REF!),"")</f>
        <v>#REF!</v>
      </c>
      <c r="AG46" s="47" t="e">
        <f>IF(AND('Mapa final NC'!#REF!="Muy Baja",'Mapa final NC'!#REF!="Mayor"),CONCATENATE("R1C",'Mapa final NC'!#REF!),"")</f>
        <v>#REF!</v>
      </c>
      <c r="AH46" s="48" t="str">
        <f>IF(AND('Mapa final NC'!$Y$30="Muy Baja",'Mapa final NC'!$AA$30="Catastrófico"),CONCATENATE("R1C",'Mapa final NC'!$O$30),"")</f>
        <v/>
      </c>
      <c r="AI46" s="49" t="e">
        <f>IF(AND('Mapa final NC'!#REF!="Muy Baja",'Mapa final NC'!#REF!="Catastrófico"),CONCATENATE("R1C",'Mapa final NC'!#REF!),"")</f>
        <v>#REF!</v>
      </c>
      <c r="AJ46" s="49" t="e">
        <f>IF(AND('Mapa final NC'!#REF!="Muy Baja",'Mapa final NC'!#REF!="Catastrófico"),CONCATENATE("R1C",'Mapa final NC'!#REF!),"")</f>
        <v>#REF!</v>
      </c>
      <c r="AK46" s="49" t="e">
        <f>IF(AND('Mapa final NC'!#REF!="Muy Baja",'Mapa final NC'!#REF!="Catastrófico"),CONCATENATE("R1C",'Mapa final NC'!#REF!),"")</f>
        <v>#REF!</v>
      </c>
      <c r="AL46" s="49" t="e">
        <f>IF(AND('Mapa final NC'!#REF!="Muy Baja",'Mapa final NC'!#REF!="Catastrófico"),CONCATENATE("R1C",'Mapa final NC'!#REF!),"")</f>
        <v>#REF!</v>
      </c>
      <c r="AM46" s="50" t="e">
        <f>IF(AND('Mapa final NC'!#REF!="Muy Baja",'Mapa final NC'!#REF!="Catastrófico"),CONCATENATE("R1C",'Mapa final NC'!#REF!),"")</f>
        <v>#REF!</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78"/>
      <c r="C47" s="378"/>
      <c r="D47" s="379"/>
      <c r="E47" s="475"/>
      <c r="F47" s="476"/>
      <c r="G47" s="476"/>
      <c r="H47" s="476"/>
      <c r="I47" s="492"/>
      <c r="J47" s="75" t="str">
        <f>IF(AND('Mapa final NC'!$Y$31="Muy Baja",'Mapa final NC'!$AA$31="Leve"),CONCATENATE("R2C",'Mapa final NC'!$O$31),"")</f>
        <v/>
      </c>
      <c r="K47" s="76" t="str">
        <f>IF(AND('Mapa final NC'!$Y$32="Muy Baja",'Mapa final NC'!$AA$32="Leve"),CONCATENATE("R2C",'Mapa final NC'!$O$32),"")</f>
        <v/>
      </c>
      <c r="L47" s="76" t="str">
        <f>IF(AND('Mapa final NC'!$Y$33="Muy Baja",'Mapa final NC'!$AA$33="Leve"),CONCATENATE("R2C",'Mapa final NC'!$O$33),"")</f>
        <v/>
      </c>
      <c r="M47" s="76" t="e">
        <f>IF(AND('Mapa final NC'!#REF!="Muy Baja",'Mapa final NC'!#REF!="Leve"),CONCATENATE("R2C",'Mapa final NC'!#REF!),"")</f>
        <v>#REF!</v>
      </c>
      <c r="N47" s="76" t="e">
        <f>IF(AND('Mapa final NC'!#REF!="Muy Baja",'Mapa final NC'!#REF!="Leve"),CONCATENATE("R2C",'Mapa final NC'!#REF!),"")</f>
        <v>#REF!</v>
      </c>
      <c r="O47" s="77" t="e">
        <f>IF(AND('Mapa final NC'!#REF!="Muy Baja",'Mapa final NC'!#REF!="Leve"),CONCATENATE("R2C",'Mapa final NC'!#REF!),"")</f>
        <v>#REF!</v>
      </c>
      <c r="P47" s="75" t="str">
        <f>IF(AND('Mapa final NC'!$Y$31="Muy Baja",'Mapa final NC'!$AA$31="Menor"),CONCATENATE("R2C",'Mapa final NC'!$O$31),"")</f>
        <v/>
      </c>
      <c r="Q47" s="76" t="str">
        <f>IF(AND('Mapa final NC'!$Y$32="Muy Baja",'Mapa final NC'!$AA$32="Menor"),CONCATENATE("R2C",'Mapa final NC'!$O$32),"")</f>
        <v/>
      </c>
      <c r="R47" s="76" t="str">
        <f>IF(AND('Mapa final NC'!$Y$33="Muy Baja",'Mapa final NC'!$AA$33="Menor"),CONCATENATE("R2C",'Mapa final NC'!$O$33),"")</f>
        <v/>
      </c>
      <c r="S47" s="76" t="e">
        <f>IF(AND('Mapa final NC'!#REF!="Muy Baja",'Mapa final NC'!#REF!="Menor"),CONCATENATE("R2C",'Mapa final NC'!#REF!),"")</f>
        <v>#REF!</v>
      </c>
      <c r="T47" s="76" t="e">
        <f>IF(AND('Mapa final NC'!#REF!="Muy Baja",'Mapa final NC'!#REF!="Menor"),CONCATENATE("R2C",'Mapa final NC'!#REF!),"")</f>
        <v>#REF!</v>
      </c>
      <c r="U47" s="77" t="e">
        <f>IF(AND('Mapa final NC'!#REF!="Muy Baja",'Mapa final NC'!#REF!="Menor"),CONCATENATE("R2C",'Mapa final NC'!#REF!),"")</f>
        <v>#REF!</v>
      </c>
      <c r="V47" s="66" t="str">
        <f>IF(AND('Mapa final NC'!$Y$31="Muy Baja",'Mapa final NC'!$AA$31="Moderado"),CONCATENATE("R2C",'Mapa final NC'!$O$31),"")</f>
        <v/>
      </c>
      <c r="W47" s="67" t="str">
        <f>IF(AND('Mapa final NC'!$Y$32="Muy Baja",'Mapa final NC'!$AA$32="Moderado"),CONCATENATE("R2C",'Mapa final NC'!$O$32),"")</f>
        <v/>
      </c>
      <c r="X47" s="67" t="str">
        <f>IF(AND('Mapa final NC'!$Y$33="Muy Baja",'Mapa final NC'!$AA$33="Moderado"),CONCATENATE("R2C",'Mapa final NC'!$O$33),"")</f>
        <v/>
      </c>
      <c r="Y47" s="67" t="e">
        <f>IF(AND('Mapa final NC'!#REF!="Muy Baja",'Mapa final NC'!#REF!="Moderado"),CONCATENATE("R2C",'Mapa final NC'!#REF!),"")</f>
        <v>#REF!</v>
      </c>
      <c r="Z47" s="67" t="e">
        <f>IF(AND('Mapa final NC'!#REF!="Muy Baja",'Mapa final NC'!#REF!="Moderado"),CONCATENATE("R2C",'Mapa final NC'!#REF!),"")</f>
        <v>#REF!</v>
      </c>
      <c r="AA47" s="68" t="e">
        <f>IF(AND('Mapa final NC'!#REF!="Muy Baja",'Mapa final NC'!#REF!="Moderado"),CONCATENATE("R2C",'Mapa final NC'!#REF!),"")</f>
        <v>#REF!</v>
      </c>
      <c r="AB47" s="51" t="str">
        <f>IF(AND('Mapa final NC'!$Y$31="Muy Baja",'Mapa final NC'!$AA$31="Mayor"),CONCATENATE("R2C",'Mapa final NC'!$O$31),"")</f>
        <v/>
      </c>
      <c r="AC47" s="52" t="str">
        <f>IF(AND('Mapa final NC'!$Y$32="Muy Baja",'Mapa final NC'!$AA$32="Mayor"),CONCATENATE("R2C",'Mapa final NC'!$O$32),"")</f>
        <v/>
      </c>
      <c r="AD47" s="52" t="str">
        <f>IF(AND('Mapa final NC'!$Y$33="Muy Baja",'Mapa final NC'!$AA$33="Mayor"),CONCATENATE("R2C",'Mapa final NC'!$O$33),"")</f>
        <v/>
      </c>
      <c r="AE47" s="52" t="e">
        <f>IF(AND('Mapa final NC'!#REF!="Muy Baja",'Mapa final NC'!#REF!="Mayor"),CONCATENATE("R2C",'Mapa final NC'!#REF!),"")</f>
        <v>#REF!</v>
      </c>
      <c r="AF47" s="52" t="e">
        <f>IF(AND('Mapa final NC'!#REF!="Muy Baja",'Mapa final NC'!#REF!="Mayor"),CONCATENATE("R2C",'Mapa final NC'!#REF!),"")</f>
        <v>#REF!</v>
      </c>
      <c r="AG47" s="53" t="e">
        <f>IF(AND('Mapa final NC'!#REF!="Muy Baja",'Mapa final NC'!#REF!="Mayor"),CONCATENATE("R2C",'Mapa final NC'!#REF!),"")</f>
        <v>#REF!</v>
      </c>
      <c r="AH47" s="54" t="str">
        <f>IF(AND('Mapa final NC'!$Y$31="Muy Baja",'Mapa final NC'!$AA$31="Catastrófico"),CONCATENATE("R2C",'Mapa final NC'!$O$31),"")</f>
        <v/>
      </c>
      <c r="AI47" s="55" t="str">
        <f>IF(AND('Mapa final NC'!$Y$32="Muy Baja",'Mapa final NC'!$AA$32="Catastrófico"),CONCATENATE("R2C",'Mapa final NC'!$O$32),"")</f>
        <v/>
      </c>
      <c r="AJ47" s="55" t="str">
        <f>IF(AND('Mapa final NC'!$Y$33="Muy Baja",'Mapa final NC'!$AA$33="Catastrófico"),CONCATENATE("R2C",'Mapa final NC'!$O$33),"")</f>
        <v/>
      </c>
      <c r="AK47" s="55" t="e">
        <f>IF(AND('Mapa final NC'!#REF!="Muy Baja",'Mapa final NC'!#REF!="Catastrófico"),CONCATENATE("R2C",'Mapa final NC'!#REF!),"")</f>
        <v>#REF!</v>
      </c>
      <c r="AL47" s="55" t="e">
        <f>IF(AND('Mapa final NC'!#REF!="Muy Baja",'Mapa final NC'!#REF!="Catastrófico"),CONCATENATE("R2C",'Mapa final NC'!#REF!),"")</f>
        <v>#REF!</v>
      </c>
      <c r="AM47" s="56" t="e">
        <f>IF(AND('Mapa final NC'!#REF!="Muy Baja",'Mapa final NC'!#REF!="Catastrófico"),CONCATENATE("R2C",'Mapa final NC'!#REF!),"")</f>
        <v>#REF!</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78"/>
      <c r="C48" s="378"/>
      <c r="D48" s="379"/>
      <c r="E48" s="475"/>
      <c r="F48" s="476"/>
      <c r="G48" s="476"/>
      <c r="H48" s="476"/>
      <c r="I48" s="492"/>
      <c r="J48" s="75" t="str">
        <f>IF(AND('Mapa final NC'!$Y$34="Muy Baja",'Mapa final NC'!$AA$34="Leve"),CONCATENATE("R3C",'Mapa final NC'!$O$34),"")</f>
        <v/>
      </c>
      <c r="K48" s="76" t="str">
        <f>IF(AND('Mapa final NC'!$Y$35="Muy Baja",'Mapa final NC'!$AA$35="Leve"),CONCATENATE("R3C",'Mapa final NC'!$O$35),"")</f>
        <v/>
      </c>
      <c r="L48" s="76" t="str">
        <f>IF(AND('Mapa final NC'!$Y$36="Muy Baja",'Mapa final NC'!$AA$36="Leve"),CONCATENATE("R3C",'Mapa final NC'!$O$36),"")</f>
        <v/>
      </c>
      <c r="M48" s="76" t="e">
        <f>IF(AND('Mapa final NC'!#REF!="Muy Baja",'Mapa final NC'!#REF!="Leve"),CONCATENATE("R3C",'Mapa final NC'!#REF!),"")</f>
        <v>#REF!</v>
      </c>
      <c r="N48" s="76" t="e">
        <f>IF(AND('Mapa final NC'!#REF!="Muy Baja",'Mapa final NC'!#REF!="Leve"),CONCATENATE("R3C",'Mapa final NC'!#REF!),"")</f>
        <v>#REF!</v>
      </c>
      <c r="O48" s="77" t="e">
        <f>IF(AND('Mapa final NC'!#REF!="Muy Baja",'Mapa final NC'!#REF!="Leve"),CONCATENATE("R3C",'Mapa final NC'!#REF!),"")</f>
        <v>#REF!</v>
      </c>
      <c r="P48" s="75" t="str">
        <f>IF(AND('Mapa final NC'!$Y$34="Muy Baja",'Mapa final NC'!$AA$34="Menor"),CONCATENATE("R3C",'Mapa final NC'!$O$34),"")</f>
        <v/>
      </c>
      <c r="Q48" s="76" t="str">
        <f>IF(AND('Mapa final NC'!$Y$35="Muy Baja",'Mapa final NC'!$AA$35="Menor"),CONCATENATE("R3C",'Mapa final NC'!$O$35),"")</f>
        <v/>
      </c>
      <c r="R48" s="76" t="str">
        <f>IF(AND('Mapa final NC'!$Y$36="Muy Baja",'Mapa final NC'!$AA$36="Menor"),CONCATENATE("R3C",'Mapa final NC'!$O$36),"")</f>
        <v/>
      </c>
      <c r="S48" s="76" t="e">
        <f>IF(AND('Mapa final NC'!#REF!="Muy Baja",'Mapa final NC'!#REF!="Menor"),CONCATENATE("R3C",'Mapa final NC'!#REF!),"")</f>
        <v>#REF!</v>
      </c>
      <c r="T48" s="76" t="e">
        <f>IF(AND('Mapa final NC'!#REF!="Muy Baja",'Mapa final NC'!#REF!="Menor"),CONCATENATE("R3C",'Mapa final NC'!#REF!),"")</f>
        <v>#REF!</v>
      </c>
      <c r="U48" s="77" t="e">
        <f>IF(AND('Mapa final NC'!#REF!="Muy Baja",'Mapa final NC'!#REF!="Menor"),CONCATENATE("R3C",'Mapa final NC'!#REF!),"")</f>
        <v>#REF!</v>
      </c>
      <c r="V48" s="66" t="str">
        <f>IF(AND('Mapa final NC'!$Y$34="Muy Baja",'Mapa final NC'!$AA$34="Moderado"),CONCATENATE("R3C",'Mapa final NC'!$O$34),"")</f>
        <v/>
      </c>
      <c r="W48" s="67" t="str">
        <f>IF(AND('Mapa final NC'!$Y$35="Muy Baja",'Mapa final NC'!$AA$35="Moderado"),CONCATENATE("R3C",'Mapa final NC'!$O$35),"")</f>
        <v/>
      </c>
      <c r="X48" s="67" t="str">
        <f>IF(AND('Mapa final NC'!$Y$36="Muy Baja",'Mapa final NC'!$AA$36="Moderado"),CONCATENATE("R3C",'Mapa final NC'!$O$36),"")</f>
        <v/>
      </c>
      <c r="Y48" s="67" t="e">
        <f>IF(AND('Mapa final NC'!#REF!="Muy Baja",'Mapa final NC'!#REF!="Moderado"),CONCATENATE("R3C",'Mapa final NC'!#REF!),"")</f>
        <v>#REF!</v>
      </c>
      <c r="Z48" s="67" t="e">
        <f>IF(AND('Mapa final NC'!#REF!="Muy Baja",'Mapa final NC'!#REF!="Moderado"),CONCATENATE("R3C",'Mapa final NC'!#REF!),"")</f>
        <v>#REF!</v>
      </c>
      <c r="AA48" s="68" t="e">
        <f>IF(AND('Mapa final NC'!#REF!="Muy Baja",'Mapa final NC'!#REF!="Moderado"),CONCATENATE("R3C",'Mapa final NC'!#REF!),"")</f>
        <v>#REF!</v>
      </c>
      <c r="AB48" s="51" t="str">
        <f>IF(AND('Mapa final NC'!$Y$34="Muy Baja",'Mapa final NC'!$AA$34="Mayor"),CONCATENATE("R3C",'Mapa final NC'!$O$34),"")</f>
        <v/>
      </c>
      <c r="AC48" s="52" t="str">
        <f>IF(AND('Mapa final NC'!$Y$35="Muy Baja",'Mapa final NC'!$AA$35="Mayor"),CONCATENATE("R3C",'Mapa final NC'!$O$35),"")</f>
        <v/>
      </c>
      <c r="AD48" s="52" t="str">
        <f>IF(AND('Mapa final NC'!$Y$36="Muy Baja",'Mapa final NC'!$AA$36="Mayor"),CONCATENATE("R3C",'Mapa final NC'!$O$36),"")</f>
        <v/>
      </c>
      <c r="AE48" s="52" t="e">
        <f>IF(AND('Mapa final NC'!#REF!="Muy Baja",'Mapa final NC'!#REF!="Mayor"),CONCATENATE("R3C",'Mapa final NC'!#REF!),"")</f>
        <v>#REF!</v>
      </c>
      <c r="AF48" s="52" t="e">
        <f>IF(AND('Mapa final NC'!#REF!="Muy Baja",'Mapa final NC'!#REF!="Mayor"),CONCATENATE("R3C",'Mapa final NC'!#REF!),"")</f>
        <v>#REF!</v>
      </c>
      <c r="AG48" s="53" t="e">
        <f>IF(AND('Mapa final NC'!#REF!="Muy Baja",'Mapa final NC'!#REF!="Mayor"),CONCATENATE("R3C",'Mapa final NC'!#REF!),"")</f>
        <v>#REF!</v>
      </c>
      <c r="AH48" s="54" t="str">
        <f>IF(AND('Mapa final NC'!$Y$34="Muy Baja",'Mapa final NC'!$AA$34="Catastrófico"),CONCATENATE("R3C",'Mapa final NC'!$O$34),"")</f>
        <v/>
      </c>
      <c r="AI48" s="55" t="str">
        <f>IF(AND('Mapa final NC'!$Y$35="Muy Baja",'Mapa final NC'!$AA$35="Catastrófico"),CONCATENATE("R3C",'Mapa final NC'!$O$35),"")</f>
        <v/>
      </c>
      <c r="AJ48" s="55" t="str">
        <f>IF(AND('Mapa final NC'!$Y$36="Muy Baja",'Mapa final NC'!$AA$36="Catastrófico"),CONCATENATE("R3C",'Mapa final NC'!$O$36),"")</f>
        <v/>
      </c>
      <c r="AK48" s="55" t="e">
        <f>IF(AND('Mapa final NC'!#REF!="Muy Baja",'Mapa final NC'!#REF!="Catastrófico"),CONCATENATE("R3C",'Mapa final NC'!#REF!),"")</f>
        <v>#REF!</v>
      </c>
      <c r="AL48" s="55" t="e">
        <f>IF(AND('Mapa final NC'!#REF!="Muy Baja",'Mapa final NC'!#REF!="Catastrófico"),CONCATENATE("R3C",'Mapa final NC'!#REF!),"")</f>
        <v>#REF!</v>
      </c>
      <c r="AM48" s="56" t="e">
        <f>IF(AND('Mapa final NC'!#REF!="Muy Baja",'Mapa final NC'!#REF!="Catastrófico"),CONCATENATE("R3C",'Mapa final NC'!#REF!),"")</f>
        <v>#REF!</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78"/>
      <c r="C49" s="378"/>
      <c r="D49" s="379"/>
      <c r="E49" s="477"/>
      <c r="F49" s="476"/>
      <c r="G49" s="476"/>
      <c r="H49" s="476"/>
      <c r="I49" s="492"/>
      <c r="J49" s="75" t="str">
        <f>IF(AND('Mapa final NC'!$Y$37="Muy Baja",'Mapa final NC'!$AA$37="Leve"),CONCATENATE("R4C",'Mapa final NC'!$O$37),"")</f>
        <v/>
      </c>
      <c r="K49" s="76" t="e">
        <f>IF(AND('Mapa final NC'!#REF!="Muy Baja",'Mapa final NC'!#REF!="Leve"),CONCATENATE("R4C",'Mapa final NC'!#REF!),"")</f>
        <v>#REF!</v>
      </c>
      <c r="L49" s="76" t="e">
        <f>IF(AND('Mapa final NC'!#REF!="Muy Baja",'Mapa final NC'!#REF!="Leve"),CONCATENATE("R4C",'Mapa final NC'!#REF!),"")</f>
        <v>#REF!</v>
      </c>
      <c r="M49" s="76" t="e">
        <f>IF(AND('Mapa final NC'!#REF!="Muy Baja",'Mapa final NC'!#REF!="Leve"),CONCATENATE("R4C",'Mapa final NC'!#REF!),"")</f>
        <v>#REF!</v>
      </c>
      <c r="N49" s="76" t="e">
        <f>IF(AND('Mapa final NC'!#REF!="Muy Baja",'Mapa final NC'!#REF!="Leve"),CONCATENATE("R4C",'Mapa final NC'!#REF!),"")</f>
        <v>#REF!</v>
      </c>
      <c r="O49" s="77" t="e">
        <f>IF(AND('Mapa final NC'!#REF!="Muy Baja",'Mapa final NC'!#REF!="Leve"),CONCATENATE("R4C",'Mapa final NC'!#REF!),"")</f>
        <v>#REF!</v>
      </c>
      <c r="P49" s="75" t="str">
        <f>IF(AND('Mapa final NC'!$Y$37="Muy Baja",'Mapa final NC'!$AA$37="Menor"),CONCATENATE("R4C",'Mapa final NC'!$O$37),"")</f>
        <v/>
      </c>
      <c r="Q49" s="76" t="e">
        <f>IF(AND('Mapa final NC'!#REF!="Muy Baja",'Mapa final NC'!#REF!="Menor"),CONCATENATE("R4C",'Mapa final NC'!#REF!),"")</f>
        <v>#REF!</v>
      </c>
      <c r="R49" s="76" t="e">
        <f>IF(AND('Mapa final NC'!#REF!="Muy Baja",'Mapa final NC'!#REF!="Menor"),CONCATENATE("R4C",'Mapa final NC'!#REF!),"")</f>
        <v>#REF!</v>
      </c>
      <c r="S49" s="76" t="e">
        <f>IF(AND('Mapa final NC'!#REF!="Muy Baja",'Mapa final NC'!#REF!="Menor"),CONCATENATE("R4C",'Mapa final NC'!#REF!),"")</f>
        <v>#REF!</v>
      </c>
      <c r="T49" s="76" t="e">
        <f>IF(AND('Mapa final NC'!#REF!="Muy Baja",'Mapa final NC'!#REF!="Menor"),CONCATENATE("R4C",'Mapa final NC'!#REF!),"")</f>
        <v>#REF!</v>
      </c>
      <c r="U49" s="77" t="e">
        <f>IF(AND('Mapa final NC'!#REF!="Muy Baja",'Mapa final NC'!#REF!="Menor"),CONCATENATE("R4C",'Mapa final NC'!#REF!),"")</f>
        <v>#REF!</v>
      </c>
      <c r="V49" s="66" t="str">
        <f>IF(AND('Mapa final NC'!$Y$37="Muy Baja",'Mapa final NC'!$AA$37="Moderado"),CONCATENATE("R4C",'Mapa final NC'!$O$37),"")</f>
        <v/>
      </c>
      <c r="W49" s="67" t="e">
        <f>IF(AND('Mapa final NC'!#REF!="Muy Baja",'Mapa final NC'!#REF!="Moderado"),CONCATENATE("R4C",'Mapa final NC'!#REF!),"")</f>
        <v>#REF!</v>
      </c>
      <c r="X49" s="67" t="e">
        <f>IF(AND('Mapa final NC'!#REF!="Muy Baja",'Mapa final NC'!#REF!="Moderado"),CONCATENATE("R4C",'Mapa final NC'!#REF!),"")</f>
        <v>#REF!</v>
      </c>
      <c r="Y49" s="67" t="e">
        <f>IF(AND('Mapa final NC'!#REF!="Muy Baja",'Mapa final NC'!#REF!="Moderado"),CONCATENATE("R4C",'Mapa final NC'!#REF!),"")</f>
        <v>#REF!</v>
      </c>
      <c r="Z49" s="67" t="e">
        <f>IF(AND('Mapa final NC'!#REF!="Muy Baja",'Mapa final NC'!#REF!="Moderado"),CONCATENATE("R4C",'Mapa final NC'!#REF!),"")</f>
        <v>#REF!</v>
      </c>
      <c r="AA49" s="68" t="e">
        <f>IF(AND('Mapa final NC'!#REF!="Muy Baja",'Mapa final NC'!#REF!="Moderado"),CONCATENATE("R4C",'Mapa final NC'!#REF!),"")</f>
        <v>#REF!</v>
      </c>
      <c r="AB49" s="51" t="str">
        <f>IF(AND('Mapa final NC'!$Y$37="Muy Baja",'Mapa final NC'!$AA$37="Mayor"),CONCATENATE("R4C",'Mapa final NC'!$O$37),"")</f>
        <v/>
      </c>
      <c r="AC49" s="52" t="e">
        <f>IF(AND('Mapa final NC'!#REF!="Muy Baja",'Mapa final NC'!#REF!="Mayor"),CONCATENATE("R4C",'Mapa final NC'!#REF!),"")</f>
        <v>#REF!</v>
      </c>
      <c r="AD49" s="52" t="e">
        <f>IF(AND('Mapa final NC'!#REF!="Muy Baja",'Mapa final NC'!#REF!="Mayor"),CONCATENATE("R4C",'Mapa final NC'!#REF!),"")</f>
        <v>#REF!</v>
      </c>
      <c r="AE49" s="52" t="e">
        <f>IF(AND('Mapa final NC'!#REF!="Muy Baja",'Mapa final NC'!#REF!="Mayor"),CONCATENATE("R4C",'Mapa final NC'!#REF!),"")</f>
        <v>#REF!</v>
      </c>
      <c r="AF49" s="52" t="e">
        <f>IF(AND('Mapa final NC'!#REF!="Muy Baja",'Mapa final NC'!#REF!="Mayor"),CONCATENATE("R4C",'Mapa final NC'!#REF!),"")</f>
        <v>#REF!</v>
      </c>
      <c r="AG49" s="53" t="e">
        <f>IF(AND('Mapa final NC'!#REF!="Muy Baja",'Mapa final NC'!#REF!="Mayor"),CONCATENATE("R4C",'Mapa final NC'!#REF!),"")</f>
        <v>#REF!</v>
      </c>
      <c r="AH49" s="54" t="str">
        <f>IF(AND('Mapa final NC'!$Y$37="Muy Baja",'Mapa final NC'!$AA$37="Catastrófico"),CONCATENATE("R4C",'Mapa final NC'!$O$37),"")</f>
        <v/>
      </c>
      <c r="AI49" s="55" t="e">
        <f>IF(AND('Mapa final NC'!#REF!="Muy Baja",'Mapa final NC'!#REF!="Catastrófico"),CONCATENATE("R4C",'Mapa final NC'!#REF!),"")</f>
        <v>#REF!</v>
      </c>
      <c r="AJ49" s="55" t="e">
        <f>IF(AND('Mapa final NC'!#REF!="Muy Baja",'Mapa final NC'!#REF!="Catastrófico"),CONCATENATE("R4C",'Mapa final NC'!#REF!),"")</f>
        <v>#REF!</v>
      </c>
      <c r="AK49" s="55" t="e">
        <f>IF(AND('Mapa final NC'!#REF!="Muy Baja",'Mapa final NC'!#REF!="Catastrófico"),CONCATENATE("R4C",'Mapa final NC'!#REF!),"")</f>
        <v>#REF!</v>
      </c>
      <c r="AL49" s="55" t="e">
        <f>IF(AND('Mapa final NC'!#REF!="Muy Baja",'Mapa final NC'!#REF!="Catastrófico"),CONCATENATE("R4C",'Mapa final NC'!#REF!),"")</f>
        <v>#REF!</v>
      </c>
      <c r="AM49" s="56" t="e">
        <f>IF(AND('Mapa final NC'!#REF!="Muy Baja",'Mapa final NC'!#REF!="Catastrófico"),CONCATENATE("R4C",'Mapa final NC'!#REF!),"")</f>
        <v>#REF!</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78"/>
      <c r="C50" s="378"/>
      <c r="D50" s="379"/>
      <c r="E50" s="477"/>
      <c r="F50" s="476"/>
      <c r="G50" s="476"/>
      <c r="H50" s="476"/>
      <c r="I50" s="492"/>
      <c r="J50" s="75" t="str">
        <f>IF(AND('Mapa final NC'!$Y$38="Muy Baja",'Mapa final NC'!$AA$38="Leve"),CONCATENATE("R5C",'Mapa final NC'!$O$38),"")</f>
        <v/>
      </c>
      <c r="K50" s="76" t="e">
        <f>IF(AND('Mapa final NC'!#REF!="Muy Baja",'Mapa final NC'!#REF!="Leve"),CONCATENATE("R5C",'Mapa final NC'!#REF!),"")</f>
        <v>#REF!</v>
      </c>
      <c r="L50" s="76" t="e">
        <f>IF(AND('Mapa final NC'!#REF!="Muy Baja",'Mapa final NC'!#REF!="Leve"),CONCATENATE("R5C",'Mapa final NC'!#REF!),"")</f>
        <v>#REF!</v>
      </c>
      <c r="M50" s="76" t="e">
        <f>IF(AND('Mapa final NC'!#REF!="Muy Baja",'Mapa final NC'!#REF!="Leve"),CONCATENATE("R5C",'Mapa final NC'!#REF!),"")</f>
        <v>#REF!</v>
      </c>
      <c r="N50" s="76" t="e">
        <f>IF(AND('Mapa final NC'!#REF!="Muy Baja",'Mapa final NC'!#REF!="Leve"),CONCATENATE("R5C",'Mapa final NC'!#REF!),"")</f>
        <v>#REF!</v>
      </c>
      <c r="O50" s="77" t="e">
        <f>IF(AND('Mapa final NC'!#REF!="Muy Baja",'Mapa final NC'!#REF!="Leve"),CONCATENATE("R5C",'Mapa final NC'!#REF!),"")</f>
        <v>#REF!</v>
      </c>
      <c r="P50" s="75" t="str">
        <f>IF(AND('Mapa final NC'!$Y$38="Muy Baja",'Mapa final NC'!$AA$38="Menor"),CONCATENATE("R5C",'Mapa final NC'!$O$38),"")</f>
        <v/>
      </c>
      <c r="Q50" s="76" t="e">
        <f>IF(AND('Mapa final NC'!#REF!="Muy Baja",'Mapa final NC'!#REF!="Menor"),CONCATENATE("R5C",'Mapa final NC'!#REF!),"")</f>
        <v>#REF!</v>
      </c>
      <c r="R50" s="76" t="e">
        <f>IF(AND('Mapa final NC'!#REF!="Muy Baja",'Mapa final NC'!#REF!="Menor"),CONCATENATE("R5C",'Mapa final NC'!#REF!),"")</f>
        <v>#REF!</v>
      </c>
      <c r="S50" s="76" t="e">
        <f>IF(AND('Mapa final NC'!#REF!="Muy Baja",'Mapa final NC'!#REF!="Menor"),CONCATENATE("R5C",'Mapa final NC'!#REF!),"")</f>
        <v>#REF!</v>
      </c>
      <c r="T50" s="76" t="e">
        <f>IF(AND('Mapa final NC'!#REF!="Muy Baja",'Mapa final NC'!#REF!="Menor"),CONCATENATE("R5C",'Mapa final NC'!#REF!),"")</f>
        <v>#REF!</v>
      </c>
      <c r="U50" s="77" t="e">
        <f>IF(AND('Mapa final NC'!#REF!="Muy Baja",'Mapa final NC'!#REF!="Menor"),CONCATENATE("R5C",'Mapa final NC'!#REF!),"")</f>
        <v>#REF!</v>
      </c>
      <c r="V50" s="66" t="str">
        <f>IF(AND('Mapa final NC'!$Y$38="Muy Baja",'Mapa final NC'!$AA$38="Moderado"),CONCATENATE("R5C",'Mapa final NC'!$O$38),"")</f>
        <v/>
      </c>
      <c r="W50" s="67" t="e">
        <f>IF(AND('Mapa final NC'!#REF!="Muy Baja",'Mapa final NC'!#REF!="Moderado"),CONCATENATE("R5C",'Mapa final NC'!#REF!),"")</f>
        <v>#REF!</v>
      </c>
      <c r="X50" s="67" t="e">
        <f>IF(AND('Mapa final NC'!#REF!="Muy Baja",'Mapa final NC'!#REF!="Moderado"),CONCATENATE("R5C",'Mapa final NC'!#REF!),"")</f>
        <v>#REF!</v>
      </c>
      <c r="Y50" s="67" t="e">
        <f>IF(AND('Mapa final NC'!#REF!="Muy Baja",'Mapa final NC'!#REF!="Moderado"),CONCATENATE("R5C",'Mapa final NC'!#REF!),"")</f>
        <v>#REF!</v>
      </c>
      <c r="Z50" s="67" t="e">
        <f>IF(AND('Mapa final NC'!#REF!="Muy Baja",'Mapa final NC'!#REF!="Moderado"),CONCATENATE("R5C",'Mapa final NC'!#REF!),"")</f>
        <v>#REF!</v>
      </c>
      <c r="AA50" s="68" t="e">
        <f>IF(AND('Mapa final NC'!#REF!="Muy Baja",'Mapa final NC'!#REF!="Moderado"),CONCATENATE("R5C",'Mapa final NC'!#REF!),"")</f>
        <v>#REF!</v>
      </c>
      <c r="AB50" s="51" t="str">
        <f>IF(AND('Mapa final NC'!$Y$38="Muy Baja",'Mapa final NC'!$AA$38="Mayor"),CONCATENATE("R5C",'Mapa final NC'!$O$38),"")</f>
        <v/>
      </c>
      <c r="AC50" s="52" t="e">
        <f>IF(AND('Mapa final NC'!#REF!="Muy Baja",'Mapa final NC'!#REF!="Mayor"),CONCATENATE("R5C",'Mapa final NC'!#REF!),"")</f>
        <v>#REF!</v>
      </c>
      <c r="AD50" s="52" t="e">
        <f>IF(AND('Mapa final NC'!#REF!="Muy Baja",'Mapa final NC'!#REF!="Mayor"),CONCATENATE("R5C",'Mapa final NC'!#REF!),"")</f>
        <v>#REF!</v>
      </c>
      <c r="AE50" s="52" t="e">
        <f>IF(AND('Mapa final NC'!#REF!="Muy Baja",'Mapa final NC'!#REF!="Mayor"),CONCATENATE("R5C",'Mapa final NC'!#REF!),"")</f>
        <v>#REF!</v>
      </c>
      <c r="AF50" s="52" t="e">
        <f>IF(AND('Mapa final NC'!#REF!="Muy Baja",'Mapa final NC'!#REF!="Mayor"),CONCATENATE("R5C",'Mapa final NC'!#REF!),"")</f>
        <v>#REF!</v>
      </c>
      <c r="AG50" s="53" t="e">
        <f>IF(AND('Mapa final NC'!#REF!="Muy Baja",'Mapa final NC'!#REF!="Mayor"),CONCATENATE("R5C",'Mapa final NC'!#REF!),"")</f>
        <v>#REF!</v>
      </c>
      <c r="AH50" s="54" t="str">
        <f>IF(AND('Mapa final NC'!$Y$38="Muy Baja",'Mapa final NC'!$AA$38="Catastrófico"),CONCATENATE("R5C",'Mapa final NC'!$O$38),"")</f>
        <v/>
      </c>
      <c r="AI50" s="55" t="e">
        <f>IF(AND('Mapa final NC'!#REF!="Muy Baja",'Mapa final NC'!#REF!="Catastrófico"),CONCATENATE("R5C",'Mapa final NC'!#REF!),"")</f>
        <v>#REF!</v>
      </c>
      <c r="AJ50" s="55" t="e">
        <f>IF(AND('Mapa final NC'!#REF!="Muy Baja",'Mapa final NC'!#REF!="Catastrófico"),CONCATENATE("R5C",'Mapa final NC'!#REF!),"")</f>
        <v>#REF!</v>
      </c>
      <c r="AK50" s="55" t="e">
        <f>IF(AND('Mapa final NC'!#REF!="Muy Baja",'Mapa final NC'!#REF!="Catastrófico"),CONCATENATE("R5C",'Mapa final NC'!#REF!),"")</f>
        <v>#REF!</v>
      </c>
      <c r="AL50" s="55" t="e">
        <f>IF(AND('Mapa final NC'!#REF!="Muy Baja",'Mapa final NC'!#REF!="Catastrófico"),CONCATENATE("R5C",'Mapa final NC'!#REF!),"")</f>
        <v>#REF!</v>
      </c>
      <c r="AM50" s="56" t="e">
        <f>IF(AND('Mapa final NC'!#REF!="Muy Baja",'Mapa final NC'!#REF!="Catastrófico"),CONCATENATE("R5C",'Mapa final NC'!#REF!),"")</f>
        <v>#REF!</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78"/>
      <c r="C51" s="378"/>
      <c r="D51" s="379"/>
      <c r="E51" s="477"/>
      <c r="F51" s="476"/>
      <c r="G51" s="476"/>
      <c r="H51" s="476"/>
      <c r="I51" s="492"/>
      <c r="J51" s="75" t="str">
        <f>IF(AND('Mapa final NC'!$Y$39="Muy Baja",'Mapa final NC'!$AA$39="Leve"),CONCATENATE("R6C",'Mapa final NC'!$O$39),"")</f>
        <v/>
      </c>
      <c r="K51" s="76" t="e">
        <f>IF(AND('Mapa final NC'!#REF!="Muy Baja",'Mapa final NC'!#REF!="Leve"),CONCATENATE("R6C",'Mapa final NC'!#REF!),"")</f>
        <v>#REF!</v>
      </c>
      <c r="L51" s="76" t="e">
        <f>IF(AND('Mapa final NC'!#REF!="Muy Baja",'Mapa final NC'!#REF!="Leve"),CONCATENATE("R6C",'Mapa final NC'!#REF!),"")</f>
        <v>#REF!</v>
      </c>
      <c r="M51" s="76" t="e">
        <f>IF(AND('Mapa final NC'!#REF!="Muy Baja",'Mapa final NC'!#REF!="Leve"),CONCATENATE("R6C",'Mapa final NC'!#REF!),"")</f>
        <v>#REF!</v>
      </c>
      <c r="N51" s="76" t="e">
        <f>IF(AND('Mapa final NC'!#REF!="Muy Baja",'Mapa final NC'!#REF!="Leve"),CONCATENATE("R6C",'Mapa final NC'!#REF!),"")</f>
        <v>#REF!</v>
      </c>
      <c r="O51" s="77" t="e">
        <f>IF(AND('Mapa final NC'!#REF!="Muy Baja",'Mapa final NC'!#REF!="Leve"),CONCATENATE("R6C",'Mapa final NC'!#REF!),"")</f>
        <v>#REF!</v>
      </c>
      <c r="P51" s="75" t="str">
        <f>IF(AND('Mapa final NC'!$Y$39="Muy Baja",'Mapa final NC'!$AA$39="Menor"),CONCATENATE("R6C",'Mapa final NC'!$O$39),"")</f>
        <v/>
      </c>
      <c r="Q51" s="76" t="e">
        <f>IF(AND('Mapa final NC'!#REF!="Muy Baja",'Mapa final NC'!#REF!="Menor"),CONCATENATE("R6C",'Mapa final NC'!#REF!),"")</f>
        <v>#REF!</v>
      </c>
      <c r="R51" s="76" t="e">
        <f>IF(AND('Mapa final NC'!#REF!="Muy Baja",'Mapa final NC'!#REF!="Menor"),CONCATENATE("R6C",'Mapa final NC'!#REF!),"")</f>
        <v>#REF!</v>
      </c>
      <c r="S51" s="76" t="e">
        <f>IF(AND('Mapa final NC'!#REF!="Muy Baja",'Mapa final NC'!#REF!="Menor"),CONCATENATE("R6C",'Mapa final NC'!#REF!),"")</f>
        <v>#REF!</v>
      </c>
      <c r="T51" s="76" t="e">
        <f>IF(AND('Mapa final NC'!#REF!="Muy Baja",'Mapa final NC'!#REF!="Menor"),CONCATENATE("R6C",'Mapa final NC'!#REF!),"")</f>
        <v>#REF!</v>
      </c>
      <c r="U51" s="77" t="e">
        <f>IF(AND('Mapa final NC'!#REF!="Muy Baja",'Mapa final NC'!#REF!="Menor"),CONCATENATE("R6C",'Mapa final NC'!#REF!),"")</f>
        <v>#REF!</v>
      </c>
      <c r="V51" s="66" t="str">
        <f>IF(AND('Mapa final NC'!$Y$39="Muy Baja",'Mapa final NC'!$AA$39="Moderado"),CONCATENATE("R6C",'Mapa final NC'!$O$39),"")</f>
        <v/>
      </c>
      <c r="W51" s="67" t="e">
        <f>IF(AND('Mapa final NC'!#REF!="Muy Baja",'Mapa final NC'!#REF!="Moderado"),CONCATENATE("R6C",'Mapa final NC'!#REF!),"")</f>
        <v>#REF!</v>
      </c>
      <c r="X51" s="67" t="e">
        <f>IF(AND('Mapa final NC'!#REF!="Muy Baja",'Mapa final NC'!#REF!="Moderado"),CONCATENATE("R6C",'Mapa final NC'!#REF!),"")</f>
        <v>#REF!</v>
      </c>
      <c r="Y51" s="67" t="e">
        <f>IF(AND('Mapa final NC'!#REF!="Muy Baja",'Mapa final NC'!#REF!="Moderado"),CONCATENATE("R6C",'Mapa final NC'!#REF!),"")</f>
        <v>#REF!</v>
      </c>
      <c r="Z51" s="67" t="e">
        <f>IF(AND('Mapa final NC'!#REF!="Muy Baja",'Mapa final NC'!#REF!="Moderado"),CONCATENATE("R6C",'Mapa final NC'!#REF!),"")</f>
        <v>#REF!</v>
      </c>
      <c r="AA51" s="68" t="e">
        <f>IF(AND('Mapa final NC'!#REF!="Muy Baja",'Mapa final NC'!#REF!="Moderado"),CONCATENATE("R6C",'Mapa final NC'!#REF!),"")</f>
        <v>#REF!</v>
      </c>
      <c r="AB51" s="51" t="str">
        <f>IF(AND('Mapa final NC'!$Y$39="Muy Baja",'Mapa final NC'!$AA$39="Mayor"),CONCATENATE("R6C",'Mapa final NC'!$O$39),"")</f>
        <v/>
      </c>
      <c r="AC51" s="52" t="e">
        <f>IF(AND('Mapa final NC'!#REF!="Muy Baja",'Mapa final NC'!#REF!="Mayor"),CONCATENATE("R6C",'Mapa final NC'!#REF!),"")</f>
        <v>#REF!</v>
      </c>
      <c r="AD51" s="52" t="e">
        <f>IF(AND('Mapa final NC'!#REF!="Muy Baja",'Mapa final NC'!#REF!="Mayor"),CONCATENATE("R6C",'Mapa final NC'!#REF!),"")</f>
        <v>#REF!</v>
      </c>
      <c r="AE51" s="52" t="e">
        <f>IF(AND('Mapa final NC'!#REF!="Muy Baja",'Mapa final NC'!#REF!="Mayor"),CONCATENATE("R6C",'Mapa final NC'!#REF!),"")</f>
        <v>#REF!</v>
      </c>
      <c r="AF51" s="52" t="e">
        <f>IF(AND('Mapa final NC'!#REF!="Muy Baja",'Mapa final NC'!#REF!="Mayor"),CONCATENATE("R6C",'Mapa final NC'!#REF!),"")</f>
        <v>#REF!</v>
      </c>
      <c r="AG51" s="53" t="e">
        <f>IF(AND('Mapa final NC'!#REF!="Muy Baja",'Mapa final NC'!#REF!="Mayor"),CONCATENATE("R6C",'Mapa final NC'!#REF!),"")</f>
        <v>#REF!</v>
      </c>
      <c r="AH51" s="54" t="str">
        <f>IF(AND('Mapa final NC'!$Y$39="Muy Baja",'Mapa final NC'!$AA$39="Catastrófico"),CONCATENATE("R6C",'Mapa final NC'!$O$39),"")</f>
        <v/>
      </c>
      <c r="AI51" s="55" t="e">
        <f>IF(AND('Mapa final NC'!#REF!="Muy Baja",'Mapa final NC'!#REF!="Catastrófico"),CONCATENATE("R6C",'Mapa final NC'!#REF!),"")</f>
        <v>#REF!</v>
      </c>
      <c r="AJ51" s="55" t="e">
        <f>IF(AND('Mapa final NC'!#REF!="Muy Baja",'Mapa final NC'!#REF!="Catastrófico"),CONCATENATE("R6C",'Mapa final NC'!#REF!),"")</f>
        <v>#REF!</v>
      </c>
      <c r="AK51" s="55" t="e">
        <f>IF(AND('Mapa final NC'!#REF!="Muy Baja",'Mapa final NC'!#REF!="Catastrófico"),CONCATENATE("R6C",'Mapa final NC'!#REF!),"")</f>
        <v>#REF!</v>
      </c>
      <c r="AL51" s="55" t="e">
        <f>IF(AND('Mapa final NC'!#REF!="Muy Baja",'Mapa final NC'!#REF!="Catastrófico"),CONCATENATE("R6C",'Mapa final NC'!#REF!),"")</f>
        <v>#REF!</v>
      </c>
      <c r="AM51" s="56" t="e">
        <f>IF(AND('Mapa final NC'!#REF!="Muy Baja",'Mapa final NC'!#REF!="Catastrófico"),CONCATENATE("R6C",'Mapa final NC'!#REF!),"")</f>
        <v>#REF!</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78"/>
      <c r="C52" s="378"/>
      <c r="D52" s="379"/>
      <c r="E52" s="477"/>
      <c r="F52" s="476"/>
      <c r="G52" s="476"/>
      <c r="H52" s="476"/>
      <c r="I52" s="492"/>
      <c r="J52" s="75" t="str">
        <f>IF(AND('Mapa final NC'!$Y$40="Muy Baja",'Mapa final NC'!$AA$40="Leve"),CONCATENATE("R7C",'Mapa final NC'!$O$40),"")</f>
        <v/>
      </c>
      <c r="K52" s="76" t="str">
        <f>IF(AND('Mapa final NC'!$Y$41="Muy Baja",'Mapa final NC'!$AA$41="Leve"),CONCATENATE("R7C",'Mapa final NC'!$O$41),"")</f>
        <v/>
      </c>
      <c r="L52" s="76" t="e">
        <f>IF(AND('Mapa final NC'!#REF!="Muy Baja",'Mapa final NC'!#REF!="Leve"),CONCATENATE("R7C",'Mapa final NC'!#REF!),"")</f>
        <v>#REF!</v>
      </c>
      <c r="M52" s="76" t="e">
        <f>IF(AND('Mapa final NC'!#REF!="Muy Baja",'Mapa final NC'!#REF!="Leve"),CONCATENATE("R7C",'Mapa final NC'!#REF!),"")</f>
        <v>#REF!</v>
      </c>
      <c r="N52" s="76" t="e">
        <f>IF(AND('Mapa final NC'!#REF!="Muy Baja",'Mapa final NC'!#REF!="Leve"),CONCATENATE("R7C",'Mapa final NC'!#REF!),"")</f>
        <v>#REF!</v>
      </c>
      <c r="O52" s="77" t="e">
        <f>IF(AND('Mapa final NC'!#REF!="Muy Baja",'Mapa final NC'!#REF!="Leve"),CONCATENATE("R7C",'Mapa final NC'!#REF!),"")</f>
        <v>#REF!</v>
      </c>
      <c r="P52" s="75" t="str">
        <f>IF(AND('Mapa final NC'!$Y$40="Muy Baja",'Mapa final NC'!$AA$40="Menor"),CONCATENATE("R7C",'Mapa final NC'!$O$40),"")</f>
        <v/>
      </c>
      <c r="Q52" s="76" t="str">
        <f>IF(AND('Mapa final NC'!$Y$41="Muy Baja",'Mapa final NC'!$AA$41="Menor"),CONCATENATE("R7C",'Mapa final NC'!$O$41),"")</f>
        <v/>
      </c>
      <c r="R52" s="76" t="e">
        <f>IF(AND('Mapa final NC'!#REF!="Muy Baja",'Mapa final NC'!#REF!="Menor"),CONCATENATE("R7C",'Mapa final NC'!#REF!),"")</f>
        <v>#REF!</v>
      </c>
      <c r="S52" s="76" t="e">
        <f>IF(AND('Mapa final NC'!#REF!="Muy Baja",'Mapa final NC'!#REF!="Menor"),CONCATENATE("R7C",'Mapa final NC'!#REF!),"")</f>
        <v>#REF!</v>
      </c>
      <c r="T52" s="76" t="e">
        <f>IF(AND('Mapa final NC'!#REF!="Muy Baja",'Mapa final NC'!#REF!="Menor"),CONCATENATE("R7C",'Mapa final NC'!#REF!),"")</f>
        <v>#REF!</v>
      </c>
      <c r="U52" s="77" t="e">
        <f>IF(AND('Mapa final NC'!#REF!="Muy Baja",'Mapa final NC'!#REF!="Menor"),CONCATENATE("R7C",'Mapa final NC'!#REF!),"")</f>
        <v>#REF!</v>
      </c>
      <c r="V52" s="66" t="str">
        <f>IF(AND('Mapa final NC'!$Y$40="Muy Baja",'Mapa final NC'!$AA$40="Moderado"),CONCATENATE("R7C",'Mapa final NC'!$O$40),"")</f>
        <v/>
      </c>
      <c r="W52" s="67" t="str">
        <f>IF(AND('Mapa final NC'!$Y$41="Muy Baja",'Mapa final NC'!$AA$41="Moderado"),CONCATENATE("R7C",'Mapa final NC'!$O$41),"")</f>
        <v/>
      </c>
      <c r="X52" s="67" t="e">
        <f>IF(AND('Mapa final NC'!#REF!="Muy Baja",'Mapa final NC'!#REF!="Moderado"),CONCATENATE("R7C",'Mapa final NC'!#REF!),"")</f>
        <v>#REF!</v>
      </c>
      <c r="Y52" s="67" t="e">
        <f>IF(AND('Mapa final NC'!#REF!="Muy Baja",'Mapa final NC'!#REF!="Moderado"),CONCATENATE("R7C",'Mapa final NC'!#REF!),"")</f>
        <v>#REF!</v>
      </c>
      <c r="Z52" s="67" t="e">
        <f>IF(AND('Mapa final NC'!#REF!="Muy Baja",'Mapa final NC'!#REF!="Moderado"),CONCATENATE("R7C",'Mapa final NC'!#REF!),"")</f>
        <v>#REF!</v>
      </c>
      <c r="AA52" s="68" t="e">
        <f>IF(AND('Mapa final NC'!#REF!="Muy Baja",'Mapa final NC'!#REF!="Moderado"),CONCATENATE("R7C",'Mapa final NC'!#REF!),"")</f>
        <v>#REF!</v>
      </c>
      <c r="AB52" s="51" t="str">
        <f>IF(AND('Mapa final NC'!$Y$40="Muy Baja",'Mapa final NC'!$AA$40="Mayor"),CONCATENATE("R7C",'Mapa final NC'!$O$40),"")</f>
        <v/>
      </c>
      <c r="AC52" s="52" t="str">
        <f>IF(AND('Mapa final NC'!$Y$41="Muy Baja",'Mapa final NC'!$AA$41="Mayor"),CONCATENATE("R7C",'Mapa final NC'!$O$41),"")</f>
        <v/>
      </c>
      <c r="AD52" s="52" t="e">
        <f>IF(AND('Mapa final NC'!#REF!="Muy Baja",'Mapa final NC'!#REF!="Mayor"),CONCATENATE("R7C",'Mapa final NC'!#REF!),"")</f>
        <v>#REF!</v>
      </c>
      <c r="AE52" s="52" t="e">
        <f>IF(AND('Mapa final NC'!#REF!="Muy Baja",'Mapa final NC'!#REF!="Mayor"),CONCATENATE("R7C",'Mapa final NC'!#REF!),"")</f>
        <v>#REF!</v>
      </c>
      <c r="AF52" s="52" t="e">
        <f>IF(AND('Mapa final NC'!#REF!="Muy Baja",'Mapa final NC'!#REF!="Mayor"),CONCATENATE("R7C",'Mapa final NC'!#REF!),"")</f>
        <v>#REF!</v>
      </c>
      <c r="AG52" s="53" t="e">
        <f>IF(AND('Mapa final NC'!#REF!="Muy Baja",'Mapa final NC'!#REF!="Mayor"),CONCATENATE("R7C",'Mapa final NC'!#REF!),"")</f>
        <v>#REF!</v>
      </c>
      <c r="AH52" s="54" t="str">
        <f>IF(AND('Mapa final NC'!$Y$40="Muy Baja",'Mapa final NC'!$AA$40="Catastrófico"),CONCATENATE("R7C",'Mapa final NC'!$O$40),"")</f>
        <v/>
      </c>
      <c r="AI52" s="55" t="str">
        <f>IF(AND('Mapa final NC'!$Y$41="Muy Baja",'Mapa final NC'!$AA$41="Catastrófico"),CONCATENATE("R7C",'Mapa final NC'!$O$41),"")</f>
        <v/>
      </c>
      <c r="AJ52" s="55" t="e">
        <f>IF(AND('Mapa final NC'!#REF!="Muy Baja",'Mapa final NC'!#REF!="Catastrófico"),CONCATENATE("R7C",'Mapa final NC'!#REF!),"")</f>
        <v>#REF!</v>
      </c>
      <c r="AK52" s="55" t="e">
        <f>IF(AND('Mapa final NC'!#REF!="Muy Baja",'Mapa final NC'!#REF!="Catastrófico"),CONCATENATE("R7C",'Mapa final NC'!#REF!),"")</f>
        <v>#REF!</v>
      </c>
      <c r="AL52" s="55" t="e">
        <f>IF(AND('Mapa final NC'!#REF!="Muy Baja",'Mapa final NC'!#REF!="Catastrófico"),CONCATENATE("R7C",'Mapa final NC'!#REF!),"")</f>
        <v>#REF!</v>
      </c>
      <c r="AM52" s="56" t="e">
        <f>IF(AND('Mapa final NC'!#REF!="Muy Baja",'Mapa final NC'!#REF!="Catastrófico"),CONCATENATE("R7C",'Mapa final NC'!#REF!),"")</f>
        <v>#REF!</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78"/>
      <c r="C53" s="378"/>
      <c r="D53" s="379"/>
      <c r="E53" s="477"/>
      <c r="F53" s="476"/>
      <c r="G53" s="476"/>
      <c r="H53" s="476"/>
      <c r="I53" s="492"/>
      <c r="J53" s="75" t="str">
        <f>IF(AND('Mapa final NC'!$Y$42="Muy Baja",'Mapa final NC'!$AA$42="Leve"),CONCATENATE("R8C",'Mapa final NC'!$O$42),"")</f>
        <v/>
      </c>
      <c r="K53" s="76" t="e">
        <f>IF(AND('Mapa final NC'!#REF!="Muy Baja",'Mapa final NC'!#REF!="Leve"),CONCATENATE("R8C",'Mapa final NC'!#REF!),"")</f>
        <v>#REF!</v>
      </c>
      <c r="L53" s="76" t="e">
        <f>IF(AND('Mapa final NC'!#REF!="Muy Baja",'Mapa final NC'!#REF!="Leve"),CONCATENATE("R8C",'Mapa final NC'!#REF!),"")</f>
        <v>#REF!</v>
      </c>
      <c r="M53" s="76" t="e">
        <f>IF(AND('Mapa final NC'!#REF!="Muy Baja",'Mapa final NC'!#REF!="Leve"),CONCATENATE("R8C",'Mapa final NC'!#REF!),"")</f>
        <v>#REF!</v>
      </c>
      <c r="N53" s="76" t="e">
        <f>IF(AND('Mapa final NC'!#REF!="Muy Baja",'Mapa final NC'!#REF!="Leve"),CONCATENATE("R8C",'Mapa final NC'!#REF!),"")</f>
        <v>#REF!</v>
      </c>
      <c r="O53" s="77" t="e">
        <f>IF(AND('Mapa final NC'!#REF!="Muy Baja",'Mapa final NC'!#REF!="Leve"),CONCATENATE("R8C",'Mapa final NC'!#REF!),"")</f>
        <v>#REF!</v>
      </c>
      <c r="P53" s="75" t="str">
        <f>IF(AND('Mapa final NC'!$Y$42="Muy Baja",'Mapa final NC'!$AA$42="Menor"),CONCATENATE("R8C",'Mapa final NC'!$O$42),"")</f>
        <v/>
      </c>
      <c r="Q53" s="76" t="e">
        <f>IF(AND('Mapa final NC'!#REF!="Muy Baja",'Mapa final NC'!#REF!="Menor"),CONCATENATE("R8C",'Mapa final NC'!#REF!),"")</f>
        <v>#REF!</v>
      </c>
      <c r="R53" s="76" t="e">
        <f>IF(AND('Mapa final NC'!#REF!="Muy Baja",'Mapa final NC'!#REF!="Menor"),CONCATENATE("R8C",'Mapa final NC'!#REF!),"")</f>
        <v>#REF!</v>
      </c>
      <c r="S53" s="76" t="e">
        <f>IF(AND('Mapa final NC'!#REF!="Muy Baja",'Mapa final NC'!#REF!="Menor"),CONCATENATE("R8C",'Mapa final NC'!#REF!),"")</f>
        <v>#REF!</v>
      </c>
      <c r="T53" s="76" t="e">
        <f>IF(AND('Mapa final NC'!#REF!="Muy Baja",'Mapa final NC'!#REF!="Menor"),CONCATENATE("R8C",'Mapa final NC'!#REF!),"")</f>
        <v>#REF!</v>
      </c>
      <c r="U53" s="77" t="e">
        <f>IF(AND('Mapa final NC'!#REF!="Muy Baja",'Mapa final NC'!#REF!="Menor"),CONCATENATE("R8C",'Mapa final NC'!#REF!),"")</f>
        <v>#REF!</v>
      </c>
      <c r="V53" s="66" t="str">
        <f>IF(AND('Mapa final NC'!$Y$42="Muy Baja",'Mapa final NC'!$AA$42="Moderado"),CONCATENATE("R8C",'Mapa final NC'!$O$42),"")</f>
        <v/>
      </c>
      <c r="W53" s="67" t="e">
        <f>IF(AND('Mapa final NC'!#REF!="Muy Baja",'Mapa final NC'!#REF!="Moderado"),CONCATENATE("R8C",'Mapa final NC'!#REF!),"")</f>
        <v>#REF!</v>
      </c>
      <c r="X53" s="67" t="e">
        <f>IF(AND('Mapa final NC'!#REF!="Muy Baja",'Mapa final NC'!#REF!="Moderado"),CONCATENATE("R8C",'Mapa final NC'!#REF!),"")</f>
        <v>#REF!</v>
      </c>
      <c r="Y53" s="67" t="e">
        <f>IF(AND('Mapa final NC'!#REF!="Muy Baja",'Mapa final NC'!#REF!="Moderado"),CONCATENATE("R8C",'Mapa final NC'!#REF!),"")</f>
        <v>#REF!</v>
      </c>
      <c r="Z53" s="67" t="e">
        <f>IF(AND('Mapa final NC'!#REF!="Muy Baja",'Mapa final NC'!#REF!="Moderado"),CONCATENATE("R8C",'Mapa final NC'!#REF!),"")</f>
        <v>#REF!</v>
      </c>
      <c r="AA53" s="68" t="e">
        <f>IF(AND('Mapa final NC'!#REF!="Muy Baja",'Mapa final NC'!#REF!="Moderado"),CONCATENATE("R8C",'Mapa final NC'!#REF!),"")</f>
        <v>#REF!</v>
      </c>
      <c r="AB53" s="51" t="str">
        <f>IF(AND('Mapa final NC'!$Y$42="Muy Baja",'Mapa final NC'!$AA$42="Mayor"),CONCATENATE("R8C",'Mapa final NC'!$O$42),"")</f>
        <v/>
      </c>
      <c r="AC53" s="52" t="e">
        <f>IF(AND('Mapa final NC'!#REF!="Muy Baja",'Mapa final NC'!#REF!="Mayor"),CONCATENATE("R8C",'Mapa final NC'!#REF!),"")</f>
        <v>#REF!</v>
      </c>
      <c r="AD53" s="52" t="e">
        <f>IF(AND('Mapa final NC'!#REF!="Muy Baja",'Mapa final NC'!#REF!="Mayor"),CONCATENATE("R8C",'Mapa final NC'!#REF!),"")</f>
        <v>#REF!</v>
      </c>
      <c r="AE53" s="52" t="e">
        <f>IF(AND('Mapa final NC'!#REF!="Muy Baja",'Mapa final NC'!#REF!="Mayor"),CONCATENATE("R8C",'Mapa final NC'!#REF!),"")</f>
        <v>#REF!</v>
      </c>
      <c r="AF53" s="52" t="e">
        <f>IF(AND('Mapa final NC'!#REF!="Muy Baja",'Mapa final NC'!#REF!="Mayor"),CONCATENATE("R8C",'Mapa final NC'!#REF!),"")</f>
        <v>#REF!</v>
      </c>
      <c r="AG53" s="53" t="e">
        <f>IF(AND('Mapa final NC'!#REF!="Muy Baja",'Mapa final NC'!#REF!="Mayor"),CONCATENATE("R8C",'Mapa final NC'!#REF!),"")</f>
        <v>#REF!</v>
      </c>
      <c r="AH53" s="54" t="str">
        <f>IF(AND('Mapa final NC'!$Y$42="Muy Baja",'Mapa final NC'!$AA$42="Catastrófico"),CONCATENATE("R8C",'Mapa final NC'!$O$42),"")</f>
        <v/>
      </c>
      <c r="AI53" s="55" t="e">
        <f>IF(AND('Mapa final NC'!#REF!="Muy Baja",'Mapa final NC'!#REF!="Catastrófico"),CONCATENATE("R8C",'Mapa final NC'!#REF!),"")</f>
        <v>#REF!</v>
      </c>
      <c r="AJ53" s="55" t="e">
        <f>IF(AND('Mapa final NC'!#REF!="Muy Baja",'Mapa final NC'!#REF!="Catastrófico"),CONCATENATE("R8C",'Mapa final NC'!#REF!),"")</f>
        <v>#REF!</v>
      </c>
      <c r="AK53" s="55" t="e">
        <f>IF(AND('Mapa final NC'!#REF!="Muy Baja",'Mapa final NC'!#REF!="Catastrófico"),CONCATENATE("R8C",'Mapa final NC'!#REF!),"")</f>
        <v>#REF!</v>
      </c>
      <c r="AL53" s="55" t="e">
        <f>IF(AND('Mapa final NC'!#REF!="Muy Baja",'Mapa final NC'!#REF!="Catastrófico"),CONCATENATE("R8C",'Mapa final NC'!#REF!),"")</f>
        <v>#REF!</v>
      </c>
      <c r="AM53" s="56" t="e">
        <f>IF(AND('Mapa final NC'!#REF!="Muy Baja",'Mapa final NC'!#REF!="Catastrófico"),CONCATENATE("R8C",'Mapa final NC'!#REF!),"")</f>
        <v>#REF!</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78"/>
      <c r="C54" s="378"/>
      <c r="D54" s="379"/>
      <c r="E54" s="477"/>
      <c r="F54" s="476"/>
      <c r="G54" s="476"/>
      <c r="H54" s="476"/>
      <c r="I54" s="492"/>
      <c r="J54" s="75" t="str">
        <f>IF(AND('Mapa final NC'!$Y$43="Muy Baja",'Mapa final NC'!$AA$43="Leve"),CONCATENATE("R9C",'Mapa final NC'!$O$43),"")</f>
        <v/>
      </c>
      <c r="K54" s="76" t="str">
        <f>IF(AND('Mapa final NC'!$Y$44="Muy Baja",'Mapa final NC'!$AA$44="Leve"),CONCATENATE("R9C",'Mapa final NC'!$O$44),"")</f>
        <v/>
      </c>
      <c r="L54" s="76" t="e">
        <f>IF(AND('Mapa final NC'!#REF!="Muy Baja",'Mapa final NC'!#REF!="Leve"),CONCATENATE("R9C",'Mapa final NC'!#REF!),"")</f>
        <v>#REF!</v>
      </c>
      <c r="M54" s="76" t="e">
        <f>IF(AND('Mapa final NC'!#REF!="Muy Baja",'Mapa final NC'!#REF!="Leve"),CONCATENATE("R9C",'Mapa final NC'!#REF!),"")</f>
        <v>#REF!</v>
      </c>
      <c r="N54" s="76" t="e">
        <f>IF(AND('Mapa final NC'!#REF!="Muy Baja",'Mapa final NC'!#REF!="Leve"),CONCATENATE("R9C",'Mapa final NC'!#REF!),"")</f>
        <v>#REF!</v>
      </c>
      <c r="O54" s="77" t="e">
        <f>IF(AND('Mapa final NC'!#REF!="Muy Baja",'Mapa final NC'!#REF!="Leve"),CONCATENATE("R9C",'Mapa final NC'!#REF!),"")</f>
        <v>#REF!</v>
      </c>
      <c r="P54" s="75" t="str">
        <f>IF(AND('Mapa final NC'!$Y$43="Muy Baja",'Mapa final NC'!$AA$43="Menor"),CONCATENATE("R9C",'Mapa final NC'!$O$43),"")</f>
        <v/>
      </c>
      <c r="Q54" s="76" t="str">
        <f>IF(AND('Mapa final NC'!$Y$44="Muy Baja",'Mapa final NC'!$AA$44="Menor"),CONCATENATE("R9C",'Mapa final NC'!$O$44),"")</f>
        <v/>
      </c>
      <c r="R54" s="76" t="e">
        <f>IF(AND('Mapa final NC'!#REF!="Muy Baja",'Mapa final NC'!#REF!="Menor"),CONCATENATE("R9C",'Mapa final NC'!#REF!),"")</f>
        <v>#REF!</v>
      </c>
      <c r="S54" s="76" t="e">
        <f>IF(AND('Mapa final NC'!#REF!="Muy Baja",'Mapa final NC'!#REF!="Menor"),CONCATENATE("R9C",'Mapa final NC'!#REF!),"")</f>
        <v>#REF!</v>
      </c>
      <c r="T54" s="76" t="e">
        <f>IF(AND('Mapa final NC'!#REF!="Muy Baja",'Mapa final NC'!#REF!="Menor"),CONCATENATE("R9C",'Mapa final NC'!#REF!),"")</f>
        <v>#REF!</v>
      </c>
      <c r="U54" s="77" t="e">
        <f>IF(AND('Mapa final NC'!#REF!="Muy Baja",'Mapa final NC'!#REF!="Menor"),CONCATENATE("R9C",'Mapa final NC'!#REF!),"")</f>
        <v>#REF!</v>
      </c>
      <c r="V54" s="66" t="str">
        <f>IF(AND('Mapa final NC'!$Y$43="Muy Baja",'Mapa final NC'!$AA$43="Moderado"),CONCATENATE("R9C",'Mapa final NC'!$O$43),"")</f>
        <v/>
      </c>
      <c r="W54" s="67" t="str">
        <f>IF(AND('Mapa final NC'!$Y$44="Muy Baja",'Mapa final NC'!$AA$44="Moderado"),CONCATENATE("R9C",'Mapa final NC'!$O$44),"")</f>
        <v/>
      </c>
      <c r="X54" s="67" t="e">
        <f>IF(AND('Mapa final NC'!#REF!="Muy Baja",'Mapa final NC'!#REF!="Moderado"),CONCATENATE("R9C",'Mapa final NC'!#REF!),"")</f>
        <v>#REF!</v>
      </c>
      <c r="Y54" s="67" t="e">
        <f>IF(AND('Mapa final NC'!#REF!="Muy Baja",'Mapa final NC'!#REF!="Moderado"),CONCATENATE("R9C",'Mapa final NC'!#REF!),"")</f>
        <v>#REF!</v>
      </c>
      <c r="Z54" s="67" t="e">
        <f>IF(AND('Mapa final NC'!#REF!="Muy Baja",'Mapa final NC'!#REF!="Moderado"),CONCATENATE("R9C",'Mapa final NC'!#REF!),"")</f>
        <v>#REF!</v>
      </c>
      <c r="AA54" s="68" t="e">
        <f>IF(AND('Mapa final NC'!#REF!="Muy Baja",'Mapa final NC'!#REF!="Moderado"),CONCATENATE("R9C",'Mapa final NC'!#REF!),"")</f>
        <v>#REF!</v>
      </c>
      <c r="AB54" s="51" t="str">
        <f>IF(AND('Mapa final NC'!$Y$43="Muy Baja",'Mapa final NC'!$AA$43="Mayor"),CONCATENATE("R9C",'Mapa final NC'!$O$43),"")</f>
        <v/>
      </c>
      <c r="AC54" s="52" t="str">
        <f>IF(AND('Mapa final NC'!$Y$44="Muy Baja",'Mapa final NC'!$AA$44="Mayor"),CONCATENATE("R9C",'Mapa final NC'!$O$44),"")</f>
        <v/>
      </c>
      <c r="AD54" s="52" t="e">
        <f>IF(AND('Mapa final NC'!#REF!="Muy Baja",'Mapa final NC'!#REF!="Mayor"),CONCATENATE("R9C",'Mapa final NC'!#REF!),"")</f>
        <v>#REF!</v>
      </c>
      <c r="AE54" s="52" t="e">
        <f>IF(AND('Mapa final NC'!#REF!="Muy Baja",'Mapa final NC'!#REF!="Mayor"),CONCATENATE("R9C",'Mapa final NC'!#REF!),"")</f>
        <v>#REF!</v>
      </c>
      <c r="AF54" s="52" t="e">
        <f>IF(AND('Mapa final NC'!#REF!="Muy Baja",'Mapa final NC'!#REF!="Mayor"),CONCATENATE("R9C",'Mapa final NC'!#REF!),"")</f>
        <v>#REF!</v>
      </c>
      <c r="AG54" s="53" t="e">
        <f>IF(AND('Mapa final NC'!#REF!="Muy Baja",'Mapa final NC'!#REF!="Mayor"),CONCATENATE("R9C",'Mapa final NC'!#REF!),"")</f>
        <v>#REF!</v>
      </c>
      <c r="AH54" s="54" t="str">
        <f>IF(AND('Mapa final NC'!$Y$43="Muy Baja",'Mapa final NC'!$AA$43="Catastrófico"),CONCATENATE("R9C",'Mapa final NC'!$O$43),"")</f>
        <v/>
      </c>
      <c r="AI54" s="55" t="str">
        <f>IF(AND('Mapa final NC'!$Y$44="Muy Baja",'Mapa final NC'!$AA$44="Catastrófico"),CONCATENATE("R9C",'Mapa final NC'!$O$44),"")</f>
        <v/>
      </c>
      <c r="AJ54" s="55" t="e">
        <f>IF(AND('Mapa final NC'!#REF!="Muy Baja",'Mapa final NC'!#REF!="Catastrófico"),CONCATENATE("R9C",'Mapa final NC'!#REF!),"")</f>
        <v>#REF!</v>
      </c>
      <c r="AK54" s="55" t="e">
        <f>IF(AND('Mapa final NC'!#REF!="Muy Baja",'Mapa final NC'!#REF!="Catastrófico"),CONCATENATE("R9C",'Mapa final NC'!#REF!),"")</f>
        <v>#REF!</v>
      </c>
      <c r="AL54" s="55" t="e">
        <f>IF(AND('Mapa final NC'!#REF!="Muy Baja",'Mapa final NC'!#REF!="Catastrófico"),CONCATENATE("R9C",'Mapa final NC'!#REF!),"")</f>
        <v>#REF!</v>
      </c>
      <c r="AM54" s="56" t="e">
        <f>IF(AND('Mapa final NC'!#REF!="Muy Baja",'Mapa final NC'!#REF!="Catastrófico"),CONCATENATE("R9C",'Mapa final NC'!#REF!),"")</f>
        <v>#REF!</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78"/>
      <c r="C55" s="378"/>
      <c r="D55" s="379"/>
      <c r="E55" s="478"/>
      <c r="F55" s="479"/>
      <c r="G55" s="479"/>
      <c r="H55" s="479"/>
      <c r="I55" s="493"/>
      <c r="J55" s="78" t="str">
        <f>IF(AND('Mapa final NC'!$Y$45="Muy Baja",'Mapa final NC'!$AA$45="Leve"),CONCATENATE("R10C",'Mapa final NC'!$O$45),"")</f>
        <v/>
      </c>
      <c r="K55" s="79" t="str">
        <f>IF(AND('Mapa final NC'!$Y$46="Muy Baja",'Mapa final NC'!$AA$46="Leve"),CONCATENATE("R10C",'Mapa final NC'!$O$46),"")</f>
        <v/>
      </c>
      <c r="L55" s="79" t="str">
        <f>IF(AND('Mapa final NC'!$Y$47="Muy Baja",'Mapa final NC'!$AA$47="Leve"),CONCATENATE("R10C",'Mapa final NC'!$O$47),"")</f>
        <v/>
      </c>
      <c r="M55" s="79" t="e">
        <f>IF(AND('Mapa final NC'!#REF!="Muy Baja",'Mapa final NC'!#REF!="Leve"),CONCATENATE("R10C",'Mapa final NC'!#REF!),"")</f>
        <v>#REF!</v>
      </c>
      <c r="N55" s="79" t="e">
        <f>IF(AND('Mapa final NC'!#REF!="Muy Baja",'Mapa final NC'!#REF!="Leve"),CONCATENATE("R10C",'Mapa final NC'!#REF!),"")</f>
        <v>#REF!</v>
      </c>
      <c r="O55" s="80" t="e">
        <f>IF(AND('Mapa final NC'!#REF!="Muy Baja",'Mapa final NC'!#REF!="Leve"),CONCATENATE("R10C",'Mapa final NC'!#REF!),"")</f>
        <v>#REF!</v>
      </c>
      <c r="P55" s="78" t="str">
        <f>IF(AND('Mapa final NC'!$Y$45="Muy Baja",'Mapa final NC'!$AA$45="Menor"),CONCATENATE("R10C",'Mapa final NC'!$O$45),"")</f>
        <v/>
      </c>
      <c r="Q55" s="79" t="str">
        <f>IF(AND('Mapa final NC'!$Y$46="Muy Baja",'Mapa final NC'!$AA$46="Menor"),CONCATENATE("R10C",'Mapa final NC'!$O$46),"")</f>
        <v/>
      </c>
      <c r="R55" s="79" t="str">
        <f>IF(AND('Mapa final NC'!$Y$47="Muy Baja",'Mapa final NC'!$AA$47="Menor"),CONCATENATE("R10C",'Mapa final NC'!$O$47),"")</f>
        <v/>
      </c>
      <c r="S55" s="79" t="e">
        <f>IF(AND('Mapa final NC'!#REF!="Muy Baja",'Mapa final NC'!#REF!="Menor"),CONCATENATE("R10C",'Mapa final NC'!#REF!),"")</f>
        <v>#REF!</v>
      </c>
      <c r="T55" s="79" t="e">
        <f>IF(AND('Mapa final NC'!#REF!="Muy Baja",'Mapa final NC'!#REF!="Menor"),CONCATENATE("R10C",'Mapa final NC'!#REF!),"")</f>
        <v>#REF!</v>
      </c>
      <c r="U55" s="80" t="e">
        <f>IF(AND('Mapa final NC'!#REF!="Muy Baja",'Mapa final NC'!#REF!="Menor"),CONCATENATE("R10C",'Mapa final NC'!#REF!),"")</f>
        <v>#REF!</v>
      </c>
      <c r="V55" s="69" t="str">
        <f>IF(AND('Mapa final NC'!$Y$45="Muy Baja",'Mapa final NC'!$AA$45="Moderado"),CONCATENATE("R10C",'Mapa final NC'!$O$45),"")</f>
        <v/>
      </c>
      <c r="W55" s="70" t="str">
        <f>IF(AND('Mapa final NC'!$Y$46="Muy Baja",'Mapa final NC'!$AA$46="Moderado"),CONCATENATE("R10C",'Mapa final NC'!$O$46),"")</f>
        <v/>
      </c>
      <c r="X55" s="70" t="str">
        <f>IF(AND('Mapa final NC'!$Y$47="Muy Baja",'Mapa final NC'!$AA$47="Moderado"),CONCATENATE("R10C",'Mapa final NC'!$O$47),"")</f>
        <v/>
      </c>
      <c r="Y55" s="70" t="e">
        <f>IF(AND('Mapa final NC'!#REF!="Muy Baja",'Mapa final NC'!#REF!="Moderado"),CONCATENATE("R10C",'Mapa final NC'!#REF!),"")</f>
        <v>#REF!</v>
      </c>
      <c r="Z55" s="70" t="e">
        <f>IF(AND('Mapa final NC'!#REF!="Muy Baja",'Mapa final NC'!#REF!="Moderado"),CONCATENATE("R10C",'Mapa final NC'!#REF!),"")</f>
        <v>#REF!</v>
      </c>
      <c r="AA55" s="71" t="e">
        <f>IF(AND('Mapa final NC'!#REF!="Muy Baja",'Mapa final NC'!#REF!="Moderado"),CONCATENATE("R10C",'Mapa final NC'!#REF!),"")</f>
        <v>#REF!</v>
      </c>
      <c r="AB55" s="57" t="str">
        <f>IF(AND('Mapa final NC'!$Y$45="Muy Baja",'Mapa final NC'!$AA$45="Mayor"),CONCATENATE("R10C",'Mapa final NC'!$O$45),"")</f>
        <v/>
      </c>
      <c r="AC55" s="58" t="str">
        <f>IF(AND('Mapa final NC'!$Y$46="Muy Baja",'Mapa final NC'!$AA$46="Mayor"),CONCATENATE("R10C",'Mapa final NC'!$O$46),"")</f>
        <v/>
      </c>
      <c r="AD55" s="58" t="str">
        <f>IF(AND('Mapa final NC'!$Y$47="Muy Baja",'Mapa final NC'!$AA$47="Mayor"),CONCATENATE("R10C",'Mapa final NC'!$O$47),"")</f>
        <v/>
      </c>
      <c r="AE55" s="58" t="e">
        <f>IF(AND('Mapa final NC'!#REF!="Muy Baja",'Mapa final NC'!#REF!="Mayor"),CONCATENATE("R10C",'Mapa final NC'!#REF!),"")</f>
        <v>#REF!</v>
      </c>
      <c r="AF55" s="58" t="e">
        <f>IF(AND('Mapa final NC'!#REF!="Muy Baja",'Mapa final NC'!#REF!="Mayor"),CONCATENATE("R10C",'Mapa final NC'!#REF!),"")</f>
        <v>#REF!</v>
      </c>
      <c r="AG55" s="59" t="e">
        <f>IF(AND('Mapa final NC'!#REF!="Muy Baja",'Mapa final NC'!#REF!="Mayor"),CONCATENATE("R10C",'Mapa final NC'!#REF!),"")</f>
        <v>#REF!</v>
      </c>
      <c r="AH55" s="60" t="str">
        <f>IF(AND('Mapa final NC'!$Y$45="Muy Baja",'Mapa final NC'!$AA$45="Catastrófico"),CONCATENATE("R10C",'Mapa final NC'!$O$45),"")</f>
        <v/>
      </c>
      <c r="AI55" s="61" t="str">
        <f>IF(AND('Mapa final NC'!$Y$46="Muy Baja",'Mapa final NC'!$AA$46="Catastrófico"),CONCATENATE("R10C",'Mapa final NC'!$O$46),"")</f>
        <v/>
      </c>
      <c r="AJ55" s="61" t="str">
        <f>IF(AND('Mapa final NC'!$Y$47="Muy Baja",'Mapa final NC'!$AA$47="Catastrófico"),CONCATENATE("R10C",'Mapa final NC'!$O$47),"")</f>
        <v/>
      </c>
      <c r="AK55" s="61" t="e">
        <f>IF(AND('Mapa final NC'!#REF!="Muy Baja",'Mapa final NC'!#REF!="Catastrófico"),CONCATENATE("R10C",'Mapa final NC'!#REF!),"")</f>
        <v>#REF!</v>
      </c>
      <c r="AL55" s="61" t="e">
        <f>IF(AND('Mapa final NC'!#REF!="Muy Baja",'Mapa final NC'!#REF!="Catastrófico"),CONCATENATE("R10C",'Mapa final NC'!#REF!),"")</f>
        <v>#REF!</v>
      </c>
      <c r="AM55" s="62" t="e">
        <f>IF(AND('Mapa final NC'!#REF!="Muy Baja",'Mapa final NC'!#REF!="Catastrófico"),CONCATENATE("R10C",'Mapa final NC'!#REF!),"")</f>
        <v>#REF!</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473" t="s">
        <v>101</v>
      </c>
      <c r="K56" s="474"/>
      <c r="L56" s="474"/>
      <c r="M56" s="474"/>
      <c r="N56" s="474"/>
      <c r="O56" s="491"/>
      <c r="P56" s="473" t="s">
        <v>102</v>
      </c>
      <c r="Q56" s="474"/>
      <c r="R56" s="474"/>
      <c r="S56" s="474"/>
      <c r="T56" s="474"/>
      <c r="U56" s="491"/>
      <c r="V56" s="473" t="s">
        <v>103</v>
      </c>
      <c r="W56" s="474"/>
      <c r="X56" s="474"/>
      <c r="Y56" s="474"/>
      <c r="Z56" s="474"/>
      <c r="AA56" s="491"/>
      <c r="AB56" s="473" t="s">
        <v>104</v>
      </c>
      <c r="AC56" s="512"/>
      <c r="AD56" s="474"/>
      <c r="AE56" s="474"/>
      <c r="AF56" s="474"/>
      <c r="AG56" s="491"/>
      <c r="AH56" s="473" t="s">
        <v>105</v>
      </c>
      <c r="AI56" s="474"/>
      <c r="AJ56" s="474"/>
      <c r="AK56" s="474"/>
      <c r="AL56" s="474"/>
      <c r="AM56" s="491"/>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477"/>
      <c r="K57" s="476"/>
      <c r="L57" s="476"/>
      <c r="M57" s="476"/>
      <c r="N57" s="476"/>
      <c r="O57" s="492"/>
      <c r="P57" s="477"/>
      <c r="Q57" s="476"/>
      <c r="R57" s="476"/>
      <c r="S57" s="476"/>
      <c r="T57" s="476"/>
      <c r="U57" s="492"/>
      <c r="V57" s="477"/>
      <c r="W57" s="476"/>
      <c r="X57" s="476"/>
      <c r="Y57" s="476"/>
      <c r="Z57" s="476"/>
      <c r="AA57" s="492"/>
      <c r="AB57" s="477"/>
      <c r="AC57" s="476"/>
      <c r="AD57" s="476"/>
      <c r="AE57" s="476"/>
      <c r="AF57" s="476"/>
      <c r="AG57" s="492"/>
      <c r="AH57" s="477"/>
      <c r="AI57" s="476"/>
      <c r="AJ57" s="476"/>
      <c r="AK57" s="476"/>
      <c r="AL57" s="476"/>
      <c r="AM57" s="49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477"/>
      <c r="K58" s="476"/>
      <c r="L58" s="476"/>
      <c r="M58" s="476"/>
      <c r="N58" s="476"/>
      <c r="O58" s="492"/>
      <c r="P58" s="477"/>
      <c r="Q58" s="476"/>
      <c r="R58" s="476"/>
      <c r="S58" s="476"/>
      <c r="T58" s="476"/>
      <c r="U58" s="492"/>
      <c r="V58" s="477"/>
      <c r="W58" s="476"/>
      <c r="X58" s="476"/>
      <c r="Y58" s="476"/>
      <c r="Z58" s="476"/>
      <c r="AA58" s="492"/>
      <c r="AB58" s="477"/>
      <c r="AC58" s="476"/>
      <c r="AD58" s="476"/>
      <c r="AE58" s="476"/>
      <c r="AF58" s="476"/>
      <c r="AG58" s="492"/>
      <c r="AH58" s="477"/>
      <c r="AI58" s="476"/>
      <c r="AJ58" s="476"/>
      <c r="AK58" s="476"/>
      <c r="AL58" s="476"/>
      <c r="AM58" s="49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477"/>
      <c r="K59" s="476"/>
      <c r="L59" s="476"/>
      <c r="M59" s="476"/>
      <c r="N59" s="476"/>
      <c r="O59" s="492"/>
      <c r="P59" s="477"/>
      <c r="Q59" s="476"/>
      <c r="R59" s="476"/>
      <c r="S59" s="476"/>
      <c r="T59" s="476"/>
      <c r="U59" s="492"/>
      <c r="V59" s="477"/>
      <c r="W59" s="476"/>
      <c r="X59" s="476"/>
      <c r="Y59" s="476"/>
      <c r="Z59" s="476"/>
      <c r="AA59" s="492"/>
      <c r="AB59" s="477"/>
      <c r="AC59" s="476"/>
      <c r="AD59" s="476"/>
      <c r="AE59" s="476"/>
      <c r="AF59" s="476"/>
      <c r="AG59" s="492"/>
      <c r="AH59" s="477"/>
      <c r="AI59" s="476"/>
      <c r="AJ59" s="476"/>
      <c r="AK59" s="476"/>
      <c r="AL59" s="476"/>
      <c r="AM59" s="49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477"/>
      <c r="K60" s="476"/>
      <c r="L60" s="476"/>
      <c r="M60" s="476"/>
      <c r="N60" s="476"/>
      <c r="O60" s="492"/>
      <c r="P60" s="477"/>
      <c r="Q60" s="476"/>
      <c r="R60" s="476"/>
      <c r="S60" s="476"/>
      <c r="T60" s="476"/>
      <c r="U60" s="492"/>
      <c r="V60" s="477"/>
      <c r="W60" s="476"/>
      <c r="X60" s="476"/>
      <c r="Y60" s="476"/>
      <c r="Z60" s="476"/>
      <c r="AA60" s="492"/>
      <c r="AB60" s="477"/>
      <c r="AC60" s="476"/>
      <c r="AD60" s="476"/>
      <c r="AE60" s="476"/>
      <c r="AF60" s="476"/>
      <c r="AG60" s="492"/>
      <c r="AH60" s="477"/>
      <c r="AI60" s="476"/>
      <c r="AJ60" s="476"/>
      <c r="AK60" s="476"/>
      <c r="AL60" s="476"/>
      <c r="AM60" s="49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478"/>
      <c r="K61" s="479"/>
      <c r="L61" s="479"/>
      <c r="M61" s="479"/>
      <c r="N61" s="479"/>
      <c r="O61" s="493"/>
      <c r="P61" s="478"/>
      <c r="Q61" s="479"/>
      <c r="R61" s="479"/>
      <c r="S61" s="479"/>
      <c r="T61" s="479"/>
      <c r="U61" s="493"/>
      <c r="V61" s="478"/>
      <c r="W61" s="479"/>
      <c r="X61" s="479"/>
      <c r="Y61" s="479"/>
      <c r="Z61" s="479"/>
      <c r="AA61" s="493"/>
      <c r="AB61" s="478"/>
      <c r="AC61" s="479"/>
      <c r="AD61" s="479"/>
      <c r="AE61" s="479"/>
      <c r="AF61" s="479"/>
      <c r="AG61" s="493"/>
      <c r="AH61" s="478"/>
      <c r="AI61" s="479"/>
      <c r="AJ61" s="479"/>
      <c r="AK61" s="479"/>
      <c r="AL61" s="479"/>
      <c r="AM61" s="493"/>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6" sqref="C6"/>
    </sheetView>
  </sheetViews>
  <sheetFormatPr baseColWidth="10" defaultColWidth="11.42578125" defaultRowHeight="15" x14ac:dyDescent="0.25"/>
  <cols>
    <col min="2" max="2" width="24.28515625" customWidth="1"/>
    <col min="3" max="3" width="70.28515625" customWidth="1"/>
    <col min="4" max="4" width="29.7109375" customWidth="1"/>
  </cols>
  <sheetData>
    <row r="1" spans="1:37" ht="23.25" x14ac:dyDescent="0.25">
      <c r="A1" s="82"/>
      <c r="B1" s="513" t="s">
        <v>107</v>
      </c>
      <c r="C1" s="513"/>
      <c r="D1" s="513"/>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1"/>
      <c r="C3" s="12" t="s">
        <v>108</v>
      </c>
      <c r="D3" s="12" t="s">
        <v>91</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3" t="s">
        <v>109</v>
      </c>
      <c r="C4" s="14" t="s">
        <v>110</v>
      </c>
      <c r="D4" s="15">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6" t="s">
        <v>111</v>
      </c>
      <c r="C5" s="17" t="s">
        <v>112</v>
      </c>
      <c r="D5" s="18">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9" t="s">
        <v>113</v>
      </c>
      <c r="C6" s="17" t="s">
        <v>114</v>
      </c>
      <c r="D6" s="18">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20" t="s">
        <v>115</v>
      </c>
      <c r="C7" s="17" t="s">
        <v>116</v>
      </c>
      <c r="D7" s="18">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1" t="s">
        <v>117</v>
      </c>
      <c r="C8" s="17" t="s">
        <v>118</v>
      </c>
      <c r="D8" s="18">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28515625" customWidth="1"/>
  </cols>
  <sheetData>
    <row r="1" spans="1:21" ht="33.75" x14ac:dyDescent="0.25">
      <c r="A1" s="82"/>
      <c r="B1" s="514" t="s">
        <v>119</v>
      </c>
      <c r="C1" s="514"/>
      <c r="D1" s="514"/>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60" x14ac:dyDescent="0.25">
      <c r="A3" s="82"/>
      <c r="B3" s="103"/>
      <c r="C3" s="35" t="s">
        <v>120</v>
      </c>
      <c r="D3" s="35" t="s">
        <v>121</v>
      </c>
      <c r="E3" s="35" t="s">
        <v>236</v>
      </c>
      <c r="F3" s="82"/>
      <c r="G3" s="82"/>
      <c r="H3" s="82"/>
      <c r="I3" s="82"/>
      <c r="J3" s="82"/>
      <c r="K3" s="82"/>
      <c r="L3" s="82"/>
      <c r="M3" s="82"/>
      <c r="N3" s="82"/>
      <c r="O3" s="82"/>
      <c r="P3" s="82"/>
      <c r="Q3" s="82"/>
      <c r="R3" s="82"/>
      <c r="S3" s="82"/>
      <c r="T3" s="82"/>
      <c r="U3" s="82"/>
    </row>
    <row r="4" spans="1:21" ht="33.75" x14ac:dyDescent="0.25">
      <c r="A4" s="102" t="s">
        <v>122</v>
      </c>
      <c r="B4" s="38" t="s">
        <v>123</v>
      </c>
      <c r="C4" s="43" t="s">
        <v>124</v>
      </c>
      <c r="D4" s="36" t="s">
        <v>125</v>
      </c>
      <c r="E4" s="36" t="s">
        <v>237</v>
      </c>
      <c r="F4" s="82"/>
      <c r="G4" s="82"/>
      <c r="H4" s="82"/>
      <c r="I4" s="82"/>
      <c r="J4" s="82"/>
      <c r="K4" s="82"/>
      <c r="L4" s="82"/>
      <c r="M4" s="82"/>
      <c r="N4" s="82"/>
      <c r="O4" s="82"/>
      <c r="P4" s="82"/>
      <c r="Q4" s="82"/>
      <c r="R4" s="82"/>
      <c r="S4" s="82"/>
      <c r="T4" s="82"/>
      <c r="U4" s="82"/>
    </row>
    <row r="5" spans="1:21" ht="101.25" x14ac:dyDescent="0.25">
      <c r="A5" s="102" t="s">
        <v>126</v>
      </c>
      <c r="B5" s="39" t="s">
        <v>127</v>
      </c>
      <c r="C5" s="44" t="s">
        <v>128</v>
      </c>
      <c r="D5" s="37" t="s">
        <v>241</v>
      </c>
      <c r="E5" s="37" t="s">
        <v>238</v>
      </c>
      <c r="F5" s="82"/>
      <c r="G5" s="82"/>
      <c r="H5" s="82"/>
      <c r="I5" s="82"/>
      <c r="J5" s="82"/>
      <c r="K5" s="82"/>
      <c r="L5" s="82"/>
      <c r="M5" s="82"/>
      <c r="N5" s="82"/>
      <c r="O5" s="82"/>
      <c r="P5" s="82"/>
      <c r="Q5" s="82"/>
      <c r="R5" s="82"/>
      <c r="S5" s="82"/>
      <c r="T5" s="82"/>
      <c r="U5" s="82"/>
    </row>
    <row r="6" spans="1:21" ht="67.5" x14ac:dyDescent="0.25">
      <c r="A6" s="102" t="s">
        <v>97</v>
      </c>
      <c r="B6" s="40" t="s">
        <v>130</v>
      </c>
      <c r="C6" s="44" t="s">
        <v>131</v>
      </c>
      <c r="D6" s="37" t="s">
        <v>132</v>
      </c>
      <c r="E6" s="37" t="s">
        <v>239</v>
      </c>
      <c r="F6" s="82"/>
      <c r="G6" s="82"/>
      <c r="H6" s="82"/>
      <c r="I6" s="82"/>
      <c r="J6" s="82"/>
      <c r="K6" s="82"/>
      <c r="L6" s="82"/>
      <c r="M6" s="82"/>
      <c r="N6" s="82"/>
      <c r="O6" s="82"/>
      <c r="P6" s="82"/>
      <c r="Q6" s="82"/>
      <c r="R6" s="82"/>
      <c r="S6" s="82"/>
      <c r="T6" s="82"/>
      <c r="U6" s="82"/>
    </row>
    <row r="7" spans="1:21" ht="101.25" x14ac:dyDescent="0.25">
      <c r="A7" s="102" t="s">
        <v>133</v>
      </c>
      <c r="B7" s="41" t="s">
        <v>134</v>
      </c>
      <c r="C7" s="44" t="s">
        <v>135</v>
      </c>
      <c r="D7" s="37" t="s">
        <v>136</v>
      </c>
      <c r="E7" s="37" t="s">
        <v>240</v>
      </c>
      <c r="F7" s="82"/>
      <c r="G7" s="82"/>
      <c r="H7" s="82"/>
      <c r="I7" s="82"/>
      <c r="J7" s="82"/>
      <c r="K7" s="82"/>
      <c r="L7" s="82"/>
      <c r="M7" s="82"/>
      <c r="N7" s="82"/>
      <c r="O7" s="82"/>
      <c r="P7" s="82"/>
      <c r="Q7" s="82"/>
      <c r="R7" s="82"/>
      <c r="S7" s="82"/>
      <c r="T7" s="82"/>
      <c r="U7" s="82"/>
    </row>
    <row r="8" spans="1:21" ht="67.5" x14ac:dyDescent="0.25">
      <c r="A8" s="102" t="s">
        <v>137</v>
      </c>
      <c r="B8" s="42" t="s">
        <v>138</v>
      </c>
      <c r="C8" s="44" t="s">
        <v>139</v>
      </c>
      <c r="D8" s="37" t="s">
        <v>140</v>
      </c>
      <c r="E8" s="37" t="s">
        <v>242</v>
      </c>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141</v>
      </c>
      <c r="C11" s="102" t="s">
        <v>142</v>
      </c>
      <c r="D11" s="102" t="s">
        <v>143</v>
      </c>
      <c r="E11" s="82"/>
      <c r="F11" s="82"/>
      <c r="G11" s="82"/>
      <c r="H11" s="82"/>
      <c r="I11" s="82"/>
      <c r="J11" s="82"/>
      <c r="K11" s="82"/>
      <c r="L11" s="82"/>
      <c r="M11" s="82"/>
      <c r="N11" s="82"/>
      <c r="O11" s="82"/>
      <c r="P11" s="82"/>
      <c r="Q11" s="82"/>
      <c r="R11" s="82"/>
      <c r="S11" s="82"/>
      <c r="T11" s="82"/>
      <c r="U11" s="82"/>
    </row>
    <row r="12" spans="1:21" x14ac:dyDescent="0.25">
      <c r="A12" s="102"/>
      <c r="B12" s="102" t="s">
        <v>144</v>
      </c>
      <c r="C12" s="102" t="s">
        <v>145</v>
      </c>
      <c r="D12" s="102" t="s">
        <v>146</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148</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150</v>
      </c>
      <c r="E14" s="82"/>
      <c r="F14" s="82"/>
      <c r="G14" s="82"/>
      <c r="H14" s="82"/>
      <c r="I14" s="82"/>
      <c r="J14" s="82"/>
      <c r="K14" s="82"/>
      <c r="L14" s="82"/>
      <c r="M14" s="82"/>
      <c r="N14" s="82"/>
      <c r="O14" s="82"/>
      <c r="P14" s="82"/>
      <c r="Q14" s="82"/>
      <c r="R14" s="82"/>
      <c r="S14" s="82"/>
      <c r="T14" s="82"/>
      <c r="U14" s="82"/>
    </row>
    <row r="15" spans="1:21" x14ac:dyDescent="0.25">
      <c r="A15" s="102"/>
      <c r="B15" s="102"/>
      <c r="C15" s="102" t="s">
        <v>151</v>
      </c>
      <c r="D15" s="102" t="s">
        <v>152</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3"/>
      <c r="C52" s="33"/>
      <c r="D52" s="33"/>
    </row>
    <row r="53" spans="1:15" ht="20.25" x14ac:dyDescent="0.25">
      <c r="A53" s="102"/>
      <c r="B53" s="23"/>
      <c r="C53" s="33"/>
      <c r="D53" s="33"/>
    </row>
    <row r="54" spans="1:15" ht="20.25" x14ac:dyDescent="0.25">
      <c r="A54" s="102"/>
      <c r="B54" s="23"/>
      <c r="C54" s="33"/>
      <c r="D54" s="33"/>
    </row>
    <row r="55" spans="1:15" ht="20.25" x14ac:dyDescent="0.25">
      <c r="A55" s="102"/>
      <c r="B55" s="23"/>
      <c r="C55" s="33"/>
      <c r="D55" s="33"/>
    </row>
    <row r="56" spans="1:15" ht="20.25" x14ac:dyDescent="0.25">
      <c r="A56" s="102"/>
      <c r="B56" s="23"/>
      <c r="C56" s="33"/>
      <c r="D56" s="33"/>
    </row>
    <row r="57" spans="1:15" ht="20.25" x14ac:dyDescent="0.25">
      <c r="A57" s="102"/>
      <c r="B57" s="23"/>
      <c r="C57" s="33"/>
      <c r="D57" s="33"/>
    </row>
    <row r="58" spans="1:15" ht="20.25" x14ac:dyDescent="0.25">
      <c r="A58" s="102"/>
      <c r="B58" s="23"/>
      <c r="C58" s="33"/>
      <c r="D58" s="33"/>
    </row>
    <row r="59" spans="1:15" ht="20.25" x14ac:dyDescent="0.25">
      <c r="A59" s="102"/>
      <c r="B59" s="23"/>
      <c r="C59" s="33"/>
      <c r="D59" s="33"/>
    </row>
    <row r="60" spans="1:15" ht="20.25" x14ac:dyDescent="0.25">
      <c r="A60" s="102"/>
      <c r="B60" s="23"/>
      <c r="C60" s="33"/>
      <c r="D60" s="33"/>
    </row>
    <row r="61" spans="1:15" ht="20.25" x14ac:dyDescent="0.25">
      <c r="A61" s="102"/>
      <c r="B61" s="23"/>
      <c r="C61" s="33"/>
      <c r="D61" s="33"/>
    </row>
    <row r="62" spans="1:15" ht="20.25" x14ac:dyDescent="0.25">
      <c r="A62" s="102"/>
      <c r="B62" s="23"/>
      <c r="C62" s="33"/>
      <c r="D62" s="33"/>
    </row>
    <row r="63" spans="1:15" ht="20.25" x14ac:dyDescent="0.25">
      <c r="A63" s="102"/>
      <c r="B63" s="23"/>
      <c r="C63" s="33"/>
      <c r="D63" s="33"/>
    </row>
    <row r="64" spans="1:15" ht="20.25" x14ac:dyDescent="0.25">
      <c r="A64" s="102"/>
      <c r="B64" s="23"/>
      <c r="C64" s="33"/>
      <c r="D64" s="33"/>
    </row>
    <row r="65" spans="1:4" ht="20.25" x14ac:dyDescent="0.25">
      <c r="A65" s="102"/>
      <c r="B65" s="23"/>
      <c r="C65" s="33"/>
      <c r="D65" s="33"/>
    </row>
    <row r="66" spans="1:4" ht="20.25" x14ac:dyDescent="0.25">
      <c r="A66" s="102"/>
      <c r="B66" s="23"/>
      <c r="C66" s="33"/>
      <c r="D66" s="33"/>
    </row>
    <row r="67" spans="1:4" ht="20.25" x14ac:dyDescent="0.25">
      <c r="A67" s="102"/>
      <c r="B67" s="23"/>
      <c r="C67" s="33"/>
      <c r="D67" s="33"/>
    </row>
    <row r="68" spans="1:4" ht="20.25" x14ac:dyDescent="0.25">
      <c r="A68" s="102"/>
      <c r="B68" s="23"/>
      <c r="C68" s="33"/>
      <c r="D68" s="33"/>
    </row>
    <row r="69" spans="1:4" ht="20.25" x14ac:dyDescent="0.25">
      <c r="A69" s="102"/>
      <c r="B69" s="23"/>
      <c r="C69" s="33"/>
      <c r="D69" s="33"/>
    </row>
    <row r="70" spans="1:4" ht="20.25" x14ac:dyDescent="0.25">
      <c r="A70" s="102"/>
      <c r="B70" s="23"/>
      <c r="C70" s="33"/>
      <c r="D70" s="33"/>
    </row>
    <row r="71" spans="1:4" ht="20.25" x14ac:dyDescent="0.25">
      <c r="A71" s="102"/>
      <c r="B71" s="23"/>
      <c r="C71" s="33"/>
      <c r="D71" s="33"/>
    </row>
    <row r="72" spans="1:4" ht="20.25" x14ac:dyDescent="0.25">
      <c r="A72" s="102"/>
      <c r="B72" s="23"/>
      <c r="C72" s="33"/>
      <c r="D72" s="33"/>
    </row>
    <row r="73" spans="1:4" ht="20.25" x14ac:dyDescent="0.25">
      <c r="A73" s="102"/>
      <c r="B73" s="23"/>
      <c r="C73" s="33"/>
      <c r="D73" s="33"/>
    </row>
    <row r="74" spans="1:4" ht="20.25" x14ac:dyDescent="0.25">
      <c r="A74" s="102"/>
      <c r="B74" s="23"/>
      <c r="C74" s="33"/>
      <c r="D74" s="33"/>
    </row>
    <row r="75" spans="1:4" ht="20.25" x14ac:dyDescent="0.25">
      <c r="A75" s="102"/>
      <c r="B75" s="23"/>
      <c r="C75" s="33"/>
      <c r="D75" s="33"/>
    </row>
    <row r="76" spans="1:4" ht="20.25" x14ac:dyDescent="0.25">
      <c r="A76" s="102"/>
      <c r="B76" s="23"/>
      <c r="C76" s="33"/>
      <c r="D76" s="33"/>
    </row>
    <row r="77" spans="1:4" ht="20.25" x14ac:dyDescent="0.25">
      <c r="A77" s="102"/>
      <c r="B77" s="23"/>
      <c r="C77" s="33"/>
      <c r="D77" s="33"/>
    </row>
    <row r="78" spans="1:4" ht="20.25" x14ac:dyDescent="0.25">
      <c r="A78" s="102"/>
      <c r="B78" s="23"/>
      <c r="C78" s="33"/>
      <c r="D78" s="33"/>
    </row>
    <row r="79" spans="1:4" ht="20.25" x14ac:dyDescent="0.25">
      <c r="A79" s="102"/>
      <c r="B79" s="23"/>
      <c r="C79" s="33"/>
      <c r="D79" s="33"/>
    </row>
    <row r="80" spans="1:4" ht="20.25" x14ac:dyDescent="0.25">
      <c r="A80" s="102"/>
      <c r="B80" s="23"/>
      <c r="C80" s="33"/>
      <c r="D80" s="33"/>
    </row>
    <row r="81" spans="1:4" ht="20.25" x14ac:dyDescent="0.25">
      <c r="A81" s="102"/>
      <c r="B81" s="23"/>
      <c r="C81" s="33"/>
      <c r="D81" s="33"/>
    </row>
    <row r="82" spans="1:4" ht="20.25" x14ac:dyDescent="0.25">
      <c r="A82" s="102"/>
      <c r="B82" s="23"/>
      <c r="C82" s="33"/>
      <c r="D82" s="33"/>
    </row>
    <row r="83" spans="1:4" ht="20.25" x14ac:dyDescent="0.25">
      <c r="A83" s="102"/>
      <c r="B83" s="23"/>
      <c r="C83" s="33"/>
      <c r="D83" s="33"/>
    </row>
    <row r="84" spans="1:4" ht="20.25" x14ac:dyDescent="0.25">
      <c r="A84" s="102"/>
      <c r="B84" s="23"/>
      <c r="C84" s="33"/>
      <c r="D84" s="33"/>
    </row>
    <row r="85" spans="1:4" ht="20.25" x14ac:dyDescent="0.25">
      <c r="A85" s="102"/>
      <c r="B85" s="23"/>
      <c r="C85" s="33"/>
      <c r="D85" s="33"/>
    </row>
    <row r="86" spans="1:4" ht="20.25" x14ac:dyDescent="0.25">
      <c r="A86" s="102"/>
      <c r="B86" s="23"/>
      <c r="C86" s="33"/>
      <c r="D86" s="33"/>
    </row>
    <row r="87" spans="1:4" ht="20.25" x14ac:dyDescent="0.25">
      <c r="A87" s="102"/>
      <c r="B87" s="23"/>
      <c r="C87" s="33"/>
      <c r="D87" s="33"/>
    </row>
    <row r="88" spans="1:4" ht="20.25" x14ac:dyDescent="0.25">
      <c r="A88" s="102"/>
      <c r="B88" s="23"/>
      <c r="C88" s="33"/>
      <c r="D88" s="33"/>
    </row>
    <row r="89" spans="1:4" ht="20.25" x14ac:dyDescent="0.25">
      <c r="A89" s="102"/>
      <c r="B89" s="23"/>
      <c r="C89" s="33"/>
      <c r="D89" s="33"/>
    </row>
    <row r="90" spans="1:4" ht="20.25" x14ac:dyDescent="0.25">
      <c r="A90" s="102"/>
      <c r="B90" s="23"/>
      <c r="C90" s="33"/>
      <c r="D90" s="33"/>
    </row>
    <row r="91" spans="1:4" ht="20.25" x14ac:dyDescent="0.25">
      <c r="A91" s="102"/>
      <c r="B91" s="23"/>
      <c r="C91" s="33"/>
      <c r="D91" s="33"/>
    </row>
    <row r="92" spans="1:4" ht="20.25" x14ac:dyDescent="0.25">
      <c r="A92" s="102"/>
      <c r="B92" s="23"/>
      <c r="C92" s="33"/>
      <c r="D92" s="33"/>
    </row>
    <row r="93" spans="1:4" ht="20.25" x14ac:dyDescent="0.25">
      <c r="A93" s="102"/>
      <c r="B93" s="23"/>
      <c r="C93" s="33"/>
      <c r="D93" s="33"/>
    </row>
    <row r="94" spans="1:4" ht="20.25" x14ac:dyDescent="0.25">
      <c r="A94" s="102"/>
      <c r="B94" s="23"/>
      <c r="C94" s="33"/>
      <c r="D94" s="33"/>
    </row>
    <row r="95" spans="1:4" ht="20.25" x14ac:dyDescent="0.25">
      <c r="A95" s="102"/>
      <c r="B95" s="23"/>
      <c r="C95" s="33"/>
      <c r="D95" s="33"/>
    </row>
    <row r="96" spans="1:4" ht="20.25" x14ac:dyDescent="0.25">
      <c r="A96" s="102"/>
      <c r="B96" s="23"/>
      <c r="C96" s="33"/>
      <c r="D96" s="33"/>
    </row>
    <row r="97" spans="1:4" ht="20.25" x14ac:dyDescent="0.25">
      <c r="A97" s="102"/>
      <c r="B97" s="23"/>
      <c r="C97" s="33"/>
      <c r="D97" s="33"/>
    </row>
    <row r="98" spans="1:4" ht="20.25" x14ac:dyDescent="0.25">
      <c r="A98" s="102"/>
      <c r="B98" s="23"/>
      <c r="C98" s="33"/>
      <c r="D98" s="33"/>
    </row>
    <row r="99" spans="1:4" ht="20.25" x14ac:dyDescent="0.25">
      <c r="A99" s="102"/>
      <c r="B99" s="23"/>
      <c r="C99" s="33"/>
      <c r="D99" s="33"/>
    </row>
    <row r="100" spans="1:4" ht="20.25" x14ac:dyDescent="0.25">
      <c r="A100" s="102"/>
      <c r="B100" s="23"/>
      <c r="C100" s="33"/>
      <c r="D100" s="33"/>
    </row>
    <row r="101" spans="1:4" ht="20.25" x14ac:dyDescent="0.25">
      <c r="A101" s="102"/>
      <c r="B101" s="23"/>
      <c r="C101" s="33"/>
      <c r="D101" s="33"/>
    </row>
    <row r="102" spans="1:4" ht="20.25" x14ac:dyDescent="0.25">
      <c r="A102" s="102"/>
      <c r="B102" s="23"/>
      <c r="C102" s="33"/>
      <c r="D102" s="33"/>
    </row>
    <row r="103" spans="1:4" ht="20.25" x14ac:dyDescent="0.25">
      <c r="A103" s="102"/>
      <c r="B103" s="23"/>
      <c r="C103" s="33"/>
      <c r="D103" s="33"/>
    </row>
    <row r="104" spans="1:4" ht="20.25" x14ac:dyDescent="0.25">
      <c r="A104" s="102"/>
      <c r="B104" s="23"/>
      <c r="C104" s="33"/>
      <c r="D104" s="33"/>
    </row>
    <row r="105" spans="1:4" ht="20.25" x14ac:dyDescent="0.25">
      <c r="A105" s="102"/>
      <c r="B105" s="23"/>
      <c r="C105" s="33"/>
      <c r="D105" s="33"/>
    </row>
    <row r="106" spans="1:4" ht="20.25" x14ac:dyDescent="0.25">
      <c r="A106" s="102"/>
      <c r="B106" s="23"/>
      <c r="C106" s="33"/>
      <c r="D106" s="33"/>
    </row>
    <row r="107" spans="1:4" ht="20.25" x14ac:dyDescent="0.25">
      <c r="A107" s="102"/>
      <c r="B107" s="23"/>
      <c r="C107" s="33"/>
      <c r="D107" s="33"/>
    </row>
    <row r="108" spans="1:4" ht="20.25" x14ac:dyDescent="0.25">
      <c r="A108" s="102"/>
      <c r="B108" s="23"/>
      <c r="C108" s="33"/>
      <c r="D108" s="33"/>
    </row>
    <row r="109" spans="1:4" ht="20.25" x14ac:dyDescent="0.25">
      <c r="A109" s="102"/>
      <c r="B109" s="23"/>
      <c r="C109" s="33"/>
      <c r="D109" s="33"/>
    </row>
    <row r="110" spans="1:4" ht="20.25" x14ac:dyDescent="0.25">
      <c r="A110" s="102"/>
      <c r="B110" s="23"/>
      <c r="C110" s="33"/>
      <c r="D110" s="33"/>
    </row>
    <row r="111" spans="1:4" ht="20.25" x14ac:dyDescent="0.25">
      <c r="A111" s="102"/>
      <c r="B111" s="23"/>
      <c r="C111" s="33"/>
      <c r="D111" s="33"/>
    </row>
    <row r="112" spans="1:4" ht="20.25" x14ac:dyDescent="0.25">
      <c r="A112" s="102"/>
      <c r="B112" s="23"/>
      <c r="C112" s="33"/>
      <c r="D112" s="33"/>
    </row>
    <row r="113" spans="1:4" ht="20.25" x14ac:dyDescent="0.25">
      <c r="A113" s="102"/>
      <c r="B113" s="23"/>
      <c r="C113" s="33"/>
      <c r="D113" s="33"/>
    </row>
    <row r="114" spans="1:4" ht="20.25" x14ac:dyDescent="0.25">
      <c r="A114" s="102"/>
      <c r="B114" s="23"/>
      <c r="C114" s="33"/>
      <c r="D114" s="33"/>
    </row>
    <row r="115" spans="1:4" ht="20.25" x14ac:dyDescent="0.25">
      <c r="A115" s="102"/>
      <c r="B115" s="23"/>
      <c r="C115" s="33"/>
      <c r="D115" s="33"/>
    </row>
    <row r="116" spans="1:4" ht="20.25" x14ac:dyDescent="0.25">
      <c r="A116" s="102"/>
      <c r="B116" s="23"/>
      <c r="C116" s="33"/>
      <c r="D116" s="33"/>
    </row>
    <row r="117" spans="1:4" ht="20.25" x14ac:dyDescent="0.25">
      <c r="A117" s="102"/>
      <c r="B117" s="23"/>
      <c r="C117" s="33"/>
      <c r="D117" s="33"/>
    </row>
    <row r="118" spans="1:4" ht="20.25" x14ac:dyDescent="0.25">
      <c r="A118" s="102"/>
      <c r="B118" s="23"/>
      <c r="C118" s="33"/>
      <c r="D118" s="33"/>
    </row>
    <row r="119" spans="1:4" ht="20.25" x14ac:dyDescent="0.25">
      <c r="A119" s="102"/>
      <c r="B119" s="23"/>
      <c r="C119" s="33"/>
      <c r="D119" s="33"/>
    </row>
    <row r="120" spans="1:4" ht="20.25" x14ac:dyDescent="0.25">
      <c r="A120" s="102"/>
      <c r="B120" s="23"/>
      <c r="C120" s="33"/>
      <c r="D120" s="33"/>
    </row>
    <row r="121" spans="1:4" ht="20.25" x14ac:dyDescent="0.25">
      <c r="A121" s="102"/>
      <c r="B121" s="23"/>
      <c r="C121" s="33"/>
      <c r="D121" s="33"/>
    </row>
    <row r="122" spans="1:4" ht="20.25" x14ac:dyDescent="0.25">
      <c r="A122" s="102"/>
      <c r="B122" s="23"/>
      <c r="C122" s="33"/>
      <c r="D122" s="33"/>
    </row>
    <row r="123" spans="1:4" ht="20.25" x14ac:dyDescent="0.25">
      <c r="A123" s="102"/>
      <c r="B123" s="23"/>
      <c r="C123" s="33"/>
      <c r="D123" s="33"/>
    </row>
    <row r="124" spans="1:4" ht="20.25" x14ac:dyDescent="0.25">
      <c r="A124" s="102"/>
      <c r="B124" s="23"/>
      <c r="C124" s="33"/>
      <c r="D124" s="33"/>
    </row>
    <row r="125" spans="1:4" ht="20.25" x14ac:dyDescent="0.25">
      <c r="A125" s="102"/>
      <c r="B125" s="23"/>
      <c r="C125" s="33"/>
      <c r="D125" s="33"/>
    </row>
    <row r="126" spans="1:4" ht="20.25" x14ac:dyDescent="0.25">
      <c r="A126" s="102"/>
      <c r="B126" s="23"/>
      <c r="C126" s="33"/>
      <c r="D126" s="33"/>
    </row>
    <row r="127" spans="1:4" ht="20.25" x14ac:dyDescent="0.25">
      <c r="A127" s="102"/>
      <c r="B127" s="23"/>
      <c r="C127" s="33"/>
      <c r="D127" s="33"/>
    </row>
    <row r="128" spans="1:4" ht="20.25" x14ac:dyDescent="0.25">
      <c r="A128" s="102"/>
      <c r="B128" s="23"/>
      <c r="C128" s="33"/>
      <c r="D128" s="33"/>
    </row>
    <row r="129" spans="1:4" ht="20.25" x14ac:dyDescent="0.25">
      <c r="A129" s="102"/>
      <c r="B129" s="23"/>
      <c r="C129" s="33"/>
      <c r="D129" s="33"/>
    </row>
    <row r="130" spans="1:4" ht="20.25" x14ac:dyDescent="0.25">
      <c r="A130" s="102"/>
      <c r="B130" s="23"/>
      <c r="C130" s="33"/>
      <c r="D130" s="33"/>
    </row>
    <row r="131" spans="1:4" ht="20.25" x14ac:dyDescent="0.25">
      <c r="A131" s="102"/>
      <c r="B131" s="23"/>
      <c r="C131" s="33"/>
      <c r="D131" s="33"/>
    </row>
    <row r="132" spans="1:4" ht="20.25" x14ac:dyDescent="0.25">
      <c r="A132" s="102"/>
      <c r="B132" s="23"/>
      <c r="C132" s="33"/>
      <c r="D132" s="33"/>
    </row>
    <row r="133" spans="1:4" ht="20.25" x14ac:dyDescent="0.25">
      <c r="A133" s="102"/>
      <c r="B133" s="23"/>
      <c r="C133" s="33"/>
      <c r="D133" s="33"/>
    </row>
    <row r="134" spans="1:4" ht="20.25" x14ac:dyDescent="0.25">
      <c r="A134" s="102"/>
      <c r="B134" s="23"/>
      <c r="C134" s="33"/>
      <c r="D134" s="33"/>
    </row>
    <row r="135" spans="1:4" ht="20.25" x14ac:dyDescent="0.25">
      <c r="A135" s="102"/>
      <c r="B135" s="23"/>
      <c r="C135" s="33"/>
      <c r="D135" s="33"/>
    </row>
    <row r="136" spans="1:4" ht="20.25" x14ac:dyDescent="0.25">
      <c r="A136" s="102"/>
      <c r="B136" s="23"/>
      <c r="C136" s="33"/>
      <c r="D136" s="33"/>
    </row>
    <row r="137" spans="1:4" ht="20.25" x14ac:dyDescent="0.25">
      <c r="A137" s="102"/>
      <c r="B137" s="23"/>
      <c r="C137" s="33"/>
      <c r="D137" s="33"/>
    </row>
    <row r="138" spans="1:4" ht="20.25" x14ac:dyDescent="0.25">
      <c r="A138" s="102"/>
      <c r="B138" s="23"/>
      <c r="C138" s="33"/>
      <c r="D138" s="33"/>
    </row>
    <row r="139" spans="1:4" ht="20.25" x14ac:dyDescent="0.25">
      <c r="A139" s="102"/>
      <c r="B139" s="23"/>
      <c r="C139" s="33"/>
      <c r="D139" s="33"/>
    </row>
    <row r="140" spans="1:4" ht="20.25" x14ac:dyDescent="0.25">
      <c r="A140" s="102"/>
      <c r="B140" s="23"/>
      <c r="C140" s="33"/>
      <c r="D140" s="33"/>
    </row>
    <row r="141" spans="1:4" ht="20.25" x14ac:dyDescent="0.25">
      <c r="A141" s="102"/>
      <c r="B141" s="23"/>
      <c r="C141" s="33"/>
      <c r="D141" s="33"/>
    </row>
    <row r="142" spans="1:4" ht="20.25" x14ac:dyDescent="0.25">
      <c r="A142" s="102"/>
      <c r="B142" s="23"/>
      <c r="C142" s="33"/>
      <c r="D142" s="33"/>
    </row>
    <row r="143" spans="1:4" ht="20.25" x14ac:dyDescent="0.25">
      <c r="A143" s="102"/>
      <c r="B143" s="23"/>
      <c r="C143" s="33"/>
      <c r="D143" s="33"/>
    </row>
    <row r="144" spans="1:4" ht="20.25" x14ac:dyDescent="0.25">
      <c r="A144" s="102"/>
      <c r="B144" s="23"/>
      <c r="C144" s="33"/>
      <c r="D144" s="33"/>
    </row>
    <row r="145" spans="1:4" ht="20.25" x14ac:dyDescent="0.25">
      <c r="A145" s="102"/>
      <c r="B145" s="23"/>
      <c r="C145" s="33"/>
      <c r="D145" s="33"/>
    </row>
    <row r="146" spans="1:4" ht="20.25" x14ac:dyDescent="0.25">
      <c r="A146" s="102"/>
      <c r="B146" s="23"/>
      <c r="C146" s="33"/>
      <c r="D146" s="33"/>
    </row>
    <row r="147" spans="1:4" ht="20.25" x14ac:dyDescent="0.25">
      <c r="A147" s="102"/>
      <c r="B147" s="23"/>
      <c r="C147" s="33"/>
      <c r="D147" s="33"/>
    </row>
    <row r="148" spans="1:4" ht="20.25" x14ac:dyDescent="0.25">
      <c r="A148" s="102"/>
      <c r="B148" s="23"/>
      <c r="C148" s="33"/>
      <c r="D148" s="33"/>
    </row>
    <row r="149" spans="1:4" ht="20.25" x14ac:dyDescent="0.25">
      <c r="A149" s="102"/>
      <c r="B149" s="23"/>
      <c r="C149" s="33"/>
      <c r="D149" s="33"/>
    </row>
    <row r="150" spans="1:4" ht="20.25" x14ac:dyDescent="0.25">
      <c r="A150" s="102"/>
      <c r="B150" s="23"/>
      <c r="C150" s="33"/>
      <c r="D150" s="33"/>
    </row>
    <row r="151" spans="1:4" ht="20.25" x14ac:dyDescent="0.25">
      <c r="A151" s="102"/>
      <c r="B151" s="23"/>
      <c r="C151" s="33"/>
      <c r="D151" s="33"/>
    </row>
    <row r="152" spans="1:4" ht="20.25" x14ac:dyDescent="0.25">
      <c r="A152" s="102"/>
      <c r="B152" s="23"/>
      <c r="C152" s="33"/>
      <c r="D152" s="33"/>
    </row>
    <row r="153" spans="1:4" ht="20.25" x14ac:dyDescent="0.25">
      <c r="A153" s="102"/>
      <c r="B153" s="23"/>
      <c r="C153" s="33"/>
      <c r="D153" s="33"/>
    </row>
    <row r="154" spans="1:4" ht="20.25" x14ac:dyDescent="0.25">
      <c r="A154" s="102"/>
      <c r="B154" s="23"/>
      <c r="C154" s="33"/>
      <c r="D154" s="33"/>
    </row>
    <row r="155" spans="1:4" ht="20.25" x14ac:dyDescent="0.25">
      <c r="A155" s="102"/>
      <c r="B155" s="23"/>
      <c r="C155" s="33"/>
      <c r="D155" s="33"/>
    </row>
    <row r="156" spans="1:4" ht="20.25" x14ac:dyDescent="0.25">
      <c r="A156" s="102"/>
      <c r="B156" s="23"/>
      <c r="C156" s="33"/>
      <c r="D156" s="33"/>
    </row>
    <row r="157" spans="1:4" ht="20.25" x14ac:dyDescent="0.25">
      <c r="A157" s="102"/>
      <c r="B157" s="23"/>
      <c r="C157" s="33"/>
      <c r="D157" s="33"/>
    </row>
    <row r="158" spans="1:4" ht="20.25" x14ac:dyDescent="0.25">
      <c r="A158" s="102"/>
      <c r="B158" s="23"/>
      <c r="C158" s="33"/>
      <c r="D158" s="33"/>
    </row>
    <row r="159" spans="1:4" ht="20.25" x14ac:dyDescent="0.25">
      <c r="A159" s="102"/>
      <c r="B159" s="23"/>
      <c r="C159" s="33"/>
      <c r="D159" s="33"/>
    </row>
    <row r="160" spans="1:4" ht="20.25" x14ac:dyDescent="0.25">
      <c r="A160" s="102"/>
      <c r="B160" s="23"/>
      <c r="C160" s="33"/>
      <c r="D160" s="33"/>
    </row>
    <row r="161" spans="1:4" ht="20.25" x14ac:dyDescent="0.25">
      <c r="A161" s="102"/>
      <c r="B161" s="23"/>
      <c r="C161" s="33"/>
      <c r="D161" s="33"/>
    </row>
    <row r="162" spans="1:4" ht="20.25" x14ac:dyDescent="0.25">
      <c r="A162" s="102"/>
      <c r="B162" s="23"/>
      <c r="C162" s="33"/>
      <c r="D162" s="33"/>
    </row>
    <row r="163" spans="1:4" ht="20.25" x14ac:dyDescent="0.25">
      <c r="A163" s="102"/>
      <c r="B163" s="23"/>
      <c r="C163" s="33"/>
      <c r="D163" s="33"/>
    </row>
    <row r="164" spans="1:4" ht="20.25" x14ac:dyDescent="0.25">
      <c r="A164" s="102"/>
      <c r="B164" s="23"/>
      <c r="C164" s="33"/>
      <c r="D164" s="33"/>
    </row>
    <row r="165" spans="1:4" ht="20.25" x14ac:dyDescent="0.25">
      <c r="A165" s="102"/>
      <c r="B165" s="23"/>
      <c r="C165" s="33"/>
      <c r="D165" s="33"/>
    </row>
    <row r="166" spans="1:4" ht="20.25" x14ac:dyDescent="0.25">
      <c r="A166" s="102"/>
      <c r="B166" s="23"/>
      <c r="C166" s="33"/>
      <c r="D166" s="33"/>
    </row>
    <row r="167" spans="1:4" ht="20.25" x14ac:dyDescent="0.25">
      <c r="A167" s="102"/>
      <c r="B167" s="23"/>
      <c r="C167" s="33"/>
      <c r="D167" s="33"/>
    </row>
    <row r="168" spans="1:4" ht="20.25" x14ac:dyDescent="0.25">
      <c r="A168" s="102"/>
      <c r="B168" s="23"/>
      <c r="C168" s="33"/>
      <c r="D168" s="33"/>
    </row>
    <row r="169" spans="1:4" ht="20.25" x14ac:dyDescent="0.25">
      <c r="A169" s="102"/>
      <c r="B169" s="23"/>
      <c r="C169" s="33"/>
      <c r="D169" s="33"/>
    </row>
    <row r="170" spans="1:4" ht="20.25" x14ac:dyDescent="0.25">
      <c r="A170" s="102"/>
      <c r="B170" s="23"/>
      <c r="C170" s="33"/>
      <c r="D170" s="33"/>
    </row>
    <row r="171" spans="1:4" ht="20.25" x14ac:dyDescent="0.25">
      <c r="A171" s="102"/>
      <c r="B171" s="23"/>
      <c r="C171" s="33"/>
      <c r="D171" s="33"/>
    </row>
    <row r="172" spans="1:4" ht="20.25" x14ac:dyDescent="0.25">
      <c r="A172" s="102"/>
      <c r="B172" s="23"/>
      <c r="C172" s="33"/>
      <c r="D172" s="33"/>
    </row>
    <row r="173" spans="1:4" ht="20.25" x14ac:dyDescent="0.25">
      <c r="A173" s="102"/>
      <c r="B173" s="23"/>
      <c r="C173" s="33"/>
      <c r="D173" s="33"/>
    </row>
    <row r="174" spans="1:4" ht="20.25" x14ac:dyDescent="0.25">
      <c r="A174" s="102"/>
      <c r="B174" s="23"/>
      <c r="C174" s="33"/>
      <c r="D174" s="33"/>
    </row>
    <row r="175" spans="1:4" ht="20.25" x14ac:dyDescent="0.25">
      <c r="A175" s="102"/>
      <c r="B175" s="23"/>
      <c r="C175" s="33"/>
      <c r="D175" s="33"/>
    </row>
    <row r="176" spans="1:4" ht="20.25" x14ac:dyDescent="0.25">
      <c r="A176" s="102"/>
      <c r="B176" s="23"/>
      <c r="C176" s="33"/>
      <c r="D176" s="33"/>
    </row>
    <row r="177" spans="1:4" ht="20.25" x14ac:dyDescent="0.25">
      <c r="A177" s="102"/>
      <c r="B177" s="23"/>
      <c r="C177" s="33"/>
      <c r="D177" s="33"/>
    </row>
    <row r="178" spans="1:4" ht="20.25" x14ac:dyDescent="0.25">
      <c r="A178" s="102"/>
      <c r="B178" s="23"/>
      <c r="C178" s="33"/>
      <c r="D178" s="33"/>
    </row>
    <row r="179" spans="1:4" ht="20.25" x14ac:dyDescent="0.25">
      <c r="A179" s="102"/>
      <c r="B179" s="23"/>
      <c r="C179" s="33"/>
      <c r="D179" s="33"/>
    </row>
    <row r="180" spans="1:4" ht="20.25" x14ac:dyDescent="0.25">
      <c r="A180" s="102"/>
      <c r="B180" s="23"/>
      <c r="C180" s="33"/>
      <c r="D180" s="33"/>
    </row>
    <row r="181" spans="1:4" ht="20.25" x14ac:dyDescent="0.25">
      <c r="A181" s="102"/>
      <c r="B181" s="23"/>
      <c r="C181" s="33"/>
      <c r="D181" s="33"/>
    </row>
    <row r="182" spans="1:4" ht="20.25" x14ac:dyDescent="0.25">
      <c r="A182" s="102"/>
      <c r="B182" s="23"/>
      <c r="C182" s="33"/>
      <c r="D182" s="33"/>
    </row>
    <row r="183" spans="1:4" ht="20.25" x14ac:dyDescent="0.25">
      <c r="A183" s="102"/>
      <c r="B183" s="23"/>
      <c r="C183" s="33"/>
      <c r="D183" s="33"/>
    </row>
    <row r="184" spans="1:4" ht="20.25" x14ac:dyDescent="0.25">
      <c r="A184" s="102"/>
      <c r="B184" s="23"/>
      <c r="C184" s="33"/>
      <c r="D184" s="33"/>
    </row>
    <row r="185" spans="1:4" ht="20.25" x14ac:dyDescent="0.25">
      <c r="A185" s="102"/>
      <c r="B185" s="23"/>
      <c r="C185" s="33"/>
      <c r="D185" s="33"/>
    </row>
    <row r="186" spans="1:4" ht="20.25" x14ac:dyDescent="0.25">
      <c r="A186" s="102"/>
      <c r="B186" s="23"/>
      <c r="C186" s="33"/>
      <c r="D186" s="33"/>
    </row>
    <row r="187" spans="1:4" ht="20.25" x14ac:dyDescent="0.25">
      <c r="A187" s="102"/>
      <c r="B187" s="23"/>
      <c r="C187" s="33"/>
      <c r="D187" s="33"/>
    </row>
    <row r="188" spans="1:4" ht="20.25" x14ac:dyDescent="0.25">
      <c r="A188" s="102"/>
      <c r="B188" s="23"/>
      <c r="C188" s="33"/>
      <c r="D188" s="33"/>
    </row>
    <row r="189" spans="1:4" ht="20.25" x14ac:dyDescent="0.25">
      <c r="A189" s="102"/>
      <c r="B189" s="23"/>
      <c r="C189" s="33"/>
      <c r="D189" s="33"/>
    </row>
    <row r="190" spans="1:4" ht="20.25" x14ac:dyDescent="0.25">
      <c r="A190" s="102"/>
      <c r="B190" s="23"/>
      <c r="C190" s="33"/>
      <c r="D190" s="33"/>
    </row>
    <row r="191" spans="1:4" ht="20.25" x14ac:dyDescent="0.25">
      <c r="A191" s="102"/>
      <c r="B191" s="23"/>
      <c r="C191" s="33"/>
      <c r="D191" s="33"/>
    </row>
    <row r="192" spans="1:4" ht="20.25" x14ac:dyDescent="0.25">
      <c r="A192" s="102"/>
      <c r="B192" s="23"/>
      <c r="C192" s="33"/>
      <c r="D192" s="33"/>
    </row>
    <row r="193" spans="1:4" ht="20.25" x14ac:dyDescent="0.25">
      <c r="A193" s="102"/>
      <c r="B193" s="23"/>
      <c r="C193" s="33"/>
      <c r="D193" s="33"/>
    </row>
    <row r="194" spans="1:4" ht="20.25" x14ac:dyDescent="0.25">
      <c r="A194" s="102"/>
      <c r="B194" s="23"/>
      <c r="C194" s="33"/>
      <c r="D194" s="33"/>
    </row>
    <row r="195" spans="1:4" ht="20.25" x14ac:dyDescent="0.25">
      <c r="A195" s="102"/>
      <c r="B195" s="23"/>
      <c r="C195" s="33"/>
      <c r="D195" s="33"/>
    </row>
    <row r="196" spans="1:4" ht="20.25" x14ac:dyDescent="0.25">
      <c r="A196" s="102"/>
      <c r="B196" s="23"/>
      <c r="C196" s="33"/>
      <c r="D196" s="33"/>
    </row>
    <row r="197" spans="1:4" ht="20.25" x14ac:dyDescent="0.25">
      <c r="A197" s="102"/>
      <c r="B197" s="23"/>
      <c r="C197" s="33"/>
      <c r="D197" s="33"/>
    </row>
    <row r="198" spans="1:4" ht="20.25" x14ac:dyDescent="0.25">
      <c r="A198" s="102"/>
      <c r="B198" s="23"/>
      <c r="C198" s="33"/>
      <c r="D198" s="33"/>
    </row>
    <row r="199" spans="1:4" ht="20.25" x14ac:dyDescent="0.25">
      <c r="A199" s="102"/>
      <c r="B199" s="23"/>
      <c r="C199" s="33"/>
      <c r="D199" s="33"/>
    </row>
    <row r="200" spans="1:4" ht="20.25" x14ac:dyDescent="0.25">
      <c r="A200" s="102"/>
      <c r="B200" s="23"/>
      <c r="C200" s="33"/>
      <c r="D200" s="33"/>
    </row>
    <row r="201" spans="1:4" ht="20.25" x14ac:dyDescent="0.25">
      <c r="A201" s="102"/>
      <c r="B201" s="23"/>
      <c r="C201" s="33"/>
      <c r="D201" s="33"/>
    </row>
    <row r="202" spans="1:4" ht="20.25" x14ac:dyDescent="0.25">
      <c r="A202" s="102"/>
      <c r="B202" s="23"/>
      <c r="C202" s="33"/>
      <c r="D202" s="33"/>
    </row>
    <row r="203" spans="1:4" ht="20.25" x14ac:dyDescent="0.25">
      <c r="A203" s="102"/>
      <c r="B203" s="23"/>
      <c r="C203" s="33"/>
      <c r="D203" s="33"/>
    </row>
    <row r="204" spans="1:4" ht="20.25" x14ac:dyDescent="0.25">
      <c r="A204" s="102"/>
      <c r="B204" s="23"/>
      <c r="C204" s="33"/>
      <c r="D204" s="33"/>
    </row>
    <row r="205" spans="1:4" ht="20.25" x14ac:dyDescent="0.25">
      <c r="A205" s="102"/>
      <c r="B205" s="23"/>
      <c r="C205" s="33"/>
      <c r="D205" s="33"/>
    </row>
    <row r="206" spans="1:4" ht="20.25" x14ac:dyDescent="0.25">
      <c r="A206" s="102"/>
      <c r="B206" s="23"/>
      <c r="C206" s="33"/>
      <c r="D206" s="33"/>
    </row>
    <row r="207" spans="1:4" ht="20.25" x14ac:dyDescent="0.25">
      <c r="A207" s="102"/>
      <c r="B207" s="23"/>
      <c r="C207" s="33"/>
      <c r="D207" s="33"/>
    </row>
    <row r="208" spans="1:4" x14ac:dyDescent="0.25">
      <c r="A208" s="82"/>
      <c r="B208" s="23"/>
      <c r="C208" s="23"/>
      <c r="D208" s="23"/>
    </row>
    <row r="209" spans="1:8" ht="20.25" x14ac:dyDescent="0.25">
      <c r="A209" s="82"/>
      <c r="B209" s="29" t="s">
        <v>153</v>
      </c>
      <c r="C209" s="29" t="s">
        <v>154</v>
      </c>
      <c r="D209" s="32" t="s">
        <v>153</v>
      </c>
      <c r="E209" s="32" t="s">
        <v>154</v>
      </c>
    </row>
    <row r="210" spans="1:8" ht="21" x14ac:dyDescent="0.35">
      <c r="A210" s="82"/>
      <c r="B210" s="30" t="s">
        <v>155</v>
      </c>
      <c r="C210" s="30"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82"/>
      <c r="B211" s="30" t="s">
        <v>155</v>
      </c>
      <c r="C211" s="30" t="s">
        <v>128</v>
      </c>
      <c r="E211" t="s">
        <v>156</v>
      </c>
      <c r="F211" t="str">
        <f t="shared" ref="F211:F221" si="0">IF(NOT(ISBLANK(D211)),D211,IF(NOT(ISBLANK(E211)),"     "&amp;E211,FALSE))</f>
        <v xml:space="preserve">     Afectación menor a 10 SMLMV .</v>
      </c>
    </row>
    <row r="212" spans="1:8" ht="21" x14ac:dyDescent="0.35">
      <c r="A212" s="82"/>
      <c r="B212" s="30" t="s">
        <v>155</v>
      </c>
      <c r="C212" s="30" t="s">
        <v>131</v>
      </c>
      <c r="E212" t="s">
        <v>128</v>
      </c>
      <c r="F212" t="str">
        <f t="shared" si="0"/>
        <v xml:space="preserve">     Entre 10 y 50 SMLMV </v>
      </c>
    </row>
    <row r="213" spans="1:8" ht="21" x14ac:dyDescent="0.35">
      <c r="A213" s="82"/>
      <c r="B213" s="30" t="s">
        <v>155</v>
      </c>
      <c r="C213" s="30" t="s">
        <v>135</v>
      </c>
      <c r="E213" t="s">
        <v>131</v>
      </c>
      <c r="F213" t="str">
        <f t="shared" si="0"/>
        <v xml:space="preserve">     Entre 50 y 100 SMLMV </v>
      </c>
    </row>
    <row r="214" spans="1:8" ht="21" x14ac:dyDescent="0.35">
      <c r="A214" s="82"/>
      <c r="B214" s="30" t="s">
        <v>155</v>
      </c>
      <c r="C214" s="30" t="s">
        <v>139</v>
      </c>
      <c r="E214" t="s">
        <v>135</v>
      </c>
      <c r="F214" t="str">
        <f t="shared" si="0"/>
        <v xml:space="preserve">     Entre 100 y 500 SMLMV </v>
      </c>
    </row>
    <row r="215" spans="1:8" ht="21" x14ac:dyDescent="0.35">
      <c r="A215" s="82"/>
      <c r="B215" s="30" t="s">
        <v>121</v>
      </c>
      <c r="C215" s="30" t="s">
        <v>125</v>
      </c>
      <c r="E215" t="s">
        <v>139</v>
      </c>
      <c r="F215" t="str">
        <f t="shared" si="0"/>
        <v xml:space="preserve">     Mayor a 500 SMLMV </v>
      </c>
    </row>
    <row r="216" spans="1:8" ht="21" x14ac:dyDescent="0.35">
      <c r="A216" s="82"/>
      <c r="B216" s="30" t="s">
        <v>121</v>
      </c>
      <c r="C216" s="30" t="s">
        <v>129</v>
      </c>
      <c r="D216" t="s">
        <v>121</v>
      </c>
      <c r="F216" t="str">
        <f t="shared" si="0"/>
        <v>Pérdida Reputacional</v>
      </c>
    </row>
    <row r="217" spans="1:8" ht="21" x14ac:dyDescent="0.35">
      <c r="A217" s="82"/>
      <c r="B217" s="30" t="s">
        <v>121</v>
      </c>
      <c r="C217" s="30" t="s">
        <v>132</v>
      </c>
      <c r="E217" t="s">
        <v>125</v>
      </c>
      <c r="F217" t="str">
        <f t="shared" si="0"/>
        <v xml:space="preserve">     El riesgo afecta la imagen de alguna área de la organización</v>
      </c>
    </row>
    <row r="218" spans="1:8" ht="21" x14ac:dyDescent="0.35">
      <c r="A218" s="82"/>
      <c r="B218" s="30" t="s">
        <v>121</v>
      </c>
      <c r="C218" s="30" t="s">
        <v>136</v>
      </c>
      <c r="E218" t="s">
        <v>129</v>
      </c>
      <c r="F218" t="str">
        <f t="shared" si="0"/>
        <v xml:space="preserve">     El riesgo afecta la imagen de la entidad internamente, de conocimiento general, nivel interno, de junta dircetiva y accionistas y/o de provedores</v>
      </c>
    </row>
    <row r="219" spans="1:8" ht="21" x14ac:dyDescent="0.35">
      <c r="A219" s="82"/>
      <c r="B219" s="30" t="s">
        <v>121</v>
      </c>
      <c r="C219" s="30" t="s">
        <v>140</v>
      </c>
      <c r="E219" t="s">
        <v>132</v>
      </c>
      <c r="F219" t="str">
        <f t="shared" si="0"/>
        <v xml:space="preserve">     El riesgo afecta la imagen de la entidad con algunos usuarios de relevancia frente al logro de los objetivos</v>
      </c>
    </row>
    <row r="220" spans="1:8" x14ac:dyDescent="0.25">
      <c r="A220" s="82"/>
      <c r="B220" s="31"/>
      <c r="C220" s="31"/>
      <c r="E220" t="s">
        <v>136</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140</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c r="F222" t="s">
        <v>236</v>
      </c>
    </row>
    <row r="223" spans="1:8" x14ac:dyDescent="0.25">
      <c r="B223" s="31" t="str">
        <v>Pérdida Reputacional</v>
      </c>
      <c r="C223" s="31"/>
      <c r="F223" t="s">
        <v>237</v>
      </c>
    </row>
    <row r="224" spans="1:8" x14ac:dyDescent="0.25">
      <c r="B224" s="22"/>
      <c r="C224" s="22"/>
      <c r="F224" t="s">
        <v>238</v>
      </c>
    </row>
    <row r="225" spans="2:6" x14ac:dyDescent="0.25">
      <c r="B225" s="22"/>
      <c r="C225" s="22"/>
      <c r="F225" t="s">
        <v>239</v>
      </c>
    </row>
    <row r="226" spans="2:6" x14ac:dyDescent="0.25">
      <c r="B226" s="22"/>
      <c r="C226" s="22"/>
      <c r="F226" t="s">
        <v>240</v>
      </c>
    </row>
    <row r="227" spans="2:6" x14ac:dyDescent="0.25">
      <c r="B227" s="22"/>
      <c r="C227" s="22"/>
      <c r="D227" s="22"/>
      <c r="F227" t="s">
        <v>242</v>
      </c>
    </row>
    <row r="228" spans="2:6" x14ac:dyDescent="0.25">
      <c r="B228" s="22"/>
      <c r="C228" s="22"/>
      <c r="D228" s="22"/>
      <c r="F228" s="34" t="s">
        <v>157</v>
      </c>
    </row>
    <row r="229" spans="2:6" x14ac:dyDescent="0.25">
      <c r="B229" s="22"/>
      <c r="C229" s="22"/>
      <c r="D229" s="22"/>
      <c r="F229" s="34" t="s">
        <v>158</v>
      </c>
    </row>
    <row r="230" spans="2:6" x14ac:dyDescent="0.25">
      <c r="B230" s="22"/>
      <c r="C230" s="22"/>
      <c r="D230" s="22"/>
    </row>
    <row r="231" spans="2:6" x14ac:dyDescent="0.25">
      <c r="B231" s="22"/>
      <c r="C231" s="22"/>
      <c r="D231" s="22"/>
    </row>
    <row r="232" spans="2:6" x14ac:dyDescent="0.25">
      <c r="B232" s="22"/>
      <c r="C232" s="22"/>
      <c r="D232" s="22"/>
    </row>
  </sheetData>
  <mergeCells count="1">
    <mergeCell ref="B1:D1"/>
  </mergeCells>
  <dataValidations count="1">
    <dataValidation type="list" allowBlank="1" showInputMessage="1" showErrorMessage="1" sqref="G210" xr:uid="{00000000-0002-0000-0800-000000000000}">
      <formula1>$F$210:$F$221</formula1>
    </dataValidation>
  </dataValidations>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59AC802A952844BB73AABE2544F9827" ma:contentTypeVersion="18" ma:contentTypeDescription="Crear nuevo documento." ma:contentTypeScope="" ma:versionID="8dbf60243743395c3cee19b790d46ba0">
  <xsd:schema xmlns:xsd="http://www.w3.org/2001/XMLSchema" xmlns:xs="http://www.w3.org/2001/XMLSchema" xmlns:p="http://schemas.microsoft.com/office/2006/metadata/properties" xmlns:ns3="b0f42664-3d87-47ff-9d84-4c0f31c7b43c" xmlns:ns4="b90a6131-c60f-4ba5-8032-c45ba8445910" targetNamespace="http://schemas.microsoft.com/office/2006/metadata/properties" ma:root="true" ma:fieldsID="140e894c0f406e9295129c0fddadcbc3" ns3:_="" ns4:_="">
    <xsd:import namespace="b0f42664-3d87-47ff-9d84-4c0f31c7b43c"/>
    <xsd:import namespace="b90a6131-c60f-4ba5-8032-c45ba844591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f42664-3d87-47ff-9d84-4c0f31c7b4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0a6131-c60f-4ba5-8032-c45ba844591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0f42664-3d87-47ff-9d84-4c0f31c7b43c" xsi:nil="true"/>
  </documentManagement>
</p:properties>
</file>

<file path=customXml/itemProps1.xml><?xml version="1.0" encoding="utf-8"?>
<ds:datastoreItem xmlns:ds="http://schemas.openxmlformats.org/officeDocument/2006/customXml" ds:itemID="{A10CBD7D-67E3-4BA9-AC20-71479D98C26E}">
  <ds:schemaRefs>
    <ds:schemaRef ds:uri="http://schemas.microsoft.com/sharepoint/v3/contenttype/forms"/>
  </ds:schemaRefs>
</ds:datastoreItem>
</file>

<file path=customXml/itemProps2.xml><?xml version="1.0" encoding="utf-8"?>
<ds:datastoreItem xmlns:ds="http://schemas.openxmlformats.org/officeDocument/2006/customXml" ds:itemID="{CD678904-09FA-422C-A4D3-749EA5552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f42664-3d87-47ff-9d84-4c0f31c7b43c"/>
    <ds:schemaRef ds:uri="b90a6131-c60f-4ba5-8032-c45ba8445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16206D-A606-412C-9978-8D167361B3B6}">
  <ds:schemaRefs>
    <ds:schemaRef ds:uri="http://schemas.microsoft.com/office/infopath/2007/PartnerControls"/>
    <ds:schemaRef ds:uri="b90a6131-c60f-4ba5-8032-c45ba8445910"/>
    <ds:schemaRef ds:uri="http://purl.org/dc/elements/1.1/"/>
    <ds:schemaRef ds:uri="http://schemas.microsoft.com/office/2006/metadata/properties"/>
    <ds:schemaRef ds:uri="b0f42664-3d87-47ff-9d84-4c0f31c7b43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Instructivo</vt:lpstr>
      <vt:lpstr>Contexto proceso</vt:lpstr>
      <vt:lpstr>Mapa final NC</vt:lpstr>
      <vt:lpstr>Mapa final NL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2024-04-22T19:56:11Z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0x010100959AC802A952844BB73AABE2544F9827</vt:lpwstr>
  </property>
</Properties>
</file>