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4. Abril/Caso HOLA 239474/"/>
    </mc:Choice>
  </mc:AlternateContent>
  <xr:revisionPtr revIDLastSave="76" documentId="8_{87F7C518-1097-4B24-9FC0-92DFB6F481B7}" xr6:coauthVersionLast="47" xr6:coauthVersionMax="47" xr10:uidLastSave="{EFC2D024-A493-4885-BB8B-7BBEBC3C70F5}"/>
  <bookViews>
    <workbookView xWindow="-120" yWindow="-120" windowWidth="29040" windowHeight="15840" tabRatio="882" activeTab="2" xr2:uid="{00000000-000D-0000-FFFF-FFFF00000000}"/>
  </bookViews>
  <sheets>
    <sheet name="Instructivo" sheetId="20" r:id="rId1"/>
    <sheet name="Contexto proceso" sheetId="21" r:id="rId2"/>
    <sheet name="Mapa final"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 r:id="rId14"/>
    <externalReference r:id="rId15"/>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concurrentCalc="0"/>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5" i="1" l="1"/>
  <c r="X34" i="1"/>
  <c r="Z34" i="1"/>
  <c r="Y35" i="1"/>
  <c r="AB35" i="1"/>
  <c r="AA35" i="1"/>
  <c r="AC35" i="1"/>
  <c r="Z35" i="1"/>
  <c r="Y34" i="1"/>
  <c r="K23" i="1"/>
  <c r="L23" i="1"/>
  <c r="T23" i="1"/>
  <c r="Q23" i="1"/>
  <c r="H23" i="1"/>
  <c r="I23" i="1"/>
  <c r="K36" i="1"/>
  <c r="K30" i="1"/>
  <c r="K35" i="1"/>
  <c r="K33" i="1"/>
  <c r="K39" i="1"/>
  <c r="K40" i="1"/>
  <c r="K32" i="1"/>
  <c r="F221" i="13"/>
  <c r="F211" i="13"/>
  <c r="F212" i="13"/>
  <c r="F213" i="13"/>
  <c r="F214" i="13"/>
  <c r="F215" i="13"/>
  <c r="F216" i="13"/>
  <c r="F217" i="13"/>
  <c r="F218" i="13"/>
  <c r="F219" i="13"/>
  <c r="F220" i="13"/>
  <c r="F210" i="13"/>
  <c r="K28" i="1"/>
  <c r="K27" i="1"/>
  <c r="K24" i="1"/>
  <c r="K25" i="1"/>
  <c r="B221" i="13" a="1"/>
  <c r="K26" i="1"/>
  <c r="B221" i="13"/>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39" i="1"/>
  <c r="T38" i="1"/>
  <c r="H38" i="1"/>
  <c r="I38" i="1"/>
  <c r="T37" i="1"/>
  <c r="H37" i="1"/>
  <c r="I37" i="1"/>
  <c r="T35" i="1"/>
  <c r="T34" i="1"/>
  <c r="H34" i="1"/>
  <c r="I34" i="1"/>
  <c r="T31" i="1"/>
  <c r="H31" i="1"/>
  <c r="I31" i="1"/>
  <c r="H29" i="1"/>
  <c r="T30" i="1"/>
  <c r="Q30" i="1"/>
  <c r="T29" i="1"/>
  <c r="Q29" i="1"/>
  <c r="I29" i="1"/>
  <c r="X29" i="1"/>
  <c r="X38" i="1"/>
  <c r="X37" i="1"/>
  <c r="X31" i="1"/>
  <c r="Y38" i="1"/>
  <c r="Z38" i="1"/>
  <c r="X39" i="1"/>
  <c r="Z39" i="1"/>
  <c r="X40" i="1"/>
  <c r="Y37" i="1"/>
  <c r="Z37" i="1"/>
  <c r="Y31" i="1"/>
  <c r="Z31" i="1"/>
  <c r="Y29" i="1"/>
  <c r="Z29" i="1"/>
  <c r="X30" i="1"/>
  <c r="X33" i="1"/>
  <c r="Y3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30" i="1"/>
  <c r="Z30" i="1"/>
  <c r="X23" i="1"/>
  <c r="Y23" i="1"/>
  <c r="Z23" i="1"/>
  <c r="X24" i="1"/>
  <c r="X25" i="1"/>
  <c r="X26" i="1"/>
  <c r="X27" i="1"/>
  <c r="X2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38" i="1"/>
  <c r="L38" i="1"/>
  <c r="K34" i="1"/>
  <c r="L34" i="1"/>
  <c r="K31" i="1"/>
  <c r="L31" i="1"/>
  <c r="K37" i="1"/>
  <c r="L37" i="1"/>
  <c r="K29" i="1"/>
  <c r="L29" i="1"/>
  <c r="X6" i="18"/>
  <c r="AJ30" i="18"/>
  <c r="R22" i="18"/>
  <c r="L6" i="18"/>
  <c r="R30" i="18"/>
  <c r="X22" i="18"/>
  <c r="X38" i="18"/>
  <c r="AD38" i="18"/>
  <c r="N29" i="1"/>
  <c r="AD22" i="18"/>
  <c r="M29" i="1"/>
  <c r="AB29" i="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7" i="1"/>
  <c r="L32" i="18"/>
  <c r="X8" i="18"/>
  <c r="X24" i="18"/>
  <c r="AJ8" i="18"/>
  <c r="M37" i="1"/>
  <c r="AB37" i="1"/>
  <c r="AA37" i="1"/>
  <c r="R40" i="18"/>
  <c r="L40" i="18"/>
  <c r="X16" i="18"/>
  <c r="L24" i="18"/>
  <c r="AJ24" i="18"/>
  <c r="X32" i="18"/>
  <c r="AJ40" i="18"/>
  <c r="R16" i="18"/>
  <c r="AD40" i="18"/>
  <c r="AD32" i="18"/>
  <c r="AD16" i="18"/>
  <c r="J42" i="18"/>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N31" i="1"/>
  <c r="AF22" i="18"/>
  <c r="N6" i="18"/>
  <c r="AF6" i="18"/>
  <c r="AF38" i="18"/>
  <c r="M31" i="1"/>
  <c r="AB31" i="1"/>
  <c r="AA31" i="1"/>
  <c r="N38" i="18"/>
  <c r="AL30" i="18"/>
  <c r="AL22" i="18"/>
  <c r="T6" i="18"/>
  <c r="AF14" i="18"/>
  <c r="AF30" i="18"/>
  <c r="Z22" i="18"/>
  <c r="T30" i="18"/>
  <c r="Z30" i="18"/>
  <c r="AL6" i="18"/>
  <c r="Z14" i="18"/>
  <c r="Z38" i="18"/>
  <c r="N30" i="18"/>
  <c r="J40" i="18"/>
  <c r="AB40" i="18"/>
  <c r="AH32" i="18"/>
  <c r="AB24" i="18"/>
  <c r="V16" i="18"/>
  <c r="M34" i="1"/>
  <c r="AB34" i="1"/>
  <c r="J16" i="18"/>
  <c r="P32" i="18"/>
  <c r="V24" i="18"/>
  <c r="P24" i="18"/>
  <c r="V40" i="18"/>
  <c r="P16" i="18"/>
  <c r="P40" i="18"/>
  <c r="V32" i="18"/>
  <c r="AH16" i="18"/>
  <c r="AB16" i="18"/>
  <c r="V8" i="18"/>
  <c r="AH24" i="18"/>
  <c r="AH8" i="18"/>
  <c r="AH40" i="18"/>
  <c r="J8" i="18"/>
  <c r="AB32" i="18"/>
  <c r="AB8" i="18"/>
  <c r="J24" i="18"/>
  <c r="J32" i="18"/>
  <c r="P8" i="18"/>
  <c r="N34" i="1"/>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P14" i="18"/>
  <c r="V22" i="18"/>
  <c r="V14" i="18"/>
  <c r="P22" i="18"/>
  <c r="V38" i="18"/>
  <c r="AH14" i="18"/>
  <c r="AH38" i="18"/>
  <c r="J14" i="18"/>
  <c r="AB22" i="18"/>
  <c r="V30" i="18"/>
  <c r="AB14" i="18"/>
  <c r="AB38" i="18"/>
  <c r="J30" i="18"/>
  <c r="P38" i="18"/>
  <c r="AB6" i="18"/>
  <c r="M23" i="1"/>
  <c r="AB23" i="1"/>
  <c r="AA23" i="1"/>
  <c r="AH30" i="18"/>
  <c r="J38" i="18"/>
  <c r="AH6" i="18"/>
  <c r="V6" i="18"/>
  <c r="AB30" i="18"/>
  <c r="J22" i="18"/>
  <c r="J6" i="18"/>
  <c r="P30" i="18"/>
  <c r="AH22" i="18"/>
  <c r="P6" i="18"/>
  <c r="N23" i="1"/>
  <c r="AH12" i="18"/>
  <c r="J20" i="18"/>
  <c r="J44" i="18"/>
  <c r="AB28" i="18"/>
  <c r="P28" i="18"/>
  <c r="P12" i="18"/>
  <c r="AH20" i="18"/>
  <c r="P44" i="18"/>
  <c r="AB12" i="18"/>
  <c r="P20" i="18"/>
  <c r="J36" i="18"/>
  <c r="P36" i="18"/>
  <c r="AB44" i="18"/>
  <c r="V44" i="18"/>
  <c r="J28" i="18"/>
  <c r="AH36" i="18"/>
  <c r="V12" i="18"/>
  <c r="V28" i="18"/>
  <c r="AH44" i="18"/>
  <c r="AB20" i="18"/>
  <c r="AB36" i="18"/>
  <c r="AH28" i="18"/>
  <c r="V36" i="18"/>
  <c r="V20" i="18"/>
  <c r="J12" i="18"/>
  <c r="AF24" i="18"/>
  <c r="AF32" i="18"/>
  <c r="T40" i="18"/>
  <c r="M38" i="1"/>
  <c r="AB38" i="1"/>
  <c r="Z40" i="18"/>
  <c r="AL8" i="18"/>
  <c r="AF8" i="18"/>
  <c r="T8" i="18"/>
  <c r="Z16" i="18"/>
  <c r="T24" i="18"/>
  <c r="AL24" i="18"/>
  <c r="Z32" i="18"/>
  <c r="N32" i="18"/>
  <c r="N16" i="18"/>
  <c r="Z8" i="18"/>
  <c r="AL40" i="18"/>
  <c r="N8" i="18"/>
  <c r="N24" i="18"/>
  <c r="T32" i="18"/>
  <c r="T16" i="18"/>
  <c r="AF40" i="18"/>
  <c r="AF16" i="18"/>
  <c r="AL32" i="18"/>
  <c r="N40" i="18"/>
  <c r="Z24" i="18"/>
  <c r="AL16" i="18"/>
  <c r="N38" i="1"/>
  <c r="AH8" i="19"/>
  <c r="AB48" i="19"/>
  <c r="V8" i="19"/>
  <c r="AH48" i="19"/>
  <c r="AH18" i="19"/>
  <c r="V18" i="19"/>
  <c r="J38" i="19"/>
  <c r="P48" i="19"/>
  <c r="AB18" i="19"/>
  <c r="J18" i="19"/>
  <c r="P18" i="19"/>
  <c r="J28" i="19"/>
  <c r="J48" i="19"/>
  <c r="V28" i="19"/>
  <c r="AB8" i="19"/>
  <c r="P28" i="19"/>
  <c r="AH38" i="19"/>
  <c r="J8" i="19"/>
  <c r="AB28" i="19"/>
  <c r="V38" i="19"/>
  <c r="AH28" i="19"/>
  <c r="AB38" i="19"/>
  <c r="V48" i="19"/>
  <c r="P8" i="19"/>
  <c r="AC31" i="1"/>
  <c r="P38" i="19"/>
  <c r="AA38" i="1"/>
  <c r="AB39" i="1"/>
  <c r="AA39" i="1"/>
  <c r="AH20" i="19"/>
  <c r="P10" i="19"/>
  <c r="P30" i="19"/>
  <c r="AH30" i="19"/>
  <c r="AH50" i="19"/>
  <c r="J20" i="19"/>
  <c r="J30" i="19"/>
  <c r="AB50" i="19"/>
  <c r="V50" i="19"/>
  <c r="AH40" i="19"/>
  <c r="AC37" i="1"/>
  <c r="P40" i="19"/>
  <c r="V30" i="19"/>
  <c r="AH10" i="19"/>
  <c r="AB40" i="19"/>
  <c r="AB10" i="19"/>
  <c r="AB20" i="19"/>
  <c r="P20" i="19"/>
  <c r="AB30" i="19"/>
  <c r="J40" i="19"/>
  <c r="V20" i="19"/>
  <c r="J50" i="19"/>
  <c r="P50" i="19"/>
  <c r="J10" i="19"/>
  <c r="V10" i="19"/>
  <c r="V40" i="19"/>
  <c r="AA34" i="1"/>
  <c r="AA29" i="1"/>
  <c r="AB30" i="1"/>
  <c r="AA30" i="1"/>
  <c r="P16" i="19"/>
  <c r="P6" i="19"/>
  <c r="AH6" i="19"/>
  <c r="V46" i="19"/>
  <c r="AH46" i="19"/>
  <c r="AB46" i="19"/>
  <c r="J6" i="19"/>
  <c r="P46" i="19"/>
  <c r="AB26" i="19"/>
  <c r="AB16" i="19"/>
  <c r="AH26" i="19"/>
  <c r="J16" i="19"/>
  <c r="V26" i="19"/>
  <c r="AH36" i="19"/>
  <c r="P26" i="19"/>
  <c r="V16" i="19"/>
  <c r="V36" i="19"/>
  <c r="AC23"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Q51" i="19"/>
  <c r="W41" i="19"/>
  <c r="AC21" i="19"/>
  <c r="Q31" i="19"/>
  <c r="AI31" i="19"/>
  <c r="AC51" i="19"/>
  <c r="W21" i="19"/>
  <c r="K41" i="19"/>
  <c r="K31" i="19"/>
  <c r="AI21" i="19"/>
  <c r="Q41" i="19"/>
  <c r="W31" i="19"/>
  <c r="AC41" i="19"/>
  <c r="AC31" i="19"/>
  <c r="AI41" i="19"/>
  <c r="AC11" i="19"/>
  <c r="AI11" i="19"/>
  <c r="W51" i="19"/>
  <c r="K51" i="19"/>
  <c r="K11" i="19"/>
  <c r="Q11" i="19"/>
  <c r="W11" i="19"/>
  <c r="AI51" i="19"/>
  <c r="Q21" i="19"/>
  <c r="K21" i="19"/>
  <c r="AC39" i="1"/>
  <c r="J11" i="19"/>
  <c r="J31" i="19"/>
  <c r="P41" i="19"/>
  <c r="P21" i="19"/>
  <c r="AB11" i="19"/>
  <c r="V51" i="19"/>
  <c r="J41" i="19"/>
  <c r="AH11" i="19"/>
  <c r="V11" i="19"/>
  <c r="AB41" i="19"/>
  <c r="J21" i="19"/>
  <c r="V41" i="19"/>
  <c r="P51" i="19"/>
  <c r="J51" i="19"/>
  <c r="P11" i="19"/>
  <c r="AB21" i="19"/>
  <c r="AC38" i="1"/>
  <c r="AB31" i="19"/>
  <c r="V31" i="19"/>
  <c r="V21" i="19"/>
  <c r="AH51" i="19"/>
  <c r="P31" i="19"/>
  <c r="AH41" i="19"/>
  <c r="AB51" i="19"/>
  <c r="AH21" i="19"/>
  <c r="AH31" i="19"/>
  <c r="J39" i="19"/>
  <c r="AC34" i="1"/>
  <c r="P49" i="19"/>
  <c r="P39" i="19"/>
  <c r="AH39" i="19"/>
  <c r="V9" i="19"/>
  <c r="AB19" i="19"/>
  <c r="V29" i="19"/>
  <c r="AH29" i="19"/>
  <c r="V39" i="19"/>
  <c r="AB49" i="19"/>
  <c r="J9" i="19"/>
  <c r="AH9" i="19"/>
  <c r="V49" i="19"/>
  <c r="AH49" i="19"/>
  <c r="J29" i="19"/>
  <c r="V19" i="19"/>
  <c r="P9" i="19"/>
  <c r="AB29" i="19"/>
  <c r="AH19" i="19"/>
  <c r="AB9" i="19"/>
  <c r="J49" i="19"/>
  <c r="J19" i="19"/>
  <c r="P19" i="19"/>
  <c r="AB39" i="19"/>
  <c r="P29" i="19"/>
  <c r="W37" i="19"/>
  <c r="Q47" i="19"/>
  <c r="AI47" i="19"/>
  <c r="AC37" i="19"/>
  <c r="K37" i="19"/>
  <c r="AI27" i="19"/>
  <c r="K7" i="19"/>
  <c r="AI7" i="19"/>
  <c r="W7" i="19"/>
  <c r="Q27" i="19"/>
  <c r="AI37" i="19"/>
  <c r="AC7" i="19"/>
  <c r="Q7" i="19"/>
  <c r="Q17" i="19"/>
  <c r="W17" i="19"/>
  <c r="AI17" i="19"/>
  <c r="AC27" i="19"/>
  <c r="AC30" i="1"/>
  <c r="W47" i="19"/>
  <c r="K27" i="19"/>
  <c r="W27" i="19"/>
  <c r="K47" i="19"/>
  <c r="AC47" i="19"/>
  <c r="AC17" i="19"/>
  <c r="Q37" i="19"/>
  <c r="K17" i="19"/>
  <c r="AH7" i="19"/>
  <c r="V47" i="19"/>
  <c r="J27" i="19"/>
  <c r="AB7" i="19"/>
  <c r="P37" i="19"/>
  <c r="AH17" i="19"/>
  <c r="P47" i="19"/>
  <c r="J37" i="19"/>
  <c r="V7" i="19"/>
  <c r="P17" i="19"/>
  <c r="AB17" i="19"/>
  <c r="P7" i="19"/>
  <c r="J47" i="19"/>
  <c r="AB27" i="19"/>
  <c r="AC29" i="1"/>
  <c r="AH37" i="19"/>
  <c r="V17" i="19"/>
  <c r="J7" i="19"/>
  <c r="AH27" i="19"/>
  <c r="V27" i="19"/>
  <c r="J17" i="19"/>
  <c r="AB37" i="19"/>
  <c r="P27" i="19"/>
  <c r="AH47" i="19"/>
  <c r="V37" i="19"/>
  <c r="AB47" i="19"/>
  <c r="K39" i="19"/>
  <c r="W9" i="19"/>
  <c r="AC9" i="19"/>
  <c r="Q39" i="19"/>
  <c r="AI39" i="19"/>
  <c r="AC29" i="19"/>
  <c r="Q9" i="19"/>
  <c r="W29" i="19"/>
  <c r="Q29" i="19"/>
  <c r="K9" i="19"/>
  <c r="K49" i="19"/>
  <c r="AI49" i="19"/>
  <c r="W49" i="19"/>
  <c r="W39" i="19"/>
  <c r="AI19" i="19"/>
  <c r="AC39" i="19"/>
  <c r="AC19" i="19"/>
  <c r="AI9" i="19"/>
  <c r="K29" i="19"/>
  <c r="K19" i="19"/>
  <c r="AI29" i="19"/>
  <c r="Q49" i="19"/>
  <c r="AC49" i="19"/>
  <c r="W19" i="19"/>
  <c r="Q19" i="19"/>
  <c r="AD19" i="19"/>
  <c r="X9" i="19"/>
  <c r="X19" i="19"/>
  <c r="R19" i="19"/>
  <c r="AJ9" i="19"/>
  <c r="R49" i="19"/>
  <c r="X49" i="19"/>
  <c r="L39" i="19"/>
  <c r="L29" i="19"/>
  <c r="R39" i="19"/>
  <c r="AD39" i="19"/>
  <c r="X29" i="19"/>
  <c r="AD9" i="19"/>
  <c r="AJ39" i="19"/>
  <c r="AD49" i="19"/>
  <c r="R29" i="19"/>
  <c r="X39" i="19"/>
  <c r="AJ29" i="19"/>
  <c r="L19" i="19"/>
  <c r="AD29" i="19"/>
  <c r="L49" i="19"/>
  <c r="L9" i="19"/>
  <c r="AJ19" i="19"/>
  <c r="R9" i="19"/>
  <c r="AJ49"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<sst xmlns="http://schemas.openxmlformats.org/spreadsheetml/2006/main" count="494" uniqueCount="313">
  <si>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</si>
  <si>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</si>
  <si>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</si>
  <si>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</si>
  <si>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</si>
  <si>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</si>
  <si>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</si>
  <si>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</si>
  <si>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</si>
  <si>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</si>
  <si>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</si>
  <si>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</si>
  <si>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</si>
  <si>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</si>
  <si>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</si>
  <si>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</si>
  <si>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</si>
  <si>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</si>
  <si>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</si>
  <si>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</si>
  <si>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</si>
  <si>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</si>
  <si>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</si>
  <si>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</si>
  <si>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</si>
  <si>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</si>
  <si>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</si>
  <si>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</si>
  <si>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</si>
  <si>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</si>
  <si>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</si>
  <si>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</si>
  <si>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</si>
  <si>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</si>
  <si>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</si>
  <si>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</si>
  <si>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</si>
  <si>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</si>
  <si>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</si>
  <si>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</si>
  <si>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</si>
  <si>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</si>
  <si>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</si>
  <si>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</si>
  <si>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</si>
  <si>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</si>
  <si>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</si>
  <si>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</si>
  <si>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</si>
  <si>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</si>
  <si>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</si>
  <si>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</si>
  <si>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</si>
  <si>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</si>
  <si>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</si>
  <si>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</si>
  <si>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</si>
  <si>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</si>
  <si>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</si>
  <si>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</si>
  <si>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</si>
  <si>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</si>
  <si>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</si>
  <si>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</si>
  <si>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</si>
  <si>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</si>
  <si>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</si>
  <si>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</si>
  <si>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</si>
  <si>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</si>
  <si>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</si>
  <si>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</si>
  <si>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</si>
  <si>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</si>
  <si>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</si>
  <si>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</si>
  <si>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</si>
  <si>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</si>
  <si>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</si>
  <si>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</si>
  <si>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</si>
  <si>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</si>
  <si>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</si>
  <si>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</si>
  <si>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</si>
  <si>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</si>
  <si>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</si>
  <si>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</si>
  <si>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</si>
  <si>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</si>
  <si>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</si>
  <si>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</si>
  <si>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</si>
  <si>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</si>
  <si>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</si>
  <si>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</si>
  <si>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</si>
  <si>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</si>
  <si>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</si>
  <si>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</si>
  <si>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</si>
  <si>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</si>
  <si>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</si>
  <si>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</si>
  <si>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</si>
  <si>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</si>
  <si>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</si>
  <si>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</si>
  <si>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</si>
  <si>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</si>
  <si>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</si>
  <si>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</si>
  <si>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</si>
  <si>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</si>
  <si>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</si>
  <si>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</si>
  <si>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</si>
  <si>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</si>
  <si>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</si>
  <si>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</si>
  <si>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</si>
  <si>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</si>
  <si>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</si>
  <si>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</si>
  <si>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</si>
  <si>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</si>
  <si>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</si>
  <si>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</si>
  <si>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</si>
  <si>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</si>
  <si>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</si>
  <si>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</si>
  <si>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</si>
  <si>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</si>
  <si>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</si>
  <si>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</si>
  <si>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</si>
  <si>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</si>
  <si>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</si>
  <si>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</si>
  <si>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</si>
  <si>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</si>
  <si>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</si>
  <si>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</si>
  <si>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</si>
  <si>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</si>
  <si>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</si>
  <si>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</si>
  <si>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</si>
  <si>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</si>
  <si>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</si>
  <si>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</si>
  <si>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</si>
  <si>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</si>
  <si>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</si>
  <si>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</si>
  <si>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</si>
  <si>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</si>
  <si>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</si>
  <si>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</si>
  <si>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</si>
  <si>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</si>
  <si>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</si>
  <si>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</si>
  <si>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</si>
  <si>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</si>
  <si>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</si>
  <si>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</si>
  <si>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</si>
  <si>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</si>
  <si>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</si>
  <si>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</si>
  <si>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</si>
  <si>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</si>
  <si>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</si>
  <si>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</si>
  <si>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</si>
  <si>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</si>
  <si>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</si>
  <si>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</si>
  <si>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</si>
  <si>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</si>
  <si>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</si>
  <si>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</si>
  <si>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</si>
  <si>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</si>
  <si>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</si>
  <si>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</si>
  <si>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</si>
  <si>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</si>
  <si>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</si>
  <si>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</si>
  <si>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</si>
  <si>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</si>
  <si>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</si>
  <si>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</si>
  <si>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</si>
  <si>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</si>
  <si>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</si>
  <si>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</si>
  <si>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</si>
  <si>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</si>
  <si>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</si>
  <si>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</si>
  <si>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</si>
  <si>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</si>
  <si>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</si>
  <si>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</si>
  <si>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</si>
  <si>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</si>
  <si>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</si>
  <si>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</si>
  <si>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</si>
  <si>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</si>
  <si>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</si>
  <si>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</si>
  <si>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</si>
  <si>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</si>
  <si>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</si>
  <si>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</si>
  <si>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</si>
  <si>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</si>
  <si>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</si>
  <si>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</si>
  <si>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</si>
  <si>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</si>
  <si>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</si>
  <si>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</si>
  <si>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</si>
  <si>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</si>
  <si>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22 de diciembre de 2021</t>
  </si>
  <si>
    <t>Actualización de la matriz de riesgos al nuevo formato y bajo la metodología del documento PLE-PIN-M001 v1. Se actualizan todos los elementos de los componentes de la matriz acorde al alcance y objetivo del nuevo proceso Fomento y Protección de loss DDHH, definido en el modelo de operación por procesos de la Entidad. Reemplaza la anterior matriz de riesgos 1D-DHP-MR001</t>
  </si>
  <si>
    <t>Se realiza ajuste y actualización a la matriz de riesgos del procesos Fomento y Protección de Derechos Humanos conforme a los lineamientos emitidos por el Departamento Administrativo de la Función Pública -DAFP en la Guía para la Administración del riesgo y el diseño de controles en entidades públicas, versión 4, se adicionan columnas asociadas a la caracterización y evaluación de controles, se modifican los riesgos 1, 2, y 4, se retira el riesgo 3 (hace parte del contexto externo o del proceso)</t>
  </si>
  <si>
    <t>Se realiza ajuste y actualización a la matriz de riesgos del procesos Fomento y Protección de Derechos Humanos conforme a los lineamientos establecidos en el "Manual de Gestión del Riesgo - PLE-PIN-M001", se ajustan riesgos y controles asociados, se realiza identificación, análisis y valoración de cada uno de los riesgos. 
Caso HOLA: 187695</t>
  </si>
  <si>
    <t>Desconocimiento de los productos del Plan de Acción de la Política Pública Integral de Derechos Humanos, por parte de los sectores debido a la alta rotación de personal encargada de hacer reporte a los productos y seguimiento a estos.</t>
  </si>
  <si>
    <t>Inadecuado proceso de acompañamiento a los sectores para la implementación y reporte de los productos del plan de acción de la políticas pública integral de DDHH.</t>
  </si>
  <si>
    <t>Desconocimiento por parte de los contratistas, del Decreto 455 de 2018 y de la resolución 233 de 2018 para la contribución de la territorialización de la Política Pública Integral de Derechos Humanos y el ejercicio de la secretaría técnica.</t>
  </si>
  <si>
    <t>No elaborar o ejecutar el plan de trabajo de cada comité local de derechos humanos.</t>
  </si>
  <si>
    <t>Falta de enlaces territoriales para sesionar los comités locales de derechos humanos cada mes como lo ordena el Decreto 455 de 2018 (art. 11 parágrafo 2). Se debe sesionar los 12 meses del año y la recomendación es que haya un enlace territorial por localidad.</t>
  </si>
  <si>
    <t>Manipulación de la información por parte de actores o entidades no competentes</t>
  </si>
  <si>
    <t>Insuficiente información cuantitativa y cualitativa  para el diagnóstico de las políticas públicas.</t>
  </si>
  <si>
    <t xml:space="preserve">Productos y Documentos de Política Pública con escaso análisis e interpretación </t>
  </si>
  <si>
    <t xml:space="preserve"> Falta de herramientas pedagógicas y didácticas para los procesos de formación en libertades fundamentales en religión, culto y conciencia</t>
  </si>
  <si>
    <t>Falta de evaluación en los procesos formativos.</t>
  </si>
  <si>
    <t>Dirigir la formulación, adopción y ejecución de políticas, planes y proyectos orientados a la promoción, garantía, protección, participación ciudadana y apropiación de los derechos, deberes, libertades
individuales y colectivas de la ciudadanía en el Distrito Capital, con enfoque territorial, diferencial-poblacional y de manera coordinada interinstitucionalmente, activa y participativa.</t>
  </si>
  <si>
    <t>Este proceso aplica para las acciones de protección, fortalecimiento, orientación y promoción de los derechos, deberes, libertades individuales y colectivas de la ciudadanía en el Distrito Capital.</t>
  </si>
  <si>
    <t>Posibilidad de afectación reputacional por la Inoportunidad en el seguimiento de la implementación y el reporte de los productos del Plan de Acción de la Política Pública Integral de Derechos Humanos por parte de las entidades responsables de estos.</t>
  </si>
  <si>
    <t xml:space="preserve">Posibilidad de afectación reputacional por la falta de territorialización en la localidades del Sistema Distrital de Derechos Humanos y la Política Pública Integral de Derechos
</t>
  </si>
  <si>
    <t xml:space="preserve">Manejo inadecuado de la Documentación reservada </t>
  </si>
  <si>
    <t xml:space="preserve">Posibilidad de afectación reputacional por la Violación de confidencialidad, acceso a información reservada,  fuga o pérdida de información    </t>
  </si>
  <si>
    <t xml:space="preserve">Posibilidad de afectación reputacional por Productos del ciclo de política pública sin el cumplimiento de los estándares mínimos de calidad. </t>
  </si>
  <si>
    <t xml:space="preserve">Posibilidad de afectación reputacional por procesos de formación sobre libertades fundamentales de religión, culto y conciencia que no impactan de manera positiva en la ciudadanía en el marco de la política pública. </t>
  </si>
  <si>
    <t xml:space="preserve">CONTEXTO DERECHOS HUMANOS </t>
  </si>
  <si>
    <t>CONTEXTO ASUNTOS ÉTNICOS</t>
  </si>
  <si>
    <t>CONTEXTO ASUNTOS RELIGIOSOS</t>
  </si>
  <si>
    <t>F1 Proyecto de inversión 7787 Fortalecimiento de la capacidad institucional y de los actores sociales para la garantía, promoción y protección de los derechos humanos en Bogotá.</t>
  </si>
  <si>
    <r>
      <rPr>
        <b/>
        <sz val="9"/>
        <color rgb="FFA6A6A6"/>
        <rFont val="Titillium Web"/>
      </rPr>
      <t>F2 Equipo de Política Pública responsable del acompañamiento en la implementación, seguimiento y territorialización  de la PPIDDHH</t>
    </r>
    <r>
      <rPr>
        <b/>
        <sz val="12"/>
        <color rgb="FFA6A6A6"/>
        <rFont val="Titillium Web"/>
      </rPr>
      <t xml:space="preserve">  </t>
    </r>
  </si>
  <si>
    <t>F3 Seguimiento trimestral al cumplimiento de productos y sistematización de lo alcanzado a la fecha sobre implementación de productos</t>
  </si>
  <si>
    <t>F4 Comunicación interna fluida frente a los procesos y resultados para la implementación de la política y los resultados logrados a la fecha</t>
  </si>
  <si>
    <t>D2 Seguimiento manual (Excel) de la Politica Pública Integral de Derechos Humanos</t>
  </si>
  <si>
    <t>D1 Dificultad en la territorialización de los productos de la política pública integral de DDHH en las 20 localidades.</t>
  </si>
  <si>
    <t>F5 Está definida la oferta institucional en materia de derechos humanos</t>
  </si>
  <si>
    <t>F6 Se encuentra reglamentado el Comité Distrital de Derechos Humanos</t>
  </si>
  <si>
    <t>D4 El componente pedagógico tiene metas PDD asociadas, lo cual dificulta la disposición de recursos para dar continuidad con la profesionalización y no se tendría oferta formal de educación en derechos humanos</t>
  </si>
  <si>
    <t>D5 Recursos financieros limitados para fortalecer el capital humano y para las medidas de apoyo a los ciudadanos afectado</t>
  </si>
  <si>
    <t>O3 Existencia de instancias de  coordinación y articulación intersectorial</t>
  </si>
  <si>
    <t xml:space="preserve">O4 Desarrollo de nuevas tecnologías de información para fortalecer la comunicación con la población </t>
  </si>
  <si>
    <t>A1 Desconocimiento de la ciudadanía frente a la oferta institucional de la SDG en materia de Derechos humanos</t>
  </si>
  <si>
    <t>A2Aumento de flujos migracionales hacia Colombia</t>
  </si>
  <si>
    <t>D3 Demandas y necesidades ciudadanas que en ocasiones no son de la explicita competencia de la SAE</t>
  </si>
  <si>
    <t>D5 No contar con acciones que permitan tener un uso adecuado y protección de datos de los usuarios, lo que puede generar incumplimiento en la normatividad vigente en este tema.</t>
  </si>
  <si>
    <t>O3 La participación de personas étnicas con perfiles idóneos en el equipo de trabajo de la reformulación de políticas públicas  facilita la concertación y relaciones con las comunidades, garantizando el bienestar del proceso.</t>
  </si>
  <si>
    <t>A2 Los productos de formación no tienen estrategias pedagógicas que abarque los diferentes públicos y permitan tener un mejor impacto</t>
  </si>
  <si>
    <t>A3 No contar con información oportuna para realizar seguimiento de los procesos por parte de los Sectores adminisitrativos, dificulta implementar acciones de mejoramiento.</t>
  </si>
  <si>
    <t>F2 Están estructurados y funcionando  espacios de participación a nivel local y distrital</t>
  </si>
  <si>
    <t>D1 Los productos de formación en temas religisoso no tienen estrategias pedagógicas que abarque los diferentes públicos y permitan tener un mejor impacto</t>
  </si>
  <si>
    <t>D2 Las campañas locales, producto de la PP, no han logrado un buen desarrollo</t>
  </si>
  <si>
    <t>O2 Las entidades distritales con quienes se tenían acuerdos para la implementación de la política han correspondido en el compromiso</t>
  </si>
  <si>
    <t>Falta de seguimiento a la ejecución de actividades de formación.</t>
  </si>
  <si>
    <t xml:space="preserve">Posibilidad de afectación reputacional cuando la demanda supera la oferta en escenarios formales e informales de educación en derechos humanos, misionales de la entidad. </t>
  </si>
  <si>
    <t xml:space="preserve">Limitados recursos asignados para procesos de formación que permitan tener un sistema acorde con el volumen de demanda </t>
  </si>
  <si>
    <t>Amplia demanda de solicitudes de formación, derivadas de la oferta de territorialización dfr la Política Pública de Derech0s Humanos, con un limitado recuirso humano para atender los requerimientos</t>
  </si>
  <si>
    <t>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239474</t>
  </si>
  <si>
    <t>D3 El Sistema de información para el componente de prevención y protección de la Dirección de Derechos Humanos no se encuentra implementado al 100%</t>
  </si>
  <si>
    <t>O2 Fortalecimiento de las organizaciones sociales y civiles defensoras de derechos humanos</t>
  </si>
  <si>
    <t>O1 La política pública compromete a 13 sectores de los 15 sectores de la Administración Distrital para la implementación de la política pública</t>
  </si>
  <si>
    <t>O5 El componente cuenta con reconocimiento de otras entidades y ha generado alianzas estratégicas con el DASCD, fuerza pública y organizaciones sociales, lo que ha garantizado la demanda permanente de las formaciones y el apoyo interinstitucional para la ejecución de procesos de formación</t>
  </si>
  <si>
    <t>F1 Talento humano con pertenencia étnica y en algunas ocasiones con legitimidad por parte de los líderes étnicos en Bogotá.</t>
  </si>
  <si>
    <t>F2 Alianzas interinstitucionales que permiten la inclusión del enfoque diferencial étnicos en cada uno de los procesos que se adelantan desde la SAE, tanto desde lo misional como agendas alternas que su urgencia requieren de atención inmediata.</t>
  </si>
  <si>
    <t>D1 Ausencia de criterios y metodologias estandarizados para el seguimiento a metas a cargo de los apoyos de coordinación de los grupos poblacionales</t>
  </si>
  <si>
    <t>D2 Exigencias en materia de contratación por parte de las comunidades limita los las caracteristicas (academicas, profesionales y de experiencia) de los perfiles  para el desarrollo de la gestión.</t>
  </si>
  <si>
    <t>D4 Ausencia de un aplicativo y/o sistema de información que permita cuantificar y cualificar los servicios que se prestan  en los espacios de atención diferenciada.</t>
  </si>
  <si>
    <t>O1 Proceso de reformulación de las políticas públicas étnicas es una oportunidad para coordinar de manera organizada y técnica las acciones de la administración en beneficio del mejoramiento de la calidad de vida de los grupos étnicos.</t>
  </si>
  <si>
    <t>O2 Las metas de la SAE estan incluidas en el acuerdo del Plan  Distrital de Desarrollo vigente, lo que permite hacer parte de un proyecto de inversión con recursos específicos.</t>
  </si>
  <si>
    <t>A4 No contar con una caracterización actualizada e integral de los grupos étnicos en Bogotá, dificulta el proceso de generación de documentos en el marco de la reformulación de la políticas públicas étnicas.</t>
  </si>
  <si>
    <t>A1 Los imaginarios de algunos líderes étnicos que exigen co-administrar, dificulta llegar acuerdos y en ocasiones genera retrasos en el cumplimiento de los procesos.</t>
  </si>
  <si>
    <t>F1 Las acciones de la subdirección están basadas en una meta PDD.</t>
  </si>
  <si>
    <t>F3 Se cuenta con diferentes frentes de trabajo que involucran el aporte social del sector religioso en la plataforma interreligiosa para la acción social y comunitaria</t>
  </si>
  <si>
    <t>F4 El plan de acción de la PP de libertades fundamentales establecido en el CONPES 12 se encuentra en implementación</t>
  </si>
  <si>
    <t>O1 El sector religioso, que apoya las acciones realizadas desde la subdirección, tiene múltiples frentes de acción y voluntad de colaborar en los productos que involucran la articulación del aporte social del sector</t>
  </si>
  <si>
    <t>A1 Baja receptividad a la formación ofrecida por prenociones que generan confusión entre la relIgión y la libertad de religión.</t>
  </si>
  <si>
    <t>A2 Cambio del equipo directivo y/o de integrantes de la subdirección que coordinan y hacen seguimiento a la implementación de la política pública o los espacios de participación del sector.</t>
  </si>
  <si>
    <t>F7 Se cuenta con rutas de atención  de urgencias y emergencias en DDHH para victimas de violencia en razón a su orientación sexual e identidad de género, defensores y defensoras de derechos humanos y víctimas de trata de personas</t>
  </si>
  <si>
    <t>Fomento y Protección de los DDHH</t>
  </si>
  <si>
    <t>Los profesionales del componente de politícas públicas trimestralmente ofician a las entidades responsables de los productos del plan de acción de la política la solicitud del reporte de avance de la implementación de los productos a cargo por cada uno en la vigencia, con el fin de consolidar la información y conocer el estado de avance de la misma. En caso de evidenciarse alguna falencia o retraso en el avance de los productos se remite oficio o email a la entidad para que puedan tomar las medidas necesarias.
Como evidencia de la ejecución del control quedan los oficios, reportes de productos plan de acción,  email de seguimiento, matriz plan de acción con reportes consolidados.</t>
  </si>
  <si>
    <t>El o la profesional de apoyo a la coordinación del componente territorial de la Dirección de Derechos Humanos realizar ál incio de la vigencia   la  induccón   al equipo teritorial  de la Dirección de Derechos Humanosrespecto a :  Sistema Distrital de Derechos Humanos, la Política Pública Integral de Derechos Humanos, el Decreto 455 de 2018 y la resolución 233 de 2018, para su implementación en cada localidad  respondiendo al artículo 12 del Decreto 455 de 2018.
Como evidencia de la ejecución del control queda el  Formato de evidencia de reunión- GDI-GPD-F029,  al  incio de la vigencia donde se brinda la inducción al equipo territorial en los temas expuestos o cuando haya cambios del talento humano del equipo.</t>
  </si>
  <si>
    <t xml:space="preserve">El o la profesional de apoyo a la coordinación del componente territorial de la Dirección de Derechos Humanos realiza el seguimiento a la implementación de los planes de trabajo de los comités locales de derechos humanos, de manera mensual. 
Como evidencia de la ejecución del control queda el  Formato de evidencia de reunión- GDI-GPD-F029  mensual , donde se realiza el seguimiento a la implementación por parte del equipo territorial de los planes de trabajo locales.
</t>
  </si>
  <si>
    <t xml:space="preserve"> La persona profesional designada del equipo de formación, realizará seguimiento semanal por cronograma del  buzón  edu.derechoshumanos@gobiernobogota.gov.co y formulario electrónico, a fin de dar respuesta oportuna a las solicitudes.
Como evidencia de la ejecución del control queda el Formato de evidencia de reunión  GDI-GPD-F029 donde se realiza el seguimiento a la programación y priorización de poblaciones - Cronograma de formación  
</t>
  </si>
  <si>
    <t xml:space="preserve">
El profesional encargado de apoyo a la coordinación del componente de PyP de la Dirección de DDHH, realizará al incio de la vigencia   Capacitación -inducción al equipo de Prevención y Promoción  en el manejo de los instrumentos en donde se recopila la información.
Como evidencia de la ejecución del control queda el  Formato de evidencia de reunión GDI-GPD-F029 al  incio de la vigencia donde se brinda la inducción al equipo de Promoción y Prevención  en los temas expuestos o cuando haya cambios del talento humano del equipo.</t>
  </si>
  <si>
    <t xml:space="preserve">El profesional encargado de apoyar los procesos de contratación en la Direccion de DDHH veificará que en las clausulas generales  de los contratos  la  inclusion de la clausula de reserva de la información. 
Como evidencia de la ejecución del control queda el Formato de obligaciones contractuales, donde se evidencia la formulación de la cláusula </t>
  </si>
  <si>
    <t>El profesional que lidere el equipo de reformulación de políticas públicas étnicas,  cada vez que se elabore o modifique un documento, realiza una revisión orientada a verificar el cumplimiento y aplicación de los lineamientos técnicos en el documento.  
En caso de encontrar inconsistencias registra las observaciones en el borrador del documento para que el equipo asignado realice las correcciones necesarias, lo cual se evidenciará en un documento con control de cambios que de cuenta de la revisión y citará a una reunión mensual que tendrá por objeto realizar seguimiento a la inclusión de enfoue diferecial. 
Como evidencia de la ejecución del control quedan los Documentos con control cambios y el formato de evidencia de reunión  con el equipo para la revisión de documentos</t>
  </si>
  <si>
    <t xml:space="preserve">
El profesional encargado de reportar el plan de acción de la Politica Publica de Libertad de  realiza seguimiento trimestral a la implementación de productos de la política pública de libertades fundamentales asociados a los procesos de formación en libertades fundamentales de religión, culto y conciencia.  En caso de identificar alguna desviación en el seguimiento se generan las alertas correspondientes a través de corre institucional o por el orfeo (memorandos).
Como evidencia de la ejecución del control quedan los correos u ofiicios donde se evidencie el seguimiento a los productos de la política </t>
  </si>
  <si>
    <t>El profesional encargado del proceso formativo y pedagogico realiza  evaluación a las  actividades  de formación  a través de la aplicación del formato  PLE-PIN-F027 -encuesta de percepción de capacitaciones/ entrenamientos  a los usuarios beneficiados de los proceso de formación y/ o sensibilización
Como evidencia de la ejecución del control quedan los Formatos PLE-PIN-F027 a plicados a los usuarios  beneficiados de los proceso de formación y/ o sensibilización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</si>
</sst>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b/>
      <sz val="11"/>
      <color theme="1"/>
      <name val="Calibri"/>
      <family val="2"/>
      <scheme val="minor"/>
    </font>
    <font>
      <b/>
      <sz val="9"/>
      <color rgb="FFA6A6A6"/>
      <name val="Titillium Web"/>
    </font>
    <font>
      <b/>
      <sz val="9"/>
      <color indexed="16"/>
      <name val="Arial"/>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theme="6" tint="0.79998168889431442"/>
        <bgColor indexed="64"/>
      </patternFill>
    </fill>
  </fills>
  <borders count="8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9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9" fillId="18" borderId="33" xfId="0" applyFont="1" applyFill="1" applyBorder="1" applyAlignment="1" applyProtection="1">
      <alignment horizontal="center" vertical="center" wrapText="1"/>
      <protection locked="0"/>
    </xf>
    <xf numFmtId="49" fontId="64" fillId="19" borderId="0" xfId="0" applyNumberFormat="1" applyFont="1" applyFill="1" applyAlignment="1" applyProtection="1">
      <alignment vertical="center" wrapText="1"/>
      <protection locked="0"/>
    </xf>
    <xf numFmtId="0" fontId="62" fillId="19" borderId="0" xfId="0" applyFont="1" applyFill="1" applyProtection="1">
      <protection locked="0"/>
    </xf>
    <xf numFmtId="0" fontId="65" fillId="19" borderId="0" xfId="0" applyFont="1" applyFill="1" applyAlignment="1" applyProtection="1">
      <alignment horizontal="left" vertical="center" wrapText="1"/>
      <protection locked="0"/>
    </xf>
    <xf numFmtId="0" fontId="66" fillId="19" borderId="0" xfId="0" applyFont="1" applyFill="1" applyAlignment="1" applyProtection="1">
      <alignment vertical="center" wrapText="1"/>
      <protection locked="0"/>
    </xf>
    <xf numFmtId="0" fontId="66" fillId="19" borderId="0" xfId="0" applyFont="1" applyFill="1" applyProtection="1">
      <protection locked="0"/>
    </xf>
    <xf numFmtId="0" fontId="66" fillId="19" borderId="0" xfId="0" applyFont="1" applyFill="1" applyAlignment="1" applyProtection="1">
      <alignment horizontal="center"/>
      <protection locked="0"/>
    </xf>
    <xf numFmtId="0" fontId="62" fillId="19" borderId="0" xfId="0" applyFont="1" applyFill="1" applyAlignment="1" applyProtection="1">
      <alignment horizontal="center"/>
      <protection locked="0"/>
    </xf>
    <xf numFmtId="0" fontId="67" fillId="0" borderId="69" xfId="0" applyFont="1" applyBorder="1" applyAlignment="1" applyProtection="1">
      <alignment horizontal="right"/>
      <protection locked="0"/>
    </xf>
    <xf numFmtId="0" fontId="69" fillId="19" borderId="0" xfId="0" applyFont="1" applyFill="1" applyAlignment="1" applyProtection="1">
      <alignment horizontal="center" vertical="center" wrapText="1"/>
      <protection locked="0"/>
    </xf>
    <xf numFmtId="14" fontId="67" fillId="0" borderId="69" xfId="0" applyNumberFormat="1" applyFont="1" applyBorder="1" applyAlignment="1" applyProtection="1">
      <alignment horizontal="right"/>
      <protection locked="0"/>
    </xf>
    <xf numFmtId="0" fontId="69" fillId="19" borderId="0" xfId="0" applyFont="1" applyFill="1" applyAlignment="1" applyProtection="1">
      <alignment vertical="center" wrapText="1"/>
      <protection locked="0"/>
    </xf>
    <xf numFmtId="0" fontId="70" fillId="19" borderId="0" xfId="0" applyFont="1" applyFill="1" applyAlignment="1" applyProtection="1">
      <alignment vertical="center" wrapText="1"/>
      <protection locked="0"/>
    </xf>
    <xf numFmtId="0" fontId="65" fillId="19" borderId="0" xfId="0" applyFont="1" applyFill="1" applyAlignment="1" applyProtection="1">
      <alignment horizontal="center" vertical="center" wrapText="1"/>
      <protection locked="0"/>
    </xf>
    <xf numFmtId="0" fontId="62" fillId="19" borderId="0" xfId="0" applyFont="1" applyFill="1" applyAlignment="1" applyProtection="1">
      <alignment horizontal="center" vertical="center"/>
      <protection locked="0"/>
    </xf>
    <xf numFmtId="0" fontId="66" fillId="19" borderId="0" xfId="0" applyFont="1" applyFill="1" applyAlignment="1" applyProtection="1">
      <alignment horizontal="center" vertical="center" wrapText="1"/>
      <protection locked="0"/>
    </xf>
    <xf numFmtId="0" fontId="66" fillId="19" borderId="0" xfId="0" applyFont="1" applyFill="1" applyAlignment="1" applyProtection="1">
      <alignment horizontal="center" vertical="center"/>
      <protection locked="0"/>
    </xf>
    <xf numFmtId="0" fontId="71" fillId="19" borderId="0" xfId="0" applyFont="1" applyFill="1" applyAlignment="1" applyProtection="1">
      <alignment horizontal="center" vertical="center"/>
      <protection locked="0"/>
    </xf>
    <xf numFmtId="2" fontId="67" fillId="19" borderId="0" xfId="0" applyNumberFormat="1" applyFont="1" applyFill="1" applyAlignment="1" applyProtection="1">
      <alignment horizontal="center" vertical="center" wrapText="1"/>
      <protection locked="0"/>
    </xf>
    <xf numFmtId="0" fontId="71" fillId="19" borderId="0" xfId="0" applyFont="1" applyFill="1" applyProtection="1">
      <protection locked="0"/>
    </xf>
    <xf numFmtId="0" fontId="71" fillId="19" borderId="0" xfId="0" applyFont="1" applyFill="1" applyAlignment="1" applyProtection="1">
      <alignment horizontal="center"/>
      <protection locked="0"/>
    </xf>
    <xf numFmtId="0" fontId="72" fillId="19" borderId="0" xfId="0" applyFont="1" applyFill="1" applyAlignment="1" applyProtection="1">
      <alignment horizontal="left" vertical="center"/>
      <protection locked="0"/>
    </xf>
    <xf numFmtId="165" fontId="65" fillId="19" borderId="0" xfId="0" applyNumberFormat="1" applyFont="1" applyFill="1" applyAlignment="1" applyProtection="1">
      <alignment horizontal="center" vertical="center"/>
      <protection locked="0"/>
    </xf>
    <xf numFmtId="0" fontId="67" fillId="19" borderId="0" xfId="0" applyFont="1" applyFill="1" applyAlignment="1" applyProtection="1">
      <alignment horizontal="left" vertical="center" wrapText="1"/>
      <protection locked="0"/>
    </xf>
    <xf numFmtId="0" fontId="67" fillId="19" borderId="0" xfId="0" applyFont="1" applyFill="1" applyAlignment="1" applyProtection="1">
      <alignment vertical="justify" wrapText="1"/>
      <protection locked="0"/>
    </xf>
    <xf numFmtId="0" fontId="62" fillId="0" borderId="0" xfId="0" applyFont="1" applyProtection="1">
      <protection locked="0"/>
    </xf>
    <xf numFmtId="0" fontId="48" fillId="19" borderId="0" xfId="0" applyFont="1" applyFill="1" applyAlignment="1" applyProtection="1">
      <alignment vertical="center" wrapText="1"/>
      <protection locked="0"/>
    </xf>
    <xf numFmtId="0" fontId="73" fillId="20" borderId="0" xfId="0" applyFont="1" applyFill="1" applyBorder="1" applyAlignment="1" applyProtection="1">
      <alignment horizontal="center" vertical="center" wrapText="1"/>
      <protection locked="0"/>
    </xf>
    <xf numFmtId="2" fontId="67" fillId="20" borderId="0" xfId="0" applyNumberFormat="1" applyFont="1" applyFill="1" applyBorder="1" applyAlignment="1" applyProtection="1">
      <alignment horizontal="center" vertical="center" wrapText="1"/>
      <protection hidden="1"/>
    </xf>
    <xf numFmtId="0" fontId="74" fillId="20" borderId="0" xfId="0" applyFont="1" applyFill="1" applyBorder="1" applyAlignment="1" applyProtection="1">
      <alignment horizontal="center" vertical="center" wrapText="1"/>
      <protection hidden="1"/>
    </xf>
    <xf numFmtId="0" fontId="67" fillId="20" borderId="0" xfId="0" applyFont="1" applyFill="1" applyBorder="1" applyAlignment="1" applyProtection="1">
      <alignment horizontal="center" vertical="justify" wrapText="1"/>
      <protection locked="0"/>
    </xf>
    <xf numFmtId="0" fontId="67" fillId="20" borderId="0" xfId="0" applyFont="1" applyFill="1" applyBorder="1" applyAlignment="1" applyProtection="1">
      <alignment vertical="justify" wrapText="1"/>
      <protection locked="0"/>
    </xf>
    <xf numFmtId="0" fontId="69" fillId="19" borderId="0" xfId="0" applyFont="1" applyFill="1" applyBorder="1" applyAlignment="1" applyProtection="1">
      <alignment vertical="center" wrapText="1"/>
      <protection locked="0"/>
    </xf>
    <xf numFmtId="0" fontId="68" fillId="0" borderId="33" xfId="0" applyFont="1" applyBorder="1" applyAlignment="1" applyProtection="1">
      <alignment horizontal="center" vertical="center" wrapText="1"/>
      <protection locked="0"/>
    </xf>
    <xf numFmtId="0" fontId="68" fillId="19" borderId="0" xfId="0" applyFont="1" applyFill="1" applyBorder="1" applyAlignment="1" applyProtection="1">
      <alignment horizontal="right" wrapText="1"/>
      <protection locked="0"/>
    </xf>
    <xf numFmtId="49" fontId="63" fillId="19" borderId="0" xfId="0" applyNumberFormat="1" applyFont="1" applyFill="1" applyAlignment="1" applyProtection="1">
      <alignment vertical="center" wrapText="1"/>
      <protection locked="0"/>
    </xf>
    <xf numFmtId="0" fontId="73" fillId="20" borderId="0" xfId="0" applyFont="1" applyFill="1" applyBorder="1" applyAlignment="1" applyProtection="1">
      <alignment horizontal="center" vertical="center" wrapText="1"/>
      <protection locked="0"/>
    </xf>
    <xf numFmtId="0" fontId="48" fillId="19" borderId="33" xfId="0" applyFont="1" applyFill="1" applyBorder="1" applyAlignment="1" applyProtection="1">
      <alignment horizontal="center" vertical="center" wrapText="1"/>
      <protection locked="0"/>
    </xf>
    <xf numFmtId="14" fontId="48" fillId="19" borderId="33" xfId="0" applyNumberFormat="1" applyFont="1" applyFill="1" applyBorder="1" applyAlignment="1" applyProtection="1">
      <alignment horizontal="center" vertical="center" wrapText="1"/>
      <protection locked="0"/>
    </xf>
    <xf numFmtId="0" fontId="78" fillId="0" borderId="33" xfId="0" applyFont="1" applyBorder="1" applyAlignment="1">
      <alignment horizontal="left" vertical="top" wrapText="1"/>
    </xf>
    <xf numFmtId="0" fontId="79" fillId="18" borderId="33" xfId="0"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 fillId="0" borderId="4"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61" fillId="3" borderId="48" xfId="2" applyFont="1" applyFill="1" applyBorder="1" applyAlignment="1">
      <alignment horizontal="center" vertical="center" wrapText="1"/>
    </xf>
    <xf numFmtId="0" fontId="61" fillId="3" borderId="49" xfId="2" applyFont="1" applyFill="1" applyBorder="1" applyAlignment="1">
      <alignment horizontal="center" vertical="center" wrapText="1"/>
    </xf>
    <xf numFmtId="0" fontId="61"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77" fillId="21" borderId="33" xfId="0" applyFont="1" applyFill="1" applyBorder="1" applyAlignment="1">
      <alignment horizontal="center"/>
    </xf>
    <xf numFmtId="0" fontId="1" fillId="0" borderId="5"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49" fontId="76" fillId="19" borderId="0" xfId="0" applyNumberFormat="1" applyFont="1" applyFill="1" applyAlignment="1" applyProtection="1">
      <alignment horizontal="center" vertical="center" wrapText="1"/>
      <protection locked="0"/>
    </xf>
    <xf numFmtId="2" fontId="67" fillId="20" borderId="0" xfId="0" applyNumberFormat="1" applyFont="1" applyFill="1" applyBorder="1" applyAlignment="1" applyProtection="1">
      <alignment horizontal="center" vertical="center" wrapText="1"/>
      <protection hidden="1"/>
    </xf>
    <xf numFmtId="0" fontId="67" fillId="20" borderId="0" xfId="0" applyFont="1" applyFill="1" applyBorder="1" applyAlignment="1" applyProtection="1">
      <alignment horizontal="center" vertical="justify" wrapText="1"/>
      <protection locked="0"/>
    </xf>
    <xf numFmtId="0" fontId="75" fillId="19" borderId="0" xfId="0" applyFont="1" applyFill="1" applyAlignment="1" applyProtection="1">
      <alignment horizontal="left" vertical="top"/>
      <protection locked="0"/>
    </xf>
    <xf numFmtId="0" fontId="68" fillId="0" borderId="77" xfId="0" applyFont="1" applyBorder="1" applyAlignment="1" applyProtection="1">
      <alignment horizontal="center" vertical="center" wrapText="1"/>
      <protection locked="0"/>
    </xf>
    <xf numFmtId="0" fontId="73" fillId="20" borderId="0" xfId="0" applyFont="1" applyFill="1" applyBorder="1" applyAlignment="1" applyProtection="1">
      <alignment horizontal="center" vertical="center" wrapText="1"/>
      <protection locked="0"/>
    </xf>
    <xf numFmtId="0" fontId="68" fillId="0" borderId="78" xfId="0" applyFont="1" applyBorder="1" applyAlignment="1" applyProtection="1">
      <alignment horizontal="center" vertical="center" wrapText="1"/>
      <protection locked="0"/>
    </xf>
    <xf numFmtId="0" fontId="68" fillId="0" borderId="79" xfId="0" applyFont="1" applyBorder="1" applyAlignment="1" applyProtection="1">
      <alignment horizontal="center" vertical="center" wrapText="1"/>
      <protection locked="0"/>
    </xf>
    <xf numFmtId="0" fontId="68" fillId="0" borderId="80" xfId="0" applyFont="1" applyBorder="1" applyAlignment="1" applyProtection="1">
      <alignment horizontal="center" vertical="center" wrapText="1"/>
      <protection locked="0"/>
    </xf>
    <xf numFmtId="0" fontId="48" fillId="19" borderId="78" xfId="0" applyFont="1" applyFill="1" applyBorder="1" applyAlignment="1" applyProtection="1">
      <alignment horizontal="left" vertical="center" wrapText="1"/>
      <protection locked="0"/>
    </xf>
    <xf numFmtId="0" fontId="48" fillId="19" borderId="79" xfId="0" applyFont="1" applyFill="1" applyBorder="1" applyAlignment="1" applyProtection="1">
      <alignment horizontal="left" vertical="center" wrapText="1"/>
      <protection locked="0"/>
    </xf>
    <xf numFmtId="0" fontId="48" fillId="19" borderId="80" xfId="0" applyFont="1" applyFill="1" applyBorder="1" applyAlignment="1" applyProtection="1">
      <alignment horizontal="left"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left" vertical="center" wrapText="1"/>
      <protection locked="0"/>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 fillId="0" borderId="4"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0" xfId="0" applyFont="1" applyBorder="1"/>
    <xf numFmtId="0" fontId="78" fillId="0" borderId="75" xfId="0" applyFont="1" applyBorder="1" applyAlignment="1">
      <alignment horizontal="left" vertical="center" wrapText="1"/>
    </xf>
    <xf numFmtId="0" fontId="78" fillId="0" borderId="76" xfId="0" applyFont="1" applyBorder="1" applyAlignment="1">
      <alignment horizontal="left" vertical="center" wrapText="1"/>
    </xf>
    <xf numFmtId="0" fontId="78" fillId="0" borderId="34" xfId="0" applyFont="1" applyBorder="1" applyAlignment="1">
      <alignment horizontal="left" vertical="center" wrapText="1"/>
    </xf>
    <xf numFmtId="0" fontId="58" fillId="17" borderId="33" xfId="0" applyFont="1" applyFill="1" applyBorder="1" applyAlignment="1">
      <alignment horizontal="center" vertical="center" wrapText="1"/>
    </xf>
    <xf numFmtId="0" fontId="78" fillId="0" borderId="33" xfId="0" applyFont="1" applyBorder="1" applyAlignment="1">
      <alignment horizontal="left" vertical="center" wrapText="1"/>
    </xf>
    <xf numFmtId="0" fontId="78" fillId="0" borderId="33" xfId="0" applyFont="1" applyBorder="1" applyAlignment="1">
      <alignment horizontal="left" vertical="center" wrapText="1"/>
    </xf>
    <xf numFmtId="0" fontId="60" fillId="0" borderId="33" xfId="0" applyFont="1" applyBorder="1" applyAlignment="1">
      <alignment horizontal="left" vertical="center" wrapText="1"/>
    </xf>
    <xf numFmtId="0" fontId="1"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4"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1" fillId="0" borderId="8" xfId="0" applyFont="1" applyBorder="1" applyAlignment="1" applyProtection="1">
      <alignment horizontal="center" vertical="center"/>
      <protection hidden="1"/>
    </xf>
    <xf numFmtId="0" fontId="1" fillId="0" borderId="8" xfId="0" applyFont="1" applyBorder="1" applyAlignment="1" applyProtection="1">
      <alignment horizontal="center" vertical="center" textRotation="90"/>
      <protection locked="0"/>
    </xf>
    <xf numFmtId="9" fontId="1" fillId="0" borderId="8" xfId="0" applyNumberFormat="1" applyFont="1" applyBorder="1" applyAlignment="1" applyProtection="1">
      <alignment horizontal="center" vertical="center"/>
      <protection hidden="1"/>
    </xf>
    <xf numFmtId="0" fontId="4" fillId="0" borderId="8"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protection hidden="1"/>
    </xf>
    <xf numFmtId="0" fontId="1" fillId="0" borderId="5" xfId="0" applyFont="1" applyBorder="1" applyAlignment="1" applyProtection="1">
      <alignment horizontal="center" vertical="center"/>
      <protection hidden="1"/>
    </xf>
    <xf numFmtId="0" fontId="1" fillId="0" borderId="5" xfId="0" applyFont="1" applyBorder="1" applyAlignment="1" applyProtection="1">
      <alignment horizontal="center" vertical="center" textRotation="90"/>
      <protection locked="0"/>
    </xf>
    <xf numFmtId="9" fontId="1" fillId="0" borderId="5" xfId="0" applyNumberFormat="1" applyFont="1" applyBorder="1" applyAlignment="1" applyProtection="1">
      <alignment horizontal="center" vertical="center"/>
      <protection hidden="1"/>
    </xf>
    <xf numFmtId="0" fontId="4" fillId="0" borderId="5"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protection hidden="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9" xfId="0" applyFont="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left" wrapText="1"/>
      <protection locked="0"/>
    </xf>
    <xf numFmtId="0" fontId="1" fillId="0" borderId="28" xfId="0" applyFont="1" applyBorder="1" applyAlignment="1" applyProtection="1">
      <alignment horizontal="center" vertical="center" wrapText="1"/>
      <protection locked="0"/>
    </xf>
    <xf numFmtId="0" fontId="0" fillId="0" borderId="2" xfId="0" applyBorder="1" applyAlignment="1">
      <alignment horizontal="left" vertical="center" wrapText="1"/>
    </xf>
    <xf numFmtId="0" fontId="1" fillId="0" borderId="2" xfId="0" applyFont="1" applyBorder="1" applyAlignment="1">
      <alignment horizontal="left" vertical="center" wrapText="1"/>
    </xf>
    <xf numFmtId="0" fontId="0" fillId="0" borderId="2" xfId="0" applyBorder="1" applyAlignment="1">
      <alignment horizontal="left" vertical="center"/>
    </xf>
    <xf numFmtId="164" fontId="1" fillId="9" borderId="2" xfId="1" applyNumberFormat="1" applyFont="1" applyFill="1" applyBorder="1" applyAlignment="1">
      <alignment horizontal="center" vertical="center"/>
    </xf>
    <xf numFmtId="164" fontId="1" fillId="0" borderId="4"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1"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43">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1685925</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11</xdr:row>
      <xdr:rowOff>0</xdr:rowOff>
    </xdr:from>
    <xdr:to>
      <xdr:col>16</xdr:col>
      <xdr:colOff>320675</xdr:colOff>
      <xdr:row>11</xdr:row>
      <xdr:rowOff>304800</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304800</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304800</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304800</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404957</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27</xdr:col>
      <xdr:colOff>19895</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104775</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25400</xdr:colOff>
      <xdr:row>10</xdr:row>
      <xdr:rowOff>127000</xdr:rowOff>
    </xdr:from>
    <xdr:ext cx="0" cy="277957"/>
    <xdr:sp macro="" textlink="">
      <xdr:nvSpPr>
        <xdr:cNvPr id="9" name="Rectangle 53">
          <a:extLst>
            <a:ext uri="{FF2B5EF4-FFF2-40B4-BE49-F238E27FC236}">
              <a16:creationId xmlns:a16="http://schemas.microsoft.com/office/drawing/2014/main" id="{423610D3-35EB-4E89-AB42-A61A7FC4A852}"/>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7957"/>
    <xdr:sp macro="" textlink="">
      <xdr:nvSpPr>
        <xdr:cNvPr id="10" name="Rectangle 53">
          <a:extLst>
            <a:ext uri="{FF2B5EF4-FFF2-40B4-BE49-F238E27FC236}">
              <a16:creationId xmlns:a16="http://schemas.microsoft.com/office/drawing/2014/main" id="{D07DD38B-4592-411B-B410-42F9C339E087}"/>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42" dataDxfId="141">
  <autoFilter ref="B209:C219" xr:uid="{00000000-0009-0000-0100-000001000000}"/>
  <tableColumns count="2">
    <tableColumn id="1" xr3:uid="{00000000-0010-0000-0000-000001000000}" name="Criterios" dataDxfId="140"/>
    <tableColumn id="2" xr3:uid="{00000000-0010-0000-0000-000002000000}" name="Subcriterios" dataDxfId="13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zoomScale="110" zoomScaleNormal="110" workbookViewId="0">
      <selection activeCell="B12" sqref="B12:H12"/>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171" t="s">
        <v>0</v>
      </c>
      <c r="C12" s="172"/>
      <c r="D12" s="172"/>
      <c r="E12" s="172"/>
      <c r="F12" s="172"/>
      <c r="G12" s="172"/>
      <c r="H12" s="173"/>
    </row>
    <row r="13" spans="2:8" ht="11.1" customHeight="1" x14ac:dyDescent="0.25">
      <c r="B13" s="84"/>
      <c r="C13" s="85"/>
      <c r="D13" s="85"/>
      <c r="E13" s="85"/>
      <c r="F13" s="85"/>
      <c r="G13" s="85"/>
      <c r="H13" s="86"/>
    </row>
    <row r="14" spans="2:8" ht="29.1" hidden="1" customHeight="1" x14ac:dyDescent="0.25">
      <c r="B14" s="174" t="s">
        <v>210</v>
      </c>
      <c r="C14" s="175"/>
      <c r="D14" s="175"/>
      <c r="E14" s="175"/>
      <c r="F14" s="175"/>
      <c r="G14" s="175"/>
      <c r="H14" s="176"/>
    </row>
    <row r="15" spans="2:8" ht="63" hidden="1" customHeight="1" x14ac:dyDescent="0.25">
      <c r="B15" s="177"/>
      <c r="C15" s="178"/>
      <c r="D15" s="178"/>
      <c r="E15" s="178"/>
      <c r="F15" s="178"/>
      <c r="G15" s="178"/>
      <c r="H15" s="179"/>
    </row>
    <row r="16" spans="2:8" ht="16.5" x14ac:dyDescent="0.25">
      <c r="B16" s="180" t="s">
        <v>1</v>
      </c>
      <c r="C16" s="181"/>
      <c r="D16" s="181"/>
      <c r="E16" s="181"/>
      <c r="F16" s="181"/>
      <c r="G16" s="181"/>
      <c r="H16" s="182"/>
    </row>
    <row r="17" spans="2:8" ht="95.25" customHeight="1" x14ac:dyDescent="0.25">
      <c r="B17" s="190" t="s">
        <v>2</v>
      </c>
      <c r="C17" s="191"/>
      <c r="D17" s="191"/>
      <c r="E17" s="191"/>
      <c r="F17" s="191"/>
      <c r="G17" s="191"/>
      <c r="H17" s="192"/>
    </row>
    <row r="18" spans="2:8" ht="16.5" x14ac:dyDescent="0.25">
      <c r="B18" s="120"/>
      <c r="C18" s="121"/>
      <c r="D18" s="121"/>
      <c r="E18" s="121"/>
      <c r="F18" s="121"/>
      <c r="G18" s="121"/>
      <c r="H18" s="122"/>
    </row>
    <row r="19" spans="2:8" ht="16.5" customHeight="1" x14ac:dyDescent="0.25">
      <c r="B19" s="183" t="s">
        <v>218</v>
      </c>
      <c r="C19" s="184"/>
      <c r="D19" s="184"/>
      <c r="E19" s="184"/>
      <c r="F19" s="184"/>
      <c r="G19" s="184"/>
      <c r="H19" s="185"/>
    </row>
    <row r="20" spans="2:8" ht="44.25" customHeight="1" x14ac:dyDescent="0.25">
      <c r="B20" s="183"/>
      <c r="C20" s="184"/>
      <c r="D20" s="184"/>
      <c r="E20" s="184"/>
      <c r="F20" s="184"/>
      <c r="G20" s="184"/>
      <c r="H20" s="185"/>
    </row>
    <row r="21" spans="2:8" ht="15.75" thickBot="1" x14ac:dyDescent="0.3">
      <c r="B21" s="109"/>
      <c r="C21" s="112"/>
      <c r="D21" s="117"/>
      <c r="E21" s="118"/>
      <c r="F21" s="118"/>
      <c r="G21" s="119"/>
      <c r="H21" s="113"/>
    </row>
    <row r="22" spans="2:8" ht="15.75" thickTop="1" x14ac:dyDescent="0.25">
      <c r="B22" s="109"/>
      <c r="C22" s="186" t="s">
        <v>3</v>
      </c>
      <c r="D22" s="187"/>
      <c r="E22" s="188" t="s">
        <v>4</v>
      </c>
      <c r="F22" s="189"/>
      <c r="G22" s="112"/>
      <c r="H22" s="113"/>
    </row>
    <row r="23" spans="2:8" ht="35.25" customHeight="1" x14ac:dyDescent="0.25">
      <c r="B23" s="109"/>
      <c r="C23" s="193" t="s">
        <v>5</v>
      </c>
      <c r="D23" s="194"/>
      <c r="E23" s="195" t="s">
        <v>6</v>
      </c>
      <c r="F23" s="196"/>
      <c r="G23" s="112"/>
      <c r="H23" s="113"/>
    </row>
    <row r="24" spans="2:8" ht="17.25" customHeight="1" x14ac:dyDescent="0.25">
      <c r="B24" s="109"/>
      <c r="C24" s="193" t="s">
        <v>7</v>
      </c>
      <c r="D24" s="194"/>
      <c r="E24" s="195" t="s">
        <v>8</v>
      </c>
      <c r="F24" s="196"/>
      <c r="G24" s="112"/>
      <c r="H24" s="113"/>
    </row>
    <row r="25" spans="2:8" ht="19.5" customHeight="1" x14ac:dyDescent="0.25">
      <c r="B25" s="109"/>
      <c r="C25" s="193" t="s">
        <v>9</v>
      </c>
      <c r="D25" s="194"/>
      <c r="E25" s="195" t="s">
        <v>10</v>
      </c>
      <c r="F25" s="196"/>
      <c r="G25" s="112"/>
      <c r="H25" s="113"/>
    </row>
    <row r="26" spans="2:8" ht="69.75" customHeight="1" x14ac:dyDescent="0.25">
      <c r="B26" s="109"/>
      <c r="C26" s="193" t="s">
        <v>11</v>
      </c>
      <c r="D26" s="194"/>
      <c r="E26" s="195" t="s">
        <v>12</v>
      </c>
      <c r="F26" s="196"/>
      <c r="G26" s="112"/>
      <c r="H26" s="113"/>
    </row>
    <row r="27" spans="2:8" ht="34.5" customHeight="1" x14ac:dyDescent="0.25">
      <c r="B27" s="109"/>
      <c r="C27" s="197" t="s">
        <v>13</v>
      </c>
      <c r="D27" s="198"/>
      <c r="E27" s="199" t="s">
        <v>14</v>
      </c>
      <c r="F27" s="200"/>
      <c r="G27" s="112"/>
      <c r="H27" s="113"/>
    </row>
    <row r="28" spans="2:8" ht="27.75" customHeight="1" x14ac:dyDescent="0.25">
      <c r="B28" s="109"/>
      <c r="C28" s="197" t="s">
        <v>15</v>
      </c>
      <c r="D28" s="198"/>
      <c r="E28" s="199" t="s">
        <v>16</v>
      </c>
      <c r="F28" s="200"/>
      <c r="G28" s="112"/>
      <c r="H28" s="113"/>
    </row>
    <row r="29" spans="2:8" ht="28.5" customHeight="1" x14ac:dyDescent="0.25">
      <c r="B29" s="109"/>
      <c r="C29" s="197" t="s">
        <v>17</v>
      </c>
      <c r="D29" s="198"/>
      <c r="E29" s="199" t="s">
        <v>18</v>
      </c>
      <c r="F29" s="200"/>
      <c r="G29" s="112"/>
      <c r="H29" s="113"/>
    </row>
    <row r="30" spans="2:8" ht="72.75" customHeight="1" x14ac:dyDescent="0.25">
      <c r="B30" s="109"/>
      <c r="C30" s="197" t="s">
        <v>19</v>
      </c>
      <c r="D30" s="198"/>
      <c r="E30" s="199" t="s">
        <v>20</v>
      </c>
      <c r="F30" s="200"/>
      <c r="G30" s="112"/>
      <c r="H30" s="113"/>
    </row>
    <row r="31" spans="2:8" ht="64.5" customHeight="1" x14ac:dyDescent="0.25">
      <c r="B31" s="109"/>
      <c r="C31" s="197" t="s">
        <v>21</v>
      </c>
      <c r="D31" s="198"/>
      <c r="E31" s="199" t="s">
        <v>22</v>
      </c>
      <c r="F31" s="200"/>
      <c r="G31" s="112"/>
      <c r="H31" s="113"/>
    </row>
    <row r="32" spans="2:8" ht="71.25" customHeight="1" x14ac:dyDescent="0.25">
      <c r="B32" s="109"/>
      <c r="C32" s="197" t="s">
        <v>23</v>
      </c>
      <c r="D32" s="198"/>
      <c r="E32" s="199" t="s">
        <v>24</v>
      </c>
      <c r="F32" s="200"/>
      <c r="G32" s="112"/>
      <c r="H32" s="113"/>
    </row>
    <row r="33" spans="2:8" ht="55.5" customHeight="1" x14ac:dyDescent="0.25">
      <c r="B33" s="109"/>
      <c r="C33" s="204" t="s">
        <v>25</v>
      </c>
      <c r="D33" s="205"/>
      <c r="E33" s="199" t="s">
        <v>26</v>
      </c>
      <c r="F33" s="200"/>
      <c r="G33" s="112"/>
      <c r="H33" s="113"/>
    </row>
    <row r="34" spans="2:8" ht="42" customHeight="1" x14ac:dyDescent="0.25">
      <c r="B34" s="109"/>
      <c r="C34" s="204" t="s">
        <v>27</v>
      </c>
      <c r="D34" s="205"/>
      <c r="E34" s="199" t="s">
        <v>28</v>
      </c>
      <c r="F34" s="200"/>
      <c r="G34" s="112"/>
      <c r="H34" s="113"/>
    </row>
    <row r="35" spans="2:8" ht="59.25" customHeight="1" x14ac:dyDescent="0.25">
      <c r="B35" s="109"/>
      <c r="C35" s="204" t="s">
        <v>29</v>
      </c>
      <c r="D35" s="205"/>
      <c r="E35" s="199" t="s">
        <v>30</v>
      </c>
      <c r="F35" s="200"/>
      <c r="G35" s="112"/>
      <c r="H35" s="113"/>
    </row>
    <row r="36" spans="2:8" ht="23.25" customHeight="1" x14ac:dyDescent="0.25">
      <c r="B36" s="109"/>
      <c r="C36" s="204" t="s">
        <v>31</v>
      </c>
      <c r="D36" s="205"/>
      <c r="E36" s="199" t="s">
        <v>32</v>
      </c>
      <c r="F36" s="200"/>
      <c r="G36" s="112"/>
      <c r="H36" s="113"/>
    </row>
    <row r="37" spans="2:8" ht="30.75" customHeight="1" x14ac:dyDescent="0.25">
      <c r="B37" s="109"/>
      <c r="C37" s="204" t="s">
        <v>33</v>
      </c>
      <c r="D37" s="205"/>
      <c r="E37" s="199" t="s">
        <v>34</v>
      </c>
      <c r="F37" s="200"/>
      <c r="G37" s="112"/>
      <c r="H37" s="113"/>
    </row>
    <row r="38" spans="2:8" ht="35.25" customHeight="1" x14ac:dyDescent="0.25">
      <c r="B38" s="109"/>
      <c r="C38" s="204" t="s">
        <v>35</v>
      </c>
      <c r="D38" s="205"/>
      <c r="E38" s="199" t="s">
        <v>36</v>
      </c>
      <c r="F38" s="200"/>
      <c r="G38" s="112"/>
      <c r="H38" s="113"/>
    </row>
    <row r="39" spans="2:8" ht="33" customHeight="1" x14ac:dyDescent="0.25">
      <c r="B39" s="109"/>
      <c r="C39" s="204" t="s">
        <v>35</v>
      </c>
      <c r="D39" s="205"/>
      <c r="E39" s="199" t="s">
        <v>36</v>
      </c>
      <c r="F39" s="200"/>
      <c r="G39" s="112"/>
      <c r="H39" s="113"/>
    </row>
    <row r="40" spans="2:8" ht="30" customHeight="1" x14ac:dyDescent="0.25">
      <c r="B40" s="109"/>
      <c r="C40" s="204" t="s">
        <v>37</v>
      </c>
      <c r="D40" s="205"/>
      <c r="E40" s="199" t="s">
        <v>38</v>
      </c>
      <c r="F40" s="200"/>
      <c r="G40" s="112"/>
      <c r="H40" s="113"/>
    </row>
    <row r="41" spans="2:8" ht="35.25" customHeight="1" x14ac:dyDescent="0.25">
      <c r="B41" s="109"/>
      <c r="C41" s="204" t="s">
        <v>39</v>
      </c>
      <c r="D41" s="205"/>
      <c r="E41" s="199" t="s">
        <v>40</v>
      </c>
      <c r="F41" s="200"/>
      <c r="G41" s="112"/>
      <c r="H41" s="113"/>
    </row>
    <row r="42" spans="2:8" ht="31.5" customHeight="1" x14ac:dyDescent="0.25">
      <c r="B42" s="109"/>
      <c r="C42" s="204" t="s">
        <v>41</v>
      </c>
      <c r="D42" s="205"/>
      <c r="E42" s="199" t="s">
        <v>42</v>
      </c>
      <c r="F42" s="200"/>
      <c r="G42" s="112"/>
      <c r="H42" s="113"/>
    </row>
    <row r="43" spans="2:8" ht="35.25" customHeight="1" x14ac:dyDescent="0.25">
      <c r="B43" s="109"/>
      <c r="C43" s="204" t="s">
        <v>43</v>
      </c>
      <c r="D43" s="205"/>
      <c r="E43" s="199" t="s">
        <v>44</v>
      </c>
      <c r="F43" s="200"/>
      <c r="G43" s="112"/>
      <c r="H43" s="113"/>
    </row>
    <row r="44" spans="2:8" ht="59.25" customHeight="1" x14ac:dyDescent="0.25">
      <c r="B44" s="109"/>
      <c r="C44" s="204" t="s">
        <v>45</v>
      </c>
      <c r="D44" s="205"/>
      <c r="E44" s="199" t="s">
        <v>46</v>
      </c>
      <c r="F44" s="200"/>
      <c r="G44" s="112"/>
      <c r="H44" s="113"/>
    </row>
    <row r="45" spans="2:8" ht="29.25" customHeight="1" x14ac:dyDescent="0.25">
      <c r="B45" s="109"/>
      <c r="C45" s="204" t="s">
        <v>47</v>
      </c>
      <c r="D45" s="205"/>
      <c r="E45" s="199" t="s">
        <v>48</v>
      </c>
      <c r="F45" s="200"/>
      <c r="G45" s="112"/>
      <c r="H45" s="113"/>
    </row>
    <row r="46" spans="2:8" ht="82.5" customHeight="1" x14ac:dyDescent="0.25">
      <c r="B46" s="109"/>
      <c r="C46" s="204" t="s">
        <v>49</v>
      </c>
      <c r="D46" s="205"/>
      <c r="E46" s="199" t="s">
        <v>50</v>
      </c>
      <c r="F46" s="200"/>
      <c r="G46" s="112"/>
      <c r="H46" s="113"/>
    </row>
    <row r="47" spans="2:8" ht="46.5" customHeight="1" x14ac:dyDescent="0.25">
      <c r="B47" s="109"/>
      <c r="C47" s="204" t="s">
        <v>51</v>
      </c>
      <c r="D47" s="205"/>
      <c r="E47" s="199" t="s">
        <v>52</v>
      </c>
      <c r="F47" s="200"/>
      <c r="G47" s="112"/>
      <c r="H47" s="113"/>
    </row>
    <row r="48" spans="2:8" ht="6.75" customHeight="1" thickBot="1" x14ac:dyDescent="0.3">
      <c r="B48" s="109"/>
      <c r="C48" s="206"/>
      <c r="D48" s="207"/>
      <c r="E48" s="208"/>
      <c r="F48" s="209"/>
      <c r="G48" s="112"/>
      <c r="H48" s="113"/>
    </row>
    <row r="49" spans="2:8" ht="15.75" thickTop="1" x14ac:dyDescent="0.25">
      <c r="B49" s="109"/>
      <c r="C49" s="110"/>
      <c r="D49" s="110"/>
      <c r="E49" s="111"/>
      <c r="F49" s="111"/>
      <c r="G49" s="112"/>
      <c r="H49" s="113"/>
    </row>
    <row r="50" spans="2:8" ht="21" customHeight="1" x14ac:dyDescent="0.25">
      <c r="B50" s="201" t="s">
        <v>53</v>
      </c>
      <c r="C50" s="202"/>
      <c r="D50" s="202"/>
      <c r="E50" s="202"/>
      <c r="F50" s="202"/>
      <c r="G50" s="202"/>
      <c r="H50" s="203"/>
    </row>
    <row r="51" spans="2:8" ht="20.25" customHeight="1" x14ac:dyDescent="0.25">
      <c r="B51" s="201" t="s">
        <v>54</v>
      </c>
      <c r="C51" s="202"/>
      <c r="D51" s="202"/>
      <c r="E51" s="202"/>
      <c r="F51" s="202"/>
      <c r="G51" s="202"/>
      <c r="H51" s="203"/>
    </row>
    <row r="52" spans="2:8" ht="20.25" customHeight="1" x14ac:dyDescent="0.25">
      <c r="B52" s="201" t="s">
        <v>55</v>
      </c>
      <c r="C52" s="202"/>
      <c r="D52" s="202"/>
      <c r="E52" s="202"/>
      <c r="F52" s="202"/>
      <c r="G52" s="202"/>
      <c r="H52" s="203"/>
    </row>
    <row r="53" spans="2:8" ht="20.25" customHeight="1" x14ac:dyDescent="0.25">
      <c r="B53" s="201" t="s">
        <v>56</v>
      </c>
      <c r="C53" s="202"/>
      <c r="D53" s="202"/>
      <c r="E53" s="202"/>
      <c r="F53" s="202"/>
      <c r="G53" s="202"/>
      <c r="H53" s="203"/>
    </row>
    <row r="54" spans="2:8" x14ac:dyDescent="0.25">
      <c r="B54" s="201" t="s">
        <v>57</v>
      </c>
      <c r="C54" s="202"/>
      <c r="D54" s="202"/>
      <c r="E54" s="202"/>
      <c r="F54" s="202"/>
      <c r="G54" s="202"/>
      <c r="H54" s="203"/>
    </row>
    <row r="55" spans="2:8" ht="15.75" thickBot="1" x14ac:dyDescent="0.3">
      <c r="B55" s="114"/>
      <c r="C55" s="115"/>
      <c r="D55" s="115"/>
      <c r="E55" s="115"/>
      <c r="F55" s="115"/>
      <c r="G55" s="115"/>
      <c r="H55" s="116"/>
    </row>
  </sheetData>
  <mergeCells count="64">
    <mergeCell ref="E38:F38"/>
    <mergeCell ref="C38:D38"/>
    <mergeCell ref="C26:D26"/>
    <mergeCell ref="E26:F26"/>
    <mergeCell ref="C24:D24"/>
    <mergeCell ref="E24:F24"/>
    <mergeCell ref="C25:D25"/>
    <mergeCell ref="E25:F25"/>
    <mergeCell ref="E32:F32"/>
    <mergeCell ref="C32:D32"/>
    <mergeCell ref="C35:D35"/>
    <mergeCell ref="E35:F35"/>
    <mergeCell ref="B51:H51"/>
    <mergeCell ref="C48:D48"/>
    <mergeCell ref="E48:F48"/>
    <mergeCell ref="C47:D47"/>
    <mergeCell ref="E47:F47"/>
    <mergeCell ref="C43:D43"/>
    <mergeCell ref="B50:H50"/>
    <mergeCell ref="C39:D39"/>
    <mergeCell ref="E39:F39"/>
    <mergeCell ref="C40:D40"/>
    <mergeCell ref="E40:F40"/>
    <mergeCell ref="E43:F43"/>
    <mergeCell ref="C44:D44"/>
    <mergeCell ref="C45:D45"/>
    <mergeCell ref="E45:F45"/>
    <mergeCell ref="C46:D46"/>
    <mergeCell ref="E46:F46"/>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23:D23"/>
    <mergeCell ref="E23:F23"/>
    <mergeCell ref="C27:D27"/>
    <mergeCell ref="E27:F27"/>
    <mergeCell ref="C31:D31"/>
    <mergeCell ref="C28:D28"/>
    <mergeCell ref="C29:D29"/>
    <mergeCell ref="C30:D30"/>
    <mergeCell ref="E28:F28"/>
    <mergeCell ref="E29:F29"/>
    <mergeCell ref="E30:F30"/>
    <mergeCell ref="E31:F31"/>
    <mergeCell ref="B12:H12"/>
    <mergeCell ref="B14:H15"/>
    <mergeCell ref="B16:H16"/>
    <mergeCell ref="B19:H20"/>
    <mergeCell ref="C22:D22"/>
    <mergeCell ref="E22:F22"/>
    <mergeCell ref="B17:H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46"/>
  <sheetViews>
    <sheetView showGridLines="0" workbookViewId="0">
      <selection activeCell="C12" sqref="C12"/>
    </sheetView>
  </sheetViews>
  <sheetFormatPr baseColWidth="10" defaultRowHeight="15" x14ac:dyDescent="0.25"/>
  <cols>
    <col min="2" max="2" width="18.7109375" customWidth="1"/>
    <col min="3" max="3" width="53.28515625" customWidth="1"/>
    <col min="4" max="4" width="58" customWidth="1"/>
  </cols>
  <sheetData>
    <row r="4" spans="2:4" ht="52.5" customHeight="1" x14ac:dyDescent="0.25">
      <c r="B4" s="210" t="s">
        <v>211</v>
      </c>
      <c r="C4" s="210"/>
      <c r="D4" s="210"/>
    </row>
    <row r="5" spans="2:4" ht="48" customHeight="1" x14ac:dyDescent="0.25">
      <c r="B5" s="211" t="s">
        <v>252</v>
      </c>
      <c r="C5" s="211"/>
      <c r="D5" s="211"/>
    </row>
    <row r="6" spans="2:4" ht="15" customHeight="1" x14ac:dyDescent="0.25">
      <c r="B6" s="432" t="s">
        <v>212</v>
      </c>
      <c r="C6" s="126" t="s">
        <v>213</v>
      </c>
      <c r="D6" s="126" t="s">
        <v>214</v>
      </c>
    </row>
    <row r="7" spans="2:4" ht="49.5" x14ac:dyDescent="0.25">
      <c r="B7" s="432"/>
      <c r="C7" s="434" t="s">
        <v>255</v>
      </c>
      <c r="D7" s="434" t="s">
        <v>260</v>
      </c>
    </row>
    <row r="8" spans="2:4" ht="33" x14ac:dyDescent="0.25">
      <c r="B8" s="432"/>
      <c r="C8" s="435" t="s">
        <v>256</v>
      </c>
      <c r="D8" s="434" t="s">
        <v>259</v>
      </c>
    </row>
    <row r="9" spans="2:4" ht="49.5" x14ac:dyDescent="0.25">
      <c r="B9" s="432"/>
      <c r="C9" s="434" t="s">
        <v>257</v>
      </c>
      <c r="D9" s="434" t="s">
        <v>283</v>
      </c>
    </row>
    <row r="10" spans="2:4" ht="49.5" x14ac:dyDescent="0.25">
      <c r="B10" s="432"/>
      <c r="C10" s="434" t="s">
        <v>258</v>
      </c>
      <c r="D10" s="434" t="s">
        <v>263</v>
      </c>
    </row>
    <row r="11" spans="2:4" ht="43.5" customHeight="1" x14ac:dyDescent="0.25">
      <c r="B11" s="432"/>
      <c r="C11" s="434" t="s">
        <v>261</v>
      </c>
      <c r="D11" s="433" t="s">
        <v>264</v>
      </c>
    </row>
    <row r="12" spans="2:4" ht="33" x14ac:dyDescent="0.25">
      <c r="B12" s="432"/>
      <c r="C12" s="434" t="s">
        <v>262</v>
      </c>
      <c r="D12" s="433"/>
    </row>
    <row r="13" spans="2:4" ht="66" x14ac:dyDescent="0.25">
      <c r="B13" s="432"/>
      <c r="C13" s="434" t="s">
        <v>302</v>
      </c>
      <c r="D13" s="433"/>
    </row>
    <row r="14" spans="2:4" ht="15.75" customHeight="1" x14ac:dyDescent="0.25">
      <c r="B14" s="432" t="s">
        <v>215</v>
      </c>
      <c r="C14" s="126" t="s">
        <v>216</v>
      </c>
      <c r="D14" s="126" t="s">
        <v>217</v>
      </c>
    </row>
    <row r="15" spans="2:4" ht="49.5" x14ac:dyDescent="0.25">
      <c r="B15" s="432"/>
      <c r="C15" s="434" t="s">
        <v>285</v>
      </c>
      <c r="D15" s="433" t="s">
        <v>267</v>
      </c>
    </row>
    <row r="16" spans="2:4" ht="33" x14ac:dyDescent="0.25">
      <c r="B16" s="432"/>
      <c r="C16" s="434" t="s">
        <v>284</v>
      </c>
      <c r="D16" s="433"/>
    </row>
    <row r="17" spans="2:4" ht="33" x14ac:dyDescent="0.25">
      <c r="B17" s="432"/>
      <c r="C17" s="434" t="s">
        <v>265</v>
      </c>
      <c r="D17" s="433"/>
    </row>
    <row r="18" spans="2:4" ht="37.5" customHeight="1" x14ac:dyDescent="0.25">
      <c r="B18" s="432"/>
      <c r="C18" s="434" t="s">
        <v>266</v>
      </c>
      <c r="D18" s="433" t="s">
        <v>268</v>
      </c>
    </row>
    <row r="19" spans="2:4" ht="82.5" x14ac:dyDescent="0.25">
      <c r="B19" s="432"/>
      <c r="C19" s="434" t="s">
        <v>286</v>
      </c>
      <c r="D19" s="433"/>
    </row>
    <row r="22" spans="2:4" ht="29.25" customHeight="1" x14ac:dyDescent="0.25">
      <c r="B22" s="211" t="s">
        <v>253</v>
      </c>
      <c r="C22" s="211"/>
      <c r="D22" s="211"/>
    </row>
    <row r="24" spans="2:4" ht="15.75" x14ac:dyDescent="0.25">
      <c r="B24" s="432" t="s">
        <v>212</v>
      </c>
      <c r="C24" s="126" t="s">
        <v>213</v>
      </c>
      <c r="D24" s="126" t="s">
        <v>214</v>
      </c>
    </row>
    <row r="25" spans="2:4" ht="49.5" x14ac:dyDescent="0.25">
      <c r="B25" s="432"/>
      <c r="C25" s="434" t="s">
        <v>287</v>
      </c>
      <c r="D25" s="434" t="s">
        <v>289</v>
      </c>
    </row>
    <row r="26" spans="2:4" ht="77.25" customHeight="1" x14ac:dyDescent="0.25">
      <c r="B26" s="432"/>
      <c r="C26" s="433" t="s">
        <v>288</v>
      </c>
      <c r="D26" s="434" t="s">
        <v>290</v>
      </c>
    </row>
    <row r="27" spans="2:4" ht="33" customHeight="1" x14ac:dyDescent="0.25">
      <c r="B27" s="432"/>
      <c r="C27" s="433"/>
      <c r="D27" s="434" t="s">
        <v>269</v>
      </c>
    </row>
    <row r="28" spans="2:4" ht="49.5" x14ac:dyDescent="0.25">
      <c r="B28" s="432"/>
      <c r="C28" s="433"/>
      <c r="D28" s="434" t="s">
        <v>291</v>
      </c>
    </row>
    <row r="29" spans="2:4" ht="49.5" x14ac:dyDescent="0.25">
      <c r="B29" s="432"/>
      <c r="C29" s="433"/>
      <c r="D29" s="434" t="s">
        <v>270</v>
      </c>
    </row>
    <row r="30" spans="2:4" ht="15.75" x14ac:dyDescent="0.25">
      <c r="B30" s="432" t="s">
        <v>215</v>
      </c>
      <c r="C30" s="166" t="s">
        <v>216</v>
      </c>
      <c r="D30" s="126" t="s">
        <v>217</v>
      </c>
    </row>
    <row r="31" spans="2:4" ht="66" x14ac:dyDescent="0.25">
      <c r="B31" s="432"/>
      <c r="C31" s="165" t="s">
        <v>292</v>
      </c>
      <c r="D31" s="165" t="s">
        <v>295</v>
      </c>
    </row>
    <row r="32" spans="2:4" ht="49.5" x14ac:dyDescent="0.25">
      <c r="B32" s="432"/>
      <c r="C32" s="165" t="s">
        <v>293</v>
      </c>
      <c r="D32" s="165" t="s">
        <v>272</v>
      </c>
    </row>
    <row r="33" spans="2:4" ht="50.25" customHeight="1" x14ac:dyDescent="0.25">
      <c r="B33" s="432"/>
      <c r="C33" s="429" t="s">
        <v>271</v>
      </c>
      <c r="D33" s="165" t="s">
        <v>273</v>
      </c>
    </row>
    <row r="34" spans="2:4" ht="49.5" x14ac:dyDescent="0.25">
      <c r="B34" s="432"/>
      <c r="C34" s="431"/>
      <c r="D34" s="165" t="s">
        <v>294</v>
      </c>
    </row>
    <row r="37" spans="2:4" x14ac:dyDescent="0.25">
      <c r="B37" s="211" t="s">
        <v>254</v>
      </c>
      <c r="C37" s="211"/>
      <c r="D37" s="211"/>
    </row>
    <row r="39" spans="2:4" ht="15.75" x14ac:dyDescent="0.25">
      <c r="B39" s="432" t="s">
        <v>212</v>
      </c>
      <c r="C39" s="126" t="s">
        <v>213</v>
      </c>
      <c r="D39" s="126" t="s">
        <v>214</v>
      </c>
    </row>
    <row r="40" spans="2:4" ht="49.5" x14ac:dyDescent="0.25">
      <c r="B40" s="432"/>
      <c r="C40" s="434" t="s">
        <v>296</v>
      </c>
      <c r="D40" s="434" t="s">
        <v>275</v>
      </c>
    </row>
    <row r="41" spans="2:4" ht="41.25" customHeight="1" x14ac:dyDescent="0.25">
      <c r="B41" s="432"/>
      <c r="C41" s="434" t="s">
        <v>274</v>
      </c>
      <c r="D41" s="429" t="s">
        <v>276</v>
      </c>
    </row>
    <row r="42" spans="2:4" ht="49.5" x14ac:dyDescent="0.25">
      <c r="B42" s="432"/>
      <c r="C42" s="434" t="s">
        <v>297</v>
      </c>
      <c r="D42" s="430"/>
    </row>
    <row r="43" spans="2:4" ht="33" x14ac:dyDescent="0.25">
      <c r="B43" s="432"/>
      <c r="C43" s="434" t="s">
        <v>298</v>
      </c>
      <c r="D43" s="431"/>
    </row>
    <row r="44" spans="2:4" ht="15.75" x14ac:dyDescent="0.25">
      <c r="B44" s="432" t="s">
        <v>215</v>
      </c>
      <c r="C44" s="126" t="s">
        <v>216</v>
      </c>
      <c r="D44" s="126" t="s">
        <v>217</v>
      </c>
    </row>
    <row r="45" spans="2:4" ht="66" x14ac:dyDescent="0.25">
      <c r="B45" s="432"/>
      <c r="C45" s="434" t="s">
        <v>299</v>
      </c>
      <c r="D45" s="434" t="s">
        <v>300</v>
      </c>
    </row>
    <row r="46" spans="2:4" ht="49.5" x14ac:dyDescent="0.25">
      <c r="B46" s="432"/>
      <c r="C46" s="434" t="s">
        <v>277</v>
      </c>
      <c r="D46" s="434" t="s">
        <v>301</v>
      </c>
    </row>
  </sheetData>
  <mergeCells count="16">
    <mergeCell ref="B39:B43"/>
    <mergeCell ref="B44:B46"/>
    <mergeCell ref="B5:D5"/>
    <mergeCell ref="B22:D22"/>
    <mergeCell ref="B37:D37"/>
    <mergeCell ref="D11:D13"/>
    <mergeCell ref="C26:C29"/>
    <mergeCell ref="D15:D17"/>
    <mergeCell ref="D18:D19"/>
    <mergeCell ref="D41:D43"/>
    <mergeCell ref="C33:C34"/>
    <mergeCell ref="B4:D4"/>
    <mergeCell ref="B6:B13"/>
    <mergeCell ref="B14:B19"/>
    <mergeCell ref="B24:B29"/>
    <mergeCell ref="B30:B3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43"/>
  <sheetViews>
    <sheetView showGridLines="0" tabSelected="1" zoomScale="70" zoomScaleNormal="70" workbookViewId="0">
      <selection activeCell="C17" sqref="C17:N17"/>
    </sheetView>
  </sheetViews>
  <sheetFormatPr baseColWidth="10" defaultColWidth="11.42578125" defaultRowHeight="16.5" x14ac:dyDescent="0.3"/>
  <cols>
    <col min="1" max="1" width="4" style="2" bestFit="1" customWidth="1"/>
    <col min="2" max="2" width="14.140625" style="2" customWidth="1"/>
    <col min="3" max="3" width="36.5703125" style="2" customWidth="1"/>
    <col min="4" max="4" width="48.140625" style="2" customWidth="1"/>
    <col min="5" max="5" width="32.42578125" style="1" customWidth="1"/>
    <col min="6" max="6" width="19" style="5" customWidth="1"/>
    <col min="7" max="7" width="17.85546875" style="1" customWidth="1"/>
    <col min="8" max="8" width="16.42578125" style="1" customWidth="1"/>
    <col min="9" max="9" width="6.28515625" style="1" customWidth="1"/>
    <col min="10" max="10" width="27.28515625" style="1" customWidth="1"/>
    <col min="11" max="11" width="30.42578125" style="1" hidden="1" customWidth="1"/>
    <col min="12" max="12" width="17.42578125" style="1" customWidth="1"/>
    <col min="13" max="13" width="6.28515625" style="1" customWidth="1"/>
    <col min="14" max="14" width="12.7109375" style="1" customWidth="1"/>
    <col min="15" max="15" width="21.7109375" style="1" customWidth="1"/>
    <col min="16" max="16" width="65.8554687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68" ht="36.950000000000003" customHeight="1" x14ac:dyDescent="0.3">
      <c r="A1" s="220" t="s">
        <v>229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129" t="s">
        <v>219</v>
      </c>
      <c r="AG1" s="134" t="s">
        <v>220</v>
      </c>
      <c r="AH1" s="161"/>
      <c r="AI1" s="161"/>
      <c r="AJ1" s="161"/>
      <c r="AK1" s="161"/>
      <c r="AL1" s="127"/>
      <c r="AM1" s="127"/>
      <c r="AN1" s="127"/>
      <c r="AO1" s="127"/>
      <c r="AP1" s="128"/>
      <c r="AQ1" s="128"/>
      <c r="AR1" s="128"/>
      <c r="AS1" s="128"/>
      <c r="AT1" s="128"/>
      <c r="AU1" s="128"/>
      <c r="AV1" s="128"/>
      <c r="AW1" s="128"/>
      <c r="AX1" s="128"/>
      <c r="AY1" s="128"/>
      <c r="AZ1" s="128"/>
    </row>
    <row r="2" spans="1:68" x14ac:dyDescent="0.3">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129" t="s">
        <v>221</v>
      </c>
      <c r="AG2" s="134">
        <v>5</v>
      </c>
      <c r="AH2" s="130"/>
      <c r="AI2" s="131"/>
      <c r="AJ2" s="131"/>
      <c r="AK2" s="132"/>
      <c r="AL2" s="131"/>
      <c r="AM2" s="131"/>
      <c r="AN2" s="128"/>
      <c r="AO2" s="133"/>
      <c r="AP2" s="128"/>
      <c r="AQ2" s="128"/>
      <c r="AR2" s="128"/>
      <c r="AS2" s="128"/>
      <c r="AT2" s="128"/>
      <c r="AU2" s="128"/>
      <c r="AV2" s="128"/>
      <c r="AW2" s="128"/>
      <c r="AX2" s="128"/>
      <c r="AY2" s="128"/>
      <c r="AZ2" s="128"/>
    </row>
    <row r="3" spans="1:68" x14ac:dyDescent="0.3">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129" t="s">
        <v>222</v>
      </c>
      <c r="AG3" s="136" t="s">
        <v>230</v>
      </c>
      <c r="AH3" s="130"/>
      <c r="AI3" s="131"/>
      <c r="AJ3" s="131"/>
      <c r="AK3" s="132"/>
      <c r="AL3" s="131"/>
      <c r="AM3" s="131"/>
      <c r="AN3" s="128"/>
      <c r="AO3" s="133"/>
      <c r="AP3" s="128"/>
      <c r="AQ3" s="128"/>
      <c r="AR3" s="128"/>
      <c r="AS3" s="128"/>
      <c r="AT3" s="128"/>
      <c r="AU3" s="128"/>
      <c r="AV3" s="128"/>
      <c r="AW3" s="128"/>
      <c r="AX3" s="128"/>
      <c r="AY3" s="128"/>
      <c r="AZ3" s="128"/>
    </row>
    <row r="4" spans="1:68" ht="15.95" customHeight="1" x14ac:dyDescent="0.3">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138" t="s">
        <v>223</v>
      </c>
      <c r="AG4" s="137">
        <v>209905</v>
      </c>
      <c r="AH4" s="130"/>
      <c r="AI4" s="131"/>
      <c r="AJ4" s="131"/>
      <c r="AK4" s="132"/>
      <c r="AL4" s="131"/>
      <c r="AM4" s="131"/>
      <c r="AN4" s="128"/>
      <c r="AO4" s="133"/>
      <c r="AP4" s="128"/>
      <c r="AQ4" s="128"/>
      <c r="AR4" s="128"/>
      <c r="AS4" s="128"/>
      <c r="AT4" s="128"/>
      <c r="AU4" s="128"/>
      <c r="AV4" s="128"/>
      <c r="AW4" s="128"/>
      <c r="AX4" s="128"/>
      <c r="AY4" s="128"/>
      <c r="AZ4" s="128"/>
    </row>
    <row r="5" spans="1:68" ht="24" customHeight="1" x14ac:dyDescent="0.3">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H5" s="130"/>
      <c r="AI5" s="131"/>
      <c r="AJ5" s="131"/>
      <c r="AK5" s="132"/>
      <c r="AL5" s="131"/>
      <c r="AM5" s="131"/>
      <c r="AN5" s="128"/>
      <c r="AO5" s="133"/>
      <c r="AP5" s="128"/>
      <c r="AQ5" s="128"/>
      <c r="AR5" s="128"/>
      <c r="AS5" s="128"/>
      <c r="AT5" s="128"/>
      <c r="AU5" s="128"/>
      <c r="AV5" s="128"/>
      <c r="AW5" s="128"/>
      <c r="AX5" s="128"/>
      <c r="AY5" s="128"/>
      <c r="AZ5" s="128"/>
    </row>
    <row r="6" spans="1:68" x14ac:dyDescent="0.3">
      <c r="A6" s="135"/>
      <c r="B6" s="135"/>
      <c r="C6" s="160"/>
      <c r="D6" s="158"/>
      <c r="E6" s="158"/>
      <c r="F6" s="158"/>
      <c r="G6" s="158"/>
      <c r="H6" s="158"/>
      <c r="I6" s="158"/>
      <c r="J6" s="158"/>
      <c r="K6" s="158"/>
      <c r="L6" s="137"/>
      <c r="M6" s="128"/>
      <c r="N6" s="128"/>
      <c r="O6" s="128"/>
      <c r="P6" s="137"/>
      <c r="Q6" s="135"/>
      <c r="R6" s="135"/>
      <c r="S6" s="135"/>
      <c r="T6" s="139"/>
      <c r="U6" s="139"/>
      <c r="V6" s="139"/>
      <c r="W6" s="139"/>
      <c r="X6" s="139"/>
      <c r="Y6" s="139"/>
      <c r="Z6" s="139"/>
      <c r="AA6" s="140"/>
      <c r="AB6" s="140"/>
      <c r="AC6" s="140"/>
      <c r="AD6" s="140"/>
      <c r="AE6" s="140"/>
      <c r="AH6" s="141"/>
      <c r="AI6" s="142"/>
      <c r="AJ6" s="142"/>
      <c r="AK6" s="142"/>
      <c r="AL6" s="142"/>
      <c r="AM6" s="142"/>
      <c r="AN6" s="143"/>
      <c r="AO6" s="143"/>
      <c r="AP6" s="143"/>
      <c r="AQ6" s="143"/>
      <c r="AR6" s="140"/>
      <c r="AS6" s="140"/>
      <c r="AT6" s="140"/>
      <c r="AU6" s="140"/>
      <c r="AV6" s="140"/>
      <c r="AW6" s="140"/>
      <c r="AX6" s="140"/>
      <c r="AY6" s="140"/>
      <c r="AZ6" s="140"/>
    </row>
    <row r="7" spans="1:68" ht="27.95" customHeight="1" x14ac:dyDescent="0.3">
      <c r="A7" s="147"/>
      <c r="B7" s="147"/>
      <c r="C7" s="128"/>
      <c r="D7" s="128"/>
      <c r="E7" s="128"/>
      <c r="F7" s="128"/>
      <c r="G7" s="128"/>
      <c r="H7" s="128"/>
      <c r="I7" s="128"/>
      <c r="J7" s="128"/>
      <c r="K7" s="428"/>
      <c r="L7" s="128"/>
      <c r="M7" s="128"/>
      <c r="N7" s="224" t="s">
        <v>224</v>
      </c>
      <c r="O7" s="224"/>
      <c r="P7" s="224"/>
      <c r="Q7" s="224"/>
      <c r="R7" s="224"/>
      <c r="S7" s="224"/>
      <c r="T7" s="129"/>
      <c r="U7" s="129"/>
      <c r="V7" s="129"/>
      <c r="W7" s="129"/>
      <c r="X7" s="129"/>
      <c r="Y7" s="129"/>
      <c r="Z7" s="129"/>
      <c r="AA7" s="144"/>
      <c r="AB7" s="144"/>
      <c r="AC7" s="144"/>
      <c r="AD7" s="144"/>
      <c r="AE7" s="144"/>
      <c r="AF7" s="144"/>
      <c r="AG7" s="144"/>
      <c r="AH7" s="130"/>
      <c r="AI7" s="131"/>
      <c r="AJ7" s="131"/>
      <c r="AK7" s="131"/>
      <c r="AL7" s="131"/>
      <c r="AM7" s="131"/>
      <c r="AN7" s="145">
        <v>0</v>
      </c>
      <c r="AO7" s="146"/>
      <c r="AP7" s="145"/>
      <c r="AQ7" s="145"/>
      <c r="AR7" s="128"/>
      <c r="AS7" s="128"/>
      <c r="AT7" s="128"/>
      <c r="AU7" s="128"/>
      <c r="AV7" s="128"/>
      <c r="AW7" s="128"/>
      <c r="AX7" s="128"/>
      <c r="AY7" s="128"/>
      <c r="AZ7" s="128"/>
    </row>
    <row r="8" spans="1:68" ht="16.5" customHeight="1" x14ac:dyDescent="0.3">
      <c r="A8" s="147"/>
      <c r="B8" s="147"/>
      <c r="C8" s="128"/>
      <c r="D8" s="128"/>
      <c r="E8" s="128"/>
      <c r="F8" s="128"/>
      <c r="G8" s="128"/>
      <c r="H8" s="128"/>
      <c r="I8" s="128"/>
      <c r="J8" s="128"/>
      <c r="K8" s="428"/>
      <c r="L8" s="128"/>
      <c r="M8" s="128"/>
      <c r="N8" s="159" t="s">
        <v>225</v>
      </c>
      <c r="O8" s="159" t="s">
        <v>226</v>
      </c>
      <c r="P8" s="226" t="s">
        <v>227</v>
      </c>
      <c r="Q8" s="227"/>
      <c r="R8" s="227"/>
      <c r="S8" s="228"/>
      <c r="T8" s="129"/>
      <c r="U8" s="129"/>
      <c r="V8" s="129"/>
      <c r="W8" s="129"/>
      <c r="X8" s="129"/>
      <c r="Y8" s="129"/>
      <c r="Z8" s="129"/>
      <c r="AA8" s="144"/>
      <c r="AB8" s="144"/>
      <c r="AC8" s="144"/>
      <c r="AD8" s="144"/>
      <c r="AE8" s="144"/>
      <c r="AF8" s="144"/>
      <c r="AG8" s="144"/>
      <c r="AH8" s="130"/>
      <c r="AI8" s="131"/>
      <c r="AJ8" s="131"/>
      <c r="AK8" s="131"/>
      <c r="AL8" s="131"/>
      <c r="AM8" s="131"/>
      <c r="AN8" s="145">
        <v>0</v>
      </c>
      <c r="AO8" s="146"/>
      <c r="AP8" s="145"/>
      <c r="AQ8" s="145"/>
      <c r="AR8" s="128"/>
      <c r="AS8" s="128"/>
      <c r="AT8" s="128"/>
      <c r="AU8" s="128"/>
      <c r="AV8" s="128"/>
      <c r="AW8" s="128"/>
      <c r="AX8" s="128"/>
      <c r="AY8" s="128"/>
      <c r="AZ8" s="128"/>
    </row>
    <row r="9" spans="1:68" ht="88.5" customHeight="1" x14ac:dyDescent="0.3">
      <c r="A9" s="147"/>
      <c r="B9" s="147"/>
      <c r="C9" s="128"/>
      <c r="D9" s="128"/>
      <c r="E9" s="128"/>
      <c r="F9" s="128"/>
      <c r="G9" s="128"/>
      <c r="H9" s="128"/>
      <c r="I9" s="128"/>
      <c r="J9" s="128"/>
      <c r="K9" s="428"/>
      <c r="L9" s="128"/>
      <c r="M9" s="128"/>
      <c r="N9" s="163">
        <v>1</v>
      </c>
      <c r="O9" s="164">
        <v>43098</v>
      </c>
      <c r="P9" s="229" t="s">
        <v>231</v>
      </c>
      <c r="Q9" s="230"/>
      <c r="R9" s="230"/>
      <c r="S9" s="231"/>
      <c r="T9" s="129"/>
      <c r="U9" s="129"/>
      <c r="V9" s="129"/>
      <c r="W9" s="225"/>
      <c r="X9" s="225"/>
      <c r="Y9" s="225"/>
      <c r="Z9" s="225"/>
      <c r="AA9" s="225"/>
      <c r="AB9" s="225"/>
      <c r="AC9" s="153"/>
      <c r="AD9" s="153"/>
      <c r="AE9" s="153"/>
      <c r="AF9" s="128"/>
      <c r="AG9" s="128"/>
      <c r="AH9" s="130"/>
      <c r="AI9" s="131"/>
      <c r="AJ9" s="131"/>
      <c r="AK9" s="131"/>
      <c r="AL9" s="131"/>
      <c r="AM9" s="131"/>
      <c r="AN9" s="145">
        <v>0</v>
      </c>
      <c r="AO9" s="146"/>
      <c r="AP9" s="145"/>
      <c r="AQ9" s="145"/>
      <c r="AR9" s="128"/>
      <c r="AS9" s="128"/>
      <c r="AT9" s="128"/>
      <c r="AU9" s="128"/>
      <c r="AV9" s="128"/>
      <c r="AW9" s="128"/>
      <c r="AX9" s="128"/>
      <c r="AY9" s="128"/>
      <c r="AZ9" s="128"/>
    </row>
    <row r="10" spans="1:68" ht="102.75" customHeight="1" x14ac:dyDescent="0.3">
      <c r="A10" s="147"/>
      <c r="B10" s="147"/>
      <c r="C10" s="128"/>
      <c r="D10" s="128"/>
      <c r="E10" s="128"/>
      <c r="F10" s="128"/>
      <c r="G10" s="128"/>
      <c r="H10" s="128"/>
      <c r="I10" s="128"/>
      <c r="J10" s="128"/>
      <c r="K10" s="428"/>
      <c r="L10" s="128"/>
      <c r="M10" s="128"/>
      <c r="N10" s="163">
        <v>2</v>
      </c>
      <c r="O10" s="164">
        <v>43759</v>
      </c>
      <c r="P10" s="229" t="s">
        <v>232</v>
      </c>
      <c r="Q10" s="230"/>
      <c r="R10" s="230"/>
      <c r="S10" s="231"/>
      <c r="T10" s="129"/>
      <c r="U10" s="129"/>
      <c r="V10" s="129"/>
      <c r="W10" s="162"/>
      <c r="X10" s="162"/>
      <c r="Y10" s="162"/>
      <c r="Z10" s="162"/>
      <c r="AA10" s="162"/>
      <c r="AB10" s="162"/>
      <c r="AC10" s="162"/>
      <c r="AD10" s="162"/>
      <c r="AE10" s="162"/>
      <c r="AF10" s="128"/>
      <c r="AG10" s="128"/>
      <c r="AH10" s="130"/>
      <c r="AI10" s="131"/>
      <c r="AJ10" s="131"/>
      <c r="AK10" s="131"/>
      <c r="AL10" s="131"/>
      <c r="AM10" s="131"/>
      <c r="AN10" s="145"/>
      <c r="AO10" s="146"/>
      <c r="AP10" s="145"/>
      <c r="AQ10" s="145"/>
      <c r="AR10" s="128"/>
      <c r="AS10" s="128"/>
      <c r="AT10" s="128"/>
      <c r="AU10" s="128"/>
      <c r="AV10" s="128"/>
      <c r="AW10" s="128"/>
      <c r="AX10" s="128"/>
      <c r="AY10" s="128"/>
      <c r="AZ10" s="128"/>
    </row>
    <row r="11" spans="1:68" ht="72.75" customHeight="1" x14ac:dyDescent="0.3">
      <c r="A11" s="147"/>
      <c r="B11" s="147"/>
      <c r="C11" s="128"/>
      <c r="D11" s="128"/>
      <c r="E11" s="128"/>
      <c r="F11" s="128"/>
      <c r="G11" s="128"/>
      <c r="H11" s="128"/>
      <c r="I11" s="128"/>
      <c r="J11" s="128"/>
      <c r="K11" s="428"/>
      <c r="L11" s="129"/>
      <c r="M11" s="129"/>
      <c r="N11" s="163">
        <v>3</v>
      </c>
      <c r="O11" s="164">
        <v>44446</v>
      </c>
      <c r="P11" s="229" t="s">
        <v>233</v>
      </c>
      <c r="Q11" s="230"/>
      <c r="R11" s="230"/>
      <c r="S11" s="231"/>
      <c r="T11" s="129"/>
      <c r="U11" s="129"/>
      <c r="V11" s="129"/>
      <c r="W11" s="221"/>
      <c r="X11" s="221"/>
      <c r="Y11" s="221"/>
      <c r="Z11" s="221"/>
      <c r="AA11" s="221"/>
      <c r="AB11" s="221"/>
      <c r="AC11" s="154"/>
      <c r="AD11" s="154"/>
      <c r="AE11" s="155"/>
      <c r="AF11" s="128"/>
      <c r="AG11" s="128"/>
      <c r="AH11" s="130"/>
      <c r="AI11" s="131"/>
      <c r="AJ11" s="131"/>
      <c r="AK11" s="131"/>
      <c r="AL11" s="131"/>
      <c r="AM11" s="131"/>
      <c r="AN11" s="145">
        <v>0</v>
      </c>
      <c r="AO11" s="146"/>
      <c r="AP11" s="145"/>
      <c r="AQ11" s="145"/>
      <c r="AR11" s="128"/>
      <c r="AS11" s="128"/>
      <c r="AT11" s="128"/>
      <c r="AU11" s="128"/>
      <c r="AV11" s="128"/>
      <c r="AW11" s="128"/>
      <c r="AX11" s="128"/>
      <c r="AY11" s="128"/>
      <c r="AZ11" s="128"/>
    </row>
    <row r="12" spans="1:68" ht="80.099999999999994" customHeight="1" x14ac:dyDescent="0.3">
      <c r="A12" s="147"/>
      <c r="B12" s="147"/>
      <c r="C12" s="147"/>
      <c r="D12" s="147"/>
      <c r="E12" s="147"/>
      <c r="F12" s="128"/>
      <c r="G12" s="128"/>
      <c r="H12" s="128"/>
      <c r="I12" s="149"/>
      <c r="J12" s="149"/>
      <c r="K12" s="129"/>
      <c r="L12" s="129"/>
      <c r="M12" s="129"/>
      <c r="N12" s="163">
        <v>4</v>
      </c>
      <c r="O12" s="164">
        <v>44656</v>
      </c>
      <c r="P12" s="229" t="s">
        <v>282</v>
      </c>
      <c r="Q12" s="230"/>
      <c r="R12" s="230"/>
      <c r="S12" s="231"/>
      <c r="T12" s="129"/>
      <c r="U12" s="129"/>
      <c r="V12" s="129"/>
      <c r="W12" s="222"/>
      <c r="X12" s="222"/>
      <c r="Y12" s="222"/>
      <c r="Z12" s="222"/>
      <c r="AA12" s="222"/>
      <c r="AB12" s="222"/>
      <c r="AC12" s="156"/>
      <c r="AD12" s="156"/>
      <c r="AE12" s="157"/>
      <c r="AF12" s="150"/>
      <c r="AG12" s="144"/>
      <c r="AH12" s="130"/>
      <c r="AI12" s="131"/>
      <c r="AJ12" s="131"/>
      <c r="AK12" s="131"/>
      <c r="AL12" s="131"/>
      <c r="AM12" s="131"/>
      <c r="AN12" s="145">
        <v>0</v>
      </c>
      <c r="AO12" s="146"/>
      <c r="AP12" s="145"/>
      <c r="AQ12" s="145"/>
      <c r="AR12" s="128"/>
      <c r="AS12" s="128"/>
      <c r="AT12" s="128"/>
      <c r="AU12" s="128"/>
      <c r="AV12" s="128"/>
      <c r="AW12" s="128"/>
      <c r="AX12" s="128"/>
      <c r="AY12" s="128"/>
      <c r="AZ12" s="128"/>
    </row>
    <row r="13" spans="1:68" ht="18.75" x14ac:dyDescent="0.3">
      <c r="A13" s="223" t="s">
        <v>228</v>
      </c>
      <c r="B13" s="223"/>
      <c r="C13" s="223"/>
      <c r="D13" s="223"/>
      <c r="E13" s="223"/>
      <c r="F13" s="223"/>
      <c r="G13" s="223"/>
      <c r="H13" s="223"/>
      <c r="I13" s="223"/>
      <c r="J13" s="223"/>
      <c r="K13" s="129"/>
      <c r="L13" s="129"/>
      <c r="M13" s="129"/>
      <c r="N13" s="129"/>
      <c r="O13" s="148"/>
      <c r="P13" s="129"/>
      <c r="Q13" s="129"/>
      <c r="R13" s="129"/>
      <c r="S13" s="129"/>
      <c r="T13" s="129"/>
      <c r="U13" s="129"/>
      <c r="V13" s="129"/>
      <c r="W13" s="144"/>
      <c r="X13" s="144"/>
      <c r="Y13" s="144"/>
      <c r="Z13" s="144"/>
      <c r="AA13" s="144"/>
      <c r="AB13" s="151"/>
      <c r="AC13" s="151"/>
      <c r="AD13" s="151"/>
      <c r="AE13" s="151"/>
      <c r="AF13" s="152"/>
      <c r="AG13" s="152"/>
      <c r="AH13" s="131"/>
      <c r="AI13" s="131"/>
      <c r="AJ13" s="131"/>
      <c r="AK13" s="131"/>
      <c r="AL13" s="131"/>
      <c r="AM13" s="132"/>
      <c r="AN13" s="145"/>
      <c r="AO13" s="145"/>
      <c r="AP13" s="128"/>
      <c r="AQ13" s="128"/>
      <c r="AR13" s="128"/>
      <c r="AS13" s="128"/>
      <c r="AT13" s="128"/>
      <c r="AU13" s="128"/>
      <c r="AV13" s="128"/>
      <c r="AW13" s="128"/>
      <c r="AX13" s="128"/>
      <c r="AY13" s="128"/>
      <c r="AZ13" s="128"/>
    </row>
    <row r="14" spans="1:68" ht="16.5" customHeight="1" x14ac:dyDescent="0.3">
      <c r="A14" s="265"/>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7"/>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24" customHeight="1" x14ac:dyDescent="0.3">
      <c r="A15" s="268"/>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70"/>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x14ac:dyDescent="0.3">
      <c r="A16" s="28"/>
      <c r="B16" s="29"/>
      <c r="C16" s="28"/>
      <c r="D16" s="28"/>
      <c r="E16" s="8"/>
      <c r="F16" s="27"/>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26.25" customHeight="1" x14ac:dyDescent="0.3">
      <c r="A17" s="232" t="s">
        <v>58</v>
      </c>
      <c r="B17" s="233"/>
      <c r="C17" s="249" t="s">
        <v>303</v>
      </c>
      <c r="D17" s="244"/>
      <c r="E17" s="244"/>
      <c r="F17" s="244"/>
      <c r="G17" s="244"/>
      <c r="H17" s="244"/>
      <c r="I17" s="244"/>
      <c r="J17" s="244"/>
      <c r="K17" s="244"/>
      <c r="L17" s="244"/>
      <c r="M17" s="244"/>
      <c r="N17" s="245"/>
      <c r="O17" s="250"/>
      <c r="P17" s="250"/>
      <c r="Q17" s="250"/>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40.5" customHeight="1" x14ac:dyDescent="0.3">
      <c r="A18" s="232" t="s">
        <v>59</v>
      </c>
      <c r="B18" s="233"/>
      <c r="C18" s="243" t="s">
        <v>244</v>
      </c>
      <c r="D18" s="244"/>
      <c r="E18" s="244"/>
      <c r="F18" s="244"/>
      <c r="G18" s="244"/>
      <c r="H18" s="244"/>
      <c r="I18" s="244"/>
      <c r="J18" s="244"/>
      <c r="K18" s="244"/>
      <c r="L18" s="244"/>
      <c r="M18" s="244"/>
      <c r="N18" s="245"/>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49.5" customHeight="1" x14ac:dyDescent="0.3">
      <c r="A19" s="232" t="s">
        <v>60</v>
      </c>
      <c r="B19" s="233"/>
      <c r="C19" s="243" t="s">
        <v>245</v>
      </c>
      <c r="D19" s="246"/>
      <c r="E19" s="246"/>
      <c r="F19" s="246"/>
      <c r="G19" s="246"/>
      <c r="H19" s="246"/>
      <c r="I19" s="246"/>
      <c r="J19" s="246"/>
      <c r="K19" s="246"/>
      <c r="L19" s="246"/>
      <c r="M19" s="246"/>
      <c r="N19" s="247"/>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x14ac:dyDescent="0.3">
      <c r="A20" s="271" t="s">
        <v>61</v>
      </c>
      <c r="B20" s="272"/>
      <c r="C20" s="272"/>
      <c r="D20" s="272"/>
      <c r="E20" s="272"/>
      <c r="F20" s="272"/>
      <c r="G20" s="273"/>
      <c r="H20" s="271" t="s">
        <v>62</v>
      </c>
      <c r="I20" s="272"/>
      <c r="J20" s="272"/>
      <c r="K20" s="272"/>
      <c r="L20" s="272"/>
      <c r="M20" s="272"/>
      <c r="N20" s="273"/>
      <c r="O20" s="271" t="s">
        <v>63</v>
      </c>
      <c r="P20" s="272"/>
      <c r="Q20" s="272"/>
      <c r="R20" s="272"/>
      <c r="S20" s="272"/>
      <c r="T20" s="272"/>
      <c r="U20" s="272"/>
      <c r="V20" s="272"/>
      <c r="W20" s="273"/>
      <c r="X20" s="271" t="s">
        <v>64</v>
      </c>
      <c r="Y20" s="272"/>
      <c r="Z20" s="272"/>
      <c r="AA20" s="272"/>
      <c r="AB20" s="272"/>
      <c r="AC20" s="272"/>
      <c r="AD20" s="273"/>
      <c r="AE20" s="271" t="s">
        <v>65</v>
      </c>
      <c r="AF20" s="272"/>
      <c r="AG20" s="272"/>
      <c r="AH20" s="272"/>
      <c r="AI20" s="272"/>
      <c r="AJ20" s="273"/>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6.5" customHeight="1" x14ac:dyDescent="0.3">
      <c r="A21" s="234" t="s">
        <v>66</v>
      </c>
      <c r="B21" s="239" t="s">
        <v>13</v>
      </c>
      <c r="C21" s="237" t="s">
        <v>15</v>
      </c>
      <c r="D21" s="237" t="s">
        <v>17</v>
      </c>
      <c r="E21" s="238" t="s">
        <v>19</v>
      </c>
      <c r="F21" s="236" t="s">
        <v>21</v>
      </c>
      <c r="G21" s="237" t="s">
        <v>67</v>
      </c>
      <c r="H21" s="255" t="s">
        <v>68</v>
      </c>
      <c r="I21" s="256" t="s">
        <v>69</v>
      </c>
      <c r="J21" s="236" t="s">
        <v>70</v>
      </c>
      <c r="K21" s="236" t="s">
        <v>71</v>
      </c>
      <c r="L21" s="261" t="s">
        <v>72</v>
      </c>
      <c r="M21" s="256" t="s">
        <v>69</v>
      </c>
      <c r="N21" s="237" t="s">
        <v>27</v>
      </c>
      <c r="O21" s="241" t="s">
        <v>73</v>
      </c>
      <c r="P21" s="240" t="s">
        <v>29</v>
      </c>
      <c r="Q21" s="236" t="s">
        <v>31</v>
      </c>
      <c r="R21" s="240" t="s">
        <v>74</v>
      </c>
      <c r="S21" s="240"/>
      <c r="T21" s="240"/>
      <c r="U21" s="240"/>
      <c r="V21" s="240"/>
      <c r="W21" s="240"/>
      <c r="X21" s="248" t="s">
        <v>75</v>
      </c>
      <c r="Y21" s="248" t="s">
        <v>76</v>
      </c>
      <c r="Z21" s="248" t="s">
        <v>69</v>
      </c>
      <c r="AA21" s="248" t="s">
        <v>77</v>
      </c>
      <c r="AB21" s="248" t="s">
        <v>69</v>
      </c>
      <c r="AC21" s="248" t="s">
        <v>78</v>
      </c>
      <c r="AD21" s="241" t="s">
        <v>47</v>
      </c>
      <c r="AE21" s="240" t="s">
        <v>65</v>
      </c>
      <c r="AF21" s="240" t="s">
        <v>79</v>
      </c>
      <c r="AG21" s="240" t="s">
        <v>80</v>
      </c>
      <c r="AH21" s="240" t="s">
        <v>81</v>
      </c>
      <c r="AI21" s="240" t="s">
        <v>82</v>
      </c>
      <c r="AJ21" s="240" t="s">
        <v>51</v>
      </c>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s="4" customFormat="1" ht="94.5" customHeight="1" x14ac:dyDescent="0.25">
      <c r="A22" s="235"/>
      <c r="B22" s="239"/>
      <c r="C22" s="240"/>
      <c r="D22" s="240"/>
      <c r="E22" s="239"/>
      <c r="F22" s="237"/>
      <c r="G22" s="240"/>
      <c r="H22" s="237"/>
      <c r="I22" s="257"/>
      <c r="J22" s="237"/>
      <c r="K22" s="237"/>
      <c r="L22" s="257"/>
      <c r="M22" s="257"/>
      <c r="N22" s="240"/>
      <c r="O22" s="242"/>
      <c r="P22" s="240"/>
      <c r="Q22" s="237"/>
      <c r="R22" s="7" t="s">
        <v>83</v>
      </c>
      <c r="S22" s="7" t="s">
        <v>84</v>
      </c>
      <c r="T22" s="7" t="s">
        <v>85</v>
      </c>
      <c r="U22" s="7" t="s">
        <v>86</v>
      </c>
      <c r="V22" s="7" t="s">
        <v>87</v>
      </c>
      <c r="W22" s="7" t="s">
        <v>88</v>
      </c>
      <c r="X22" s="248"/>
      <c r="Y22" s="248"/>
      <c r="Z22" s="248"/>
      <c r="AA22" s="248"/>
      <c r="AB22" s="248"/>
      <c r="AC22" s="248"/>
      <c r="AD22" s="242"/>
      <c r="AE22" s="240"/>
      <c r="AF22" s="240"/>
      <c r="AG22" s="240"/>
      <c r="AH22" s="240"/>
      <c r="AI22" s="240"/>
      <c r="AJ22" s="240"/>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row>
    <row r="23" spans="1:68" s="3" customFormat="1" ht="111.75" customHeight="1" x14ac:dyDescent="0.25">
      <c r="A23" s="262">
        <v>1</v>
      </c>
      <c r="B23" s="216" t="s">
        <v>192</v>
      </c>
      <c r="C23" s="467" t="s">
        <v>234</v>
      </c>
      <c r="D23" s="254" t="s">
        <v>235</v>
      </c>
      <c r="E23" s="258" t="s">
        <v>246</v>
      </c>
      <c r="F23" s="216" t="s">
        <v>200</v>
      </c>
      <c r="G23" s="436">
        <v>4</v>
      </c>
      <c r="H23" s="437" t="str">
        <f>IF(G23&lt;=0,"",IF(G23&lt;=2,"Muy Baja",IF(G23&lt;=24,"Baja",IF(G23&lt;=500,"Media",IF(G23&lt;=5000,"Alta","Muy Alta")))))</f>
        <v>Baja</v>
      </c>
      <c r="I23" s="438">
        <f>IF(H23="","",IF(H23="Muy Baja",0.2,IF(H23="Baja",0.4,IF(H23="Media",0.6,IF(H23="Alta",0.8,IF(H23="Muy Alta",1,))))))</f>
        <v>0.4</v>
      </c>
      <c r="J23" s="439" t="s">
        <v>143</v>
      </c>
      <c r="K23" s="438" t="str">
        <f>IF(NOT(ISERROR(MATCH(J23,'Tabla Impacto'!$B$221:$B$223,0))),'Tabla Impacto'!$F$223&amp;"Por favor no seleccionar los criterios de impacto(Afectación Económica o presupuestal y Pérdida Reputacional)",J23)</f>
        <v xml:space="preserve">     El riesgo afecta la imagen de alguna área de la organización</v>
      </c>
      <c r="L23" s="437" t="str">
        <f>IF(OR(K23='Tabla Impacto'!$C$11,K23='Tabla Impacto'!$D$11),"Leve",IF(OR(K23='Tabla Impacto'!$C$12,K23='Tabla Impacto'!$D$12),"Menor",IF(OR(K23='Tabla Impacto'!$C$13,K23='Tabla Impacto'!$D$13),"Moderado",IF(OR(K23='Tabla Impacto'!$C$14,K23='Tabla Impacto'!$D$14),"Mayor",IF(OR(K23='Tabla Impacto'!$C$15,K23='Tabla Impacto'!$D$15),"Catastrófico","")))))</f>
        <v>Leve</v>
      </c>
      <c r="M23" s="438">
        <f>IF(L23="","",IF(L23="Leve",0.2,IF(L23="Menor",0.4,IF(L23="Moderado",0.6,IF(L23="Mayor",0.8,IF(L23="Catastrófico",1,))))))</f>
        <v>0.2</v>
      </c>
      <c r="N23" s="440"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Bajo</v>
      </c>
      <c r="O23" s="262">
        <v>1</v>
      </c>
      <c r="P23" s="214" t="s">
        <v>304</v>
      </c>
      <c r="Q23" s="451" t="str">
        <f>IF(OR(R23="Preventivo",R23="Detectivo"),"Probabilidad",IF(R23="Correctivo","Impacto",""))</f>
        <v>Probabilidad</v>
      </c>
      <c r="R23" s="452" t="s">
        <v>164</v>
      </c>
      <c r="S23" s="452" t="s">
        <v>172</v>
      </c>
      <c r="T23" s="453" t="str">
        <f>IF(AND(R23="Preventivo",S23="Automático"),"50%",IF(AND(R23="Preventivo",S23="Manual"),"40%",IF(AND(R23="Detectivo",S23="Automático"),"40%",IF(AND(R23="Detectivo",S23="Manual"),"30%",IF(AND(R23="Correctivo",S23="Automático"),"35%",IF(AND(R23="Correctivo",S23="Manual"),"25%",""))))))</f>
        <v>40%</v>
      </c>
      <c r="U23" s="452" t="s">
        <v>178</v>
      </c>
      <c r="V23" s="452" t="s">
        <v>180</v>
      </c>
      <c r="W23" s="452" t="s">
        <v>184</v>
      </c>
      <c r="X23" s="454">
        <f>IFERROR(IF(Q23="Probabilidad",(I23-(+I23*T23)),IF(Q23="Impacto",I23,"")),"")</f>
        <v>0.24</v>
      </c>
      <c r="Y23" s="455" t="str">
        <f>IFERROR(IF(X23="","",IF(X23&lt;=0.2,"Muy Baja",IF(X23&lt;=0.4,"Baja",IF(X23&lt;=0.6,"Media",IF(X23&lt;=0.8,"Alta","Muy Alta"))))),"")</f>
        <v>Baja</v>
      </c>
      <c r="Z23" s="453">
        <f>+X23</f>
        <v>0.24</v>
      </c>
      <c r="AA23" s="455" t="str">
        <f>IFERROR(IF(AB23="","",IF(AB23&lt;=0.2,"Leve",IF(AB23&lt;=0.4,"Menor",IF(AB23&lt;=0.6,"Moderado",IF(AB23&lt;=0.8,"Mayor","Catastrófico"))))),"")</f>
        <v>Leve</v>
      </c>
      <c r="AB23" s="453">
        <f>IFERROR(IF(Q23="Impacto",(M23-(+M23*T23)),IF(Q23="Probabilidad",M23,"")),"")</f>
        <v>0.2</v>
      </c>
      <c r="AC23" s="456"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Bajo</v>
      </c>
      <c r="AD23" s="452" t="s">
        <v>189</v>
      </c>
      <c r="AE23" s="251"/>
      <c r="AF23" s="251"/>
      <c r="AG23" s="251"/>
      <c r="AH23" s="251"/>
      <c r="AI23" s="251"/>
      <c r="AJ23" s="251"/>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row>
    <row r="24" spans="1:68" ht="93.75" customHeight="1" x14ac:dyDescent="0.3">
      <c r="A24" s="263"/>
      <c r="B24" s="217"/>
      <c r="C24" s="467"/>
      <c r="D24" s="213"/>
      <c r="E24" s="259"/>
      <c r="F24" s="217"/>
      <c r="G24" s="441"/>
      <c r="H24" s="442"/>
      <c r="I24" s="443"/>
      <c r="J24" s="444"/>
      <c r="K24" s="443">
        <f>IF(NOT(ISERROR(MATCH(J24,_xlfn.ANCHORARRAY(E31),0))),I33&amp;"Por favor no seleccionar los criterios de impacto",J24)</f>
        <v>0</v>
      </c>
      <c r="L24" s="442"/>
      <c r="M24" s="443"/>
      <c r="N24" s="445"/>
      <c r="O24" s="263"/>
      <c r="P24" s="219"/>
      <c r="Q24" s="457"/>
      <c r="R24" s="458"/>
      <c r="S24" s="458"/>
      <c r="T24" s="459"/>
      <c r="U24" s="458"/>
      <c r="V24" s="458"/>
      <c r="W24" s="458"/>
      <c r="X24" s="454" t="str">
        <f>IFERROR(IF(AND(Q23="Probabilidad",Q24="Probabilidad"),(Z23-(+Z23*T24)),IF(Q24="Probabilidad",(I23-(+I23*T24)),IF(Q24="Impacto",Z23,""))),"")</f>
        <v/>
      </c>
      <c r="Y24" s="460"/>
      <c r="Z24" s="459"/>
      <c r="AA24" s="460"/>
      <c r="AB24" s="459"/>
      <c r="AC24" s="461"/>
      <c r="AD24" s="458"/>
      <c r="AE24" s="252"/>
      <c r="AF24" s="252"/>
      <c r="AG24" s="252"/>
      <c r="AH24" s="252"/>
      <c r="AI24" s="252"/>
      <c r="AJ24" s="252"/>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9.5" customHeight="1" x14ac:dyDescent="0.3">
      <c r="A25" s="263"/>
      <c r="B25" s="217"/>
      <c r="C25" s="467"/>
      <c r="D25" s="213"/>
      <c r="E25" s="259"/>
      <c r="F25" s="217"/>
      <c r="G25" s="441"/>
      <c r="H25" s="442"/>
      <c r="I25" s="443"/>
      <c r="J25" s="444"/>
      <c r="K25" s="443">
        <f>IF(NOT(ISERROR(MATCH(J25,_xlfn.ANCHORARRAY(E32),0))),#REF!&amp;"Por favor no seleccionar los criterios de impacto",J25)</f>
        <v>0</v>
      </c>
      <c r="L25" s="442"/>
      <c r="M25" s="443"/>
      <c r="N25" s="445"/>
      <c r="O25" s="263"/>
      <c r="P25" s="219"/>
      <c r="Q25" s="457"/>
      <c r="R25" s="458"/>
      <c r="S25" s="458"/>
      <c r="T25" s="459"/>
      <c r="U25" s="458"/>
      <c r="V25" s="458"/>
      <c r="W25" s="458"/>
      <c r="X25" s="454" t="str">
        <f>IFERROR(IF(AND(Q24="Probabilidad",Q25="Probabilidad"),(Z24-(+Z24*T25)),IF(AND(Q24="Impacto",Q25="Probabilidad"),(Z23-(+Z23*T25)),IF(Q25="Impacto",Z24,""))),"")</f>
        <v/>
      </c>
      <c r="Y25" s="460"/>
      <c r="Z25" s="459"/>
      <c r="AA25" s="460"/>
      <c r="AB25" s="459"/>
      <c r="AC25" s="461"/>
      <c r="AD25" s="458"/>
      <c r="AE25" s="252"/>
      <c r="AF25" s="252"/>
      <c r="AG25" s="252"/>
      <c r="AH25" s="252"/>
      <c r="AI25" s="252"/>
      <c r="AJ25" s="252"/>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 customHeight="1" x14ac:dyDescent="0.3">
      <c r="A26" s="263"/>
      <c r="B26" s="217"/>
      <c r="C26" s="467"/>
      <c r="D26" s="213"/>
      <c r="E26" s="259"/>
      <c r="F26" s="217"/>
      <c r="G26" s="441"/>
      <c r="H26" s="442"/>
      <c r="I26" s="443"/>
      <c r="J26" s="444"/>
      <c r="K26" s="443">
        <f>IF(NOT(ISERROR(MATCH(J26,_xlfn.ANCHORARRAY(E33),0))),#REF!&amp;"Por favor no seleccionar los criterios de impacto",J26)</f>
        <v>0</v>
      </c>
      <c r="L26" s="442"/>
      <c r="M26" s="443"/>
      <c r="N26" s="445"/>
      <c r="O26" s="263"/>
      <c r="P26" s="219"/>
      <c r="Q26" s="457"/>
      <c r="R26" s="458"/>
      <c r="S26" s="458"/>
      <c r="T26" s="459"/>
      <c r="U26" s="458"/>
      <c r="V26" s="458"/>
      <c r="W26" s="458"/>
      <c r="X26" s="454" t="str">
        <f t="shared" ref="X26:X28" si="0">IFERROR(IF(AND(Q25="Probabilidad",Q26="Probabilidad"),(Z25-(+Z25*T26)),IF(AND(Q25="Impacto",Q26="Probabilidad"),(Z24-(+Z24*T26)),IF(Q26="Impacto",Z25,""))),"")</f>
        <v/>
      </c>
      <c r="Y26" s="460"/>
      <c r="Z26" s="459"/>
      <c r="AA26" s="460"/>
      <c r="AB26" s="459"/>
      <c r="AC26" s="461"/>
      <c r="AD26" s="458"/>
      <c r="AE26" s="252"/>
      <c r="AF26" s="252"/>
      <c r="AG26" s="252"/>
      <c r="AH26" s="252"/>
      <c r="AI26" s="252"/>
      <c r="AJ26" s="252"/>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2.75" customHeight="1" x14ac:dyDescent="0.3">
      <c r="A27" s="263"/>
      <c r="B27" s="217"/>
      <c r="C27" s="467"/>
      <c r="D27" s="213"/>
      <c r="E27" s="259"/>
      <c r="F27" s="217"/>
      <c r="G27" s="441"/>
      <c r="H27" s="442"/>
      <c r="I27" s="443"/>
      <c r="J27" s="444"/>
      <c r="K27" s="443">
        <f>IF(NOT(ISERROR(MATCH(J27,_xlfn.ANCHORARRAY(#REF!),0))),#REF!&amp;"Por favor no seleccionar los criterios de impacto",J27)</f>
        <v>0</v>
      </c>
      <c r="L27" s="442"/>
      <c r="M27" s="443"/>
      <c r="N27" s="445"/>
      <c r="O27" s="263"/>
      <c r="P27" s="219"/>
      <c r="Q27" s="457"/>
      <c r="R27" s="458"/>
      <c r="S27" s="458"/>
      <c r="T27" s="459"/>
      <c r="U27" s="458"/>
      <c r="V27" s="458"/>
      <c r="W27" s="458"/>
      <c r="X27" s="454" t="str">
        <f t="shared" si="0"/>
        <v/>
      </c>
      <c r="Y27" s="460"/>
      <c r="Z27" s="459"/>
      <c r="AA27" s="460"/>
      <c r="AB27" s="459"/>
      <c r="AC27" s="461"/>
      <c r="AD27" s="458"/>
      <c r="AE27" s="252"/>
      <c r="AF27" s="252"/>
      <c r="AG27" s="252"/>
      <c r="AH27" s="252"/>
      <c r="AI27" s="252"/>
      <c r="AJ27" s="252"/>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 customHeight="1" x14ac:dyDescent="0.3">
      <c r="A28" s="264"/>
      <c r="B28" s="218"/>
      <c r="C28" s="467"/>
      <c r="D28" s="212"/>
      <c r="E28" s="260"/>
      <c r="F28" s="218"/>
      <c r="G28" s="446"/>
      <c r="H28" s="447"/>
      <c r="I28" s="448"/>
      <c r="J28" s="449"/>
      <c r="K28" s="448">
        <f>IF(NOT(ISERROR(MATCH(J28,_xlfn.ANCHORARRAY(#REF!),0))),I34&amp;"Por favor no seleccionar los criterios de impacto",J28)</f>
        <v>0</v>
      </c>
      <c r="L28" s="447"/>
      <c r="M28" s="448"/>
      <c r="N28" s="450"/>
      <c r="O28" s="264"/>
      <c r="P28" s="215"/>
      <c r="Q28" s="462"/>
      <c r="R28" s="463"/>
      <c r="S28" s="463"/>
      <c r="T28" s="464"/>
      <c r="U28" s="463"/>
      <c r="V28" s="463"/>
      <c r="W28" s="463"/>
      <c r="X28" s="454" t="str">
        <f t="shared" si="0"/>
        <v/>
      </c>
      <c r="Y28" s="465"/>
      <c r="Z28" s="464"/>
      <c r="AA28" s="465"/>
      <c r="AB28" s="464"/>
      <c r="AC28" s="466"/>
      <c r="AD28" s="463"/>
      <c r="AE28" s="253"/>
      <c r="AF28" s="253"/>
      <c r="AG28" s="253"/>
      <c r="AH28" s="253"/>
      <c r="AI28" s="253"/>
      <c r="AJ28" s="253"/>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4.5" customHeight="1" x14ac:dyDescent="0.3">
      <c r="A29" s="262">
        <v>2</v>
      </c>
      <c r="B29" s="216" t="s">
        <v>192</v>
      </c>
      <c r="C29" s="468" t="s">
        <v>236</v>
      </c>
      <c r="D29" s="467" t="s">
        <v>237</v>
      </c>
      <c r="E29" s="258" t="s">
        <v>247</v>
      </c>
      <c r="F29" s="216" t="s">
        <v>200</v>
      </c>
      <c r="G29" s="436">
        <v>20</v>
      </c>
      <c r="H29" s="437" t="str">
        <f>IF(G29&lt;=0,"",IF(G29&lt;=2,"Muy Baja",IF(G29&lt;=24,"Baja",IF(G29&lt;=500,"Media",IF(G29&lt;=5000,"Alta","Muy Alta")))))</f>
        <v>Baja</v>
      </c>
      <c r="I29" s="438">
        <f>IF(H29="","",IF(H29="Muy Baja",0.2,IF(H29="Baja",0.4,IF(H29="Media",0.6,IF(H29="Alta",0.8,IF(H29="Muy Alta",1,))))))</f>
        <v>0.4</v>
      </c>
      <c r="J29" s="439" t="s">
        <v>143</v>
      </c>
      <c r="K29" s="438" t="str">
        <f>IF(NOT(ISERROR(MATCH(J29,'Tabla Impacto'!$B$221:$B$223,0))),'Tabla Impacto'!$F$223&amp;"Por favor no seleccionar los criterios de impacto(Afectación Económica o presupuestal y Pérdida Reputacional)",J29)</f>
        <v xml:space="preserve">     El riesgo afecta la imagen de alguna área de la organización</v>
      </c>
      <c r="L29" s="437" t="str">
        <f>IF(OR(K29='Tabla Impacto'!$C$11,K29='Tabla Impacto'!$D$11),"Leve",IF(OR(K29='Tabla Impacto'!$C$12,K29='Tabla Impacto'!$D$12),"Menor",IF(OR(K29='Tabla Impacto'!$C$13,K29='Tabla Impacto'!$D$13),"Moderado",IF(OR(K29='Tabla Impacto'!$C$14,K29='Tabla Impacto'!$D$14),"Mayor",IF(OR(K29='Tabla Impacto'!$C$15,K29='Tabla Impacto'!$D$15),"Catastrófico","")))))</f>
        <v>Leve</v>
      </c>
      <c r="M29" s="438">
        <f>IF(L29="","",IF(L29="Leve",0.2,IF(L29="Menor",0.4,IF(L29="Moderado",0.6,IF(L29="Mayor",0.8,IF(L29="Catastrófico",1,))))))</f>
        <v>0.2</v>
      </c>
      <c r="N29" s="440"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Bajo</v>
      </c>
      <c r="O29" s="6">
        <v>1</v>
      </c>
      <c r="P29" s="167" t="s">
        <v>305</v>
      </c>
      <c r="Q29" s="472" t="str">
        <f t="shared" ref="Q29:Q30" si="1">IF(OR(R29="Preventivo",R29="Detectivo"),"Probabilidad",IF(R29="Correctivo","Impacto",""))</f>
        <v>Probabilidad</v>
      </c>
      <c r="R29" s="473" t="s">
        <v>164</v>
      </c>
      <c r="S29" s="473" t="s">
        <v>172</v>
      </c>
      <c r="T29" s="474" t="str">
        <f>IF(AND(R29="Preventivo",S29="Automático"),"50%",IF(AND(R29="Preventivo",S29="Manual"),"40%",IF(AND(R29="Detectivo",S29="Automático"),"40%",IF(AND(R29="Detectivo",S29="Manual"),"30%",IF(AND(R29="Correctivo",S29="Automático"),"35%",IF(AND(R29="Correctivo",S29="Manual"),"25%",""))))))</f>
        <v>40%</v>
      </c>
      <c r="U29" s="473" t="s">
        <v>175</v>
      </c>
      <c r="V29" s="473" t="s">
        <v>180</v>
      </c>
      <c r="W29" s="473" t="s">
        <v>184</v>
      </c>
      <c r="X29" s="454">
        <f>IFERROR(IF(Q29="Probabilidad",(I29-(+I29*T29)),IF(Q29="Impacto",I29,"")),"")</f>
        <v>0.24</v>
      </c>
      <c r="Y29" s="475" t="str">
        <f>IFERROR(IF(X29="","",IF(X29&lt;=0.2,"Muy Baja",IF(X29&lt;=0.4,"Baja",IF(X29&lt;=0.6,"Media",IF(X29&lt;=0.8,"Alta","Muy Alta"))))),"")</f>
        <v>Baja</v>
      </c>
      <c r="Z29" s="476">
        <f>+X29</f>
        <v>0.24</v>
      </c>
      <c r="AA29" s="475" t="str">
        <f>IFERROR(IF(AB29="","",IF(AB29&lt;=0.2,"Leve",IF(AB29&lt;=0.4,"Menor",IF(AB29&lt;=0.6,"Moderado",IF(AB29&lt;=0.8,"Mayor","Catastrófico"))))),"")</f>
        <v>Leve</v>
      </c>
      <c r="AB29" s="476">
        <f>IFERROR(IF(Q29="Impacto",(M29-(+M29*T29)),IF(Q29="Probabilidad",M29,"")),"")</f>
        <v>0.2</v>
      </c>
      <c r="AC29" s="477"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Bajo</v>
      </c>
      <c r="AD29" s="478" t="s">
        <v>189</v>
      </c>
      <c r="AE29" s="123"/>
      <c r="AF29" s="124"/>
      <c r="AG29" s="125"/>
      <c r="AH29" s="125"/>
      <c r="AI29" s="123"/>
      <c r="AJ29" s="12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4.5" customHeight="1" x14ac:dyDescent="0.3">
      <c r="A30" s="263"/>
      <c r="B30" s="469"/>
      <c r="C30" s="470" t="s">
        <v>238</v>
      </c>
      <c r="D30" s="467"/>
      <c r="E30" s="259"/>
      <c r="F30" s="217"/>
      <c r="G30" s="441"/>
      <c r="H30" s="442"/>
      <c r="I30" s="443"/>
      <c r="J30" s="444"/>
      <c r="K30" s="443">
        <f>IF(NOT(ISERROR(MATCH(J30,_xlfn.ANCHORARRAY(E34),0))),I35&amp;"Por favor no seleccionar los criterios de impacto",J30)</f>
        <v>0</v>
      </c>
      <c r="L30" s="442"/>
      <c r="M30" s="443"/>
      <c r="N30" s="445"/>
      <c r="O30" s="6">
        <v>2</v>
      </c>
      <c r="P30" s="479" t="s">
        <v>306</v>
      </c>
      <c r="Q30" s="472" t="str">
        <f t="shared" si="1"/>
        <v>Probabilidad</v>
      </c>
      <c r="R30" s="473" t="s">
        <v>164</v>
      </c>
      <c r="S30" s="473" t="s">
        <v>172</v>
      </c>
      <c r="T30" s="474" t="str">
        <f t="shared" ref="T30" si="2">IF(AND(R30="Preventivo",S30="Automático"),"50%",IF(AND(R30="Preventivo",S30="Manual"),"40%",IF(AND(R30="Detectivo",S30="Automático"),"40%",IF(AND(R30="Detectivo",S30="Manual"),"30%",IF(AND(R30="Correctivo",S30="Automático"),"35%",IF(AND(R30="Correctivo",S30="Manual"),"25%",""))))))</f>
        <v>40%</v>
      </c>
      <c r="U30" s="473" t="s">
        <v>175</v>
      </c>
      <c r="V30" s="473" t="s">
        <v>180</v>
      </c>
      <c r="W30" s="473" t="s">
        <v>184</v>
      </c>
      <c r="X30" s="454">
        <f>IFERROR(IF(AND(Q29="Probabilidad",Q30="Probabilidad"),(Z29-(+Z29*T30)),IF(Q30="Probabilidad",(I29-(+I29*T30)),IF(Q30="Impacto",Z29,""))),"")</f>
        <v>0.14399999999999999</v>
      </c>
      <c r="Y30" s="475" t="str">
        <f t="shared" ref="Y30:Y39" si="3">IFERROR(IF(X30="","",IF(X30&lt;=0.2,"Muy Baja",IF(X30&lt;=0.4,"Baja",IF(X30&lt;=0.6,"Media",IF(X30&lt;=0.8,"Alta","Muy Alta"))))),"")</f>
        <v>Muy Baja</v>
      </c>
      <c r="Z30" s="476">
        <f t="shared" ref="Z30" si="4">+X30</f>
        <v>0.14399999999999999</v>
      </c>
      <c r="AA30" s="475" t="str">
        <f t="shared" ref="AA30:AA39" si="5">IFERROR(IF(AB30="","",IF(AB30&lt;=0.2,"Leve",IF(AB30&lt;=0.4,"Menor",IF(AB30&lt;=0.6,"Moderado",IF(AB30&lt;=0.8,"Mayor","Catastrófico"))))),"")</f>
        <v>Leve</v>
      </c>
      <c r="AB30" s="476">
        <f>IFERROR(IF(AND(Q29="Impacto",Q30="Impacto"),(AB29-(+AB29*T30)),IF(Q30="Impacto",(M29-(+M29*T30)),IF(Q30="Probabilidad",AB29,""))),"")</f>
        <v>0.2</v>
      </c>
      <c r="AC30" s="477" t="str">
        <f t="shared" ref="AC30" si="6">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Bajo</v>
      </c>
      <c r="AD30" s="478" t="s">
        <v>189</v>
      </c>
      <c r="AE30" s="123"/>
      <c r="AF30" s="124"/>
      <c r="AG30" s="125"/>
      <c r="AH30" s="125"/>
      <c r="AI30" s="123"/>
      <c r="AJ30" s="12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10.25" customHeight="1" x14ac:dyDescent="0.3">
      <c r="A31" s="262">
        <v>3</v>
      </c>
      <c r="B31" s="480" t="s">
        <v>192</v>
      </c>
      <c r="C31" s="471" t="s">
        <v>280</v>
      </c>
      <c r="D31" s="471" t="s">
        <v>281</v>
      </c>
      <c r="E31" s="274" t="s">
        <v>279</v>
      </c>
      <c r="F31" s="216" t="s">
        <v>200</v>
      </c>
      <c r="G31" s="436">
        <v>24</v>
      </c>
      <c r="H31" s="437" t="str">
        <f>IF(G31&lt;=0,"",IF(G31&lt;=2,"Muy Baja",IF(G31&lt;=24,"Baja",IF(G31&lt;=500,"Media",IF(G31&lt;=5000,"Alta","Muy Alta")))))</f>
        <v>Baja</v>
      </c>
      <c r="I31" s="438">
        <f>IF(H31="","",IF(H31="Muy Baja",0.2,IF(H31="Baja",0.4,IF(H31="Media",0.6,IF(H31="Alta",0.8,IF(H31="Muy Alta",1,))))))</f>
        <v>0.4</v>
      </c>
      <c r="J31" s="439" t="s">
        <v>143</v>
      </c>
      <c r="K31" s="438" t="str">
        <f>IF(NOT(ISERROR(MATCH(J31,'Tabla Impacto'!$B$221:$B$223,0))),'Tabla Impacto'!$F$223&amp;"Por favor no seleccionar los criterios de impacto(Afectación Económica o presupuestal y Pérdida Reputacional)",J31)</f>
        <v xml:space="preserve">     El riesgo afecta la imagen de alguna área de la organización</v>
      </c>
      <c r="L31" s="437" t="str">
        <f>IF(OR(K31='Tabla Impacto'!$C$11,K31='Tabla Impacto'!$D$11),"Leve",IF(OR(K31='Tabla Impacto'!$C$12,K31='Tabla Impacto'!$D$12),"Menor",IF(OR(K31='Tabla Impacto'!$C$13,K31='Tabla Impacto'!$D$13),"Moderado",IF(OR(K31='Tabla Impacto'!$C$14,K31='Tabla Impacto'!$D$14),"Mayor",IF(OR(K31='Tabla Impacto'!$C$15,K31='Tabla Impacto'!$D$15),"Catastrófico","")))))</f>
        <v>Leve</v>
      </c>
      <c r="M31" s="438">
        <f>IF(L31="","",IF(L31="Leve",0.2,IF(L31="Menor",0.4,IF(L31="Moderado",0.6,IF(L31="Mayor",0.8,IF(L31="Catastrófico",1,))))))</f>
        <v>0.2</v>
      </c>
      <c r="N31" s="440"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Bajo</v>
      </c>
      <c r="O31" s="262">
        <v>1</v>
      </c>
      <c r="P31" s="214" t="s">
        <v>307</v>
      </c>
      <c r="Q31" s="451" t="s">
        <v>91</v>
      </c>
      <c r="R31" s="452" t="s">
        <v>164</v>
      </c>
      <c r="S31" s="452" t="s">
        <v>172</v>
      </c>
      <c r="T31" s="453" t="str">
        <f>IF(AND(R31="Preventivo",S31="Automático"),"50%",IF(AND(R31="Preventivo",S31="Manual"),"40%",IF(AND(R31="Detectivo",S31="Automático"),"40%",IF(AND(R31="Detectivo",S31="Manual"),"30%",IF(AND(R31="Correctivo",S31="Automático"),"35%",IF(AND(R31="Correctivo",S31="Manual"),"25%",""))))))</f>
        <v>40%</v>
      </c>
      <c r="U31" s="452" t="s">
        <v>175</v>
      </c>
      <c r="V31" s="452" t="s">
        <v>180</v>
      </c>
      <c r="W31" s="452" t="s">
        <v>184</v>
      </c>
      <c r="X31" s="454">
        <f>IFERROR(IF(Q31="Probabilidad",(I31-(+I31*T31)),IF(Q31="Impacto",I31,"")),"")</f>
        <v>0.24</v>
      </c>
      <c r="Y31" s="455" t="str">
        <f>IFERROR(IF(X31="","",IF(X31&lt;=0.2,"Muy Baja",IF(X31&lt;=0.4,"Baja",IF(X31&lt;=0.6,"Media",IF(X31&lt;=0.8,"Alta","Muy Alta"))))),"")</f>
        <v>Baja</v>
      </c>
      <c r="Z31" s="453">
        <f>+X31</f>
        <v>0.24</v>
      </c>
      <c r="AA31" s="455" t="str">
        <f>IFERROR(IF(AB31="","",IF(AB31&lt;=0.2,"Leve",IF(AB31&lt;=0.4,"Menor",IF(AB31&lt;=0.6,"Moderado",IF(AB31&lt;=0.8,"Mayor","Catastrófico"))))),"")</f>
        <v>Leve</v>
      </c>
      <c r="AB31" s="453">
        <f>IFERROR(IF(Q31="Impacto",(M31-(+M31*T31)),IF(Q31="Probabilidad",M31,"")),"")</f>
        <v>0.2</v>
      </c>
      <c r="AC31" s="456"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Bajo</v>
      </c>
      <c r="AD31" s="452" t="s">
        <v>189</v>
      </c>
      <c r="AE31" s="251"/>
      <c r="AF31" s="251"/>
      <c r="AG31" s="251"/>
      <c r="AH31" s="251"/>
      <c r="AI31" s="251"/>
      <c r="AJ31" s="251"/>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69" customHeight="1" x14ac:dyDescent="0.3">
      <c r="A32" s="263"/>
      <c r="B32" s="469"/>
      <c r="C32" s="471"/>
      <c r="D32" s="481"/>
      <c r="E32" s="275"/>
      <c r="F32" s="217"/>
      <c r="G32" s="441"/>
      <c r="H32" s="442"/>
      <c r="I32" s="443"/>
      <c r="J32" s="444"/>
      <c r="K32" s="443">
        <f>IF(NOT(ISERROR(MATCH(J32,_xlfn.ANCHORARRAY(E37),0))),#REF!&amp;"Por favor no seleccionar los criterios de impacto",J32)</f>
        <v>0</v>
      </c>
      <c r="L32" s="442"/>
      <c r="M32" s="443"/>
      <c r="N32" s="445"/>
      <c r="O32" s="264"/>
      <c r="P32" s="219"/>
      <c r="Q32" s="457"/>
      <c r="R32" s="458"/>
      <c r="S32" s="458"/>
      <c r="T32" s="459"/>
      <c r="U32" s="458"/>
      <c r="V32" s="458"/>
      <c r="W32" s="458"/>
      <c r="X32" s="484"/>
      <c r="Y32" s="460"/>
      <c r="Z32" s="459"/>
      <c r="AA32" s="460"/>
      <c r="AB32" s="459"/>
      <c r="AC32" s="461"/>
      <c r="AD32" s="458"/>
      <c r="AE32" s="253"/>
      <c r="AF32" s="253"/>
      <c r="AG32" s="253"/>
      <c r="AH32" s="253"/>
      <c r="AI32" s="253"/>
      <c r="AJ32" s="253"/>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6.5" hidden="1" customHeight="1" x14ac:dyDescent="0.3">
      <c r="A33" s="263"/>
      <c r="B33" s="469"/>
      <c r="C33" s="471"/>
      <c r="D33" s="481"/>
      <c r="E33" s="275"/>
      <c r="F33" s="217"/>
      <c r="G33" s="441"/>
      <c r="H33" s="442"/>
      <c r="I33" s="443"/>
      <c r="J33" s="444"/>
      <c r="K33" s="443">
        <f>IF(NOT(ISERROR(MATCH(J33,_xlfn.ANCHORARRAY(#REF!),0))),#REF!&amp;"Por favor no seleccionar los criterios de impacto",J33)</f>
        <v>0</v>
      </c>
      <c r="L33" s="442"/>
      <c r="M33" s="443"/>
      <c r="N33" s="445"/>
      <c r="O33" s="6">
        <v>3</v>
      </c>
      <c r="P33" s="215"/>
      <c r="Q33" s="462"/>
      <c r="R33" s="463"/>
      <c r="S33" s="463"/>
      <c r="T33" s="464"/>
      <c r="U33" s="463"/>
      <c r="V33" s="463"/>
      <c r="W33" s="463"/>
      <c r="X33" s="454" t="str">
        <f>IFERROR(IF(AND(Q32="Probabilidad",Q33="Probabilidad"),(Z32-(+Z32*T33)),IF(AND(Q32="Impacto",Q33="Probabilidad"),(Z31-(+Z31*T33)),IF(Q33="Impacto",Z32,""))),"")</f>
        <v/>
      </c>
      <c r="Y33" s="465"/>
      <c r="Z33" s="464"/>
      <c r="AA33" s="465"/>
      <c r="AB33" s="464"/>
      <c r="AC33" s="466"/>
      <c r="AD33" s="463"/>
      <c r="AE33" s="123"/>
      <c r="AF33" s="124"/>
      <c r="AG33" s="125"/>
      <c r="AH33" s="125"/>
      <c r="AI33" s="123"/>
      <c r="AJ33" s="12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29.75" customHeight="1" x14ac:dyDescent="0.3">
      <c r="A34" s="262">
        <v>4</v>
      </c>
      <c r="B34" s="216" t="s">
        <v>192</v>
      </c>
      <c r="C34" s="482" t="s">
        <v>248</v>
      </c>
      <c r="D34" s="467" t="s">
        <v>239</v>
      </c>
      <c r="E34" s="258" t="s">
        <v>249</v>
      </c>
      <c r="F34" s="216" t="s">
        <v>200</v>
      </c>
      <c r="G34" s="436">
        <v>24</v>
      </c>
      <c r="H34" s="437" t="str">
        <f>IF(G34&lt;=0,"",IF(G34&lt;=2,"Muy Baja",IF(G34&lt;=24,"Baja",IF(G34&lt;=500,"Media",IF(G34&lt;=5000,"Alta","Muy Alta")))))</f>
        <v>Baja</v>
      </c>
      <c r="I34" s="438">
        <f>IF(H34="","",IF(H34="Muy Baja",0.2,IF(H34="Baja",0.4,IF(H34="Media",0.6,IF(H34="Alta",0.8,IF(H34="Muy Alta",1,))))))</f>
        <v>0.4</v>
      </c>
      <c r="J34" s="439" t="s">
        <v>143</v>
      </c>
      <c r="K34" s="438" t="str">
        <f>IF(NOT(ISERROR(MATCH(J34,'Tabla Impacto'!$B$221:$B$223,0))),'Tabla Impacto'!$F$223&amp;"Por favor no seleccionar los criterios de impacto(Afectación Económica o presupuestal y Pérdida Reputacional)",J34)</f>
        <v xml:space="preserve">     El riesgo afecta la imagen de alguna área de la organización</v>
      </c>
      <c r="L34" s="437" t="str">
        <f>IF(OR(K34='Tabla Impacto'!$C$11,K34='Tabla Impacto'!$D$11),"Leve",IF(OR(K34='Tabla Impacto'!$C$12,K34='Tabla Impacto'!$D$12),"Menor",IF(OR(K34='Tabla Impacto'!$C$13,K34='Tabla Impacto'!$D$13),"Moderado",IF(OR(K34='Tabla Impacto'!$C$14,K34='Tabla Impacto'!$D$14),"Mayor",IF(OR(K34='Tabla Impacto'!$C$15,K34='Tabla Impacto'!$D$15),"Catastrófico","")))))</f>
        <v>Leve</v>
      </c>
      <c r="M34" s="438">
        <f>IF(L34="","",IF(L34="Leve",0.2,IF(L34="Menor",0.4,IF(L34="Moderado",0.6,IF(L34="Mayor",0.8,IF(L34="Catastrófico",1,))))))</f>
        <v>0.2</v>
      </c>
      <c r="N34" s="440"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Bajo</v>
      </c>
      <c r="O34" s="6">
        <v>1</v>
      </c>
      <c r="P34" s="167" t="s">
        <v>308</v>
      </c>
      <c r="Q34" s="472" t="s">
        <v>91</v>
      </c>
      <c r="R34" s="473" t="s">
        <v>164</v>
      </c>
      <c r="S34" s="473" t="s">
        <v>172</v>
      </c>
      <c r="T34" s="474" t="str">
        <f>IF(AND(R34="Preventivo",S34="Automático"),"50%",IF(AND(R34="Preventivo",S34="Manual"),"40%",IF(AND(R34="Detectivo",S34="Automático"),"40%",IF(AND(R34="Detectivo",S34="Manual"),"30%",IF(AND(R34="Correctivo",S34="Automático"),"35%",IF(AND(R34="Correctivo",S34="Manual"),"25%",""))))))</f>
        <v>40%</v>
      </c>
      <c r="U34" s="473" t="s">
        <v>175</v>
      </c>
      <c r="V34" s="473" t="s">
        <v>180</v>
      </c>
      <c r="W34" s="473" t="s">
        <v>184</v>
      </c>
      <c r="X34" s="454">
        <f>IFERROR(IF(Q34="Probabilidad",(I34-(+I34*T34)),IF(Q34="Impacto",I34,"")),"")</f>
        <v>0.24</v>
      </c>
      <c r="Y34" s="475" t="str">
        <f>IFERROR(IF(X34="","",IF(X34&lt;=0.2,"Muy Baja",IF(X34&lt;=0.4,"Baja",IF(X34&lt;=0.6,"Media",IF(X34&lt;=0.8,"Alta","Muy Alta"))))),"")</f>
        <v>Baja</v>
      </c>
      <c r="Z34" s="476">
        <f>+X34</f>
        <v>0.24</v>
      </c>
      <c r="AA34" s="475" t="str">
        <f>IFERROR(IF(AB34="","",IF(AB34&lt;=0.2,"Leve",IF(AB34&lt;=0.4,"Menor",IF(AB34&lt;=0.6,"Moderado",IF(AB34&lt;=0.8,"Mayor","Catastrófico"))))),"")</f>
        <v>Leve</v>
      </c>
      <c r="AB34" s="476">
        <f>IFERROR(IF(Q34="Impacto",(M34-(+M34*T34)),IF(Q34="Probabilidad",M34,"")),"")</f>
        <v>0.2</v>
      </c>
      <c r="AC34" s="477"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Bajo</v>
      </c>
      <c r="AD34" s="478" t="s">
        <v>189</v>
      </c>
      <c r="AE34" s="123"/>
      <c r="AF34" s="124"/>
      <c r="AG34" s="125"/>
      <c r="AH34" s="125"/>
      <c r="AI34" s="123"/>
      <c r="AJ34" s="12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04.25" customHeight="1" x14ac:dyDescent="0.3">
      <c r="A35" s="263"/>
      <c r="B35" s="217"/>
      <c r="C35" s="483"/>
      <c r="D35" s="467"/>
      <c r="E35" s="259"/>
      <c r="F35" s="217"/>
      <c r="G35" s="441"/>
      <c r="H35" s="442"/>
      <c r="I35" s="443"/>
      <c r="J35" s="444"/>
      <c r="K35" s="443">
        <f>IF(NOT(ISERROR(MATCH(J35,_xlfn.ANCHORARRAY(E39),0))),#REF!&amp;"Por favor no seleccionar los criterios de impacto",J35)</f>
        <v>0</v>
      </c>
      <c r="L35" s="442"/>
      <c r="M35" s="443"/>
      <c r="N35" s="445"/>
      <c r="O35" s="262">
        <v>2</v>
      </c>
      <c r="P35" s="214" t="s">
        <v>309</v>
      </c>
      <c r="Q35" s="451" t="s">
        <v>91</v>
      </c>
      <c r="R35" s="452" t="s">
        <v>164</v>
      </c>
      <c r="S35" s="452" t="s">
        <v>172</v>
      </c>
      <c r="T35" s="453" t="str">
        <f t="shared" ref="T35" si="7">IF(AND(R35="Preventivo",S35="Automático"),"50%",IF(AND(R35="Preventivo",S35="Manual"),"40%",IF(AND(R35="Detectivo",S35="Automático"),"40%",IF(AND(R35="Detectivo",S35="Manual"),"30%",IF(AND(R35="Correctivo",S35="Automático"),"35%",IF(AND(R35="Correctivo",S35="Manual"),"25%",""))))))</f>
        <v>40%</v>
      </c>
      <c r="U35" s="452" t="s">
        <v>175</v>
      </c>
      <c r="V35" s="452" t="s">
        <v>180</v>
      </c>
      <c r="W35" s="452" t="s">
        <v>184</v>
      </c>
      <c r="X35" s="485">
        <f>IFERROR(IF(Q35="Probabilidad",(I35-(+I35*T35)),IF(Q35="Impacto",I35,"")),"")</f>
        <v>0</v>
      </c>
      <c r="Y35" s="455" t="str">
        <f>IFERROR(IF(X35="","",IF(X35&lt;=0.2,"Muy Baja",IF(X35&lt;=0.4,"Baja",IF(X35&lt;=0.6,"Media",IF(X35&lt;=0.8,"Alta","Muy Alta"))))),"")</f>
        <v>Muy Baja</v>
      </c>
      <c r="Z35" s="453">
        <f>+X35</f>
        <v>0</v>
      </c>
      <c r="AA35" s="455" t="str">
        <f>IFERROR(IF(AB35="","",IF(AB35&lt;=0.2,"Leve",IF(AB35&lt;=0.4,"Menor",IF(AB35&lt;=0.6,"Moderado",IF(AB35&lt;=0.8,"Mayor","Catastrófico"))))),"")</f>
        <v>Leve</v>
      </c>
      <c r="AB35" s="453">
        <f>IFERROR(IF(Q35="Impacto",(M35-(+M35*T35)),IF(Q35="Probabilidad",M35,"")),"")</f>
        <v>0</v>
      </c>
      <c r="AC35" s="456"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Bajo</v>
      </c>
      <c r="AD35" s="452" t="s">
        <v>189</v>
      </c>
      <c r="AE35" s="251"/>
      <c r="AF35" s="251"/>
      <c r="AG35" s="251"/>
      <c r="AH35" s="251"/>
      <c r="AI35" s="251"/>
      <c r="AJ35" s="251"/>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24.75" customHeight="1" x14ac:dyDescent="0.3">
      <c r="A36" s="263"/>
      <c r="B36" s="217"/>
      <c r="C36" s="483"/>
      <c r="D36" s="467"/>
      <c r="E36" s="259"/>
      <c r="F36" s="217"/>
      <c r="G36" s="441"/>
      <c r="H36" s="442"/>
      <c r="I36" s="443"/>
      <c r="J36" s="444"/>
      <c r="K36" s="443">
        <f>IF(NOT(ISERROR(MATCH(J36,_xlfn.ANCHORARRAY(E40),0))),#REF!&amp;"Por favor no seleccionar los criterios de impacto",J36)</f>
        <v>0</v>
      </c>
      <c r="L36" s="442"/>
      <c r="M36" s="443"/>
      <c r="N36" s="445"/>
      <c r="O36" s="264"/>
      <c r="P36" s="215"/>
      <c r="Q36" s="462"/>
      <c r="R36" s="463"/>
      <c r="S36" s="463"/>
      <c r="T36" s="464"/>
      <c r="U36" s="463"/>
      <c r="V36" s="463"/>
      <c r="W36" s="463"/>
      <c r="X36" s="486"/>
      <c r="Y36" s="465"/>
      <c r="Z36" s="464"/>
      <c r="AA36" s="465"/>
      <c r="AB36" s="464"/>
      <c r="AC36" s="466"/>
      <c r="AD36" s="463"/>
      <c r="AE36" s="253"/>
      <c r="AF36" s="253"/>
      <c r="AG36" s="253"/>
      <c r="AH36" s="253"/>
      <c r="AI36" s="253"/>
      <c r="AJ36" s="253"/>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77" customHeight="1" x14ac:dyDescent="0.3">
      <c r="A37" s="169">
        <v>5</v>
      </c>
      <c r="B37" s="492" t="s">
        <v>192</v>
      </c>
      <c r="C37" s="468" t="s">
        <v>240</v>
      </c>
      <c r="D37" s="468" t="s">
        <v>241</v>
      </c>
      <c r="E37" s="168" t="s">
        <v>250</v>
      </c>
      <c r="F37" s="170" t="s">
        <v>200</v>
      </c>
      <c r="G37" s="487">
        <v>7</v>
      </c>
      <c r="H37" s="488" t="str">
        <f>IF(G37&lt;=0,"",IF(G37&lt;=2,"Muy Baja",IF(G37&lt;=24,"Baja",IF(G37&lt;=500,"Media",IF(G37&lt;=5000,"Alta","Muy Alta")))))</f>
        <v>Baja</v>
      </c>
      <c r="I37" s="489">
        <f>IF(H37="","",IF(H37="Muy Baja",0.2,IF(H37="Baja",0.4,IF(H37="Media",0.6,IF(H37="Alta",0.8,IF(H37="Muy Alta",1,))))))</f>
        <v>0.4</v>
      </c>
      <c r="J37" s="490" t="s">
        <v>143</v>
      </c>
      <c r="K37" s="489" t="str">
        <f>IF(NOT(ISERROR(MATCH(J37,'Tabla Impacto'!$B$221:$B$223,0))),'Tabla Impacto'!$F$223&amp;"Por favor no seleccionar los criterios de impacto(Afectación Económica o presupuestal y Pérdida Reputacional)",J37)</f>
        <v xml:space="preserve">     El riesgo afecta la imagen de alguna área de la organización</v>
      </c>
      <c r="L37" s="488" t="str">
        <f>IF(OR(K37='Tabla Impacto'!$C$11,K37='Tabla Impacto'!$D$11),"Leve",IF(OR(K37='Tabla Impacto'!$C$12,K37='Tabla Impacto'!$D$12),"Menor",IF(OR(K37='Tabla Impacto'!$C$13,K37='Tabla Impacto'!$D$13),"Moderado",IF(OR(K37='Tabla Impacto'!$C$14,K37='Tabla Impacto'!$D$14),"Mayor",IF(OR(K37='Tabla Impacto'!$C$15,K37='Tabla Impacto'!$D$15),"Catastrófico","")))))</f>
        <v>Leve</v>
      </c>
      <c r="M37" s="489">
        <f>IF(L37="","",IF(L37="Leve",0.2,IF(L37="Menor",0.4,IF(L37="Moderado",0.6,IF(L37="Mayor",0.8,IF(L37="Catastrófico",1,))))))</f>
        <v>0.2</v>
      </c>
      <c r="N37" s="491"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Bajo</v>
      </c>
      <c r="O37" s="6">
        <v>1</v>
      </c>
      <c r="P37" s="167" t="s">
        <v>310</v>
      </c>
      <c r="Q37" s="472" t="s">
        <v>91</v>
      </c>
      <c r="R37" s="473" t="s">
        <v>164</v>
      </c>
      <c r="S37" s="473" t="s">
        <v>172</v>
      </c>
      <c r="T37" s="474" t="str">
        <f>IF(AND(R37="Preventivo",S37="Automático"),"50%",IF(AND(R37="Preventivo",S37="Manual"),"40%",IF(AND(R37="Detectivo",S37="Automático"),"40%",IF(AND(R37="Detectivo",S37="Manual"),"30%",IF(AND(R37="Correctivo",S37="Automático"),"35%",IF(AND(R37="Correctivo",S37="Manual"),"25%",""))))))</f>
        <v>40%</v>
      </c>
      <c r="U37" s="473" t="s">
        <v>178</v>
      </c>
      <c r="V37" s="473" t="s">
        <v>180</v>
      </c>
      <c r="W37" s="473" t="s">
        <v>184</v>
      </c>
      <c r="X37" s="454">
        <f>IFERROR(IF(Q37="Probabilidad",(I37-(+I37*T37)),IF(Q37="Impacto",I37,"")),"")</f>
        <v>0.24</v>
      </c>
      <c r="Y37" s="475" t="str">
        <f>IFERROR(IF(X37="","",IF(X37&lt;=0.2,"Muy Baja",IF(X37&lt;=0.4,"Baja",IF(X37&lt;=0.6,"Media",IF(X37&lt;=0.8,"Alta","Muy Alta"))))),"")</f>
        <v>Baja</v>
      </c>
      <c r="Z37" s="476">
        <f>+X37</f>
        <v>0.24</v>
      </c>
      <c r="AA37" s="475" t="str">
        <f>IFERROR(IF(AB37="","",IF(AB37&lt;=0.2,"Leve",IF(AB37&lt;=0.4,"Menor",IF(AB37&lt;=0.6,"Moderado",IF(AB37&lt;=0.8,"Mayor","Catastrófico"))))),"")</f>
        <v>Leve</v>
      </c>
      <c r="AB37" s="476">
        <f>IFERROR(IF(Q37="Impacto",(M37-(+M37*T37)),IF(Q37="Probabilidad",M37,"")),"")</f>
        <v>0.2</v>
      </c>
      <c r="AC37" s="477"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Bajo</v>
      </c>
      <c r="AD37" s="478" t="s">
        <v>189</v>
      </c>
      <c r="AE37" s="123"/>
      <c r="AF37" s="124"/>
      <c r="AG37" s="125"/>
      <c r="AH37" s="125"/>
      <c r="AI37" s="123"/>
      <c r="AJ37" s="12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35.75" customHeight="1" x14ac:dyDescent="0.3">
      <c r="A38" s="262">
        <v>6</v>
      </c>
      <c r="B38" s="493" t="s">
        <v>192</v>
      </c>
      <c r="C38" s="468" t="s">
        <v>242</v>
      </c>
      <c r="D38" s="467" t="s">
        <v>243</v>
      </c>
      <c r="E38" s="258" t="s">
        <v>251</v>
      </c>
      <c r="F38" s="216" t="s">
        <v>200</v>
      </c>
      <c r="G38" s="436">
        <v>12</v>
      </c>
      <c r="H38" s="437" t="str">
        <f>IF(G38&lt;=0,"",IF(G38&lt;=2,"Muy Baja",IF(G38&lt;=24,"Baja",IF(G38&lt;=500,"Media",IF(G38&lt;=5000,"Alta","Muy Alta")))))</f>
        <v>Baja</v>
      </c>
      <c r="I38" s="438">
        <f>IF(H38="","",IF(H38="Muy Baja",0.2,IF(H38="Baja",0.4,IF(H38="Media",0.6,IF(H38="Alta",0.8,IF(H38="Muy Alta",1,))))))</f>
        <v>0.4</v>
      </c>
      <c r="J38" s="439" t="s">
        <v>143</v>
      </c>
      <c r="K38" s="438" t="str">
        <f>IF(NOT(ISERROR(MATCH(J38,'Tabla Impacto'!$B$221:$B$223,0))),'Tabla Impacto'!$F$223&amp;"Por favor no seleccionar los criterios de impacto(Afectación Económica o presupuestal y Pérdida Reputacional)",J38)</f>
        <v xml:space="preserve">     El riesgo afecta la imagen de alguna área de la organización</v>
      </c>
      <c r="L38" s="437" t="str">
        <f>IF(OR(K38='Tabla Impacto'!$C$11,K38='Tabla Impacto'!$D$11),"Leve",IF(OR(K38='Tabla Impacto'!$C$12,K38='Tabla Impacto'!$D$12),"Menor",IF(OR(K38='Tabla Impacto'!$C$13,K38='Tabla Impacto'!$D$13),"Moderado",IF(OR(K38='Tabla Impacto'!$C$14,K38='Tabla Impacto'!$D$14),"Mayor",IF(OR(K38='Tabla Impacto'!$C$15,K38='Tabla Impacto'!$D$15),"Catastrófico","")))))</f>
        <v>Leve</v>
      </c>
      <c r="M38" s="438">
        <f>IF(L38="","",IF(L38="Leve",0.2,IF(L38="Menor",0.4,IF(L38="Moderado",0.6,IF(L38="Mayor",0.8,IF(L38="Catastrófico",1,))))))</f>
        <v>0.2</v>
      </c>
      <c r="N38" s="440"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Bajo</v>
      </c>
      <c r="O38" s="6">
        <v>1</v>
      </c>
      <c r="P38" s="167" t="s">
        <v>311</v>
      </c>
      <c r="Q38" s="472" t="s">
        <v>91</v>
      </c>
      <c r="R38" s="473" t="s">
        <v>164</v>
      </c>
      <c r="S38" s="473" t="s">
        <v>172</v>
      </c>
      <c r="T38" s="474" t="str">
        <f>IF(AND(R38="Preventivo",S38="Automático"),"50%",IF(AND(R38="Preventivo",S38="Manual"),"40%",IF(AND(R38="Detectivo",S38="Automático"),"40%",IF(AND(R38="Detectivo",S38="Manual"),"30%",IF(AND(R38="Correctivo",S38="Automático"),"35%",IF(AND(R38="Correctivo",S38="Manual"),"25%",""))))))</f>
        <v>40%</v>
      </c>
      <c r="U38" s="473" t="s">
        <v>178</v>
      </c>
      <c r="V38" s="473" t="s">
        <v>180</v>
      </c>
      <c r="W38" s="473" t="s">
        <v>184</v>
      </c>
      <c r="X38" s="454">
        <f>IFERROR(IF(Q38="Probabilidad",(I38-(+I38*T38)),IF(Q38="Impacto",I38,"")),"")</f>
        <v>0.24</v>
      </c>
      <c r="Y38" s="475" t="str">
        <f>IFERROR(IF(X38="","",IF(X38&lt;=0.2,"Muy Baja",IF(X38&lt;=0.4,"Baja",IF(X38&lt;=0.6,"Media",IF(X38&lt;=0.8,"Alta","Muy Alta"))))),"")</f>
        <v>Baja</v>
      </c>
      <c r="Z38" s="476">
        <f>+X38</f>
        <v>0.24</v>
      </c>
      <c r="AA38" s="475" t="str">
        <f>IFERROR(IF(AB38="","",IF(AB38&lt;=0.2,"Leve",IF(AB38&lt;=0.4,"Menor",IF(AB38&lt;=0.6,"Moderado",IF(AB38&lt;=0.8,"Mayor","Catastrófico"))))),"")</f>
        <v>Leve</v>
      </c>
      <c r="AB38" s="476">
        <f>IFERROR(IF(Q38="Impacto",(M38-(+M38*T38)),IF(Q38="Probabilidad",M38,"")),"")</f>
        <v>0.2</v>
      </c>
      <c r="AC38" s="477"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Bajo</v>
      </c>
      <c r="AD38" s="478" t="s">
        <v>189</v>
      </c>
      <c r="AE38" s="123"/>
      <c r="AF38" s="124"/>
      <c r="AG38" s="125"/>
      <c r="AH38" s="125"/>
      <c r="AI38" s="123"/>
      <c r="AJ38" s="12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26" customHeight="1" x14ac:dyDescent="0.3">
      <c r="A39" s="263"/>
      <c r="B39" s="493"/>
      <c r="C39" s="467" t="s">
        <v>278</v>
      </c>
      <c r="D39" s="467"/>
      <c r="E39" s="259"/>
      <c r="F39" s="217"/>
      <c r="G39" s="441"/>
      <c r="H39" s="442"/>
      <c r="I39" s="443"/>
      <c r="J39" s="444"/>
      <c r="K39" s="443">
        <f>IF(NOT(ISERROR(MATCH(J39,_xlfn.ANCHORARRAY(#REF!),0))),#REF!&amp;"Por favor no seleccionar los criterios de impacto",J39)</f>
        <v>0</v>
      </c>
      <c r="L39" s="442"/>
      <c r="M39" s="443"/>
      <c r="N39" s="445"/>
      <c r="O39" s="262">
        <v>2</v>
      </c>
      <c r="P39" s="214" t="s">
        <v>312</v>
      </c>
      <c r="Q39" s="451" t="s">
        <v>91</v>
      </c>
      <c r="R39" s="452" t="s">
        <v>164</v>
      </c>
      <c r="S39" s="452" t="s">
        <v>172</v>
      </c>
      <c r="T39" s="453" t="str">
        <f t="shared" ref="T39" si="8">IF(AND(R39="Preventivo",S39="Automático"),"50%",IF(AND(R39="Preventivo",S39="Manual"),"40%",IF(AND(R39="Detectivo",S39="Automático"),"40%",IF(AND(R39="Detectivo",S39="Manual"),"30%",IF(AND(R39="Correctivo",S39="Automático"),"35%",IF(AND(R39="Correctivo",S39="Manual"),"25%",""))))))</f>
        <v>40%</v>
      </c>
      <c r="U39" s="452" t="s">
        <v>175</v>
      </c>
      <c r="V39" s="452" t="s">
        <v>180</v>
      </c>
      <c r="W39" s="452" t="s">
        <v>184</v>
      </c>
      <c r="X39" s="454">
        <f>IFERROR(IF(AND(Q38="Probabilidad",Q39="Probabilidad"),(Z38-(+Z38*T39)),IF(Q39="Probabilidad",(I38-(+I38*T39)),IF(Q39="Impacto",Z38,""))),"")</f>
        <v>0.14399999999999999</v>
      </c>
      <c r="Y39" s="455" t="str">
        <f t="shared" si="3"/>
        <v>Muy Baja</v>
      </c>
      <c r="Z39" s="453">
        <f t="shared" ref="Z39" si="9">+X39</f>
        <v>0.14399999999999999</v>
      </c>
      <c r="AA39" s="455" t="str">
        <f t="shared" si="5"/>
        <v>Leve</v>
      </c>
      <c r="AB39" s="453">
        <f>IFERROR(IF(AND(Q38="Impacto",Q39="Impacto"),(AB38-(+AB38*T39)),IF(Q39="Impacto",(M38-(+M38*T39)),IF(Q39="Probabilidad",AB38,""))),"")</f>
        <v>0.2</v>
      </c>
      <c r="AC39" s="456" t="str">
        <f t="shared" ref="AC39" si="10">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Bajo</v>
      </c>
      <c r="AD39" s="478" t="s">
        <v>189</v>
      </c>
      <c r="AE39" s="123"/>
      <c r="AF39" s="124"/>
      <c r="AG39" s="125"/>
      <c r="AH39" s="125"/>
      <c r="AI39" s="123"/>
      <c r="AJ39" s="12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46.5" hidden="1" customHeight="1" x14ac:dyDescent="0.3">
      <c r="A40" s="263"/>
      <c r="B40" s="493"/>
      <c r="C40" s="467"/>
      <c r="D40" s="467"/>
      <c r="E40" s="259"/>
      <c r="F40" s="217"/>
      <c r="G40" s="441"/>
      <c r="H40" s="442"/>
      <c r="I40" s="443"/>
      <c r="J40" s="444"/>
      <c r="K40" s="443">
        <f>IF(NOT(ISERROR(MATCH(J40,_xlfn.ANCHORARRAY(#REF!),0))),#REF!&amp;"Por favor no seleccionar los criterios de impacto",J40)</f>
        <v>0</v>
      </c>
      <c r="L40" s="442"/>
      <c r="M40" s="443"/>
      <c r="N40" s="445"/>
      <c r="O40" s="264"/>
      <c r="P40" s="215"/>
      <c r="Q40" s="462"/>
      <c r="R40" s="463"/>
      <c r="S40" s="463"/>
      <c r="T40" s="464"/>
      <c r="U40" s="463"/>
      <c r="V40" s="463"/>
      <c r="W40" s="463"/>
      <c r="X40" s="454" t="str">
        <f>IFERROR(IF(AND(Q39="Probabilidad",Q40="Probabilidad"),(Z39-(+Z39*T40)),IF(AND(Q39="Impacto",Q40="Probabilidad"),(Z38-(+Z38*T40)),IF(Q40="Impacto",Z39,""))),"")</f>
        <v/>
      </c>
      <c r="Y40" s="465"/>
      <c r="Z40" s="464"/>
      <c r="AA40" s="465"/>
      <c r="AB40" s="464"/>
      <c r="AC40" s="466"/>
      <c r="AD40" s="478"/>
      <c r="AE40" s="123"/>
      <c r="AF40" s="124"/>
      <c r="AG40" s="125"/>
      <c r="AH40" s="125"/>
      <c r="AI40" s="123"/>
      <c r="AJ40" s="12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49.5" customHeight="1" x14ac:dyDescent="0.3">
      <c r="A41" s="6"/>
      <c r="B41" s="276" t="s">
        <v>89</v>
      </c>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8"/>
    </row>
    <row r="43" spans="1:68" x14ac:dyDescent="0.3">
      <c r="A43" s="1"/>
      <c r="B43" s="24"/>
      <c r="C43" s="1"/>
      <c r="D43" s="1"/>
      <c r="F43" s="1"/>
    </row>
  </sheetData>
  <dataConsolidate/>
  <mergeCells count="203">
    <mergeCell ref="AE35:AE36"/>
    <mergeCell ref="AF35:AF36"/>
    <mergeCell ref="AG35:AG36"/>
    <mergeCell ref="AH35:AH36"/>
    <mergeCell ref="AI35:AI36"/>
    <mergeCell ref="AJ35:AJ36"/>
    <mergeCell ref="AE23:AE28"/>
    <mergeCell ref="AF23:AF28"/>
    <mergeCell ref="AG23:AG28"/>
    <mergeCell ref="AH23:AH28"/>
    <mergeCell ref="AI23:AI28"/>
    <mergeCell ref="AJ23:AJ28"/>
    <mergeCell ref="AE31:AE32"/>
    <mergeCell ref="AF31:AF32"/>
    <mergeCell ref="AG31:AG32"/>
    <mergeCell ref="AH31:AH32"/>
    <mergeCell ref="AI31:AI32"/>
    <mergeCell ref="AJ31:AJ32"/>
    <mergeCell ref="B41:AJ41"/>
    <mergeCell ref="A38:A40"/>
    <mergeCell ref="B38:B40"/>
    <mergeCell ref="E38:E40"/>
    <mergeCell ref="F38:F40"/>
    <mergeCell ref="J38:J40"/>
    <mergeCell ref="K38:K40"/>
    <mergeCell ref="L38:L40"/>
    <mergeCell ref="G38:G40"/>
    <mergeCell ref="H38:H40"/>
    <mergeCell ref="I38:I40"/>
    <mergeCell ref="O39:O40"/>
    <mergeCell ref="P39:P40"/>
    <mergeCell ref="Q39:Q40"/>
    <mergeCell ref="R39:R40"/>
    <mergeCell ref="S39:S40"/>
    <mergeCell ref="T39:T40"/>
    <mergeCell ref="U39:U40"/>
    <mergeCell ref="V39:V40"/>
    <mergeCell ref="W39:W40"/>
    <mergeCell ref="Y39:Y40"/>
    <mergeCell ref="Z39:Z40"/>
    <mergeCell ref="AA39:AA40"/>
    <mergeCell ref="AB39:AB40"/>
    <mergeCell ref="M38:M40"/>
    <mergeCell ref="N38:N40"/>
    <mergeCell ref="A14:AJ15"/>
    <mergeCell ref="A20:G20"/>
    <mergeCell ref="H20:N20"/>
    <mergeCell ref="O20:W20"/>
    <mergeCell ref="X20:AD20"/>
    <mergeCell ref="AE20:AJ20"/>
    <mergeCell ref="C34:C36"/>
    <mergeCell ref="A34:A36"/>
    <mergeCell ref="B34:B36"/>
    <mergeCell ref="D34:D36"/>
    <mergeCell ref="E34:E36"/>
    <mergeCell ref="F34:F36"/>
    <mergeCell ref="G34:G36"/>
    <mergeCell ref="H34:H36"/>
    <mergeCell ref="I34:I36"/>
    <mergeCell ref="N29:N30"/>
    <mergeCell ref="A31:A33"/>
    <mergeCell ref="B31:B33"/>
    <mergeCell ref="C31:C33"/>
    <mergeCell ref="D31:D33"/>
    <mergeCell ref="E31:E33"/>
    <mergeCell ref="F31:F33"/>
    <mergeCell ref="G31:G33"/>
    <mergeCell ref="H31:H33"/>
    <mergeCell ref="I31:I33"/>
    <mergeCell ref="J31:J33"/>
    <mergeCell ref="AE21:AE22"/>
    <mergeCell ref="AJ21:AJ22"/>
    <mergeCell ref="AI21:AI22"/>
    <mergeCell ref="AH21:AH22"/>
    <mergeCell ref="AG21:AG22"/>
    <mergeCell ref="AF21:AF22"/>
    <mergeCell ref="L21:L22"/>
    <mergeCell ref="M21:M22"/>
    <mergeCell ref="N21:N22"/>
    <mergeCell ref="Q21:Q22"/>
    <mergeCell ref="R21:W21"/>
    <mergeCell ref="AA21:AA22"/>
    <mergeCell ref="Y21:Y22"/>
    <mergeCell ref="Z21:Z22"/>
    <mergeCell ref="L29:L30"/>
    <mergeCell ref="M29:M30"/>
    <mergeCell ref="O23:O28"/>
    <mergeCell ref="P23:P28"/>
    <mergeCell ref="Q23:Q28"/>
    <mergeCell ref="R23:R28"/>
    <mergeCell ref="A29:A30"/>
    <mergeCell ref="B29:B30"/>
    <mergeCell ref="B21:B22"/>
    <mergeCell ref="J21:J22"/>
    <mergeCell ref="K21:K22"/>
    <mergeCell ref="A23:A28"/>
    <mergeCell ref="B23:B28"/>
    <mergeCell ref="C23:C28"/>
    <mergeCell ref="D23:D28"/>
    <mergeCell ref="F29:F30"/>
    <mergeCell ref="G29:G30"/>
    <mergeCell ref="H29:H30"/>
    <mergeCell ref="G21:G22"/>
    <mergeCell ref="H21:H22"/>
    <mergeCell ref="I21:I22"/>
    <mergeCell ref="D29:D30"/>
    <mergeCell ref="E29:E30"/>
    <mergeCell ref="K29:K30"/>
    <mergeCell ref="E23:E28"/>
    <mergeCell ref="A17:B17"/>
    <mergeCell ref="A18:B18"/>
    <mergeCell ref="A19:B19"/>
    <mergeCell ref="A21:A22"/>
    <mergeCell ref="F21:F22"/>
    <mergeCell ref="E21:E22"/>
    <mergeCell ref="D21:D22"/>
    <mergeCell ref="C21:C22"/>
    <mergeCell ref="AD21:AD22"/>
    <mergeCell ref="C18:N18"/>
    <mergeCell ref="C19:N19"/>
    <mergeCell ref="O21:O22"/>
    <mergeCell ref="AC21:AC22"/>
    <mergeCell ref="AB21:AB22"/>
    <mergeCell ref="X21:X22"/>
    <mergeCell ref="P21:P22"/>
    <mergeCell ref="C17:N17"/>
    <mergeCell ref="O17:Q17"/>
    <mergeCell ref="A1:AE5"/>
    <mergeCell ref="W11:AB11"/>
    <mergeCell ref="W12:AB12"/>
    <mergeCell ref="A13:J13"/>
    <mergeCell ref="N7:S7"/>
    <mergeCell ref="W9:AB9"/>
    <mergeCell ref="P8:S8"/>
    <mergeCell ref="P9:S9"/>
    <mergeCell ref="P11:S11"/>
    <mergeCell ref="P12:S12"/>
    <mergeCell ref="P10:S10"/>
    <mergeCell ref="N23:N28"/>
    <mergeCell ref="I23:I28"/>
    <mergeCell ref="J23:J28"/>
    <mergeCell ref="K23:K28"/>
    <mergeCell ref="L23:L28"/>
    <mergeCell ref="M23:M28"/>
    <mergeCell ref="I29:I30"/>
    <mergeCell ref="J29:J30"/>
    <mergeCell ref="Z31:Z33"/>
    <mergeCell ref="Q31:Q33"/>
    <mergeCell ref="R31:R33"/>
    <mergeCell ref="S31:S33"/>
    <mergeCell ref="T31:T33"/>
    <mergeCell ref="U31:U33"/>
    <mergeCell ref="V31:V33"/>
    <mergeCell ref="W31:W33"/>
    <mergeCell ref="Y31:Y33"/>
    <mergeCell ref="AA31:AA33"/>
    <mergeCell ref="AB31:AB33"/>
    <mergeCell ref="AC31:AC33"/>
    <mergeCell ref="AD31:AD33"/>
    <mergeCell ref="O31:O32"/>
    <mergeCell ref="W23:W28"/>
    <mergeCell ref="F23:F28"/>
    <mergeCell ref="G23:G28"/>
    <mergeCell ref="H23:H28"/>
    <mergeCell ref="S23:S28"/>
    <mergeCell ref="T23:T28"/>
    <mergeCell ref="U23:U28"/>
    <mergeCell ref="V23:V28"/>
    <mergeCell ref="Y23:Y28"/>
    <mergeCell ref="Z23:Z28"/>
    <mergeCell ref="AA23:AA28"/>
    <mergeCell ref="AB23:AB28"/>
    <mergeCell ref="AC23:AC28"/>
    <mergeCell ref="AD23:AD28"/>
    <mergeCell ref="K31:K33"/>
    <mergeCell ref="L31:L33"/>
    <mergeCell ref="M31:M33"/>
    <mergeCell ref="N31:N33"/>
    <mergeCell ref="P31:P33"/>
    <mergeCell ref="AD35:AD36"/>
    <mergeCell ref="C39:C40"/>
    <mergeCell ref="D38:D40"/>
    <mergeCell ref="AC39:AC40"/>
    <mergeCell ref="P35:P36"/>
    <mergeCell ref="O35:O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J34:J36"/>
    <mergeCell ref="K34:K36"/>
    <mergeCell ref="L34:L36"/>
    <mergeCell ref="M34:M36"/>
    <mergeCell ref="N34:N36"/>
  </mergeCells>
  <conditionalFormatting sqref="H23 H29 Y34">
    <cfRule type="cellIs" dxfId="138" priority="375" operator="equal">
      <formula>"Muy Alta"</formula>
    </cfRule>
    <cfRule type="cellIs" dxfId="137" priority="376" operator="equal">
      <formula>"Alta"</formula>
    </cfRule>
    <cfRule type="cellIs" dxfId="136" priority="377" operator="equal">
      <formula>"Media"</formula>
    </cfRule>
    <cfRule type="cellIs" dxfId="135" priority="378" operator="equal">
      <formula>"Baja"</formula>
    </cfRule>
    <cfRule type="cellIs" dxfId="134" priority="379" operator="equal">
      <formula>"Muy Baja"</formula>
    </cfRule>
  </conditionalFormatting>
  <conditionalFormatting sqref="L23 L29 L31 L34 L37:L38 AA34">
    <cfRule type="cellIs" dxfId="133" priority="370" operator="equal">
      <formula>"Catastrófico"</formula>
    </cfRule>
    <cfRule type="cellIs" dxfId="132" priority="371" operator="equal">
      <formula>"Mayor"</formula>
    </cfRule>
    <cfRule type="cellIs" dxfId="131" priority="372" operator="equal">
      <formula>"Moderado"</formula>
    </cfRule>
    <cfRule type="cellIs" dxfId="130" priority="373" operator="equal">
      <formula>"Menor"</formula>
    </cfRule>
    <cfRule type="cellIs" dxfId="129" priority="374" operator="equal">
      <formula>"Leve"</formula>
    </cfRule>
  </conditionalFormatting>
  <conditionalFormatting sqref="N23 AC34">
    <cfRule type="cellIs" dxfId="128" priority="366" operator="equal">
      <formula>"Extremo"</formula>
    </cfRule>
    <cfRule type="cellIs" dxfId="127" priority="367" operator="equal">
      <formula>"Alto"</formula>
    </cfRule>
    <cfRule type="cellIs" dxfId="126" priority="368" operator="equal">
      <formula>"Moderado"</formula>
    </cfRule>
    <cfRule type="cellIs" dxfId="125" priority="369" operator="equal">
      <formula>"Bajo"</formula>
    </cfRule>
  </conditionalFormatting>
  <conditionalFormatting sqref="Y23">
    <cfRule type="cellIs" dxfId="124" priority="361" operator="equal">
      <formula>"Muy Alta"</formula>
    </cfRule>
    <cfRule type="cellIs" dxfId="123" priority="362" operator="equal">
      <formula>"Alta"</formula>
    </cfRule>
    <cfRule type="cellIs" dxfId="122" priority="363" operator="equal">
      <formula>"Media"</formula>
    </cfRule>
    <cfRule type="cellIs" dxfId="121" priority="364" operator="equal">
      <formula>"Baja"</formula>
    </cfRule>
    <cfRule type="cellIs" dxfId="120" priority="365" operator="equal">
      <formula>"Muy Baja"</formula>
    </cfRule>
  </conditionalFormatting>
  <conditionalFormatting sqref="AA23">
    <cfRule type="cellIs" dxfId="119" priority="356" operator="equal">
      <formula>"Catastrófico"</formula>
    </cfRule>
    <cfRule type="cellIs" dxfId="118" priority="357" operator="equal">
      <formula>"Mayor"</formula>
    </cfRule>
    <cfRule type="cellIs" dxfId="117" priority="358" operator="equal">
      <formula>"Moderado"</formula>
    </cfRule>
    <cfRule type="cellIs" dxfId="116" priority="359" operator="equal">
      <formula>"Menor"</formula>
    </cfRule>
    <cfRule type="cellIs" dxfId="115" priority="360" operator="equal">
      <formula>"Leve"</formula>
    </cfRule>
  </conditionalFormatting>
  <conditionalFormatting sqref="AC23">
    <cfRule type="cellIs" dxfId="114" priority="352" operator="equal">
      <formula>"Extremo"</formula>
    </cfRule>
    <cfRule type="cellIs" dxfId="113" priority="353" operator="equal">
      <formula>"Alto"</formula>
    </cfRule>
    <cfRule type="cellIs" dxfId="112" priority="354" operator="equal">
      <formula>"Moderado"</formula>
    </cfRule>
    <cfRule type="cellIs" dxfId="111" priority="355" operator="equal">
      <formula>"Bajo"</formula>
    </cfRule>
  </conditionalFormatting>
  <conditionalFormatting sqref="N29">
    <cfRule type="cellIs" dxfId="110" priority="296" operator="equal">
      <formula>"Extremo"</formula>
    </cfRule>
    <cfRule type="cellIs" dxfId="109" priority="297" operator="equal">
      <formula>"Alto"</formula>
    </cfRule>
    <cfRule type="cellIs" dxfId="108" priority="298" operator="equal">
      <formula>"Moderado"</formula>
    </cfRule>
    <cfRule type="cellIs" dxfId="107" priority="299" operator="equal">
      <formula>"Bajo"</formula>
    </cfRule>
  </conditionalFormatting>
  <conditionalFormatting sqref="Y29:Y30">
    <cfRule type="cellIs" dxfId="106" priority="291" operator="equal">
      <formula>"Muy Alta"</formula>
    </cfRule>
    <cfRule type="cellIs" dxfId="105" priority="292" operator="equal">
      <formula>"Alta"</formula>
    </cfRule>
    <cfRule type="cellIs" dxfId="104" priority="293" operator="equal">
      <formula>"Media"</formula>
    </cfRule>
    <cfRule type="cellIs" dxfId="103" priority="294" operator="equal">
      <formula>"Baja"</formula>
    </cfRule>
    <cfRule type="cellIs" dxfId="102" priority="295" operator="equal">
      <formula>"Muy Baja"</formula>
    </cfRule>
  </conditionalFormatting>
  <conditionalFormatting sqref="AA29:AA30">
    <cfRule type="cellIs" dxfId="101" priority="286" operator="equal">
      <formula>"Catastrófico"</formula>
    </cfRule>
    <cfRule type="cellIs" dxfId="100" priority="287" operator="equal">
      <formula>"Mayor"</formula>
    </cfRule>
    <cfRule type="cellIs" dxfId="99" priority="288" operator="equal">
      <formula>"Moderado"</formula>
    </cfRule>
    <cfRule type="cellIs" dxfId="98" priority="289" operator="equal">
      <formula>"Menor"</formula>
    </cfRule>
    <cfRule type="cellIs" dxfId="97" priority="290" operator="equal">
      <formula>"Leve"</formula>
    </cfRule>
  </conditionalFormatting>
  <conditionalFormatting sqref="AC29:AC30">
    <cfRule type="cellIs" dxfId="96" priority="282" operator="equal">
      <formula>"Extremo"</formula>
    </cfRule>
    <cfRule type="cellIs" dxfId="95" priority="283" operator="equal">
      <formula>"Alto"</formula>
    </cfRule>
    <cfRule type="cellIs" dxfId="94" priority="284" operator="equal">
      <formula>"Moderado"</formula>
    </cfRule>
    <cfRule type="cellIs" dxfId="93" priority="285" operator="equal">
      <formula>"Bajo"</formula>
    </cfRule>
  </conditionalFormatting>
  <conditionalFormatting sqref="H31">
    <cfRule type="cellIs" dxfId="92" priority="277" operator="equal">
      <formula>"Muy Alta"</formula>
    </cfRule>
    <cfRule type="cellIs" dxfId="91" priority="278" operator="equal">
      <formula>"Alta"</formula>
    </cfRule>
    <cfRule type="cellIs" dxfId="90" priority="279" operator="equal">
      <formula>"Media"</formula>
    </cfRule>
    <cfRule type="cellIs" dxfId="89" priority="280" operator="equal">
      <formula>"Baja"</formula>
    </cfRule>
    <cfRule type="cellIs" dxfId="88" priority="281" operator="equal">
      <formula>"Muy Baja"</formula>
    </cfRule>
  </conditionalFormatting>
  <conditionalFormatting sqref="N31">
    <cfRule type="cellIs" dxfId="87" priority="268" operator="equal">
      <formula>"Extremo"</formula>
    </cfRule>
    <cfRule type="cellIs" dxfId="86" priority="269" operator="equal">
      <formula>"Alto"</formula>
    </cfRule>
    <cfRule type="cellIs" dxfId="85" priority="270" operator="equal">
      <formula>"Moderado"</formula>
    </cfRule>
    <cfRule type="cellIs" dxfId="84" priority="271" operator="equal">
      <formula>"Bajo"</formula>
    </cfRule>
  </conditionalFormatting>
  <conditionalFormatting sqref="Y31">
    <cfRule type="cellIs" dxfId="83" priority="263" operator="equal">
      <formula>"Muy Alta"</formula>
    </cfRule>
    <cfRule type="cellIs" dxfId="82" priority="264" operator="equal">
      <formula>"Alta"</formula>
    </cfRule>
    <cfRule type="cellIs" dxfId="81" priority="265" operator="equal">
      <formula>"Media"</formula>
    </cfRule>
    <cfRule type="cellIs" dxfId="80" priority="266" operator="equal">
      <formula>"Baja"</formula>
    </cfRule>
    <cfRule type="cellIs" dxfId="79" priority="267" operator="equal">
      <formula>"Muy Baja"</formula>
    </cfRule>
  </conditionalFormatting>
  <conditionalFormatting sqref="AA31">
    <cfRule type="cellIs" dxfId="78" priority="258" operator="equal">
      <formula>"Catastrófico"</formula>
    </cfRule>
    <cfRule type="cellIs" dxfId="77" priority="259" operator="equal">
      <formula>"Mayor"</formula>
    </cfRule>
    <cfRule type="cellIs" dxfId="76" priority="260" operator="equal">
      <formula>"Moderado"</formula>
    </cfRule>
    <cfRule type="cellIs" dxfId="75" priority="261" operator="equal">
      <formula>"Menor"</formula>
    </cfRule>
    <cfRule type="cellIs" dxfId="74" priority="262" operator="equal">
      <formula>"Leve"</formula>
    </cfRule>
  </conditionalFormatting>
  <conditionalFormatting sqref="AC31">
    <cfRule type="cellIs" dxfId="73" priority="254" operator="equal">
      <formula>"Extremo"</formula>
    </cfRule>
    <cfRule type="cellIs" dxfId="72" priority="255" operator="equal">
      <formula>"Alto"</formula>
    </cfRule>
    <cfRule type="cellIs" dxfId="71" priority="256" operator="equal">
      <formula>"Moderado"</formula>
    </cfRule>
    <cfRule type="cellIs" dxfId="70" priority="257" operator="equal">
      <formula>"Bajo"</formula>
    </cfRule>
  </conditionalFormatting>
  <conditionalFormatting sqref="H34">
    <cfRule type="cellIs" dxfId="69" priority="249" operator="equal">
      <formula>"Muy Alta"</formula>
    </cfRule>
    <cfRule type="cellIs" dxfId="68" priority="250" operator="equal">
      <formula>"Alta"</formula>
    </cfRule>
    <cfRule type="cellIs" dxfId="67" priority="251" operator="equal">
      <formula>"Media"</formula>
    </cfRule>
    <cfRule type="cellIs" dxfId="66" priority="252" operator="equal">
      <formula>"Baja"</formula>
    </cfRule>
    <cfRule type="cellIs" dxfId="65" priority="253" operator="equal">
      <formula>"Muy Baja"</formula>
    </cfRule>
  </conditionalFormatting>
  <conditionalFormatting sqref="N34">
    <cfRule type="cellIs" dxfId="64" priority="240" operator="equal">
      <formula>"Extremo"</formula>
    </cfRule>
    <cfRule type="cellIs" dxfId="63" priority="241" operator="equal">
      <formula>"Alto"</formula>
    </cfRule>
    <cfRule type="cellIs" dxfId="62" priority="242" operator="equal">
      <formula>"Moderado"</formula>
    </cfRule>
    <cfRule type="cellIs" dxfId="61" priority="243" operator="equal">
      <formula>"Bajo"</formula>
    </cfRule>
  </conditionalFormatting>
  <conditionalFormatting sqref="H37">
    <cfRule type="cellIs" dxfId="60" priority="221" operator="equal">
      <formula>"Muy Alta"</formula>
    </cfRule>
    <cfRule type="cellIs" dxfId="59" priority="222" operator="equal">
      <formula>"Alta"</formula>
    </cfRule>
    <cfRule type="cellIs" dxfId="58" priority="223" operator="equal">
      <formula>"Media"</formula>
    </cfRule>
    <cfRule type="cellIs" dxfId="57" priority="224" operator="equal">
      <formula>"Baja"</formula>
    </cfRule>
    <cfRule type="cellIs" dxfId="56" priority="225" operator="equal">
      <formula>"Muy Baja"</formula>
    </cfRule>
  </conditionalFormatting>
  <conditionalFormatting sqref="N37">
    <cfRule type="cellIs" dxfId="55" priority="212" operator="equal">
      <formula>"Extremo"</formula>
    </cfRule>
    <cfRule type="cellIs" dxfId="54" priority="213" operator="equal">
      <formula>"Alto"</formula>
    </cfRule>
    <cfRule type="cellIs" dxfId="53" priority="214" operator="equal">
      <formula>"Moderado"</formula>
    </cfRule>
    <cfRule type="cellIs" dxfId="52" priority="215" operator="equal">
      <formula>"Bajo"</formula>
    </cfRule>
  </conditionalFormatting>
  <conditionalFormatting sqref="Y37">
    <cfRule type="cellIs" dxfId="51" priority="207" operator="equal">
      <formula>"Muy Alta"</formula>
    </cfRule>
    <cfRule type="cellIs" dxfId="50" priority="208" operator="equal">
      <formula>"Alta"</formula>
    </cfRule>
    <cfRule type="cellIs" dxfId="49" priority="209" operator="equal">
      <formula>"Media"</formula>
    </cfRule>
    <cfRule type="cellIs" dxfId="48" priority="210" operator="equal">
      <formula>"Baja"</formula>
    </cfRule>
    <cfRule type="cellIs" dxfId="47" priority="211" operator="equal">
      <formula>"Muy Baja"</formula>
    </cfRule>
  </conditionalFormatting>
  <conditionalFormatting sqref="AA37">
    <cfRule type="cellIs" dxfId="46" priority="202" operator="equal">
      <formula>"Catastrófico"</formula>
    </cfRule>
    <cfRule type="cellIs" dxfId="45" priority="203" operator="equal">
      <formula>"Mayor"</formula>
    </cfRule>
    <cfRule type="cellIs" dxfId="44" priority="204" operator="equal">
      <formula>"Moderado"</formula>
    </cfRule>
    <cfRule type="cellIs" dxfId="43" priority="205" operator="equal">
      <formula>"Menor"</formula>
    </cfRule>
    <cfRule type="cellIs" dxfId="42" priority="206" operator="equal">
      <formula>"Leve"</formula>
    </cfRule>
  </conditionalFormatting>
  <conditionalFormatting sqref="AC37">
    <cfRule type="cellIs" dxfId="41" priority="198" operator="equal">
      <formula>"Extremo"</formula>
    </cfRule>
    <cfRule type="cellIs" dxfId="40" priority="199" operator="equal">
      <formula>"Alto"</formula>
    </cfRule>
    <cfRule type="cellIs" dxfId="39" priority="200" operator="equal">
      <formula>"Moderado"</formula>
    </cfRule>
    <cfRule type="cellIs" dxfId="38" priority="201" operator="equal">
      <formula>"Bajo"</formula>
    </cfRule>
  </conditionalFormatting>
  <conditionalFormatting sqref="H38">
    <cfRule type="cellIs" dxfId="37" priority="193" operator="equal">
      <formula>"Muy Alta"</formula>
    </cfRule>
    <cfRule type="cellIs" dxfId="36" priority="194" operator="equal">
      <formula>"Alta"</formula>
    </cfRule>
    <cfRule type="cellIs" dxfId="35" priority="195" operator="equal">
      <formula>"Media"</formula>
    </cfRule>
    <cfRule type="cellIs" dxfId="34" priority="196" operator="equal">
      <formula>"Baja"</formula>
    </cfRule>
    <cfRule type="cellIs" dxfId="33" priority="197" operator="equal">
      <formula>"Muy Baja"</formula>
    </cfRule>
  </conditionalFormatting>
  <conditionalFormatting sqref="N38">
    <cfRule type="cellIs" dxfId="32" priority="184" operator="equal">
      <formula>"Extremo"</formula>
    </cfRule>
    <cfRule type="cellIs" dxfId="31" priority="185" operator="equal">
      <formula>"Alto"</formula>
    </cfRule>
    <cfRule type="cellIs" dxfId="30" priority="186" operator="equal">
      <formula>"Moderado"</formula>
    </cfRule>
    <cfRule type="cellIs" dxfId="29" priority="187" operator="equal">
      <formula>"Bajo"</formula>
    </cfRule>
  </conditionalFormatting>
  <conditionalFormatting sqref="Y38:Y39">
    <cfRule type="cellIs" dxfId="28" priority="179" operator="equal">
      <formula>"Muy Alta"</formula>
    </cfRule>
    <cfRule type="cellIs" dxfId="27" priority="180" operator="equal">
      <formula>"Alta"</formula>
    </cfRule>
    <cfRule type="cellIs" dxfId="26" priority="181" operator="equal">
      <formula>"Media"</formula>
    </cfRule>
    <cfRule type="cellIs" dxfId="25" priority="182" operator="equal">
      <formula>"Baja"</formula>
    </cfRule>
    <cfRule type="cellIs" dxfId="24" priority="183" operator="equal">
      <formula>"Muy Baja"</formula>
    </cfRule>
  </conditionalFormatting>
  <conditionalFormatting sqref="AA38:AA39">
    <cfRule type="cellIs" dxfId="23" priority="174" operator="equal">
      <formula>"Catastrófico"</formula>
    </cfRule>
    <cfRule type="cellIs" dxfId="22" priority="175" operator="equal">
      <formula>"Mayor"</formula>
    </cfRule>
    <cfRule type="cellIs" dxfId="21" priority="176" operator="equal">
      <formula>"Moderado"</formula>
    </cfRule>
    <cfRule type="cellIs" dxfId="20" priority="177" operator="equal">
      <formula>"Menor"</formula>
    </cfRule>
    <cfRule type="cellIs" dxfId="19" priority="178" operator="equal">
      <formula>"Leve"</formula>
    </cfRule>
  </conditionalFormatting>
  <conditionalFormatting sqref="AC38:AC39">
    <cfRule type="cellIs" dxfId="18" priority="170" operator="equal">
      <formula>"Extremo"</formula>
    </cfRule>
    <cfRule type="cellIs" dxfId="17" priority="171" operator="equal">
      <formula>"Alto"</formula>
    </cfRule>
    <cfRule type="cellIs" dxfId="16" priority="172" operator="equal">
      <formula>"Moderado"</formula>
    </cfRule>
    <cfRule type="cellIs" dxfId="15" priority="173" operator="equal">
      <formula>"Bajo"</formula>
    </cfRule>
  </conditionalFormatting>
  <conditionalFormatting sqref="K23:K40">
    <cfRule type="containsText" dxfId="14" priority="57" operator="containsText" text="❌">
      <formula>NOT(ISERROR(SEARCH("❌",K23)))</formula>
    </cfRule>
  </conditionalFormatting>
  <conditionalFormatting sqref="Y35">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A35">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C35">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ignoredErrors>
    <ignoredError sqref="AB30"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R23 R29:R31 R34:R35 R37:R39</xm:sqref>
        </x14:dataValidation>
        <x14:dataValidation type="list" allowBlank="1" showInputMessage="1" showErrorMessage="1" xr:uid="{00000000-0002-0000-0100-000001000000}">
          <x14:formula1>
            <xm:f>'Tabla Valoración controles'!$D$7:$D$8</xm:f>
          </x14:formula1>
          <xm:sqref>S23 S29:S31 S34:S35 S37:S39</xm:sqref>
        </x14:dataValidation>
        <x14:dataValidation type="list" allowBlank="1" showInputMessage="1" showErrorMessage="1" xr:uid="{00000000-0002-0000-0100-000002000000}">
          <x14:formula1>
            <xm:f>'Tabla Valoración controles'!$D$9:$D$10</xm:f>
          </x14:formula1>
          <xm:sqref>U23 U29:U31 U34:U35 U37:U39</xm:sqref>
        </x14:dataValidation>
        <x14:dataValidation type="list" allowBlank="1" showInputMessage="1" showErrorMessage="1" xr:uid="{00000000-0002-0000-0100-000003000000}">
          <x14:formula1>
            <xm:f>'Tabla Valoración controles'!$D$11:$D$12</xm:f>
          </x14:formula1>
          <xm:sqref>V23 V29:V31 V34:V35 V37:V39</xm:sqref>
        </x14:dataValidation>
        <x14:dataValidation type="list" allowBlank="1" showInputMessage="1" showErrorMessage="1" xr:uid="{00000000-0002-0000-0100-000004000000}">
          <x14:formula1>
            <xm:f>'Opciones Tratamiento'!$B$9:$B$10</xm:f>
          </x14:formula1>
          <xm:sqref>AJ23:AJ24 AJ26:AJ27 AJ29:AJ32 AJ34 AJ36:AJ39</xm:sqref>
        </x14:dataValidation>
        <x14:dataValidation type="list" allowBlank="1" showInputMessage="1" showErrorMessage="1" xr:uid="{00000000-0002-0000-0100-000005000000}">
          <x14:formula1>
            <xm:f>'Tabla Valoración controles'!$D$13:$D$14</xm:f>
          </x14:formula1>
          <xm:sqref>W23 W29:W31 W34:W35 W37:W39</xm:sqref>
        </x14:dataValidation>
        <x14:dataValidation type="list" allowBlank="1" showInputMessage="1" showErrorMessage="1" xr:uid="{00000000-0002-0000-0100-000008000000}">
          <x14:formula1>
            <xm:f>'Opciones Tratamiento'!$B$2:$B$5</xm:f>
          </x14:formula1>
          <xm:sqref>AD23 AD29:AD31 AD34:AD35 AD37:AD40</xm:sqref>
        </x14:dataValidation>
        <x14:dataValidation type="list" allowBlank="1" showInputMessage="1" showErrorMessage="1" xr:uid="{00000000-0002-0000-0100-000006000000}">
          <x14:formula1>
            <xm:f>'Opciones Tratamiento'!$B$13:$B$19</xm:f>
          </x14:formula1>
          <xm:sqref>F23:F40</xm:sqref>
        </x14:dataValidation>
        <x14:dataValidation type="list" allowBlank="1" showInputMessage="1" showErrorMessage="1" xr:uid="{00000000-0002-0000-0100-000007000000}">
          <x14:formula1>
            <xm:f>'Opciones Tratamiento'!$E$2:$E$4</xm:f>
          </x14:formula1>
          <xm:sqref>B23:B40</xm:sqref>
        </x14:dataValidation>
        <x14:dataValidation type="list" allowBlank="1" showInputMessage="1" showErrorMessage="1" xr:uid="{00000000-0002-0000-0100-000009000000}">
          <x14:formula1>
            <xm:f>'Tabla Impacto'!$F$210:$F$221</xm:f>
          </x14:formula1>
          <xm:sqref>J23:J40</xm:sqref>
        </x14:dataValidation>
        <x14:dataValidation type="custom" allowBlank="1" showInputMessage="1" showErrorMessage="1" error="Recuerde que las acciones se generan bajo la medida de mitigar el riesgo" xr:uid="{00000000-0002-0000-0100-00000A000000}">
          <x14:formula1>
            <xm:f>IF(OR(AD23='Opciones Tratamiento'!$B$2,AD23='Opciones Tratamiento'!$B$3,AD23='Opciones Tratamiento'!$B$4),ISBLANK(AD23),ISTEXT(AD23))</xm:f>
          </x14:formula1>
          <xm:sqref>AE23 AE29:AE31 AE33:AE35 AE37:AE40</xm:sqref>
        </x14:dataValidation>
        <x14:dataValidation type="custom" allowBlank="1" showInputMessage="1" showErrorMessage="1" error="Recuerde que las acciones se generan bajo la medida de mitigar el riesgo" xr:uid="{00000000-0002-0000-0100-00000B000000}">
          <x14:formula1>
            <xm:f>IF(OR(AD23='Opciones Tratamiento'!$B$2,AD23='Opciones Tratamiento'!$B$3,AD23='Opciones Tratamiento'!$B$4),ISBLANK(AD23),ISTEXT(AD23))</xm:f>
          </x14:formula1>
          <xm:sqref>AF23:AF40</xm:sqref>
        </x14:dataValidation>
        <x14:dataValidation type="custom" allowBlank="1" showInputMessage="1" showErrorMessage="1" error="Recuerde que las acciones se generan bajo la medida de mitigar el riesgo" xr:uid="{00000000-0002-0000-0100-00000C000000}">
          <x14:formula1>
            <xm:f>IF(OR(AD23='Opciones Tratamiento'!$B$2,AD23='Opciones Tratamiento'!$B$3,AD23='Opciones Tratamiento'!$B$4),ISBLANK(AD23),ISTEXT(AD23))</xm:f>
          </x14:formula1>
          <xm:sqref>AG23:AG40</xm:sqref>
        </x14:dataValidation>
        <x14:dataValidation type="custom" allowBlank="1" showInputMessage="1" showErrorMessage="1" error="Recuerde que las acciones se generan bajo la medida de mitigar el riesgo" xr:uid="{00000000-0002-0000-0100-00000D000000}">
          <x14:formula1>
            <xm:f>IF(OR(AD23='Opciones Tratamiento'!$B$2,AD23='Opciones Tratamiento'!$B$3,AD23='Opciones Tratamiento'!$B$4),ISBLANK(AD23),ISTEXT(AD23))</xm:f>
          </x14:formula1>
          <xm:sqref>AH23:AH40</xm:sqref>
        </x14:dataValidation>
        <x14:dataValidation type="custom" allowBlank="1" showInputMessage="1" showErrorMessage="1" error="Recuerde que las acciones se generan bajo la medida de mitigar el riesgo" xr:uid="{00000000-0002-0000-0100-00000E000000}">
          <x14:formula1>
            <xm:f>IF(OR(AD23='Opciones Tratamiento'!$B$2,AD23='Opciones Tratamiento'!$B$3,AD23='Opciones Tratamiento'!$B$4),ISBLANK(AD23),ISTEXT(AD23))</xm:f>
          </x14:formula1>
          <xm:sqref>AI23:AI40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79" t="s">
        <v>90</v>
      </c>
      <c r="C2" s="279"/>
      <c r="D2" s="279"/>
      <c r="E2" s="279"/>
      <c r="F2" s="279"/>
      <c r="G2" s="279"/>
      <c r="H2" s="279"/>
      <c r="I2" s="279"/>
      <c r="J2" s="316" t="s">
        <v>13</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79"/>
      <c r="C3" s="279"/>
      <c r="D3" s="279"/>
      <c r="E3" s="279"/>
      <c r="F3" s="279"/>
      <c r="G3" s="279"/>
      <c r="H3" s="279"/>
      <c r="I3" s="279"/>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79"/>
      <c r="C4" s="279"/>
      <c r="D4" s="279"/>
      <c r="E4" s="279"/>
      <c r="F4" s="279"/>
      <c r="G4" s="279"/>
      <c r="H4" s="279"/>
      <c r="I4" s="279"/>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327" t="s">
        <v>91</v>
      </c>
      <c r="C6" s="327"/>
      <c r="D6" s="328"/>
      <c r="E6" s="317" t="s">
        <v>92</v>
      </c>
      <c r="F6" s="318"/>
      <c r="G6" s="318"/>
      <c r="H6" s="318"/>
      <c r="I6" s="319"/>
      <c r="J6" s="313" t="str">
        <f>IF(AND('Mapa final'!$H$23="Muy Alta",'Mapa final'!$L$23="Leve"),CONCATENATE("R",'Mapa final'!$A$23),"")</f>
        <v/>
      </c>
      <c r="K6" s="314"/>
      <c r="L6" s="314" t="str">
        <f>IF(AND('Mapa final'!$H$29="Muy Alta",'Mapa final'!$L$29="Leve"),CONCATENATE("R",'Mapa final'!$A$29),"")</f>
        <v/>
      </c>
      <c r="M6" s="314"/>
      <c r="N6" s="314" t="str">
        <f>IF(AND('Mapa final'!$H$31="Muy Alta",'Mapa final'!$L$31="Leve"),CONCATENATE("R",'Mapa final'!$A$31),"")</f>
        <v/>
      </c>
      <c r="O6" s="315"/>
      <c r="P6" s="313" t="str">
        <f>IF(AND('Mapa final'!$H$23="Muy Alta",'Mapa final'!$L$23="Menor"),CONCATENATE("R",'Mapa final'!$A$23),"")</f>
        <v/>
      </c>
      <c r="Q6" s="314"/>
      <c r="R6" s="314" t="str">
        <f>IF(AND('Mapa final'!$H$29="Muy Alta",'Mapa final'!$L$29="Menor"),CONCATENATE("R",'Mapa final'!$A$29),"")</f>
        <v/>
      </c>
      <c r="S6" s="314"/>
      <c r="T6" s="314" t="str">
        <f>IF(AND('Mapa final'!$H$31="Muy Alta",'Mapa final'!$L$31="Menor"),CONCATENATE("R",'Mapa final'!$A$31),"")</f>
        <v/>
      </c>
      <c r="U6" s="315"/>
      <c r="V6" s="313" t="str">
        <f>IF(AND('Mapa final'!$H$23="Muy Alta",'Mapa final'!$L$23="Moderado"),CONCATENATE("R",'Mapa final'!$A$23),"")</f>
        <v/>
      </c>
      <c r="W6" s="314"/>
      <c r="X6" s="314" t="str">
        <f>IF(AND('Mapa final'!$H$29="Muy Alta",'Mapa final'!$L$29="Moderado"),CONCATENATE("R",'Mapa final'!$A$29),"")</f>
        <v/>
      </c>
      <c r="Y6" s="314"/>
      <c r="Z6" s="314" t="str">
        <f>IF(AND('Mapa final'!$H$31="Muy Alta",'Mapa final'!$L$31="Moderado"),CONCATENATE("R",'Mapa final'!$A$31),"")</f>
        <v/>
      </c>
      <c r="AA6" s="315"/>
      <c r="AB6" s="313" t="str">
        <f>IF(AND('Mapa final'!$H$23="Muy Alta",'Mapa final'!$L$23="Mayor"),CONCATENATE("R",'Mapa final'!$A$23),"")</f>
        <v/>
      </c>
      <c r="AC6" s="314"/>
      <c r="AD6" s="314" t="str">
        <f>IF(AND('Mapa final'!$H$29="Muy Alta",'Mapa final'!$L$29="Mayor"),CONCATENATE("R",'Mapa final'!$A$29),"")</f>
        <v/>
      </c>
      <c r="AE6" s="314"/>
      <c r="AF6" s="314" t="str">
        <f>IF(AND('Mapa final'!$H$31="Muy Alta",'Mapa final'!$L$31="Mayor"),CONCATENATE("R",'Mapa final'!$A$31),"")</f>
        <v/>
      </c>
      <c r="AG6" s="315"/>
      <c r="AH6" s="304" t="str">
        <f>IF(AND('Mapa final'!$H$23="Muy Alta",'Mapa final'!$L$23="Catastrófico"),CONCATENATE("R",'Mapa final'!$A$23),"")</f>
        <v/>
      </c>
      <c r="AI6" s="305"/>
      <c r="AJ6" s="305" t="str">
        <f>IF(AND('Mapa final'!$H$29="Muy Alta",'Mapa final'!$L$29="Catastrófico"),CONCATENATE("R",'Mapa final'!$A$29),"")</f>
        <v/>
      </c>
      <c r="AK6" s="305"/>
      <c r="AL6" s="305" t="str">
        <f>IF(AND('Mapa final'!$H$31="Muy Alta",'Mapa final'!$L$31="Catastrófico"),CONCATENATE("R",'Mapa final'!$A$31),"")</f>
        <v/>
      </c>
      <c r="AM6" s="306"/>
      <c r="AO6" s="329" t="s">
        <v>93</v>
      </c>
      <c r="AP6" s="330"/>
      <c r="AQ6" s="330"/>
      <c r="AR6" s="330"/>
      <c r="AS6" s="330"/>
      <c r="AT6" s="33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327"/>
      <c r="C7" s="327"/>
      <c r="D7" s="328"/>
      <c r="E7" s="320"/>
      <c r="F7" s="321"/>
      <c r="G7" s="321"/>
      <c r="H7" s="321"/>
      <c r="I7" s="322"/>
      <c r="J7" s="307"/>
      <c r="K7" s="308"/>
      <c r="L7" s="308"/>
      <c r="M7" s="308"/>
      <c r="N7" s="308"/>
      <c r="O7" s="309"/>
      <c r="P7" s="307"/>
      <c r="Q7" s="308"/>
      <c r="R7" s="308"/>
      <c r="S7" s="308"/>
      <c r="T7" s="308"/>
      <c r="U7" s="309"/>
      <c r="V7" s="307"/>
      <c r="W7" s="308"/>
      <c r="X7" s="308"/>
      <c r="Y7" s="308"/>
      <c r="Z7" s="308"/>
      <c r="AA7" s="309"/>
      <c r="AB7" s="307"/>
      <c r="AC7" s="308"/>
      <c r="AD7" s="308"/>
      <c r="AE7" s="308"/>
      <c r="AF7" s="308"/>
      <c r="AG7" s="309"/>
      <c r="AH7" s="298"/>
      <c r="AI7" s="299"/>
      <c r="AJ7" s="299"/>
      <c r="AK7" s="299"/>
      <c r="AL7" s="299"/>
      <c r="AM7" s="300"/>
      <c r="AN7" s="83"/>
      <c r="AO7" s="332"/>
      <c r="AP7" s="333"/>
      <c r="AQ7" s="333"/>
      <c r="AR7" s="333"/>
      <c r="AS7" s="333"/>
      <c r="AT7" s="33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327"/>
      <c r="C8" s="327"/>
      <c r="D8" s="328"/>
      <c r="E8" s="320"/>
      <c r="F8" s="321"/>
      <c r="G8" s="321"/>
      <c r="H8" s="321"/>
      <c r="I8" s="322"/>
      <c r="J8" s="307" t="str">
        <f>IF(AND('Mapa final'!$H$34="Muy Alta",'Mapa final'!$L$34="Leve"),CONCATENATE("R",'Mapa final'!$A$34),"")</f>
        <v/>
      </c>
      <c r="K8" s="308"/>
      <c r="L8" s="308" t="str">
        <f>IF(AND('Mapa final'!$H$37="Muy Alta",'Mapa final'!$L$37="Leve"),CONCATENATE("R",'Mapa final'!$A$37),"")</f>
        <v/>
      </c>
      <c r="M8" s="308"/>
      <c r="N8" s="308" t="str">
        <f>IF(AND('Mapa final'!$H$38="Muy Alta",'Mapa final'!$L$38="Leve"),CONCATENATE("R",'Mapa final'!$A$38),"")</f>
        <v/>
      </c>
      <c r="O8" s="309"/>
      <c r="P8" s="307" t="str">
        <f>IF(AND('Mapa final'!$H$34="Muy Alta",'Mapa final'!$L$34="Menor"),CONCATENATE("R",'Mapa final'!$A$34),"")</f>
        <v/>
      </c>
      <c r="Q8" s="308"/>
      <c r="R8" s="308" t="str">
        <f>IF(AND('Mapa final'!$H$37="Muy Alta",'Mapa final'!$L$37="Menor"),CONCATENATE("R",'Mapa final'!$A$37),"")</f>
        <v/>
      </c>
      <c r="S8" s="308"/>
      <c r="T8" s="308" t="str">
        <f>IF(AND('Mapa final'!$H$38="Muy Alta",'Mapa final'!$L$38="Menor"),CONCATENATE("R",'Mapa final'!$A$38),"")</f>
        <v/>
      </c>
      <c r="U8" s="309"/>
      <c r="V8" s="307" t="str">
        <f>IF(AND('Mapa final'!$H$34="Muy Alta",'Mapa final'!$L$34="Moderado"),CONCATENATE("R",'Mapa final'!$A$34),"")</f>
        <v/>
      </c>
      <c r="W8" s="308"/>
      <c r="X8" s="308" t="str">
        <f>IF(AND('Mapa final'!$H$37="Muy Alta",'Mapa final'!$L$37="Moderado"),CONCATENATE("R",'Mapa final'!$A$37),"")</f>
        <v/>
      </c>
      <c r="Y8" s="308"/>
      <c r="Z8" s="308" t="str">
        <f>IF(AND('Mapa final'!$H$38="Muy Alta",'Mapa final'!$L$38="Moderado"),CONCATENATE("R",'Mapa final'!$A$38),"")</f>
        <v/>
      </c>
      <c r="AA8" s="309"/>
      <c r="AB8" s="307" t="str">
        <f>IF(AND('Mapa final'!$H$34="Muy Alta",'Mapa final'!$L$34="Mayor"),CONCATENATE("R",'Mapa final'!$A$34),"")</f>
        <v/>
      </c>
      <c r="AC8" s="308"/>
      <c r="AD8" s="308" t="str">
        <f>IF(AND('Mapa final'!$H$37="Muy Alta",'Mapa final'!$L$37="Mayor"),CONCATENATE("R",'Mapa final'!$A$37),"")</f>
        <v/>
      </c>
      <c r="AE8" s="308"/>
      <c r="AF8" s="308" t="str">
        <f>IF(AND('Mapa final'!$H$38="Muy Alta",'Mapa final'!$L$38="Mayor"),CONCATENATE("R",'Mapa final'!$A$38),"")</f>
        <v/>
      </c>
      <c r="AG8" s="309"/>
      <c r="AH8" s="298" t="str">
        <f>IF(AND('Mapa final'!$H$34="Muy Alta",'Mapa final'!$L$34="Catastrófico"),CONCATENATE("R",'Mapa final'!$A$34),"")</f>
        <v/>
      </c>
      <c r="AI8" s="299"/>
      <c r="AJ8" s="299" t="str">
        <f>IF(AND('Mapa final'!$H$37="Muy Alta",'Mapa final'!$L$37="Catastrófico"),CONCATENATE("R",'Mapa final'!$A$37),"")</f>
        <v/>
      </c>
      <c r="AK8" s="299"/>
      <c r="AL8" s="299" t="str">
        <f>IF(AND('Mapa final'!$H$38="Muy Alta",'Mapa final'!$L$38="Catastrófico"),CONCATENATE("R",'Mapa final'!$A$38),"")</f>
        <v/>
      </c>
      <c r="AM8" s="300"/>
      <c r="AN8" s="83"/>
      <c r="AO8" s="332"/>
      <c r="AP8" s="333"/>
      <c r="AQ8" s="333"/>
      <c r="AR8" s="333"/>
      <c r="AS8" s="333"/>
      <c r="AT8" s="33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327"/>
      <c r="C9" s="327"/>
      <c r="D9" s="328"/>
      <c r="E9" s="320"/>
      <c r="F9" s="321"/>
      <c r="G9" s="321"/>
      <c r="H9" s="321"/>
      <c r="I9" s="322"/>
      <c r="J9" s="307"/>
      <c r="K9" s="308"/>
      <c r="L9" s="308"/>
      <c r="M9" s="308"/>
      <c r="N9" s="308"/>
      <c r="O9" s="309"/>
      <c r="P9" s="307"/>
      <c r="Q9" s="308"/>
      <c r="R9" s="308"/>
      <c r="S9" s="308"/>
      <c r="T9" s="308"/>
      <c r="U9" s="309"/>
      <c r="V9" s="307"/>
      <c r="W9" s="308"/>
      <c r="X9" s="308"/>
      <c r="Y9" s="308"/>
      <c r="Z9" s="308"/>
      <c r="AA9" s="309"/>
      <c r="AB9" s="307"/>
      <c r="AC9" s="308"/>
      <c r="AD9" s="308"/>
      <c r="AE9" s="308"/>
      <c r="AF9" s="308"/>
      <c r="AG9" s="309"/>
      <c r="AH9" s="298"/>
      <c r="AI9" s="299"/>
      <c r="AJ9" s="299"/>
      <c r="AK9" s="299"/>
      <c r="AL9" s="299"/>
      <c r="AM9" s="300"/>
      <c r="AN9" s="83"/>
      <c r="AO9" s="332"/>
      <c r="AP9" s="333"/>
      <c r="AQ9" s="333"/>
      <c r="AR9" s="333"/>
      <c r="AS9" s="333"/>
      <c r="AT9" s="33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327"/>
      <c r="C10" s="327"/>
      <c r="D10" s="328"/>
      <c r="E10" s="320"/>
      <c r="F10" s="321"/>
      <c r="G10" s="321"/>
      <c r="H10" s="321"/>
      <c r="I10" s="322"/>
      <c r="J10" s="307" t="e">
        <f>IF(AND('Mapa final'!#REF!="Muy Alta",'Mapa final'!#REF!="Leve"),CONCATENATE("R",'Mapa final'!#REF!),"")</f>
        <v>#REF!</v>
      </c>
      <c r="K10" s="308"/>
      <c r="L10" s="308" t="e">
        <f>IF(AND('Mapa final'!#REF!="Muy Alta",'Mapa final'!#REF!="Leve"),CONCATENATE("R",'Mapa final'!#REF!),"")</f>
        <v>#REF!</v>
      </c>
      <c r="M10" s="308"/>
      <c r="N10" s="308" t="e">
        <f>IF(AND('Mapa final'!#REF!="Muy Alta",'Mapa final'!#REF!="Leve"),CONCATENATE("R",'Mapa final'!#REF!),"")</f>
        <v>#REF!</v>
      </c>
      <c r="O10" s="309"/>
      <c r="P10" s="307" t="e">
        <f>IF(AND('Mapa final'!#REF!="Muy Alta",'Mapa final'!#REF!="Menor"),CONCATENATE("R",'Mapa final'!#REF!),"")</f>
        <v>#REF!</v>
      </c>
      <c r="Q10" s="308"/>
      <c r="R10" s="308" t="e">
        <f>IF(AND('Mapa final'!#REF!="Muy Alta",'Mapa final'!#REF!="Menor"),CONCATENATE("R",'Mapa final'!#REF!),"")</f>
        <v>#REF!</v>
      </c>
      <c r="S10" s="308"/>
      <c r="T10" s="308" t="e">
        <f>IF(AND('Mapa final'!#REF!="Muy Alta",'Mapa final'!#REF!="Menor"),CONCATENATE("R",'Mapa final'!#REF!),"")</f>
        <v>#REF!</v>
      </c>
      <c r="U10" s="309"/>
      <c r="V10" s="307" t="e">
        <f>IF(AND('Mapa final'!#REF!="Muy Alta",'Mapa final'!#REF!="Moderado"),CONCATENATE("R",'Mapa final'!#REF!),"")</f>
        <v>#REF!</v>
      </c>
      <c r="W10" s="308"/>
      <c r="X10" s="308" t="e">
        <f>IF(AND('Mapa final'!#REF!="Muy Alta",'Mapa final'!#REF!="Moderado"),CONCATENATE("R",'Mapa final'!#REF!),"")</f>
        <v>#REF!</v>
      </c>
      <c r="Y10" s="308"/>
      <c r="Z10" s="308" t="e">
        <f>IF(AND('Mapa final'!#REF!="Muy Alta",'Mapa final'!#REF!="Moderado"),CONCATENATE("R",'Mapa final'!#REF!),"")</f>
        <v>#REF!</v>
      </c>
      <c r="AA10" s="309"/>
      <c r="AB10" s="307" t="e">
        <f>IF(AND('Mapa final'!#REF!="Muy Alta",'Mapa final'!#REF!="Mayor"),CONCATENATE("R",'Mapa final'!#REF!),"")</f>
        <v>#REF!</v>
      </c>
      <c r="AC10" s="308"/>
      <c r="AD10" s="308" t="e">
        <f>IF(AND('Mapa final'!#REF!="Muy Alta",'Mapa final'!#REF!="Mayor"),CONCATENATE("R",'Mapa final'!#REF!),"")</f>
        <v>#REF!</v>
      </c>
      <c r="AE10" s="308"/>
      <c r="AF10" s="308" t="e">
        <f>IF(AND('Mapa final'!#REF!="Muy Alta",'Mapa final'!#REF!="Mayor"),CONCATENATE("R",'Mapa final'!#REF!),"")</f>
        <v>#REF!</v>
      </c>
      <c r="AG10" s="309"/>
      <c r="AH10" s="298" t="e">
        <f>IF(AND('Mapa final'!#REF!="Muy Alta",'Mapa final'!#REF!="Catastrófico"),CONCATENATE("R",'Mapa final'!#REF!),"")</f>
        <v>#REF!</v>
      </c>
      <c r="AI10" s="299"/>
      <c r="AJ10" s="299" t="e">
        <f>IF(AND('Mapa final'!#REF!="Muy Alta",'Mapa final'!#REF!="Catastrófico"),CONCATENATE("R",'Mapa final'!#REF!),"")</f>
        <v>#REF!</v>
      </c>
      <c r="AK10" s="299"/>
      <c r="AL10" s="299" t="e">
        <f>IF(AND('Mapa final'!#REF!="Muy Alta",'Mapa final'!#REF!="Catastrófico"),CONCATENATE("R",'Mapa final'!#REF!),"")</f>
        <v>#REF!</v>
      </c>
      <c r="AM10" s="300"/>
      <c r="AN10" s="83"/>
      <c r="AO10" s="332"/>
      <c r="AP10" s="333"/>
      <c r="AQ10" s="333"/>
      <c r="AR10" s="333"/>
      <c r="AS10" s="333"/>
      <c r="AT10" s="33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327"/>
      <c r="C11" s="327"/>
      <c r="D11" s="328"/>
      <c r="E11" s="320"/>
      <c r="F11" s="321"/>
      <c r="G11" s="321"/>
      <c r="H11" s="321"/>
      <c r="I11" s="322"/>
      <c r="J11" s="307"/>
      <c r="K11" s="308"/>
      <c r="L11" s="308"/>
      <c r="M11" s="308"/>
      <c r="N11" s="308"/>
      <c r="O11" s="309"/>
      <c r="P11" s="307"/>
      <c r="Q11" s="308"/>
      <c r="R11" s="308"/>
      <c r="S11" s="308"/>
      <c r="T11" s="308"/>
      <c r="U11" s="309"/>
      <c r="V11" s="307"/>
      <c r="W11" s="308"/>
      <c r="X11" s="308"/>
      <c r="Y11" s="308"/>
      <c r="Z11" s="308"/>
      <c r="AA11" s="309"/>
      <c r="AB11" s="307"/>
      <c r="AC11" s="308"/>
      <c r="AD11" s="308"/>
      <c r="AE11" s="308"/>
      <c r="AF11" s="308"/>
      <c r="AG11" s="309"/>
      <c r="AH11" s="298"/>
      <c r="AI11" s="299"/>
      <c r="AJ11" s="299"/>
      <c r="AK11" s="299"/>
      <c r="AL11" s="299"/>
      <c r="AM11" s="300"/>
      <c r="AN11" s="83"/>
      <c r="AO11" s="332"/>
      <c r="AP11" s="333"/>
      <c r="AQ11" s="333"/>
      <c r="AR11" s="333"/>
      <c r="AS11" s="333"/>
      <c r="AT11" s="33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327"/>
      <c r="C12" s="327"/>
      <c r="D12" s="328"/>
      <c r="E12" s="320"/>
      <c r="F12" s="321"/>
      <c r="G12" s="321"/>
      <c r="H12" s="321"/>
      <c r="I12" s="322"/>
      <c r="J12" s="307" t="e">
        <f>IF(AND('Mapa final'!#REF!="Muy Alta",'Mapa final'!#REF!="Leve"),CONCATENATE("R",'Mapa final'!#REF!),"")</f>
        <v>#REF!</v>
      </c>
      <c r="K12" s="308"/>
      <c r="L12" s="308" t="str">
        <f>IF(AND('Mapa final'!$H$41="Muy Alta",'Mapa final'!$L$41="Leve"),CONCATENATE("R",'Mapa final'!$A$41),"")</f>
        <v/>
      </c>
      <c r="M12" s="308"/>
      <c r="N12" s="308" t="str">
        <f>IF(AND('Mapa final'!$H$47="Muy Alta",'Mapa final'!$L$47="Leve"),CONCATENATE("R",'Mapa final'!$A$47),"")</f>
        <v/>
      </c>
      <c r="O12" s="309"/>
      <c r="P12" s="307" t="e">
        <f>IF(AND('Mapa final'!#REF!="Muy Alta",'Mapa final'!#REF!="Menor"),CONCATENATE("R",'Mapa final'!#REF!),"")</f>
        <v>#REF!</v>
      </c>
      <c r="Q12" s="308"/>
      <c r="R12" s="308" t="str">
        <f>IF(AND('Mapa final'!$H$41="Muy Alta",'Mapa final'!$L$41="Menor"),CONCATENATE("R",'Mapa final'!$A$41),"")</f>
        <v/>
      </c>
      <c r="S12" s="308"/>
      <c r="T12" s="308" t="str">
        <f>IF(AND('Mapa final'!$H$47="Muy Alta",'Mapa final'!$L$47="Menor"),CONCATENATE("R",'Mapa final'!$A$47),"")</f>
        <v/>
      </c>
      <c r="U12" s="309"/>
      <c r="V12" s="307" t="e">
        <f>IF(AND('Mapa final'!#REF!="Muy Alta",'Mapa final'!#REF!="Moderado"),CONCATENATE("R",'Mapa final'!#REF!),"")</f>
        <v>#REF!</v>
      </c>
      <c r="W12" s="308"/>
      <c r="X12" s="308" t="str">
        <f>IF(AND('Mapa final'!$H$41="Muy Alta",'Mapa final'!$L$41="Moderado"),CONCATENATE("R",'Mapa final'!$A$41),"")</f>
        <v/>
      </c>
      <c r="Y12" s="308"/>
      <c r="Z12" s="308" t="str">
        <f>IF(AND('Mapa final'!$H$47="Muy Alta",'Mapa final'!$L$47="Moderado"),CONCATENATE("R",'Mapa final'!$A$47),"")</f>
        <v/>
      </c>
      <c r="AA12" s="309"/>
      <c r="AB12" s="307" t="e">
        <f>IF(AND('Mapa final'!#REF!="Muy Alta",'Mapa final'!#REF!="Mayor"),CONCATENATE("R",'Mapa final'!#REF!),"")</f>
        <v>#REF!</v>
      </c>
      <c r="AC12" s="308"/>
      <c r="AD12" s="308" t="str">
        <f>IF(AND('Mapa final'!$H$41="Muy Alta",'Mapa final'!$L$41="Mayor"),CONCATENATE("R",'Mapa final'!$A$41),"")</f>
        <v/>
      </c>
      <c r="AE12" s="308"/>
      <c r="AF12" s="308" t="str">
        <f>IF(AND('Mapa final'!$H$47="Muy Alta",'Mapa final'!$L$47="Mayor"),CONCATENATE("R",'Mapa final'!$A$47),"")</f>
        <v/>
      </c>
      <c r="AG12" s="309"/>
      <c r="AH12" s="298" t="e">
        <f>IF(AND('Mapa final'!#REF!="Muy Alta",'Mapa final'!#REF!="Catastrófico"),CONCATENATE("R",'Mapa final'!#REF!),"")</f>
        <v>#REF!</v>
      </c>
      <c r="AI12" s="299"/>
      <c r="AJ12" s="299" t="str">
        <f>IF(AND('Mapa final'!$H$41="Muy Alta",'Mapa final'!$L$41="Catastrófico"),CONCATENATE("R",'Mapa final'!$A$41),"")</f>
        <v/>
      </c>
      <c r="AK12" s="299"/>
      <c r="AL12" s="299" t="str">
        <f>IF(AND('Mapa final'!$H$47="Muy Alta",'Mapa final'!$L$47="Catastrófico"),CONCATENATE("R",'Mapa final'!$A$47),"")</f>
        <v/>
      </c>
      <c r="AM12" s="300"/>
      <c r="AN12" s="83"/>
      <c r="AO12" s="332"/>
      <c r="AP12" s="333"/>
      <c r="AQ12" s="333"/>
      <c r="AR12" s="333"/>
      <c r="AS12" s="333"/>
      <c r="AT12" s="33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327"/>
      <c r="C13" s="327"/>
      <c r="D13" s="328"/>
      <c r="E13" s="323"/>
      <c r="F13" s="324"/>
      <c r="G13" s="324"/>
      <c r="H13" s="324"/>
      <c r="I13" s="325"/>
      <c r="J13" s="307"/>
      <c r="K13" s="308"/>
      <c r="L13" s="308"/>
      <c r="M13" s="308"/>
      <c r="N13" s="308"/>
      <c r="O13" s="309"/>
      <c r="P13" s="307"/>
      <c r="Q13" s="308"/>
      <c r="R13" s="308"/>
      <c r="S13" s="308"/>
      <c r="T13" s="308"/>
      <c r="U13" s="309"/>
      <c r="V13" s="307"/>
      <c r="W13" s="308"/>
      <c r="X13" s="308"/>
      <c r="Y13" s="308"/>
      <c r="Z13" s="308"/>
      <c r="AA13" s="309"/>
      <c r="AB13" s="307"/>
      <c r="AC13" s="308"/>
      <c r="AD13" s="308"/>
      <c r="AE13" s="308"/>
      <c r="AF13" s="308"/>
      <c r="AG13" s="309"/>
      <c r="AH13" s="301"/>
      <c r="AI13" s="302"/>
      <c r="AJ13" s="302"/>
      <c r="AK13" s="302"/>
      <c r="AL13" s="302"/>
      <c r="AM13" s="303"/>
      <c r="AN13" s="83"/>
      <c r="AO13" s="335"/>
      <c r="AP13" s="336"/>
      <c r="AQ13" s="336"/>
      <c r="AR13" s="336"/>
      <c r="AS13" s="336"/>
      <c r="AT13" s="33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327"/>
      <c r="C14" s="327"/>
      <c r="D14" s="328"/>
      <c r="E14" s="317" t="s">
        <v>94</v>
      </c>
      <c r="F14" s="318"/>
      <c r="G14" s="318"/>
      <c r="H14" s="318"/>
      <c r="I14" s="318"/>
      <c r="J14" s="295" t="str">
        <f>IF(AND('Mapa final'!$H$23="Alta",'Mapa final'!$L$23="Leve"),CONCATENATE("R",'Mapa final'!$A$23),"")</f>
        <v/>
      </c>
      <c r="K14" s="296"/>
      <c r="L14" s="296" t="str">
        <f>IF(AND('Mapa final'!$H$29="Alta",'Mapa final'!$L$29="Leve"),CONCATENATE("R",'Mapa final'!$A$29),"")</f>
        <v/>
      </c>
      <c r="M14" s="296"/>
      <c r="N14" s="296" t="str">
        <f>IF(AND('Mapa final'!$H$31="Alta",'Mapa final'!$L$31="Leve"),CONCATENATE("R",'Mapa final'!$A$31),"")</f>
        <v/>
      </c>
      <c r="O14" s="297"/>
      <c r="P14" s="295" t="str">
        <f>IF(AND('Mapa final'!$H$23="Alta",'Mapa final'!$L$23="Menor"),CONCATENATE("R",'Mapa final'!$A$23),"")</f>
        <v/>
      </c>
      <c r="Q14" s="296"/>
      <c r="R14" s="296" t="str">
        <f>IF(AND('Mapa final'!$H$29="Alta",'Mapa final'!$L$29="Menor"),CONCATENATE("R",'Mapa final'!$A$29),"")</f>
        <v/>
      </c>
      <c r="S14" s="296"/>
      <c r="T14" s="296" t="str">
        <f>IF(AND('Mapa final'!$H$31="Alta",'Mapa final'!$L$31="Menor"),CONCATENATE("R",'Mapa final'!$A$31),"")</f>
        <v/>
      </c>
      <c r="U14" s="297"/>
      <c r="V14" s="313" t="str">
        <f>IF(AND('Mapa final'!$H$23="Alta",'Mapa final'!$L$23="Moderado"),CONCATENATE("R",'Mapa final'!$A$23),"")</f>
        <v/>
      </c>
      <c r="W14" s="314"/>
      <c r="X14" s="314" t="str">
        <f>IF(AND('Mapa final'!$H$29="Alta",'Mapa final'!$L$29="Moderado"),CONCATENATE("R",'Mapa final'!$A$29),"")</f>
        <v/>
      </c>
      <c r="Y14" s="314"/>
      <c r="Z14" s="314" t="str">
        <f>IF(AND('Mapa final'!$H$31="Alta",'Mapa final'!$L$31="Moderado"),CONCATENATE("R",'Mapa final'!$A$31),"")</f>
        <v/>
      </c>
      <c r="AA14" s="315"/>
      <c r="AB14" s="313" t="str">
        <f>IF(AND('Mapa final'!$H$23="Alta",'Mapa final'!$L$23="Mayor"),CONCATENATE("R",'Mapa final'!$A$23),"")</f>
        <v/>
      </c>
      <c r="AC14" s="314"/>
      <c r="AD14" s="314" t="str">
        <f>IF(AND('Mapa final'!$H$29="Alta",'Mapa final'!$L$29="Mayor"),CONCATENATE("R",'Mapa final'!$A$29),"")</f>
        <v/>
      </c>
      <c r="AE14" s="314"/>
      <c r="AF14" s="314" t="str">
        <f>IF(AND('Mapa final'!$H$31="Alta",'Mapa final'!$L$31="Mayor"),CONCATENATE("R",'Mapa final'!$A$31),"")</f>
        <v/>
      </c>
      <c r="AG14" s="315"/>
      <c r="AH14" s="304" t="str">
        <f>IF(AND('Mapa final'!$H$23="Alta",'Mapa final'!$L$23="Catastrófico"),CONCATENATE("R",'Mapa final'!$A$23),"")</f>
        <v/>
      </c>
      <c r="AI14" s="305"/>
      <c r="AJ14" s="305" t="str">
        <f>IF(AND('Mapa final'!$H$29="Alta",'Mapa final'!$L$29="Catastrófico"),CONCATENATE("R",'Mapa final'!$A$29),"")</f>
        <v/>
      </c>
      <c r="AK14" s="305"/>
      <c r="AL14" s="305" t="str">
        <f>IF(AND('Mapa final'!$H$31="Alta",'Mapa final'!$L$31="Catastrófico"),CONCATENATE("R",'Mapa final'!$A$31),"")</f>
        <v/>
      </c>
      <c r="AM14" s="306"/>
      <c r="AN14" s="83"/>
      <c r="AO14" s="338" t="s">
        <v>95</v>
      </c>
      <c r="AP14" s="339"/>
      <c r="AQ14" s="339"/>
      <c r="AR14" s="339"/>
      <c r="AS14" s="339"/>
      <c r="AT14" s="34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327"/>
      <c r="C15" s="327"/>
      <c r="D15" s="328"/>
      <c r="E15" s="320"/>
      <c r="F15" s="321"/>
      <c r="G15" s="321"/>
      <c r="H15" s="321"/>
      <c r="I15" s="321"/>
      <c r="J15" s="289"/>
      <c r="K15" s="290"/>
      <c r="L15" s="290"/>
      <c r="M15" s="290"/>
      <c r="N15" s="290"/>
      <c r="O15" s="291"/>
      <c r="P15" s="289"/>
      <c r="Q15" s="290"/>
      <c r="R15" s="290"/>
      <c r="S15" s="290"/>
      <c r="T15" s="290"/>
      <c r="U15" s="291"/>
      <c r="V15" s="307"/>
      <c r="W15" s="308"/>
      <c r="X15" s="308"/>
      <c r="Y15" s="308"/>
      <c r="Z15" s="308"/>
      <c r="AA15" s="309"/>
      <c r="AB15" s="307"/>
      <c r="AC15" s="308"/>
      <c r="AD15" s="308"/>
      <c r="AE15" s="308"/>
      <c r="AF15" s="308"/>
      <c r="AG15" s="309"/>
      <c r="AH15" s="298"/>
      <c r="AI15" s="299"/>
      <c r="AJ15" s="299"/>
      <c r="AK15" s="299"/>
      <c r="AL15" s="299"/>
      <c r="AM15" s="300"/>
      <c r="AN15" s="83"/>
      <c r="AO15" s="341"/>
      <c r="AP15" s="342"/>
      <c r="AQ15" s="342"/>
      <c r="AR15" s="342"/>
      <c r="AS15" s="342"/>
      <c r="AT15" s="34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327"/>
      <c r="C16" s="327"/>
      <c r="D16" s="328"/>
      <c r="E16" s="320"/>
      <c r="F16" s="321"/>
      <c r="G16" s="321"/>
      <c r="H16" s="321"/>
      <c r="I16" s="321"/>
      <c r="J16" s="289" t="str">
        <f>IF(AND('Mapa final'!$H$34="Alta",'Mapa final'!$L$34="Leve"),CONCATENATE("R",'Mapa final'!$A$34),"")</f>
        <v/>
      </c>
      <c r="K16" s="290"/>
      <c r="L16" s="290" t="str">
        <f>IF(AND('Mapa final'!$H$37="Alta",'Mapa final'!$L$37="Leve"),CONCATENATE("R",'Mapa final'!$A$37),"")</f>
        <v/>
      </c>
      <c r="M16" s="290"/>
      <c r="N16" s="290" t="str">
        <f>IF(AND('Mapa final'!$H$38="Alta",'Mapa final'!$L$38="Leve"),CONCATENATE("R",'Mapa final'!$A$38),"")</f>
        <v/>
      </c>
      <c r="O16" s="291"/>
      <c r="P16" s="289" t="str">
        <f>IF(AND('Mapa final'!$H$34="Alta",'Mapa final'!$L$34="Menor"),CONCATENATE("R",'Mapa final'!$A$34),"")</f>
        <v/>
      </c>
      <c r="Q16" s="290"/>
      <c r="R16" s="290" t="str">
        <f>IF(AND('Mapa final'!$H$37="Alta",'Mapa final'!$L$37="Menor"),CONCATENATE("R",'Mapa final'!$A$37),"")</f>
        <v/>
      </c>
      <c r="S16" s="290"/>
      <c r="T16" s="290" t="str">
        <f>IF(AND('Mapa final'!$H$38="Alta",'Mapa final'!$L$38="Menor"),CONCATENATE("R",'Mapa final'!$A$38),"")</f>
        <v/>
      </c>
      <c r="U16" s="291"/>
      <c r="V16" s="307" t="str">
        <f>IF(AND('Mapa final'!$H$34="Alta",'Mapa final'!$L$34="Moderado"),CONCATENATE("R",'Mapa final'!$A$34),"")</f>
        <v/>
      </c>
      <c r="W16" s="308"/>
      <c r="X16" s="308" t="str">
        <f>IF(AND('Mapa final'!$H$37="Alta",'Mapa final'!$L$37="Moderado"),CONCATENATE("R",'Mapa final'!$A$37),"")</f>
        <v/>
      </c>
      <c r="Y16" s="308"/>
      <c r="Z16" s="308" t="str">
        <f>IF(AND('Mapa final'!$H$38="Alta",'Mapa final'!$L$38="Moderado"),CONCATENATE("R",'Mapa final'!$A$38),"")</f>
        <v/>
      </c>
      <c r="AA16" s="309"/>
      <c r="AB16" s="307" t="str">
        <f>IF(AND('Mapa final'!$H$34="Alta",'Mapa final'!$L$34="Mayor"),CONCATENATE("R",'Mapa final'!$A$34),"")</f>
        <v/>
      </c>
      <c r="AC16" s="308"/>
      <c r="AD16" s="308" t="str">
        <f>IF(AND('Mapa final'!$H$37="Alta",'Mapa final'!$L$37="Mayor"),CONCATENATE("R",'Mapa final'!$A$37),"")</f>
        <v/>
      </c>
      <c r="AE16" s="308"/>
      <c r="AF16" s="308" t="str">
        <f>IF(AND('Mapa final'!$H$38="Alta",'Mapa final'!$L$38="Mayor"),CONCATENATE("R",'Mapa final'!$A$38),"")</f>
        <v/>
      </c>
      <c r="AG16" s="309"/>
      <c r="AH16" s="298" t="str">
        <f>IF(AND('Mapa final'!$H$34="Alta",'Mapa final'!$L$34="Catastrófico"),CONCATENATE("R",'Mapa final'!$A$34),"")</f>
        <v/>
      </c>
      <c r="AI16" s="299"/>
      <c r="AJ16" s="299" t="str">
        <f>IF(AND('Mapa final'!$H$37="Alta",'Mapa final'!$L$37="Catastrófico"),CONCATENATE("R",'Mapa final'!$A$37),"")</f>
        <v/>
      </c>
      <c r="AK16" s="299"/>
      <c r="AL16" s="299" t="str">
        <f>IF(AND('Mapa final'!$H$38="Alta",'Mapa final'!$L$38="Catastrófico"),CONCATENATE("R",'Mapa final'!$A$38),"")</f>
        <v/>
      </c>
      <c r="AM16" s="300"/>
      <c r="AN16" s="83"/>
      <c r="AO16" s="341"/>
      <c r="AP16" s="342"/>
      <c r="AQ16" s="342"/>
      <c r="AR16" s="342"/>
      <c r="AS16" s="342"/>
      <c r="AT16" s="34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327"/>
      <c r="C17" s="327"/>
      <c r="D17" s="328"/>
      <c r="E17" s="320"/>
      <c r="F17" s="321"/>
      <c r="G17" s="321"/>
      <c r="H17" s="321"/>
      <c r="I17" s="321"/>
      <c r="J17" s="289"/>
      <c r="K17" s="290"/>
      <c r="L17" s="290"/>
      <c r="M17" s="290"/>
      <c r="N17" s="290"/>
      <c r="O17" s="291"/>
      <c r="P17" s="289"/>
      <c r="Q17" s="290"/>
      <c r="R17" s="290"/>
      <c r="S17" s="290"/>
      <c r="T17" s="290"/>
      <c r="U17" s="291"/>
      <c r="V17" s="307"/>
      <c r="W17" s="308"/>
      <c r="X17" s="308"/>
      <c r="Y17" s="308"/>
      <c r="Z17" s="308"/>
      <c r="AA17" s="309"/>
      <c r="AB17" s="307"/>
      <c r="AC17" s="308"/>
      <c r="AD17" s="308"/>
      <c r="AE17" s="308"/>
      <c r="AF17" s="308"/>
      <c r="AG17" s="309"/>
      <c r="AH17" s="298"/>
      <c r="AI17" s="299"/>
      <c r="AJ17" s="299"/>
      <c r="AK17" s="299"/>
      <c r="AL17" s="299"/>
      <c r="AM17" s="300"/>
      <c r="AN17" s="83"/>
      <c r="AO17" s="341"/>
      <c r="AP17" s="342"/>
      <c r="AQ17" s="342"/>
      <c r="AR17" s="342"/>
      <c r="AS17" s="342"/>
      <c r="AT17" s="34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327"/>
      <c r="C18" s="327"/>
      <c r="D18" s="328"/>
      <c r="E18" s="320"/>
      <c r="F18" s="321"/>
      <c r="G18" s="321"/>
      <c r="H18" s="321"/>
      <c r="I18" s="321"/>
      <c r="J18" s="289" t="e">
        <f>IF(AND('Mapa final'!#REF!="Alta",'Mapa final'!#REF!="Leve"),CONCATENATE("R",'Mapa final'!#REF!),"")</f>
        <v>#REF!</v>
      </c>
      <c r="K18" s="290"/>
      <c r="L18" s="290" t="e">
        <f>IF(AND('Mapa final'!#REF!="Alta",'Mapa final'!#REF!="Leve"),CONCATENATE("R",'Mapa final'!#REF!),"")</f>
        <v>#REF!</v>
      </c>
      <c r="M18" s="290"/>
      <c r="N18" s="290" t="e">
        <f>IF(AND('Mapa final'!#REF!="Alta",'Mapa final'!#REF!="Leve"),CONCATENATE("R",'Mapa final'!#REF!),"")</f>
        <v>#REF!</v>
      </c>
      <c r="O18" s="291"/>
      <c r="P18" s="289" t="e">
        <f>IF(AND('Mapa final'!#REF!="Alta",'Mapa final'!#REF!="Menor"),CONCATENATE("R",'Mapa final'!#REF!),"")</f>
        <v>#REF!</v>
      </c>
      <c r="Q18" s="290"/>
      <c r="R18" s="290" t="e">
        <f>IF(AND('Mapa final'!#REF!="Alta",'Mapa final'!#REF!="Menor"),CONCATENATE("R",'Mapa final'!#REF!),"")</f>
        <v>#REF!</v>
      </c>
      <c r="S18" s="290"/>
      <c r="T18" s="290" t="e">
        <f>IF(AND('Mapa final'!#REF!="Alta",'Mapa final'!#REF!="Menor"),CONCATENATE("R",'Mapa final'!#REF!),"")</f>
        <v>#REF!</v>
      </c>
      <c r="U18" s="291"/>
      <c r="V18" s="307" t="e">
        <f>IF(AND('Mapa final'!#REF!="Alta",'Mapa final'!#REF!="Moderado"),CONCATENATE("R",'Mapa final'!#REF!),"")</f>
        <v>#REF!</v>
      </c>
      <c r="W18" s="308"/>
      <c r="X18" s="308" t="e">
        <f>IF(AND('Mapa final'!#REF!="Alta",'Mapa final'!#REF!="Moderado"),CONCATENATE("R",'Mapa final'!#REF!),"")</f>
        <v>#REF!</v>
      </c>
      <c r="Y18" s="308"/>
      <c r="Z18" s="308" t="e">
        <f>IF(AND('Mapa final'!#REF!="Alta",'Mapa final'!#REF!="Moderado"),CONCATENATE("R",'Mapa final'!#REF!),"")</f>
        <v>#REF!</v>
      </c>
      <c r="AA18" s="309"/>
      <c r="AB18" s="307" t="e">
        <f>IF(AND('Mapa final'!#REF!="Alta",'Mapa final'!#REF!="Mayor"),CONCATENATE("R",'Mapa final'!#REF!),"")</f>
        <v>#REF!</v>
      </c>
      <c r="AC18" s="308"/>
      <c r="AD18" s="308" t="e">
        <f>IF(AND('Mapa final'!#REF!="Alta",'Mapa final'!#REF!="Mayor"),CONCATENATE("R",'Mapa final'!#REF!),"")</f>
        <v>#REF!</v>
      </c>
      <c r="AE18" s="308"/>
      <c r="AF18" s="308" t="e">
        <f>IF(AND('Mapa final'!#REF!="Alta",'Mapa final'!#REF!="Mayor"),CONCATENATE("R",'Mapa final'!#REF!),"")</f>
        <v>#REF!</v>
      </c>
      <c r="AG18" s="309"/>
      <c r="AH18" s="298" t="e">
        <f>IF(AND('Mapa final'!#REF!="Alta",'Mapa final'!#REF!="Catastrófico"),CONCATENATE("R",'Mapa final'!#REF!),"")</f>
        <v>#REF!</v>
      </c>
      <c r="AI18" s="299"/>
      <c r="AJ18" s="299" t="e">
        <f>IF(AND('Mapa final'!#REF!="Alta",'Mapa final'!#REF!="Catastrófico"),CONCATENATE("R",'Mapa final'!#REF!),"")</f>
        <v>#REF!</v>
      </c>
      <c r="AK18" s="299"/>
      <c r="AL18" s="299" t="e">
        <f>IF(AND('Mapa final'!#REF!="Alta",'Mapa final'!#REF!="Catastrófico"),CONCATENATE("R",'Mapa final'!#REF!),"")</f>
        <v>#REF!</v>
      </c>
      <c r="AM18" s="300"/>
      <c r="AN18" s="83"/>
      <c r="AO18" s="341"/>
      <c r="AP18" s="342"/>
      <c r="AQ18" s="342"/>
      <c r="AR18" s="342"/>
      <c r="AS18" s="342"/>
      <c r="AT18" s="34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327"/>
      <c r="C19" s="327"/>
      <c r="D19" s="328"/>
      <c r="E19" s="320"/>
      <c r="F19" s="321"/>
      <c r="G19" s="321"/>
      <c r="H19" s="321"/>
      <c r="I19" s="321"/>
      <c r="J19" s="289"/>
      <c r="K19" s="290"/>
      <c r="L19" s="290"/>
      <c r="M19" s="290"/>
      <c r="N19" s="290"/>
      <c r="O19" s="291"/>
      <c r="P19" s="289"/>
      <c r="Q19" s="290"/>
      <c r="R19" s="290"/>
      <c r="S19" s="290"/>
      <c r="T19" s="290"/>
      <c r="U19" s="291"/>
      <c r="V19" s="307"/>
      <c r="W19" s="308"/>
      <c r="X19" s="308"/>
      <c r="Y19" s="308"/>
      <c r="Z19" s="308"/>
      <c r="AA19" s="309"/>
      <c r="AB19" s="307"/>
      <c r="AC19" s="308"/>
      <c r="AD19" s="308"/>
      <c r="AE19" s="308"/>
      <c r="AF19" s="308"/>
      <c r="AG19" s="309"/>
      <c r="AH19" s="298"/>
      <c r="AI19" s="299"/>
      <c r="AJ19" s="299"/>
      <c r="AK19" s="299"/>
      <c r="AL19" s="299"/>
      <c r="AM19" s="300"/>
      <c r="AN19" s="83"/>
      <c r="AO19" s="341"/>
      <c r="AP19" s="342"/>
      <c r="AQ19" s="342"/>
      <c r="AR19" s="342"/>
      <c r="AS19" s="342"/>
      <c r="AT19" s="34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327"/>
      <c r="C20" s="327"/>
      <c r="D20" s="328"/>
      <c r="E20" s="320"/>
      <c r="F20" s="321"/>
      <c r="G20" s="321"/>
      <c r="H20" s="321"/>
      <c r="I20" s="321"/>
      <c r="J20" s="289" t="e">
        <f>IF(AND('Mapa final'!#REF!="Alta",'Mapa final'!#REF!="Leve"),CONCATENATE("R",'Mapa final'!#REF!),"")</f>
        <v>#REF!</v>
      </c>
      <c r="K20" s="290"/>
      <c r="L20" s="290" t="str">
        <f>IF(AND('Mapa final'!$H$41="Alta",'Mapa final'!$L$41="Leve"),CONCATENATE("R",'Mapa final'!$A$41),"")</f>
        <v/>
      </c>
      <c r="M20" s="290"/>
      <c r="N20" s="290" t="str">
        <f>IF(AND('Mapa final'!$H$47="Alta",'Mapa final'!$L$47="Leve"),CONCATENATE("R",'Mapa final'!$A$47),"")</f>
        <v/>
      </c>
      <c r="O20" s="291"/>
      <c r="P20" s="289" t="e">
        <f>IF(AND('Mapa final'!#REF!="Alta",'Mapa final'!#REF!="Menor"),CONCATENATE("R",'Mapa final'!#REF!),"")</f>
        <v>#REF!</v>
      </c>
      <c r="Q20" s="290"/>
      <c r="R20" s="290" t="str">
        <f>IF(AND('Mapa final'!$H$41="Alta",'Mapa final'!$L$41="Menor"),CONCATENATE("R",'Mapa final'!$A$41),"")</f>
        <v/>
      </c>
      <c r="S20" s="290"/>
      <c r="T20" s="290" t="str">
        <f>IF(AND('Mapa final'!$H$47="Alta",'Mapa final'!$L$47="Menor"),CONCATENATE("R",'Mapa final'!$A$47),"")</f>
        <v/>
      </c>
      <c r="U20" s="291"/>
      <c r="V20" s="307" t="e">
        <f>IF(AND('Mapa final'!#REF!="Alta",'Mapa final'!#REF!="Moderado"),CONCATENATE("R",'Mapa final'!#REF!),"")</f>
        <v>#REF!</v>
      </c>
      <c r="W20" s="308"/>
      <c r="X20" s="308" t="str">
        <f>IF(AND('Mapa final'!$H$41="Alta",'Mapa final'!$L$41="Moderado"),CONCATENATE("R",'Mapa final'!$A$41),"")</f>
        <v/>
      </c>
      <c r="Y20" s="308"/>
      <c r="Z20" s="308" t="str">
        <f>IF(AND('Mapa final'!$H$47="Alta",'Mapa final'!$L$47="Moderado"),CONCATENATE("R",'Mapa final'!$A$47),"")</f>
        <v/>
      </c>
      <c r="AA20" s="309"/>
      <c r="AB20" s="307" t="e">
        <f>IF(AND('Mapa final'!#REF!="Alta",'Mapa final'!#REF!="Mayor"),CONCATENATE("R",'Mapa final'!#REF!),"")</f>
        <v>#REF!</v>
      </c>
      <c r="AC20" s="308"/>
      <c r="AD20" s="308" t="str">
        <f>IF(AND('Mapa final'!$H$41="Alta",'Mapa final'!$L$41="Mayor"),CONCATENATE("R",'Mapa final'!$A$41),"")</f>
        <v/>
      </c>
      <c r="AE20" s="308"/>
      <c r="AF20" s="308" t="str">
        <f>IF(AND('Mapa final'!$H$47="Alta",'Mapa final'!$L$47="Mayor"),CONCATENATE("R",'Mapa final'!$A$47),"")</f>
        <v/>
      </c>
      <c r="AG20" s="309"/>
      <c r="AH20" s="298" t="e">
        <f>IF(AND('Mapa final'!#REF!="Alta",'Mapa final'!#REF!="Catastrófico"),CONCATENATE("R",'Mapa final'!#REF!),"")</f>
        <v>#REF!</v>
      </c>
      <c r="AI20" s="299"/>
      <c r="AJ20" s="299" t="str">
        <f>IF(AND('Mapa final'!$H$41="Alta",'Mapa final'!$L$41="Catastrófico"),CONCATENATE("R",'Mapa final'!$A$41),"")</f>
        <v/>
      </c>
      <c r="AK20" s="299"/>
      <c r="AL20" s="299" t="str">
        <f>IF(AND('Mapa final'!$H$47="Alta",'Mapa final'!$L$47="Catastrófico"),CONCATENATE("R",'Mapa final'!$A$47),"")</f>
        <v/>
      </c>
      <c r="AM20" s="300"/>
      <c r="AN20" s="83"/>
      <c r="AO20" s="341"/>
      <c r="AP20" s="342"/>
      <c r="AQ20" s="342"/>
      <c r="AR20" s="342"/>
      <c r="AS20" s="342"/>
      <c r="AT20" s="34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327"/>
      <c r="C21" s="327"/>
      <c r="D21" s="328"/>
      <c r="E21" s="323"/>
      <c r="F21" s="324"/>
      <c r="G21" s="324"/>
      <c r="H21" s="324"/>
      <c r="I21" s="324"/>
      <c r="J21" s="292"/>
      <c r="K21" s="293"/>
      <c r="L21" s="293"/>
      <c r="M21" s="293"/>
      <c r="N21" s="293"/>
      <c r="O21" s="294"/>
      <c r="P21" s="292"/>
      <c r="Q21" s="293"/>
      <c r="R21" s="293"/>
      <c r="S21" s="293"/>
      <c r="T21" s="293"/>
      <c r="U21" s="294"/>
      <c r="V21" s="310"/>
      <c r="W21" s="311"/>
      <c r="X21" s="311"/>
      <c r="Y21" s="311"/>
      <c r="Z21" s="311"/>
      <c r="AA21" s="312"/>
      <c r="AB21" s="310"/>
      <c r="AC21" s="311"/>
      <c r="AD21" s="311"/>
      <c r="AE21" s="311"/>
      <c r="AF21" s="311"/>
      <c r="AG21" s="312"/>
      <c r="AH21" s="301"/>
      <c r="AI21" s="302"/>
      <c r="AJ21" s="302"/>
      <c r="AK21" s="302"/>
      <c r="AL21" s="302"/>
      <c r="AM21" s="303"/>
      <c r="AN21" s="83"/>
      <c r="AO21" s="344"/>
      <c r="AP21" s="345"/>
      <c r="AQ21" s="345"/>
      <c r="AR21" s="345"/>
      <c r="AS21" s="345"/>
      <c r="AT21" s="34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327"/>
      <c r="C22" s="327"/>
      <c r="D22" s="328"/>
      <c r="E22" s="317" t="s">
        <v>96</v>
      </c>
      <c r="F22" s="318"/>
      <c r="G22" s="318"/>
      <c r="H22" s="318"/>
      <c r="I22" s="319"/>
      <c r="J22" s="295" t="str">
        <f>IF(AND('Mapa final'!$H$23="Media",'Mapa final'!$L$23="Leve"),CONCATENATE("R",'Mapa final'!$A$23),"")</f>
        <v/>
      </c>
      <c r="K22" s="296"/>
      <c r="L22" s="296" t="str">
        <f>IF(AND('Mapa final'!$H$29="Media",'Mapa final'!$L$29="Leve"),CONCATENATE("R",'Mapa final'!$A$29),"")</f>
        <v/>
      </c>
      <c r="M22" s="296"/>
      <c r="N22" s="296" t="str">
        <f>IF(AND('Mapa final'!$H$31="Media",'Mapa final'!$L$31="Leve"),CONCATENATE("R",'Mapa final'!$A$31),"")</f>
        <v/>
      </c>
      <c r="O22" s="297"/>
      <c r="P22" s="295" t="str">
        <f>IF(AND('Mapa final'!$H$23="Media",'Mapa final'!$L$23="Menor"),CONCATENATE("R",'Mapa final'!$A$23),"")</f>
        <v/>
      </c>
      <c r="Q22" s="296"/>
      <c r="R22" s="296" t="str">
        <f>IF(AND('Mapa final'!$H$29="Media",'Mapa final'!$L$29="Menor"),CONCATENATE("R",'Mapa final'!$A$29),"")</f>
        <v/>
      </c>
      <c r="S22" s="296"/>
      <c r="T22" s="296" t="str">
        <f>IF(AND('Mapa final'!$H$31="Media",'Mapa final'!$L$31="Menor"),CONCATENATE("R",'Mapa final'!$A$31),"")</f>
        <v/>
      </c>
      <c r="U22" s="297"/>
      <c r="V22" s="295" t="str">
        <f>IF(AND('Mapa final'!$H$23="Media",'Mapa final'!$L$23="Moderado"),CONCATENATE("R",'Mapa final'!$A$23),"")</f>
        <v/>
      </c>
      <c r="W22" s="296"/>
      <c r="X22" s="296" t="str">
        <f>IF(AND('Mapa final'!$H$29="Media",'Mapa final'!$L$29="Moderado"),CONCATENATE("R",'Mapa final'!$A$29),"")</f>
        <v/>
      </c>
      <c r="Y22" s="296"/>
      <c r="Z22" s="296" t="str">
        <f>IF(AND('Mapa final'!$H$31="Media",'Mapa final'!$L$31="Moderado"),CONCATENATE("R",'Mapa final'!$A$31),"")</f>
        <v/>
      </c>
      <c r="AA22" s="297"/>
      <c r="AB22" s="313" t="str">
        <f>IF(AND('Mapa final'!$H$23="Media",'Mapa final'!$L$23="Mayor"),CONCATENATE("R",'Mapa final'!$A$23),"")</f>
        <v/>
      </c>
      <c r="AC22" s="314"/>
      <c r="AD22" s="314" t="str">
        <f>IF(AND('Mapa final'!$H$29="Media",'Mapa final'!$L$29="Mayor"),CONCATENATE("R",'Mapa final'!$A$29),"")</f>
        <v/>
      </c>
      <c r="AE22" s="314"/>
      <c r="AF22" s="314" t="str">
        <f>IF(AND('Mapa final'!$H$31="Media",'Mapa final'!$L$31="Mayor"),CONCATENATE("R",'Mapa final'!$A$31),"")</f>
        <v/>
      </c>
      <c r="AG22" s="315"/>
      <c r="AH22" s="304" t="str">
        <f>IF(AND('Mapa final'!$H$23="Media",'Mapa final'!$L$23="Catastrófico"),CONCATENATE("R",'Mapa final'!$A$23),"")</f>
        <v/>
      </c>
      <c r="AI22" s="305"/>
      <c r="AJ22" s="305" t="str">
        <f>IF(AND('Mapa final'!$H$29="Media",'Mapa final'!$L$29="Catastrófico"),CONCATENATE("R",'Mapa final'!$A$29),"")</f>
        <v/>
      </c>
      <c r="AK22" s="305"/>
      <c r="AL22" s="305" t="str">
        <f>IF(AND('Mapa final'!$H$31="Media",'Mapa final'!$L$31="Catastrófico"),CONCATENATE("R",'Mapa final'!$A$31),"")</f>
        <v/>
      </c>
      <c r="AM22" s="306"/>
      <c r="AN22" s="83"/>
      <c r="AO22" s="347" t="s">
        <v>97</v>
      </c>
      <c r="AP22" s="348"/>
      <c r="AQ22" s="348"/>
      <c r="AR22" s="348"/>
      <c r="AS22" s="348"/>
      <c r="AT22" s="34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327"/>
      <c r="C23" s="327"/>
      <c r="D23" s="328"/>
      <c r="E23" s="320"/>
      <c r="F23" s="321"/>
      <c r="G23" s="321"/>
      <c r="H23" s="321"/>
      <c r="I23" s="322"/>
      <c r="J23" s="289"/>
      <c r="K23" s="290"/>
      <c r="L23" s="290"/>
      <c r="M23" s="290"/>
      <c r="N23" s="290"/>
      <c r="O23" s="291"/>
      <c r="P23" s="289"/>
      <c r="Q23" s="290"/>
      <c r="R23" s="290"/>
      <c r="S23" s="290"/>
      <c r="T23" s="290"/>
      <c r="U23" s="291"/>
      <c r="V23" s="289"/>
      <c r="W23" s="290"/>
      <c r="X23" s="290"/>
      <c r="Y23" s="290"/>
      <c r="Z23" s="290"/>
      <c r="AA23" s="291"/>
      <c r="AB23" s="307"/>
      <c r="AC23" s="308"/>
      <c r="AD23" s="308"/>
      <c r="AE23" s="308"/>
      <c r="AF23" s="308"/>
      <c r="AG23" s="309"/>
      <c r="AH23" s="298"/>
      <c r="AI23" s="299"/>
      <c r="AJ23" s="299"/>
      <c r="AK23" s="299"/>
      <c r="AL23" s="299"/>
      <c r="AM23" s="300"/>
      <c r="AN23" s="83"/>
      <c r="AO23" s="350"/>
      <c r="AP23" s="351"/>
      <c r="AQ23" s="351"/>
      <c r="AR23" s="351"/>
      <c r="AS23" s="351"/>
      <c r="AT23" s="35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327"/>
      <c r="C24" s="327"/>
      <c r="D24" s="328"/>
      <c r="E24" s="320"/>
      <c r="F24" s="321"/>
      <c r="G24" s="321"/>
      <c r="H24" s="321"/>
      <c r="I24" s="322"/>
      <c r="J24" s="289" t="str">
        <f>IF(AND('Mapa final'!$H$34="Media",'Mapa final'!$L$34="Leve"),CONCATENATE("R",'Mapa final'!$A$34),"")</f>
        <v/>
      </c>
      <c r="K24" s="290"/>
      <c r="L24" s="290" t="str">
        <f>IF(AND('Mapa final'!$H$37="Media",'Mapa final'!$L$37="Leve"),CONCATENATE("R",'Mapa final'!$A$37),"")</f>
        <v/>
      </c>
      <c r="M24" s="290"/>
      <c r="N24" s="290" t="str">
        <f>IF(AND('Mapa final'!$H$38="Media",'Mapa final'!$L$38="Leve"),CONCATENATE("R",'Mapa final'!$A$38),"")</f>
        <v/>
      </c>
      <c r="O24" s="291"/>
      <c r="P24" s="289" t="str">
        <f>IF(AND('Mapa final'!$H$34="Media",'Mapa final'!$L$34="Menor"),CONCATENATE("R",'Mapa final'!$A$34),"")</f>
        <v/>
      </c>
      <c r="Q24" s="290"/>
      <c r="R24" s="290" t="str">
        <f>IF(AND('Mapa final'!$H$37="Media",'Mapa final'!$L$37="Menor"),CONCATENATE("R",'Mapa final'!$A$37),"")</f>
        <v/>
      </c>
      <c r="S24" s="290"/>
      <c r="T24" s="290" t="str">
        <f>IF(AND('Mapa final'!$H$38="Media",'Mapa final'!$L$38="Menor"),CONCATENATE("R",'Mapa final'!$A$38),"")</f>
        <v/>
      </c>
      <c r="U24" s="291"/>
      <c r="V24" s="289" t="str">
        <f>IF(AND('Mapa final'!$H$34="Media",'Mapa final'!$L$34="Moderado"),CONCATENATE("R",'Mapa final'!$A$34),"")</f>
        <v/>
      </c>
      <c r="W24" s="290"/>
      <c r="X24" s="290" t="str">
        <f>IF(AND('Mapa final'!$H$37="Media",'Mapa final'!$L$37="Moderado"),CONCATENATE("R",'Mapa final'!$A$37),"")</f>
        <v/>
      </c>
      <c r="Y24" s="290"/>
      <c r="Z24" s="290" t="str">
        <f>IF(AND('Mapa final'!$H$38="Media",'Mapa final'!$L$38="Moderado"),CONCATENATE("R",'Mapa final'!$A$38),"")</f>
        <v/>
      </c>
      <c r="AA24" s="291"/>
      <c r="AB24" s="307" t="str">
        <f>IF(AND('Mapa final'!$H$34="Media",'Mapa final'!$L$34="Mayor"),CONCATENATE("R",'Mapa final'!$A$34),"")</f>
        <v/>
      </c>
      <c r="AC24" s="308"/>
      <c r="AD24" s="308" t="str">
        <f>IF(AND('Mapa final'!$H$37="Media",'Mapa final'!$L$37="Mayor"),CONCATENATE("R",'Mapa final'!$A$37),"")</f>
        <v/>
      </c>
      <c r="AE24" s="308"/>
      <c r="AF24" s="308" t="str">
        <f>IF(AND('Mapa final'!$H$38="Media",'Mapa final'!$L$38="Mayor"),CONCATENATE("R",'Mapa final'!$A$38),"")</f>
        <v/>
      </c>
      <c r="AG24" s="309"/>
      <c r="AH24" s="298" t="str">
        <f>IF(AND('Mapa final'!$H$34="Media",'Mapa final'!$L$34="Catastrófico"),CONCATENATE("R",'Mapa final'!$A$34),"")</f>
        <v/>
      </c>
      <c r="AI24" s="299"/>
      <c r="AJ24" s="299" t="str">
        <f>IF(AND('Mapa final'!$H$37="Media",'Mapa final'!$L$37="Catastrófico"),CONCATENATE("R",'Mapa final'!$A$37),"")</f>
        <v/>
      </c>
      <c r="AK24" s="299"/>
      <c r="AL24" s="299" t="str">
        <f>IF(AND('Mapa final'!$H$38="Media",'Mapa final'!$L$38="Catastrófico"),CONCATENATE("R",'Mapa final'!$A$38),"")</f>
        <v/>
      </c>
      <c r="AM24" s="300"/>
      <c r="AN24" s="83"/>
      <c r="AO24" s="350"/>
      <c r="AP24" s="351"/>
      <c r="AQ24" s="351"/>
      <c r="AR24" s="351"/>
      <c r="AS24" s="351"/>
      <c r="AT24" s="35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327"/>
      <c r="C25" s="327"/>
      <c r="D25" s="328"/>
      <c r="E25" s="320"/>
      <c r="F25" s="321"/>
      <c r="G25" s="321"/>
      <c r="H25" s="321"/>
      <c r="I25" s="322"/>
      <c r="J25" s="289"/>
      <c r="K25" s="290"/>
      <c r="L25" s="290"/>
      <c r="M25" s="290"/>
      <c r="N25" s="290"/>
      <c r="O25" s="291"/>
      <c r="P25" s="289"/>
      <c r="Q25" s="290"/>
      <c r="R25" s="290"/>
      <c r="S25" s="290"/>
      <c r="T25" s="290"/>
      <c r="U25" s="291"/>
      <c r="V25" s="289"/>
      <c r="W25" s="290"/>
      <c r="X25" s="290"/>
      <c r="Y25" s="290"/>
      <c r="Z25" s="290"/>
      <c r="AA25" s="291"/>
      <c r="AB25" s="307"/>
      <c r="AC25" s="308"/>
      <c r="AD25" s="308"/>
      <c r="AE25" s="308"/>
      <c r="AF25" s="308"/>
      <c r="AG25" s="309"/>
      <c r="AH25" s="298"/>
      <c r="AI25" s="299"/>
      <c r="AJ25" s="299"/>
      <c r="AK25" s="299"/>
      <c r="AL25" s="299"/>
      <c r="AM25" s="300"/>
      <c r="AN25" s="83"/>
      <c r="AO25" s="350"/>
      <c r="AP25" s="351"/>
      <c r="AQ25" s="351"/>
      <c r="AR25" s="351"/>
      <c r="AS25" s="351"/>
      <c r="AT25" s="35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327"/>
      <c r="C26" s="327"/>
      <c r="D26" s="328"/>
      <c r="E26" s="320"/>
      <c r="F26" s="321"/>
      <c r="G26" s="321"/>
      <c r="H26" s="321"/>
      <c r="I26" s="322"/>
      <c r="J26" s="289" t="e">
        <f>IF(AND('Mapa final'!#REF!="Media",'Mapa final'!#REF!="Leve"),CONCATENATE("R",'Mapa final'!#REF!),"")</f>
        <v>#REF!</v>
      </c>
      <c r="K26" s="290"/>
      <c r="L26" s="290" t="e">
        <f>IF(AND('Mapa final'!#REF!="Media",'Mapa final'!#REF!="Leve"),CONCATENATE("R",'Mapa final'!#REF!),"")</f>
        <v>#REF!</v>
      </c>
      <c r="M26" s="290"/>
      <c r="N26" s="290" t="e">
        <f>IF(AND('Mapa final'!#REF!="Media",'Mapa final'!#REF!="Leve"),CONCATENATE("R",'Mapa final'!#REF!),"")</f>
        <v>#REF!</v>
      </c>
      <c r="O26" s="291"/>
      <c r="P26" s="289" t="e">
        <f>IF(AND('Mapa final'!#REF!="Media",'Mapa final'!#REF!="Menor"),CONCATENATE("R",'Mapa final'!#REF!),"")</f>
        <v>#REF!</v>
      </c>
      <c r="Q26" s="290"/>
      <c r="R26" s="290" t="e">
        <f>IF(AND('Mapa final'!#REF!="Media",'Mapa final'!#REF!="Menor"),CONCATENATE("R",'Mapa final'!#REF!),"")</f>
        <v>#REF!</v>
      </c>
      <c r="S26" s="290"/>
      <c r="T26" s="290" t="e">
        <f>IF(AND('Mapa final'!#REF!="Media",'Mapa final'!#REF!="Menor"),CONCATENATE("R",'Mapa final'!#REF!),"")</f>
        <v>#REF!</v>
      </c>
      <c r="U26" s="291"/>
      <c r="V26" s="289" t="e">
        <f>IF(AND('Mapa final'!#REF!="Media",'Mapa final'!#REF!="Moderado"),CONCATENATE("R",'Mapa final'!#REF!),"")</f>
        <v>#REF!</v>
      </c>
      <c r="W26" s="290"/>
      <c r="X26" s="290" t="e">
        <f>IF(AND('Mapa final'!#REF!="Media",'Mapa final'!#REF!="Moderado"),CONCATENATE("R",'Mapa final'!#REF!),"")</f>
        <v>#REF!</v>
      </c>
      <c r="Y26" s="290"/>
      <c r="Z26" s="290" t="e">
        <f>IF(AND('Mapa final'!#REF!="Media",'Mapa final'!#REF!="Moderado"),CONCATENATE("R",'Mapa final'!#REF!),"")</f>
        <v>#REF!</v>
      </c>
      <c r="AA26" s="291"/>
      <c r="AB26" s="307" t="e">
        <f>IF(AND('Mapa final'!#REF!="Media",'Mapa final'!#REF!="Mayor"),CONCATENATE("R",'Mapa final'!#REF!),"")</f>
        <v>#REF!</v>
      </c>
      <c r="AC26" s="308"/>
      <c r="AD26" s="308" t="e">
        <f>IF(AND('Mapa final'!#REF!="Media",'Mapa final'!#REF!="Mayor"),CONCATENATE("R",'Mapa final'!#REF!),"")</f>
        <v>#REF!</v>
      </c>
      <c r="AE26" s="308"/>
      <c r="AF26" s="308" t="e">
        <f>IF(AND('Mapa final'!#REF!="Media",'Mapa final'!#REF!="Mayor"),CONCATENATE("R",'Mapa final'!#REF!),"")</f>
        <v>#REF!</v>
      </c>
      <c r="AG26" s="309"/>
      <c r="AH26" s="298" t="e">
        <f>IF(AND('Mapa final'!#REF!="Media",'Mapa final'!#REF!="Catastrófico"),CONCATENATE("R",'Mapa final'!#REF!),"")</f>
        <v>#REF!</v>
      </c>
      <c r="AI26" s="299"/>
      <c r="AJ26" s="299" t="e">
        <f>IF(AND('Mapa final'!#REF!="Media",'Mapa final'!#REF!="Catastrófico"),CONCATENATE("R",'Mapa final'!#REF!),"")</f>
        <v>#REF!</v>
      </c>
      <c r="AK26" s="299"/>
      <c r="AL26" s="299" t="e">
        <f>IF(AND('Mapa final'!#REF!="Media",'Mapa final'!#REF!="Catastrófico"),CONCATENATE("R",'Mapa final'!#REF!),"")</f>
        <v>#REF!</v>
      </c>
      <c r="AM26" s="300"/>
      <c r="AN26" s="83"/>
      <c r="AO26" s="350"/>
      <c r="AP26" s="351"/>
      <c r="AQ26" s="351"/>
      <c r="AR26" s="351"/>
      <c r="AS26" s="351"/>
      <c r="AT26" s="35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327"/>
      <c r="C27" s="327"/>
      <c r="D27" s="328"/>
      <c r="E27" s="320"/>
      <c r="F27" s="321"/>
      <c r="G27" s="321"/>
      <c r="H27" s="321"/>
      <c r="I27" s="322"/>
      <c r="J27" s="289"/>
      <c r="K27" s="290"/>
      <c r="L27" s="290"/>
      <c r="M27" s="290"/>
      <c r="N27" s="290"/>
      <c r="O27" s="291"/>
      <c r="P27" s="289"/>
      <c r="Q27" s="290"/>
      <c r="R27" s="290"/>
      <c r="S27" s="290"/>
      <c r="T27" s="290"/>
      <c r="U27" s="291"/>
      <c r="V27" s="289"/>
      <c r="W27" s="290"/>
      <c r="X27" s="290"/>
      <c r="Y27" s="290"/>
      <c r="Z27" s="290"/>
      <c r="AA27" s="291"/>
      <c r="AB27" s="307"/>
      <c r="AC27" s="308"/>
      <c r="AD27" s="308"/>
      <c r="AE27" s="308"/>
      <c r="AF27" s="308"/>
      <c r="AG27" s="309"/>
      <c r="AH27" s="298"/>
      <c r="AI27" s="299"/>
      <c r="AJ27" s="299"/>
      <c r="AK27" s="299"/>
      <c r="AL27" s="299"/>
      <c r="AM27" s="300"/>
      <c r="AN27" s="83"/>
      <c r="AO27" s="350"/>
      <c r="AP27" s="351"/>
      <c r="AQ27" s="351"/>
      <c r="AR27" s="351"/>
      <c r="AS27" s="351"/>
      <c r="AT27" s="35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327"/>
      <c r="C28" s="327"/>
      <c r="D28" s="328"/>
      <c r="E28" s="320"/>
      <c r="F28" s="321"/>
      <c r="G28" s="321"/>
      <c r="H28" s="321"/>
      <c r="I28" s="322"/>
      <c r="J28" s="289" t="e">
        <f>IF(AND('Mapa final'!#REF!="Media",'Mapa final'!#REF!="Leve"),CONCATENATE("R",'Mapa final'!#REF!),"")</f>
        <v>#REF!</v>
      </c>
      <c r="K28" s="290"/>
      <c r="L28" s="290" t="str">
        <f>IF(AND('Mapa final'!$H$41="Media",'Mapa final'!$L$41="Leve"),CONCATENATE("R",'Mapa final'!$A$41),"")</f>
        <v/>
      </c>
      <c r="M28" s="290"/>
      <c r="N28" s="290" t="str">
        <f>IF(AND('Mapa final'!$H$47="Media",'Mapa final'!$L$47="Leve"),CONCATENATE("R",'Mapa final'!$A$47),"")</f>
        <v/>
      </c>
      <c r="O28" s="291"/>
      <c r="P28" s="289" t="e">
        <f>IF(AND('Mapa final'!#REF!="Media",'Mapa final'!#REF!="Menor"),CONCATENATE("R",'Mapa final'!#REF!),"")</f>
        <v>#REF!</v>
      </c>
      <c r="Q28" s="290"/>
      <c r="R28" s="290" t="str">
        <f>IF(AND('Mapa final'!$H$41="Media",'Mapa final'!$L$41="Menor"),CONCATENATE("R",'Mapa final'!$A$41),"")</f>
        <v/>
      </c>
      <c r="S28" s="290"/>
      <c r="T28" s="290" t="str">
        <f>IF(AND('Mapa final'!$H$47="Media",'Mapa final'!$L$47="Menor"),CONCATENATE("R",'Mapa final'!$A$47),"")</f>
        <v/>
      </c>
      <c r="U28" s="291"/>
      <c r="V28" s="289" t="e">
        <f>IF(AND('Mapa final'!#REF!="Media",'Mapa final'!#REF!="Moderado"),CONCATENATE("R",'Mapa final'!#REF!),"")</f>
        <v>#REF!</v>
      </c>
      <c r="W28" s="290"/>
      <c r="X28" s="290" t="str">
        <f>IF(AND('Mapa final'!$H$41="Media",'Mapa final'!$L$41="Moderado"),CONCATENATE("R",'Mapa final'!$A$41),"")</f>
        <v/>
      </c>
      <c r="Y28" s="290"/>
      <c r="Z28" s="290" t="str">
        <f>IF(AND('Mapa final'!$H$47="Media",'Mapa final'!$L$47="Moderado"),CONCATENATE("R",'Mapa final'!$A$47),"")</f>
        <v/>
      </c>
      <c r="AA28" s="291"/>
      <c r="AB28" s="307" t="e">
        <f>IF(AND('Mapa final'!#REF!="Media",'Mapa final'!#REF!="Mayor"),CONCATENATE("R",'Mapa final'!#REF!),"")</f>
        <v>#REF!</v>
      </c>
      <c r="AC28" s="308"/>
      <c r="AD28" s="308" t="str">
        <f>IF(AND('Mapa final'!$H$41="Media",'Mapa final'!$L$41="Mayor"),CONCATENATE("R",'Mapa final'!$A$41),"")</f>
        <v/>
      </c>
      <c r="AE28" s="308"/>
      <c r="AF28" s="308" t="str">
        <f>IF(AND('Mapa final'!$H$47="Media",'Mapa final'!$L$47="Mayor"),CONCATENATE("R",'Mapa final'!$A$47),"")</f>
        <v/>
      </c>
      <c r="AG28" s="309"/>
      <c r="AH28" s="298" t="e">
        <f>IF(AND('Mapa final'!#REF!="Media",'Mapa final'!#REF!="Catastrófico"),CONCATENATE("R",'Mapa final'!#REF!),"")</f>
        <v>#REF!</v>
      </c>
      <c r="AI28" s="299"/>
      <c r="AJ28" s="299" t="str">
        <f>IF(AND('Mapa final'!$H$41="Media",'Mapa final'!$L$41="Catastrófico"),CONCATENATE("R",'Mapa final'!$A$41),"")</f>
        <v/>
      </c>
      <c r="AK28" s="299"/>
      <c r="AL28" s="299" t="str">
        <f>IF(AND('Mapa final'!$H$47="Media",'Mapa final'!$L$47="Catastrófico"),CONCATENATE("R",'Mapa final'!$A$47),"")</f>
        <v/>
      </c>
      <c r="AM28" s="300"/>
      <c r="AN28" s="83"/>
      <c r="AO28" s="350"/>
      <c r="AP28" s="351"/>
      <c r="AQ28" s="351"/>
      <c r="AR28" s="351"/>
      <c r="AS28" s="351"/>
      <c r="AT28" s="35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327"/>
      <c r="C29" s="327"/>
      <c r="D29" s="328"/>
      <c r="E29" s="323"/>
      <c r="F29" s="324"/>
      <c r="G29" s="324"/>
      <c r="H29" s="324"/>
      <c r="I29" s="325"/>
      <c r="J29" s="289"/>
      <c r="K29" s="290"/>
      <c r="L29" s="290"/>
      <c r="M29" s="290"/>
      <c r="N29" s="290"/>
      <c r="O29" s="291"/>
      <c r="P29" s="292"/>
      <c r="Q29" s="293"/>
      <c r="R29" s="293"/>
      <c r="S29" s="293"/>
      <c r="T29" s="293"/>
      <c r="U29" s="294"/>
      <c r="V29" s="292"/>
      <c r="W29" s="293"/>
      <c r="X29" s="293"/>
      <c r="Y29" s="293"/>
      <c r="Z29" s="293"/>
      <c r="AA29" s="294"/>
      <c r="AB29" s="310"/>
      <c r="AC29" s="311"/>
      <c r="AD29" s="311"/>
      <c r="AE29" s="311"/>
      <c r="AF29" s="311"/>
      <c r="AG29" s="312"/>
      <c r="AH29" s="301"/>
      <c r="AI29" s="302"/>
      <c r="AJ29" s="302"/>
      <c r="AK29" s="302"/>
      <c r="AL29" s="302"/>
      <c r="AM29" s="303"/>
      <c r="AN29" s="83"/>
      <c r="AO29" s="353"/>
      <c r="AP29" s="354"/>
      <c r="AQ29" s="354"/>
      <c r="AR29" s="354"/>
      <c r="AS29" s="354"/>
      <c r="AT29" s="35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327"/>
      <c r="C30" s="327"/>
      <c r="D30" s="328"/>
      <c r="E30" s="317" t="s">
        <v>98</v>
      </c>
      <c r="F30" s="318"/>
      <c r="G30" s="318"/>
      <c r="H30" s="318"/>
      <c r="I30" s="318"/>
      <c r="J30" s="286" t="str">
        <f>IF(AND('Mapa final'!$H$23="Baja",'Mapa final'!$L$23="Leve"),CONCATENATE("R",'Mapa final'!$A$23),"")</f>
        <v>R1</v>
      </c>
      <c r="K30" s="287"/>
      <c r="L30" s="287" t="str">
        <f>IF(AND('Mapa final'!$H$29="Baja",'Mapa final'!$L$29="Leve"),CONCATENATE("R",'Mapa final'!$A$29),"")</f>
        <v>R2</v>
      </c>
      <c r="M30" s="287"/>
      <c r="N30" s="287" t="str">
        <f>IF(AND('Mapa final'!$H$31="Baja",'Mapa final'!$L$31="Leve"),CONCATENATE("R",'Mapa final'!$A$31),"")</f>
        <v>R3</v>
      </c>
      <c r="O30" s="288"/>
      <c r="P30" s="296" t="str">
        <f>IF(AND('Mapa final'!$H$23="Baja",'Mapa final'!$L$23="Menor"),CONCATENATE("R",'Mapa final'!$A$23),"")</f>
        <v/>
      </c>
      <c r="Q30" s="296"/>
      <c r="R30" s="296" t="str">
        <f>IF(AND('Mapa final'!$H$29="Baja",'Mapa final'!$L$29="Menor"),CONCATENATE("R",'Mapa final'!$A$29),"")</f>
        <v/>
      </c>
      <c r="S30" s="296"/>
      <c r="T30" s="296" t="str">
        <f>IF(AND('Mapa final'!$H$31="Baja",'Mapa final'!$L$31="Menor"),CONCATENATE("R",'Mapa final'!$A$31),"")</f>
        <v/>
      </c>
      <c r="U30" s="297"/>
      <c r="V30" s="295" t="str">
        <f>IF(AND('Mapa final'!$H$23="Baja",'Mapa final'!$L$23="Moderado"),CONCATENATE("R",'Mapa final'!$A$23),"")</f>
        <v/>
      </c>
      <c r="W30" s="296"/>
      <c r="X30" s="296" t="str">
        <f>IF(AND('Mapa final'!$H$29="Baja",'Mapa final'!$L$29="Moderado"),CONCATENATE("R",'Mapa final'!$A$29),"")</f>
        <v/>
      </c>
      <c r="Y30" s="296"/>
      <c r="Z30" s="296" t="str">
        <f>IF(AND('Mapa final'!$H$31="Baja",'Mapa final'!$L$31="Moderado"),CONCATENATE("R",'Mapa final'!$A$31),"")</f>
        <v/>
      </c>
      <c r="AA30" s="297"/>
      <c r="AB30" s="313" t="str">
        <f>IF(AND('Mapa final'!$H$23="Baja",'Mapa final'!$L$23="Mayor"),CONCATENATE("R",'Mapa final'!$A$23),"")</f>
        <v/>
      </c>
      <c r="AC30" s="314"/>
      <c r="AD30" s="314" t="str">
        <f>IF(AND('Mapa final'!$H$29="Baja",'Mapa final'!$L$29="Mayor"),CONCATENATE("R",'Mapa final'!$A$29),"")</f>
        <v/>
      </c>
      <c r="AE30" s="314"/>
      <c r="AF30" s="314" t="str">
        <f>IF(AND('Mapa final'!$H$31="Baja",'Mapa final'!$L$31="Mayor"),CONCATENATE("R",'Mapa final'!$A$31),"")</f>
        <v/>
      </c>
      <c r="AG30" s="315"/>
      <c r="AH30" s="304" t="str">
        <f>IF(AND('Mapa final'!$H$23="Baja",'Mapa final'!$L$23="Catastrófico"),CONCATENATE("R",'Mapa final'!$A$23),"")</f>
        <v/>
      </c>
      <c r="AI30" s="305"/>
      <c r="AJ30" s="305" t="str">
        <f>IF(AND('Mapa final'!$H$29="Baja",'Mapa final'!$L$29="Catastrófico"),CONCATENATE("R",'Mapa final'!$A$29),"")</f>
        <v/>
      </c>
      <c r="AK30" s="305"/>
      <c r="AL30" s="305" t="str">
        <f>IF(AND('Mapa final'!$H$31="Baja",'Mapa final'!$L$31="Catastrófico"),CONCATENATE("R",'Mapa final'!$A$31),"")</f>
        <v/>
      </c>
      <c r="AM30" s="306"/>
      <c r="AN30" s="83"/>
      <c r="AO30" s="356" t="s">
        <v>99</v>
      </c>
      <c r="AP30" s="357"/>
      <c r="AQ30" s="357"/>
      <c r="AR30" s="357"/>
      <c r="AS30" s="357"/>
      <c r="AT30" s="35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327"/>
      <c r="C31" s="327"/>
      <c r="D31" s="328"/>
      <c r="E31" s="320"/>
      <c r="F31" s="321"/>
      <c r="G31" s="321"/>
      <c r="H31" s="321"/>
      <c r="I31" s="321"/>
      <c r="J31" s="280"/>
      <c r="K31" s="281"/>
      <c r="L31" s="281"/>
      <c r="M31" s="281"/>
      <c r="N31" s="281"/>
      <c r="O31" s="282"/>
      <c r="P31" s="290"/>
      <c r="Q31" s="290"/>
      <c r="R31" s="290"/>
      <c r="S31" s="290"/>
      <c r="T31" s="290"/>
      <c r="U31" s="291"/>
      <c r="V31" s="289"/>
      <c r="W31" s="290"/>
      <c r="X31" s="290"/>
      <c r="Y31" s="290"/>
      <c r="Z31" s="290"/>
      <c r="AA31" s="291"/>
      <c r="AB31" s="307"/>
      <c r="AC31" s="308"/>
      <c r="AD31" s="308"/>
      <c r="AE31" s="308"/>
      <c r="AF31" s="308"/>
      <c r="AG31" s="309"/>
      <c r="AH31" s="298"/>
      <c r="AI31" s="299"/>
      <c r="AJ31" s="299"/>
      <c r="AK31" s="299"/>
      <c r="AL31" s="299"/>
      <c r="AM31" s="300"/>
      <c r="AN31" s="83"/>
      <c r="AO31" s="359"/>
      <c r="AP31" s="360"/>
      <c r="AQ31" s="360"/>
      <c r="AR31" s="360"/>
      <c r="AS31" s="360"/>
      <c r="AT31" s="36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327"/>
      <c r="C32" s="327"/>
      <c r="D32" s="328"/>
      <c r="E32" s="320"/>
      <c r="F32" s="321"/>
      <c r="G32" s="321"/>
      <c r="H32" s="321"/>
      <c r="I32" s="321"/>
      <c r="J32" s="280" t="str">
        <f>IF(AND('Mapa final'!$H$34="Baja",'Mapa final'!$L$34="Leve"),CONCATENATE("R",'Mapa final'!$A$34),"")</f>
        <v>R4</v>
      </c>
      <c r="K32" s="281"/>
      <c r="L32" s="281" t="str">
        <f>IF(AND('Mapa final'!$H$37="Baja",'Mapa final'!$L$37="Leve"),CONCATENATE("R",'Mapa final'!$A$37),"")</f>
        <v>R5</v>
      </c>
      <c r="M32" s="281"/>
      <c r="N32" s="281" t="str">
        <f>IF(AND('Mapa final'!$H$38="Baja",'Mapa final'!$L$38="Leve"),CONCATENATE("R",'Mapa final'!$A$38),"")</f>
        <v>R6</v>
      </c>
      <c r="O32" s="282"/>
      <c r="P32" s="290" t="str">
        <f>IF(AND('Mapa final'!$H$34="Baja",'Mapa final'!$L$34="Menor"),CONCATENATE("R",'Mapa final'!$A$34),"")</f>
        <v/>
      </c>
      <c r="Q32" s="290"/>
      <c r="R32" s="290" t="str">
        <f>IF(AND('Mapa final'!$H$37="Baja",'Mapa final'!$L$37="Menor"),CONCATENATE("R",'Mapa final'!$A$37),"")</f>
        <v/>
      </c>
      <c r="S32" s="290"/>
      <c r="T32" s="290" t="str">
        <f>IF(AND('Mapa final'!$H$38="Baja",'Mapa final'!$L$38="Menor"),CONCATENATE("R",'Mapa final'!$A$38),"")</f>
        <v/>
      </c>
      <c r="U32" s="291"/>
      <c r="V32" s="289" t="str">
        <f>IF(AND('Mapa final'!$H$34="Baja",'Mapa final'!$L$34="Moderado"),CONCATENATE("R",'Mapa final'!$A$34),"")</f>
        <v/>
      </c>
      <c r="W32" s="290"/>
      <c r="X32" s="290" t="str">
        <f>IF(AND('Mapa final'!$H$37="Baja",'Mapa final'!$L$37="Moderado"),CONCATENATE("R",'Mapa final'!$A$37),"")</f>
        <v/>
      </c>
      <c r="Y32" s="290"/>
      <c r="Z32" s="290" t="str">
        <f>IF(AND('Mapa final'!$H$38="Baja",'Mapa final'!$L$38="Moderado"),CONCATENATE("R",'Mapa final'!$A$38),"")</f>
        <v/>
      </c>
      <c r="AA32" s="291"/>
      <c r="AB32" s="307" t="str">
        <f>IF(AND('Mapa final'!$H$34="Baja",'Mapa final'!$L$34="Mayor"),CONCATENATE("R",'Mapa final'!$A$34),"")</f>
        <v/>
      </c>
      <c r="AC32" s="308"/>
      <c r="AD32" s="308" t="str">
        <f>IF(AND('Mapa final'!$H$37="Baja",'Mapa final'!$L$37="Mayor"),CONCATENATE("R",'Mapa final'!$A$37),"")</f>
        <v/>
      </c>
      <c r="AE32" s="308"/>
      <c r="AF32" s="308" t="str">
        <f>IF(AND('Mapa final'!$H$38="Baja",'Mapa final'!$L$38="Mayor"),CONCATENATE("R",'Mapa final'!$A$38),"")</f>
        <v/>
      </c>
      <c r="AG32" s="309"/>
      <c r="AH32" s="298" t="str">
        <f>IF(AND('Mapa final'!$H$34="Baja",'Mapa final'!$L$34="Catastrófico"),CONCATENATE("R",'Mapa final'!$A$34),"")</f>
        <v/>
      </c>
      <c r="AI32" s="299"/>
      <c r="AJ32" s="299" t="str">
        <f>IF(AND('Mapa final'!$H$37="Baja",'Mapa final'!$L$37="Catastrófico"),CONCATENATE("R",'Mapa final'!$A$37),"")</f>
        <v/>
      </c>
      <c r="AK32" s="299"/>
      <c r="AL32" s="299" t="str">
        <f>IF(AND('Mapa final'!$H$38="Baja",'Mapa final'!$L$38="Catastrófico"),CONCATENATE("R",'Mapa final'!$A$38),"")</f>
        <v/>
      </c>
      <c r="AM32" s="300"/>
      <c r="AN32" s="83"/>
      <c r="AO32" s="359"/>
      <c r="AP32" s="360"/>
      <c r="AQ32" s="360"/>
      <c r="AR32" s="360"/>
      <c r="AS32" s="360"/>
      <c r="AT32" s="36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327"/>
      <c r="C33" s="327"/>
      <c r="D33" s="328"/>
      <c r="E33" s="320"/>
      <c r="F33" s="321"/>
      <c r="G33" s="321"/>
      <c r="H33" s="321"/>
      <c r="I33" s="321"/>
      <c r="J33" s="280"/>
      <c r="K33" s="281"/>
      <c r="L33" s="281"/>
      <c r="M33" s="281"/>
      <c r="N33" s="281"/>
      <c r="O33" s="282"/>
      <c r="P33" s="290"/>
      <c r="Q33" s="290"/>
      <c r="R33" s="290"/>
      <c r="S33" s="290"/>
      <c r="T33" s="290"/>
      <c r="U33" s="291"/>
      <c r="V33" s="289"/>
      <c r="W33" s="290"/>
      <c r="X33" s="290"/>
      <c r="Y33" s="290"/>
      <c r="Z33" s="290"/>
      <c r="AA33" s="291"/>
      <c r="AB33" s="307"/>
      <c r="AC33" s="308"/>
      <c r="AD33" s="308"/>
      <c r="AE33" s="308"/>
      <c r="AF33" s="308"/>
      <c r="AG33" s="309"/>
      <c r="AH33" s="298"/>
      <c r="AI33" s="299"/>
      <c r="AJ33" s="299"/>
      <c r="AK33" s="299"/>
      <c r="AL33" s="299"/>
      <c r="AM33" s="300"/>
      <c r="AN33" s="83"/>
      <c r="AO33" s="359"/>
      <c r="AP33" s="360"/>
      <c r="AQ33" s="360"/>
      <c r="AR33" s="360"/>
      <c r="AS33" s="360"/>
      <c r="AT33" s="36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327"/>
      <c r="C34" s="327"/>
      <c r="D34" s="328"/>
      <c r="E34" s="320"/>
      <c r="F34" s="321"/>
      <c r="G34" s="321"/>
      <c r="H34" s="321"/>
      <c r="I34" s="321"/>
      <c r="J34" s="280" t="e">
        <f>IF(AND('Mapa final'!#REF!="Baja",'Mapa final'!#REF!="Leve"),CONCATENATE("R",'Mapa final'!#REF!),"")</f>
        <v>#REF!</v>
      </c>
      <c r="K34" s="281"/>
      <c r="L34" s="281" t="e">
        <f>IF(AND('Mapa final'!#REF!="Baja",'Mapa final'!#REF!="Leve"),CONCATENATE("R",'Mapa final'!#REF!),"")</f>
        <v>#REF!</v>
      </c>
      <c r="M34" s="281"/>
      <c r="N34" s="281" t="e">
        <f>IF(AND('Mapa final'!#REF!="Baja",'Mapa final'!#REF!="Leve"),CONCATENATE("R",'Mapa final'!#REF!),"")</f>
        <v>#REF!</v>
      </c>
      <c r="O34" s="282"/>
      <c r="P34" s="290" t="e">
        <f>IF(AND('Mapa final'!#REF!="Baja",'Mapa final'!#REF!="Menor"),CONCATENATE("R",'Mapa final'!#REF!),"")</f>
        <v>#REF!</v>
      </c>
      <c r="Q34" s="290"/>
      <c r="R34" s="290" t="e">
        <f>IF(AND('Mapa final'!#REF!="Baja",'Mapa final'!#REF!="Menor"),CONCATENATE("R",'Mapa final'!#REF!),"")</f>
        <v>#REF!</v>
      </c>
      <c r="S34" s="290"/>
      <c r="T34" s="290" t="e">
        <f>IF(AND('Mapa final'!#REF!="Baja",'Mapa final'!#REF!="Menor"),CONCATENATE("R",'Mapa final'!#REF!),"")</f>
        <v>#REF!</v>
      </c>
      <c r="U34" s="291"/>
      <c r="V34" s="289" t="e">
        <f>IF(AND('Mapa final'!#REF!="Baja",'Mapa final'!#REF!="Moderado"),CONCATENATE("R",'Mapa final'!#REF!),"")</f>
        <v>#REF!</v>
      </c>
      <c r="W34" s="290"/>
      <c r="X34" s="290" t="e">
        <f>IF(AND('Mapa final'!#REF!="Baja",'Mapa final'!#REF!="Moderado"),CONCATENATE("R",'Mapa final'!#REF!),"")</f>
        <v>#REF!</v>
      </c>
      <c r="Y34" s="290"/>
      <c r="Z34" s="290" t="e">
        <f>IF(AND('Mapa final'!#REF!="Baja",'Mapa final'!#REF!="Moderado"),CONCATENATE("R",'Mapa final'!#REF!),"")</f>
        <v>#REF!</v>
      </c>
      <c r="AA34" s="291"/>
      <c r="AB34" s="307" t="e">
        <f>IF(AND('Mapa final'!#REF!="Baja",'Mapa final'!#REF!="Mayor"),CONCATENATE("R",'Mapa final'!#REF!),"")</f>
        <v>#REF!</v>
      </c>
      <c r="AC34" s="308"/>
      <c r="AD34" s="308" t="e">
        <f>IF(AND('Mapa final'!#REF!="Baja",'Mapa final'!#REF!="Mayor"),CONCATENATE("R",'Mapa final'!#REF!),"")</f>
        <v>#REF!</v>
      </c>
      <c r="AE34" s="308"/>
      <c r="AF34" s="308" t="e">
        <f>IF(AND('Mapa final'!#REF!="Baja",'Mapa final'!#REF!="Mayor"),CONCATENATE("R",'Mapa final'!#REF!),"")</f>
        <v>#REF!</v>
      </c>
      <c r="AG34" s="309"/>
      <c r="AH34" s="298" t="e">
        <f>IF(AND('Mapa final'!#REF!="Baja",'Mapa final'!#REF!="Catastrófico"),CONCATENATE("R",'Mapa final'!#REF!),"")</f>
        <v>#REF!</v>
      </c>
      <c r="AI34" s="299"/>
      <c r="AJ34" s="299" t="e">
        <f>IF(AND('Mapa final'!#REF!="Baja",'Mapa final'!#REF!="Catastrófico"),CONCATENATE("R",'Mapa final'!#REF!),"")</f>
        <v>#REF!</v>
      </c>
      <c r="AK34" s="299"/>
      <c r="AL34" s="299" t="e">
        <f>IF(AND('Mapa final'!#REF!="Baja",'Mapa final'!#REF!="Catastrófico"),CONCATENATE("R",'Mapa final'!#REF!),"")</f>
        <v>#REF!</v>
      </c>
      <c r="AM34" s="300"/>
      <c r="AN34" s="83"/>
      <c r="AO34" s="359"/>
      <c r="AP34" s="360"/>
      <c r="AQ34" s="360"/>
      <c r="AR34" s="360"/>
      <c r="AS34" s="360"/>
      <c r="AT34" s="36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327"/>
      <c r="C35" s="327"/>
      <c r="D35" s="328"/>
      <c r="E35" s="320"/>
      <c r="F35" s="321"/>
      <c r="G35" s="321"/>
      <c r="H35" s="321"/>
      <c r="I35" s="321"/>
      <c r="J35" s="280"/>
      <c r="K35" s="281"/>
      <c r="L35" s="281"/>
      <c r="M35" s="281"/>
      <c r="N35" s="281"/>
      <c r="O35" s="282"/>
      <c r="P35" s="290"/>
      <c r="Q35" s="290"/>
      <c r="R35" s="290"/>
      <c r="S35" s="290"/>
      <c r="T35" s="290"/>
      <c r="U35" s="291"/>
      <c r="V35" s="289"/>
      <c r="W35" s="290"/>
      <c r="X35" s="290"/>
      <c r="Y35" s="290"/>
      <c r="Z35" s="290"/>
      <c r="AA35" s="291"/>
      <c r="AB35" s="307"/>
      <c r="AC35" s="308"/>
      <c r="AD35" s="308"/>
      <c r="AE35" s="308"/>
      <c r="AF35" s="308"/>
      <c r="AG35" s="309"/>
      <c r="AH35" s="298"/>
      <c r="AI35" s="299"/>
      <c r="AJ35" s="299"/>
      <c r="AK35" s="299"/>
      <c r="AL35" s="299"/>
      <c r="AM35" s="300"/>
      <c r="AN35" s="83"/>
      <c r="AO35" s="359"/>
      <c r="AP35" s="360"/>
      <c r="AQ35" s="360"/>
      <c r="AR35" s="360"/>
      <c r="AS35" s="360"/>
      <c r="AT35" s="36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327"/>
      <c r="C36" s="327"/>
      <c r="D36" s="328"/>
      <c r="E36" s="320"/>
      <c r="F36" s="321"/>
      <c r="G36" s="321"/>
      <c r="H36" s="321"/>
      <c r="I36" s="321"/>
      <c r="J36" s="280" t="e">
        <f>IF(AND('Mapa final'!#REF!="Baja",'Mapa final'!#REF!="Leve"),CONCATENATE("R",'Mapa final'!#REF!),"")</f>
        <v>#REF!</v>
      </c>
      <c r="K36" s="281"/>
      <c r="L36" s="281" t="str">
        <f>IF(AND('Mapa final'!$H$41="Baja",'Mapa final'!$L$41="Leve"),CONCATENATE("R",'Mapa final'!$A$41),"")</f>
        <v/>
      </c>
      <c r="M36" s="281"/>
      <c r="N36" s="281" t="str">
        <f>IF(AND('Mapa final'!$H$47="Baja",'Mapa final'!$L$47="Leve"),CONCATENATE("R",'Mapa final'!$A$47),"")</f>
        <v/>
      </c>
      <c r="O36" s="282"/>
      <c r="P36" s="290" t="e">
        <f>IF(AND('Mapa final'!#REF!="Baja",'Mapa final'!#REF!="Menor"),CONCATENATE("R",'Mapa final'!#REF!),"")</f>
        <v>#REF!</v>
      </c>
      <c r="Q36" s="290"/>
      <c r="R36" s="290" t="str">
        <f>IF(AND('Mapa final'!$H$41="Baja",'Mapa final'!$L$41="Menor"),CONCATENATE("R",'Mapa final'!$A$41),"")</f>
        <v/>
      </c>
      <c r="S36" s="290"/>
      <c r="T36" s="290" t="str">
        <f>IF(AND('Mapa final'!$H$47="Baja",'Mapa final'!$L$47="Menor"),CONCATENATE("R",'Mapa final'!$A$47),"")</f>
        <v/>
      </c>
      <c r="U36" s="291"/>
      <c r="V36" s="289" t="e">
        <f>IF(AND('Mapa final'!#REF!="Baja",'Mapa final'!#REF!="Moderado"),CONCATENATE("R",'Mapa final'!#REF!),"")</f>
        <v>#REF!</v>
      </c>
      <c r="W36" s="290"/>
      <c r="X36" s="290" t="str">
        <f>IF(AND('Mapa final'!$H$41="Baja",'Mapa final'!$L$41="Moderado"),CONCATENATE("R",'Mapa final'!$A$41),"")</f>
        <v/>
      </c>
      <c r="Y36" s="290"/>
      <c r="Z36" s="290" t="str">
        <f>IF(AND('Mapa final'!$H$47="Baja",'Mapa final'!$L$47="Moderado"),CONCATENATE("R",'Mapa final'!$A$47),"")</f>
        <v/>
      </c>
      <c r="AA36" s="291"/>
      <c r="AB36" s="307" t="e">
        <f>IF(AND('Mapa final'!#REF!="Baja",'Mapa final'!#REF!="Mayor"),CONCATENATE("R",'Mapa final'!#REF!),"")</f>
        <v>#REF!</v>
      </c>
      <c r="AC36" s="308"/>
      <c r="AD36" s="308" t="str">
        <f>IF(AND('Mapa final'!$H$41="Baja",'Mapa final'!$L$41="Mayor"),CONCATENATE("R",'Mapa final'!$A$41),"")</f>
        <v/>
      </c>
      <c r="AE36" s="308"/>
      <c r="AF36" s="308" t="str">
        <f>IF(AND('Mapa final'!$H$47="Baja",'Mapa final'!$L$47="Mayor"),CONCATENATE("R",'Mapa final'!$A$47),"")</f>
        <v/>
      </c>
      <c r="AG36" s="309"/>
      <c r="AH36" s="298" t="e">
        <f>IF(AND('Mapa final'!#REF!="Baja",'Mapa final'!#REF!="Catastrófico"),CONCATENATE("R",'Mapa final'!#REF!),"")</f>
        <v>#REF!</v>
      </c>
      <c r="AI36" s="299"/>
      <c r="AJ36" s="299" t="str">
        <f>IF(AND('Mapa final'!$H$41="Baja",'Mapa final'!$L$41="Catastrófico"),CONCATENATE("R",'Mapa final'!$A$41),"")</f>
        <v/>
      </c>
      <c r="AK36" s="299"/>
      <c r="AL36" s="299" t="str">
        <f>IF(AND('Mapa final'!$H$47="Baja",'Mapa final'!$L$47="Catastrófico"),CONCATENATE("R",'Mapa final'!$A$47),"")</f>
        <v/>
      </c>
      <c r="AM36" s="300"/>
      <c r="AN36" s="83"/>
      <c r="AO36" s="359"/>
      <c r="AP36" s="360"/>
      <c r="AQ36" s="360"/>
      <c r="AR36" s="360"/>
      <c r="AS36" s="360"/>
      <c r="AT36" s="36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327"/>
      <c r="C37" s="327"/>
      <c r="D37" s="328"/>
      <c r="E37" s="323"/>
      <c r="F37" s="324"/>
      <c r="G37" s="324"/>
      <c r="H37" s="324"/>
      <c r="I37" s="324"/>
      <c r="J37" s="283"/>
      <c r="K37" s="284"/>
      <c r="L37" s="284"/>
      <c r="M37" s="284"/>
      <c r="N37" s="284"/>
      <c r="O37" s="285"/>
      <c r="P37" s="293"/>
      <c r="Q37" s="293"/>
      <c r="R37" s="293"/>
      <c r="S37" s="293"/>
      <c r="T37" s="293"/>
      <c r="U37" s="294"/>
      <c r="V37" s="292"/>
      <c r="W37" s="293"/>
      <c r="X37" s="293"/>
      <c r="Y37" s="293"/>
      <c r="Z37" s="293"/>
      <c r="AA37" s="294"/>
      <c r="AB37" s="310"/>
      <c r="AC37" s="311"/>
      <c r="AD37" s="311"/>
      <c r="AE37" s="311"/>
      <c r="AF37" s="311"/>
      <c r="AG37" s="312"/>
      <c r="AH37" s="301"/>
      <c r="AI37" s="302"/>
      <c r="AJ37" s="302"/>
      <c r="AK37" s="302"/>
      <c r="AL37" s="302"/>
      <c r="AM37" s="303"/>
      <c r="AN37" s="83"/>
      <c r="AO37" s="362"/>
      <c r="AP37" s="363"/>
      <c r="AQ37" s="363"/>
      <c r="AR37" s="363"/>
      <c r="AS37" s="363"/>
      <c r="AT37" s="36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327"/>
      <c r="C38" s="327"/>
      <c r="D38" s="328"/>
      <c r="E38" s="317" t="s">
        <v>100</v>
      </c>
      <c r="F38" s="318"/>
      <c r="G38" s="318"/>
      <c r="H38" s="318"/>
      <c r="I38" s="319"/>
      <c r="J38" s="286" t="str">
        <f>IF(AND('Mapa final'!$H$23="Muy Baja",'Mapa final'!$L$23="Leve"),CONCATENATE("R",'Mapa final'!$A$23),"")</f>
        <v/>
      </c>
      <c r="K38" s="287"/>
      <c r="L38" s="287" t="str">
        <f>IF(AND('Mapa final'!$H$29="Muy Baja",'Mapa final'!$L$29="Leve"),CONCATENATE("R",'Mapa final'!$A$29),"")</f>
        <v/>
      </c>
      <c r="M38" s="287"/>
      <c r="N38" s="287" t="str">
        <f>IF(AND('Mapa final'!$H$31="Muy Baja",'Mapa final'!$L$31="Leve"),CONCATENATE("R",'Mapa final'!$A$31),"")</f>
        <v/>
      </c>
      <c r="O38" s="288"/>
      <c r="P38" s="286" t="str">
        <f>IF(AND('Mapa final'!$H$23="Muy Baja",'Mapa final'!$L$23="Menor"),CONCATENATE("R",'Mapa final'!$A$23),"")</f>
        <v/>
      </c>
      <c r="Q38" s="287"/>
      <c r="R38" s="287" t="str">
        <f>IF(AND('Mapa final'!$H$29="Muy Baja",'Mapa final'!$L$29="Menor"),CONCATENATE("R",'Mapa final'!$A$29),"")</f>
        <v/>
      </c>
      <c r="S38" s="287"/>
      <c r="T38" s="287" t="str">
        <f>IF(AND('Mapa final'!$H$31="Muy Baja",'Mapa final'!$L$31="Menor"),CONCATENATE("R",'Mapa final'!$A$31),"")</f>
        <v/>
      </c>
      <c r="U38" s="288"/>
      <c r="V38" s="295" t="str">
        <f>IF(AND('Mapa final'!$H$23="Muy Baja",'Mapa final'!$L$23="Moderado"),CONCATENATE("R",'Mapa final'!$A$23),"")</f>
        <v/>
      </c>
      <c r="W38" s="296"/>
      <c r="X38" s="296" t="str">
        <f>IF(AND('Mapa final'!$H$29="Muy Baja",'Mapa final'!$L$29="Moderado"),CONCATENATE("R",'Mapa final'!$A$29),"")</f>
        <v/>
      </c>
      <c r="Y38" s="296"/>
      <c r="Z38" s="296" t="str">
        <f>IF(AND('Mapa final'!$H$31="Muy Baja",'Mapa final'!$L$31="Moderado"),CONCATENATE("R",'Mapa final'!$A$31),"")</f>
        <v/>
      </c>
      <c r="AA38" s="297"/>
      <c r="AB38" s="313" t="str">
        <f>IF(AND('Mapa final'!$H$23="Muy Baja",'Mapa final'!$L$23="Mayor"),CONCATENATE("R",'Mapa final'!$A$23),"")</f>
        <v/>
      </c>
      <c r="AC38" s="314"/>
      <c r="AD38" s="314" t="str">
        <f>IF(AND('Mapa final'!$H$29="Muy Baja",'Mapa final'!$L$29="Mayor"),CONCATENATE("R",'Mapa final'!$A$29),"")</f>
        <v/>
      </c>
      <c r="AE38" s="314"/>
      <c r="AF38" s="314" t="str">
        <f>IF(AND('Mapa final'!$H$31="Muy Baja",'Mapa final'!$L$31="Mayor"),CONCATENATE("R",'Mapa final'!$A$31),"")</f>
        <v/>
      </c>
      <c r="AG38" s="315"/>
      <c r="AH38" s="304" t="str">
        <f>IF(AND('Mapa final'!$H$23="Muy Baja",'Mapa final'!$L$23="Catastrófico"),CONCATENATE("R",'Mapa final'!$A$23),"")</f>
        <v/>
      </c>
      <c r="AI38" s="305"/>
      <c r="AJ38" s="305" t="str">
        <f>IF(AND('Mapa final'!$H$29="Muy Baja",'Mapa final'!$L$29="Catastrófico"),CONCATENATE("R",'Mapa final'!$A$29),"")</f>
        <v/>
      </c>
      <c r="AK38" s="305"/>
      <c r="AL38" s="305" t="str">
        <f>IF(AND('Mapa final'!$H$31="Muy Baja",'Mapa final'!$L$31="Catastrófico"),CONCATENATE("R",'Mapa final'!$A$31),"")</f>
        <v/>
      </c>
      <c r="AM38" s="306"/>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327"/>
      <c r="C39" s="327"/>
      <c r="D39" s="328"/>
      <c r="E39" s="320"/>
      <c r="F39" s="321"/>
      <c r="G39" s="321"/>
      <c r="H39" s="321"/>
      <c r="I39" s="322"/>
      <c r="J39" s="280"/>
      <c r="K39" s="281"/>
      <c r="L39" s="281"/>
      <c r="M39" s="281"/>
      <c r="N39" s="281"/>
      <c r="O39" s="282"/>
      <c r="P39" s="280"/>
      <c r="Q39" s="281"/>
      <c r="R39" s="281"/>
      <c r="S39" s="281"/>
      <c r="T39" s="281"/>
      <c r="U39" s="282"/>
      <c r="V39" s="289"/>
      <c r="W39" s="290"/>
      <c r="X39" s="290"/>
      <c r="Y39" s="290"/>
      <c r="Z39" s="290"/>
      <c r="AA39" s="291"/>
      <c r="AB39" s="307"/>
      <c r="AC39" s="308"/>
      <c r="AD39" s="308"/>
      <c r="AE39" s="308"/>
      <c r="AF39" s="308"/>
      <c r="AG39" s="309"/>
      <c r="AH39" s="298"/>
      <c r="AI39" s="299"/>
      <c r="AJ39" s="299"/>
      <c r="AK39" s="299"/>
      <c r="AL39" s="299"/>
      <c r="AM39" s="300"/>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327"/>
      <c r="C40" s="327"/>
      <c r="D40" s="328"/>
      <c r="E40" s="320"/>
      <c r="F40" s="321"/>
      <c r="G40" s="321"/>
      <c r="H40" s="321"/>
      <c r="I40" s="322"/>
      <c r="J40" s="280" t="str">
        <f>IF(AND('Mapa final'!$H$34="Muy Baja",'Mapa final'!$L$34="Leve"),CONCATENATE("R",'Mapa final'!$A$34),"")</f>
        <v/>
      </c>
      <c r="K40" s="281"/>
      <c r="L40" s="281" t="str">
        <f>IF(AND('Mapa final'!$H$37="Muy Baja",'Mapa final'!$L$37="Leve"),CONCATENATE("R",'Mapa final'!$A$37),"")</f>
        <v/>
      </c>
      <c r="M40" s="281"/>
      <c r="N40" s="281" t="str">
        <f>IF(AND('Mapa final'!$H$38="Muy Baja",'Mapa final'!$L$38="Leve"),CONCATENATE("R",'Mapa final'!$A$38),"")</f>
        <v/>
      </c>
      <c r="O40" s="282"/>
      <c r="P40" s="280" t="str">
        <f>IF(AND('Mapa final'!$H$34="Muy Baja",'Mapa final'!$L$34="Menor"),CONCATENATE("R",'Mapa final'!$A$34),"")</f>
        <v/>
      </c>
      <c r="Q40" s="281"/>
      <c r="R40" s="281" t="str">
        <f>IF(AND('Mapa final'!$H$37="Muy Baja",'Mapa final'!$L$37="Menor"),CONCATENATE("R",'Mapa final'!$A$37),"")</f>
        <v/>
      </c>
      <c r="S40" s="281"/>
      <c r="T40" s="281" t="str">
        <f>IF(AND('Mapa final'!$H$38="Muy Baja",'Mapa final'!$L$38="Menor"),CONCATENATE("R",'Mapa final'!$A$38),"")</f>
        <v/>
      </c>
      <c r="U40" s="282"/>
      <c r="V40" s="289" t="str">
        <f>IF(AND('Mapa final'!$H$34="Muy Baja",'Mapa final'!$L$34="Moderado"),CONCATENATE("R",'Mapa final'!$A$34),"")</f>
        <v/>
      </c>
      <c r="W40" s="290"/>
      <c r="X40" s="290" t="str">
        <f>IF(AND('Mapa final'!$H$37="Muy Baja",'Mapa final'!$L$37="Moderado"),CONCATENATE("R",'Mapa final'!$A$37),"")</f>
        <v/>
      </c>
      <c r="Y40" s="290"/>
      <c r="Z40" s="290" t="str">
        <f>IF(AND('Mapa final'!$H$38="Muy Baja",'Mapa final'!$L$38="Moderado"),CONCATENATE("R",'Mapa final'!$A$38),"")</f>
        <v/>
      </c>
      <c r="AA40" s="291"/>
      <c r="AB40" s="307" t="str">
        <f>IF(AND('Mapa final'!$H$34="Muy Baja",'Mapa final'!$L$34="Mayor"),CONCATENATE("R",'Mapa final'!$A$34),"")</f>
        <v/>
      </c>
      <c r="AC40" s="308"/>
      <c r="AD40" s="308" t="str">
        <f>IF(AND('Mapa final'!$H$37="Muy Baja",'Mapa final'!$L$37="Mayor"),CONCATENATE("R",'Mapa final'!$A$37),"")</f>
        <v/>
      </c>
      <c r="AE40" s="308"/>
      <c r="AF40" s="308" t="str">
        <f>IF(AND('Mapa final'!$H$38="Muy Baja",'Mapa final'!$L$38="Mayor"),CONCATENATE("R",'Mapa final'!$A$38),"")</f>
        <v/>
      </c>
      <c r="AG40" s="309"/>
      <c r="AH40" s="298" t="str">
        <f>IF(AND('Mapa final'!$H$34="Muy Baja",'Mapa final'!$L$34="Catastrófico"),CONCATENATE("R",'Mapa final'!$A$34),"")</f>
        <v/>
      </c>
      <c r="AI40" s="299"/>
      <c r="AJ40" s="299" t="str">
        <f>IF(AND('Mapa final'!$H$37="Muy Baja",'Mapa final'!$L$37="Catastrófico"),CONCATENATE("R",'Mapa final'!$A$37),"")</f>
        <v/>
      </c>
      <c r="AK40" s="299"/>
      <c r="AL40" s="299" t="str">
        <f>IF(AND('Mapa final'!$H$38="Muy Baja",'Mapa final'!$L$38="Catastrófico"),CONCATENATE("R",'Mapa final'!$A$38),"")</f>
        <v/>
      </c>
      <c r="AM40" s="300"/>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327"/>
      <c r="C41" s="327"/>
      <c r="D41" s="328"/>
      <c r="E41" s="320"/>
      <c r="F41" s="321"/>
      <c r="G41" s="321"/>
      <c r="H41" s="321"/>
      <c r="I41" s="322"/>
      <c r="J41" s="280"/>
      <c r="K41" s="281"/>
      <c r="L41" s="281"/>
      <c r="M41" s="281"/>
      <c r="N41" s="281"/>
      <c r="O41" s="282"/>
      <c r="P41" s="280"/>
      <c r="Q41" s="281"/>
      <c r="R41" s="281"/>
      <c r="S41" s="281"/>
      <c r="T41" s="281"/>
      <c r="U41" s="282"/>
      <c r="V41" s="289"/>
      <c r="W41" s="290"/>
      <c r="X41" s="290"/>
      <c r="Y41" s="290"/>
      <c r="Z41" s="290"/>
      <c r="AA41" s="291"/>
      <c r="AB41" s="307"/>
      <c r="AC41" s="308"/>
      <c r="AD41" s="308"/>
      <c r="AE41" s="308"/>
      <c r="AF41" s="308"/>
      <c r="AG41" s="309"/>
      <c r="AH41" s="298"/>
      <c r="AI41" s="299"/>
      <c r="AJ41" s="299"/>
      <c r="AK41" s="299"/>
      <c r="AL41" s="299"/>
      <c r="AM41" s="300"/>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327"/>
      <c r="C42" s="327"/>
      <c r="D42" s="328"/>
      <c r="E42" s="320"/>
      <c r="F42" s="321"/>
      <c r="G42" s="321"/>
      <c r="H42" s="321"/>
      <c r="I42" s="322"/>
      <c r="J42" s="280" t="e">
        <f>IF(AND('Mapa final'!#REF!="Muy Baja",'Mapa final'!#REF!="Leve"),CONCATENATE("R",'Mapa final'!#REF!),"")</f>
        <v>#REF!</v>
      </c>
      <c r="K42" s="281"/>
      <c r="L42" s="281" t="e">
        <f>IF(AND('Mapa final'!#REF!="Muy Baja",'Mapa final'!#REF!="Leve"),CONCATENATE("R",'Mapa final'!#REF!),"")</f>
        <v>#REF!</v>
      </c>
      <c r="M42" s="281"/>
      <c r="N42" s="281" t="e">
        <f>IF(AND('Mapa final'!#REF!="Muy Baja",'Mapa final'!#REF!="Leve"),CONCATENATE("R",'Mapa final'!#REF!),"")</f>
        <v>#REF!</v>
      </c>
      <c r="O42" s="282"/>
      <c r="P42" s="280" t="e">
        <f>IF(AND('Mapa final'!#REF!="Muy Baja",'Mapa final'!#REF!="Menor"),CONCATENATE("R",'Mapa final'!#REF!),"")</f>
        <v>#REF!</v>
      </c>
      <c r="Q42" s="281"/>
      <c r="R42" s="281" t="e">
        <f>IF(AND('Mapa final'!#REF!="Muy Baja",'Mapa final'!#REF!="Menor"),CONCATENATE("R",'Mapa final'!#REF!),"")</f>
        <v>#REF!</v>
      </c>
      <c r="S42" s="281"/>
      <c r="T42" s="281" t="e">
        <f>IF(AND('Mapa final'!#REF!="Muy Baja",'Mapa final'!#REF!="Menor"),CONCATENATE("R",'Mapa final'!#REF!),"")</f>
        <v>#REF!</v>
      </c>
      <c r="U42" s="282"/>
      <c r="V42" s="289" t="e">
        <f>IF(AND('Mapa final'!#REF!="Muy Baja",'Mapa final'!#REF!="Moderado"),CONCATENATE("R",'Mapa final'!#REF!),"")</f>
        <v>#REF!</v>
      </c>
      <c r="W42" s="290"/>
      <c r="X42" s="290" t="e">
        <f>IF(AND('Mapa final'!#REF!="Muy Baja",'Mapa final'!#REF!="Moderado"),CONCATENATE("R",'Mapa final'!#REF!),"")</f>
        <v>#REF!</v>
      </c>
      <c r="Y42" s="290"/>
      <c r="Z42" s="290" t="e">
        <f>IF(AND('Mapa final'!#REF!="Muy Baja",'Mapa final'!#REF!="Moderado"),CONCATENATE("R",'Mapa final'!#REF!),"")</f>
        <v>#REF!</v>
      </c>
      <c r="AA42" s="291"/>
      <c r="AB42" s="307" t="e">
        <f>IF(AND('Mapa final'!#REF!="Muy Baja",'Mapa final'!#REF!="Mayor"),CONCATENATE("R",'Mapa final'!#REF!),"")</f>
        <v>#REF!</v>
      </c>
      <c r="AC42" s="308"/>
      <c r="AD42" s="308" t="e">
        <f>IF(AND('Mapa final'!#REF!="Muy Baja",'Mapa final'!#REF!="Mayor"),CONCATENATE("R",'Mapa final'!#REF!),"")</f>
        <v>#REF!</v>
      </c>
      <c r="AE42" s="308"/>
      <c r="AF42" s="308" t="e">
        <f>IF(AND('Mapa final'!#REF!="Muy Baja",'Mapa final'!#REF!="Mayor"),CONCATENATE("R",'Mapa final'!#REF!),"")</f>
        <v>#REF!</v>
      </c>
      <c r="AG42" s="309"/>
      <c r="AH42" s="298" t="e">
        <f>IF(AND('Mapa final'!#REF!="Muy Baja",'Mapa final'!#REF!="Catastrófico"),CONCATENATE("R",'Mapa final'!#REF!),"")</f>
        <v>#REF!</v>
      </c>
      <c r="AI42" s="299"/>
      <c r="AJ42" s="299" t="e">
        <f>IF(AND('Mapa final'!#REF!="Muy Baja",'Mapa final'!#REF!="Catastrófico"),CONCATENATE("R",'Mapa final'!#REF!),"")</f>
        <v>#REF!</v>
      </c>
      <c r="AK42" s="299"/>
      <c r="AL42" s="299" t="e">
        <f>IF(AND('Mapa final'!#REF!="Muy Baja",'Mapa final'!#REF!="Catastrófico"),CONCATENATE("R",'Mapa final'!#REF!),"")</f>
        <v>#REF!</v>
      </c>
      <c r="AM42" s="300"/>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327"/>
      <c r="C43" s="327"/>
      <c r="D43" s="328"/>
      <c r="E43" s="320"/>
      <c r="F43" s="321"/>
      <c r="G43" s="321"/>
      <c r="H43" s="321"/>
      <c r="I43" s="322"/>
      <c r="J43" s="280"/>
      <c r="K43" s="281"/>
      <c r="L43" s="281"/>
      <c r="M43" s="281"/>
      <c r="N43" s="281"/>
      <c r="O43" s="282"/>
      <c r="P43" s="280"/>
      <c r="Q43" s="281"/>
      <c r="R43" s="281"/>
      <c r="S43" s="281"/>
      <c r="T43" s="281"/>
      <c r="U43" s="282"/>
      <c r="V43" s="289"/>
      <c r="W43" s="290"/>
      <c r="X43" s="290"/>
      <c r="Y43" s="290"/>
      <c r="Z43" s="290"/>
      <c r="AA43" s="291"/>
      <c r="AB43" s="307"/>
      <c r="AC43" s="308"/>
      <c r="AD43" s="308"/>
      <c r="AE43" s="308"/>
      <c r="AF43" s="308"/>
      <c r="AG43" s="309"/>
      <c r="AH43" s="298"/>
      <c r="AI43" s="299"/>
      <c r="AJ43" s="299"/>
      <c r="AK43" s="299"/>
      <c r="AL43" s="299"/>
      <c r="AM43" s="300"/>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327"/>
      <c r="C44" s="327"/>
      <c r="D44" s="328"/>
      <c r="E44" s="320"/>
      <c r="F44" s="321"/>
      <c r="G44" s="321"/>
      <c r="H44" s="321"/>
      <c r="I44" s="322"/>
      <c r="J44" s="280" t="e">
        <f>IF(AND('Mapa final'!#REF!="Muy Baja",'Mapa final'!#REF!="Leve"),CONCATENATE("R",'Mapa final'!#REF!),"")</f>
        <v>#REF!</v>
      </c>
      <c r="K44" s="281"/>
      <c r="L44" s="281" t="str">
        <f>IF(AND('Mapa final'!$H$41="Muy Baja",'Mapa final'!$L$41="Leve"),CONCATENATE("R",'Mapa final'!$A$41),"")</f>
        <v/>
      </c>
      <c r="M44" s="281"/>
      <c r="N44" s="281" t="str">
        <f>IF(AND('Mapa final'!$H$47="Muy Baja",'Mapa final'!$L$47="Leve"),CONCATENATE("R",'Mapa final'!$A$47),"")</f>
        <v/>
      </c>
      <c r="O44" s="282"/>
      <c r="P44" s="280" t="e">
        <f>IF(AND('Mapa final'!#REF!="Muy Baja",'Mapa final'!#REF!="Menor"),CONCATENATE("R",'Mapa final'!#REF!),"")</f>
        <v>#REF!</v>
      </c>
      <c r="Q44" s="281"/>
      <c r="R44" s="281" t="str">
        <f>IF(AND('Mapa final'!$H$41="Muy Baja",'Mapa final'!$L$41="Menor"),CONCATENATE("R",'Mapa final'!$A$41),"")</f>
        <v/>
      </c>
      <c r="S44" s="281"/>
      <c r="T44" s="281" t="str">
        <f>IF(AND('Mapa final'!$H$47="Muy Baja",'Mapa final'!$L$47="Menor"),CONCATENATE("R",'Mapa final'!$A$47),"")</f>
        <v/>
      </c>
      <c r="U44" s="282"/>
      <c r="V44" s="289" t="e">
        <f>IF(AND('Mapa final'!#REF!="Muy Baja",'Mapa final'!#REF!="Moderado"),CONCATENATE("R",'Mapa final'!#REF!),"")</f>
        <v>#REF!</v>
      </c>
      <c r="W44" s="290"/>
      <c r="X44" s="290" t="str">
        <f>IF(AND('Mapa final'!$H$41="Muy Baja",'Mapa final'!$L$41="Moderado"),CONCATENATE("R",'Mapa final'!$A$41),"")</f>
        <v/>
      </c>
      <c r="Y44" s="290"/>
      <c r="Z44" s="290" t="str">
        <f>IF(AND('Mapa final'!$H$47="Muy Baja",'Mapa final'!$L$47="Moderado"),CONCATENATE("R",'Mapa final'!$A$47),"")</f>
        <v/>
      </c>
      <c r="AA44" s="291"/>
      <c r="AB44" s="307" t="e">
        <f>IF(AND('Mapa final'!#REF!="Muy Baja",'Mapa final'!#REF!="Mayor"),CONCATENATE("R",'Mapa final'!#REF!),"")</f>
        <v>#REF!</v>
      </c>
      <c r="AC44" s="308"/>
      <c r="AD44" s="308" t="str">
        <f>IF(AND('Mapa final'!$H$41="Muy Baja",'Mapa final'!$L$41="Mayor"),CONCATENATE("R",'Mapa final'!$A$41),"")</f>
        <v/>
      </c>
      <c r="AE44" s="308"/>
      <c r="AF44" s="308" t="str">
        <f>IF(AND('Mapa final'!$H$47="Muy Baja",'Mapa final'!$L$47="Mayor"),CONCATENATE("R",'Mapa final'!$A$47),"")</f>
        <v/>
      </c>
      <c r="AG44" s="309"/>
      <c r="AH44" s="298" t="e">
        <f>IF(AND('Mapa final'!#REF!="Muy Baja",'Mapa final'!#REF!="Catastrófico"),CONCATENATE("R",'Mapa final'!#REF!),"")</f>
        <v>#REF!</v>
      </c>
      <c r="AI44" s="299"/>
      <c r="AJ44" s="299" t="str">
        <f>IF(AND('Mapa final'!$H$41="Muy Baja",'Mapa final'!$L$41="Catastrófico"),CONCATENATE("R",'Mapa final'!$A$41),"")</f>
        <v/>
      </c>
      <c r="AK44" s="299"/>
      <c r="AL44" s="299" t="str">
        <f>IF(AND('Mapa final'!$H$47="Muy Baja",'Mapa final'!$L$47="Catastrófico"),CONCATENATE("R",'Mapa final'!$A$47),"")</f>
        <v/>
      </c>
      <c r="AM44" s="300"/>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327"/>
      <c r="C45" s="327"/>
      <c r="D45" s="328"/>
      <c r="E45" s="323"/>
      <c r="F45" s="324"/>
      <c r="G45" s="324"/>
      <c r="H45" s="324"/>
      <c r="I45" s="325"/>
      <c r="J45" s="283"/>
      <c r="K45" s="284"/>
      <c r="L45" s="284"/>
      <c r="M45" s="284"/>
      <c r="N45" s="284"/>
      <c r="O45" s="285"/>
      <c r="P45" s="283"/>
      <c r="Q45" s="284"/>
      <c r="R45" s="284"/>
      <c r="S45" s="284"/>
      <c r="T45" s="284"/>
      <c r="U45" s="285"/>
      <c r="V45" s="292"/>
      <c r="W45" s="293"/>
      <c r="X45" s="293"/>
      <c r="Y45" s="293"/>
      <c r="Z45" s="293"/>
      <c r="AA45" s="294"/>
      <c r="AB45" s="310"/>
      <c r="AC45" s="311"/>
      <c r="AD45" s="311"/>
      <c r="AE45" s="311"/>
      <c r="AF45" s="311"/>
      <c r="AG45" s="312"/>
      <c r="AH45" s="301"/>
      <c r="AI45" s="302"/>
      <c r="AJ45" s="302"/>
      <c r="AK45" s="302"/>
      <c r="AL45" s="302"/>
      <c r="AM45" s="30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317" t="s">
        <v>101</v>
      </c>
      <c r="K46" s="318"/>
      <c r="L46" s="318"/>
      <c r="M46" s="318"/>
      <c r="N46" s="318"/>
      <c r="O46" s="319"/>
      <c r="P46" s="317" t="s">
        <v>102</v>
      </c>
      <c r="Q46" s="318"/>
      <c r="R46" s="318"/>
      <c r="S46" s="318"/>
      <c r="T46" s="318"/>
      <c r="U46" s="319"/>
      <c r="V46" s="317" t="s">
        <v>103</v>
      </c>
      <c r="W46" s="318"/>
      <c r="X46" s="318"/>
      <c r="Y46" s="318"/>
      <c r="Z46" s="318"/>
      <c r="AA46" s="319"/>
      <c r="AB46" s="317" t="s">
        <v>104</v>
      </c>
      <c r="AC46" s="326"/>
      <c r="AD46" s="318"/>
      <c r="AE46" s="318"/>
      <c r="AF46" s="318"/>
      <c r="AG46" s="319"/>
      <c r="AH46" s="317" t="s">
        <v>105</v>
      </c>
      <c r="AI46" s="318"/>
      <c r="AJ46" s="318"/>
      <c r="AK46" s="318"/>
      <c r="AL46" s="318"/>
      <c r="AM46" s="319"/>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320"/>
      <c r="K47" s="321"/>
      <c r="L47" s="321"/>
      <c r="M47" s="321"/>
      <c r="N47" s="321"/>
      <c r="O47" s="322"/>
      <c r="P47" s="320"/>
      <c r="Q47" s="321"/>
      <c r="R47" s="321"/>
      <c r="S47" s="321"/>
      <c r="T47" s="321"/>
      <c r="U47" s="322"/>
      <c r="V47" s="320"/>
      <c r="W47" s="321"/>
      <c r="X47" s="321"/>
      <c r="Y47" s="321"/>
      <c r="Z47" s="321"/>
      <c r="AA47" s="322"/>
      <c r="AB47" s="320"/>
      <c r="AC47" s="321"/>
      <c r="AD47" s="321"/>
      <c r="AE47" s="321"/>
      <c r="AF47" s="321"/>
      <c r="AG47" s="322"/>
      <c r="AH47" s="320"/>
      <c r="AI47" s="321"/>
      <c r="AJ47" s="321"/>
      <c r="AK47" s="321"/>
      <c r="AL47" s="321"/>
      <c r="AM47" s="32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320"/>
      <c r="K48" s="321"/>
      <c r="L48" s="321"/>
      <c r="M48" s="321"/>
      <c r="N48" s="321"/>
      <c r="O48" s="322"/>
      <c r="P48" s="320"/>
      <c r="Q48" s="321"/>
      <c r="R48" s="321"/>
      <c r="S48" s="321"/>
      <c r="T48" s="321"/>
      <c r="U48" s="322"/>
      <c r="V48" s="320"/>
      <c r="W48" s="321"/>
      <c r="X48" s="321"/>
      <c r="Y48" s="321"/>
      <c r="Z48" s="321"/>
      <c r="AA48" s="322"/>
      <c r="AB48" s="320"/>
      <c r="AC48" s="321"/>
      <c r="AD48" s="321"/>
      <c r="AE48" s="321"/>
      <c r="AF48" s="321"/>
      <c r="AG48" s="322"/>
      <c r="AH48" s="320"/>
      <c r="AI48" s="321"/>
      <c r="AJ48" s="321"/>
      <c r="AK48" s="321"/>
      <c r="AL48" s="321"/>
      <c r="AM48" s="32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320"/>
      <c r="K49" s="321"/>
      <c r="L49" s="321"/>
      <c r="M49" s="321"/>
      <c r="N49" s="321"/>
      <c r="O49" s="322"/>
      <c r="P49" s="320"/>
      <c r="Q49" s="321"/>
      <c r="R49" s="321"/>
      <c r="S49" s="321"/>
      <c r="T49" s="321"/>
      <c r="U49" s="322"/>
      <c r="V49" s="320"/>
      <c r="W49" s="321"/>
      <c r="X49" s="321"/>
      <c r="Y49" s="321"/>
      <c r="Z49" s="321"/>
      <c r="AA49" s="322"/>
      <c r="AB49" s="320"/>
      <c r="AC49" s="321"/>
      <c r="AD49" s="321"/>
      <c r="AE49" s="321"/>
      <c r="AF49" s="321"/>
      <c r="AG49" s="322"/>
      <c r="AH49" s="320"/>
      <c r="AI49" s="321"/>
      <c r="AJ49" s="321"/>
      <c r="AK49" s="321"/>
      <c r="AL49" s="321"/>
      <c r="AM49" s="32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320"/>
      <c r="K50" s="321"/>
      <c r="L50" s="321"/>
      <c r="M50" s="321"/>
      <c r="N50" s="321"/>
      <c r="O50" s="322"/>
      <c r="P50" s="320"/>
      <c r="Q50" s="321"/>
      <c r="R50" s="321"/>
      <c r="S50" s="321"/>
      <c r="T50" s="321"/>
      <c r="U50" s="322"/>
      <c r="V50" s="320"/>
      <c r="W50" s="321"/>
      <c r="X50" s="321"/>
      <c r="Y50" s="321"/>
      <c r="Z50" s="321"/>
      <c r="AA50" s="322"/>
      <c r="AB50" s="320"/>
      <c r="AC50" s="321"/>
      <c r="AD50" s="321"/>
      <c r="AE50" s="321"/>
      <c r="AF50" s="321"/>
      <c r="AG50" s="322"/>
      <c r="AH50" s="320"/>
      <c r="AI50" s="321"/>
      <c r="AJ50" s="321"/>
      <c r="AK50" s="321"/>
      <c r="AL50" s="321"/>
      <c r="AM50" s="32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323"/>
      <c r="K51" s="324"/>
      <c r="L51" s="324"/>
      <c r="M51" s="324"/>
      <c r="N51" s="324"/>
      <c r="O51" s="325"/>
      <c r="P51" s="323"/>
      <c r="Q51" s="324"/>
      <c r="R51" s="324"/>
      <c r="S51" s="324"/>
      <c r="T51" s="324"/>
      <c r="U51" s="325"/>
      <c r="V51" s="323"/>
      <c r="W51" s="324"/>
      <c r="X51" s="324"/>
      <c r="Y51" s="324"/>
      <c r="Z51" s="324"/>
      <c r="AA51" s="325"/>
      <c r="AB51" s="323"/>
      <c r="AC51" s="324"/>
      <c r="AD51" s="324"/>
      <c r="AE51" s="324"/>
      <c r="AF51" s="324"/>
      <c r="AG51" s="325"/>
      <c r="AH51" s="323"/>
      <c r="AI51" s="324"/>
      <c r="AJ51" s="324"/>
      <c r="AK51" s="324"/>
      <c r="AL51" s="324"/>
      <c r="AM51" s="325"/>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94" t="s">
        <v>106</v>
      </c>
      <c r="C2" s="395"/>
      <c r="D2" s="395"/>
      <c r="E2" s="395"/>
      <c r="F2" s="395"/>
      <c r="G2" s="395"/>
      <c r="H2" s="395"/>
      <c r="I2" s="395"/>
      <c r="J2" s="316" t="s">
        <v>13</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95"/>
      <c r="C3" s="395"/>
      <c r="D3" s="395"/>
      <c r="E3" s="395"/>
      <c r="F3" s="395"/>
      <c r="G3" s="395"/>
      <c r="H3" s="395"/>
      <c r="I3" s="395"/>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95"/>
      <c r="C4" s="395"/>
      <c r="D4" s="395"/>
      <c r="E4" s="395"/>
      <c r="F4" s="395"/>
      <c r="G4" s="395"/>
      <c r="H4" s="395"/>
      <c r="I4" s="395"/>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327" t="s">
        <v>91</v>
      </c>
      <c r="C6" s="327"/>
      <c r="D6" s="328"/>
      <c r="E6" s="365" t="s">
        <v>92</v>
      </c>
      <c r="F6" s="366"/>
      <c r="G6" s="366"/>
      <c r="H6" s="366"/>
      <c r="I6" s="367"/>
      <c r="J6" s="46" t="str">
        <f>IF(AND('Mapa final'!$Y$23="Muy Alta",'Mapa final'!$AA$23="Leve"),CONCATENATE("R1C",'Mapa final'!$O$23),"")</f>
        <v/>
      </c>
      <c r="K6" s="47" t="str">
        <f>IF(AND('Mapa final'!$Y$24="Muy Alta",'Mapa final'!$AA$24="Leve"),CONCATENATE("R1C",'Mapa final'!$O$24),"")</f>
        <v/>
      </c>
      <c r="L6" s="47" t="str">
        <f>IF(AND('Mapa final'!$Y$25="Muy Alta",'Mapa final'!$AA$25="Leve"),CONCATENATE("R1C",'Mapa final'!$O$25),"")</f>
        <v/>
      </c>
      <c r="M6" s="47" t="str">
        <f>IF(AND('Mapa final'!$Y$26="Muy Alta",'Mapa final'!$AA$26="Leve"),CONCATENATE("R1C",'Mapa final'!$O$26),"")</f>
        <v/>
      </c>
      <c r="N6" s="47" t="str">
        <f>IF(AND('Mapa final'!$Y$27="Muy Alta",'Mapa final'!$AA$27="Leve"),CONCATENATE("R1C",'Mapa final'!$O$27),"")</f>
        <v/>
      </c>
      <c r="O6" s="48" t="str">
        <f>IF(AND('Mapa final'!$Y$28="Muy Alta",'Mapa final'!$AA$28="Leve"),CONCATENATE("R1C",'Mapa final'!$O$28),"")</f>
        <v/>
      </c>
      <c r="P6" s="46" t="str">
        <f>IF(AND('Mapa final'!$Y$23="Muy Alta",'Mapa final'!$AA$23="Menor"),CONCATENATE("R1C",'Mapa final'!$O$23),"")</f>
        <v/>
      </c>
      <c r="Q6" s="47" t="str">
        <f>IF(AND('Mapa final'!$Y$24="Muy Alta",'Mapa final'!$AA$24="Menor"),CONCATENATE("R1C",'Mapa final'!$O$24),"")</f>
        <v/>
      </c>
      <c r="R6" s="47" t="str">
        <f>IF(AND('Mapa final'!$Y$25="Muy Alta",'Mapa final'!$AA$25="Menor"),CONCATENATE("R1C",'Mapa final'!$O$25),"")</f>
        <v/>
      </c>
      <c r="S6" s="47" t="str">
        <f>IF(AND('Mapa final'!$Y$26="Muy Alta",'Mapa final'!$AA$26="Menor"),CONCATENATE("R1C",'Mapa final'!$O$26),"")</f>
        <v/>
      </c>
      <c r="T6" s="47" t="str">
        <f>IF(AND('Mapa final'!$Y$27="Muy Alta",'Mapa final'!$AA$27="Menor"),CONCATENATE("R1C",'Mapa final'!$O$27),"")</f>
        <v/>
      </c>
      <c r="U6" s="48" t="str">
        <f>IF(AND('Mapa final'!$Y$28="Muy Alta",'Mapa final'!$AA$28="Menor"),CONCATENATE("R1C",'Mapa final'!$O$28),"")</f>
        <v/>
      </c>
      <c r="V6" s="46" t="str">
        <f>IF(AND('Mapa final'!$Y$23="Muy Alta",'Mapa final'!$AA$23="Moderado"),CONCATENATE("R1C",'Mapa final'!$O$23),"")</f>
        <v/>
      </c>
      <c r="W6" s="47" t="str">
        <f>IF(AND('Mapa final'!$Y$24="Muy Alta",'Mapa final'!$AA$24="Moderado"),CONCATENATE("R1C",'Mapa final'!$O$24),"")</f>
        <v/>
      </c>
      <c r="X6" s="47" t="str">
        <f>IF(AND('Mapa final'!$Y$25="Muy Alta",'Mapa final'!$AA$25="Moderado"),CONCATENATE("R1C",'Mapa final'!$O$25),"")</f>
        <v/>
      </c>
      <c r="Y6" s="47" t="str">
        <f>IF(AND('Mapa final'!$Y$26="Muy Alta",'Mapa final'!$AA$26="Moderado"),CONCATENATE("R1C",'Mapa final'!$O$26),"")</f>
        <v/>
      </c>
      <c r="Z6" s="47" t="str">
        <f>IF(AND('Mapa final'!$Y$27="Muy Alta",'Mapa final'!$AA$27="Moderado"),CONCATENATE("R1C",'Mapa final'!$O$27),"")</f>
        <v/>
      </c>
      <c r="AA6" s="48" t="str">
        <f>IF(AND('Mapa final'!$Y$28="Muy Alta",'Mapa final'!$AA$28="Moderado"),CONCATENATE("R1C",'Mapa final'!$O$28),"")</f>
        <v/>
      </c>
      <c r="AB6" s="46" t="str">
        <f>IF(AND('Mapa final'!$Y$23="Muy Alta",'Mapa final'!$AA$23="Mayor"),CONCATENATE("R1C",'Mapa final'!$O$23),"")</f>
        <v/>
      </c>
      <c r="AC6" s="47" t="str">
        <f>IF(AND('Mapa final'!$Y$24="Muy Alta",'Mapa final'!$AA$24="Mayor"),CONCATENATE("R1C",'Mapa final'!$O$24),"")</f>
        <v/>
      </c>
      <c r="AD6" s="47" t="str">
        <f>IF(AND('Mapa final'!$Y$25="Muy Alta",'Mapa final'!$AA$25="Mayor"),CONCATENATE("R1C",'Mapa final'!$O$25),"")</f>
        <v/>
      </c>
      <c r="AE6" s="47" t="str">
        <f>IF(AND('Mapa final'!$Y$26="Muy Alta",'Mapa final'!$AA$26="Mayor"),CONCATENATE("R1C",'Mapa final'!$O$26),"")</f>
        <v/>
      </c>
      <c r="AF6" s="47" t="str">
        <f>IF(AND('Mapa final'!$Y$27="Muy Alta",'Mapa final'!$AA$27="Mayor"),CONCATENATE("R1C",'Mapa final'!$O$27),"")</f>
        <v/>
      </c>
      <c r="AG6" s="48" t="str">
        <f>IF(AND('Mapa final'!$Y$28="Muy Alta",'Mapa final'!$AA$28="Mayor"),CONCATENATE("R1C",'Mapa final'!$O$28),"")</f>
        <v/>
      </c>
      <c r="AH6" s="49" t="str">
        <f>IF(AND('Mapa final'!$Y$23="Muy Alta",'Mapa final'!$AA$23="Catastrófico"),CONCATENATE("R1C",'Mapa final'!$O$23),"")</f>
        <v/>
      </c>
      <c r="AI6" s="50" t="str">
        <f>IF(AND('Mapa final'!$Y$24="Muy Alta",'Mapa final'!$AA$24="Catastrófico"),CONCATENATE("R1C",'Mapa final'!$O$24),"")</f>
        <v/>
      </c>
      <c r="AJ6" s="50" t="str">
        <f>IF(AND('Mapa final'!$Y$25="Muy Alta",'Mapa final'!$AA$25="Catastrófico"),CONCATENATE("R1C",'Mapa final'!$O$25),"")</f>
        <v/>
      </c>
      <c r="AK6" s="50" t="str">
        <f>IF(AND('Mapa final'!$Y$26="Muy Alta",'Mapa final'!$AA$26="Catastrófico"),CONCATENATE("R1C",'Mapa final'!$O$26),"")</f>
        <v/>
      </c>
      <c r="AL6" s="50" t="str">
        <f>IF(AND('Mapa final'!$Y$27="Muy Alta",'Mapa final'!$AA$27="Catastrófico"),CONCATENATE("R1C",'Mapa final'!$O$27),"")</f>
        <v/>
      </c>
      <c r="AM6" s="51" t="str">
        <f>IF(AND('Mapa final'!$Y$28="Muy Alta",'Mapa final'!$AA$28="Catastrófico"),CONCATENATE("R1C",'Mapa final'!$O$28),"")</f>
        <v/>
      </c>
      <c r="AN6" s="83"/>
      <c r="AO6" s="385" t="s">
        <v>93</v>
      </c>
      <c r="AP6" s="386"/>
      <c r="AQ6" s="386"/>
      <c r="AR6" s="386"/>
      <c r="AS6" s="386"/>
      <c r="AT6" s="38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327"/>
      <c r="C7" s="327"/>
      <c r="D7" s="328"/>
      <c r="E7" s="368"/>
      <c r="F7" s="369"/>
      <c r="G7" s="369"/>
      <c r="H7" s="369"/>
      <c r="I7" s="370"/>
      <c r="J7" s="52" t="str">
        <f>IF(AND('Mapa final'!$Y$29="Muy Alta",'Mapa final'!$AA$29="Leve"),CONCATENATE("R2C",'Mapa final'!$O$29),"")</f>
        <v/>
      </c>
      <c r="K7" s="53" t="str">
        <f>IF(AND('Mapa final'!$Y$30="Muy Alta",'Mapa final'!$AA$30="Leve"),CONCATENATE("R2C",'Mapa final'!$O$30),"")</f>
        <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final'!$Y$29="Muy Alta",'Mapa final'!$AA$29="Menor"),CONCATENATE("R2C",'Mapa final'!$O$29),"")</f>
        <v/>
      </c>
      <c r="Q7" s="53" t="str">
        <f>IF(AND('Mapa final'!$Y$30="Muy Alta",'Mapa final'!$AA$30="Menor"),CONCATENATE("R2C",'Mapa final'!$O$30),"")</f>
        <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final'!$Y$29="Muy Alta",'Mapa final'!$AA$29="Moderado"),CONCATENATE("R2C",'Mapa final'!$O$29),"")</f>
        <v/>
      </c>
      <c r="W7" s="53" t="str">
        <f>IF(AND('Mapa final'!$Y$30="Muy Alta",'Mapa final'!$AA$30="Moderado"),CONCATENATE("R2C",'Mapa final'!$O$30),"")</f>
        <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final'!$Y$29="Muy Alta",'Mapa final'!$AA$29="Mayor"),CONCATENATE("R2C",'Mapa final'!$O$29),"")</f>
        <v/>
      </c>
      <c r="AC7" s="53" t="str">
        <f>IF(AND('Mapa final'!$Y$30="Muy Alta",'Mapa final'!$AA$30="Mayor"),CONCATENATE("R2C",'Mapa final'!$O$30),"")</f>
        <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final'!$Y$29="Muy Alta",'Mapa final'!$AA$29="Catastrófico"),CONCATENATE("R2C",'Mapa final'!$O$29),"")</f>
        <v/>
      </c>
      <c r="AI7" s="56" t="str">
        <f>IF(AND('Mapa final'!$Y$30="Muy Alta",'Mapa final'!$AA$30="Catastrófico"),CONCATENATE("R2C",'Mapa final'!$O$30),"")</f>
        <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3"/>
      <c r="AO7" s="388"/>
      <c r="AP7" s="389"/>
      <c r="AQ7" s="389"/>
      <c r="AR7" s="389"/>
      <c r="AS7" s="389"/>
      <c r="AT7" s="39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327"/>
      <c r="C8" s="327"/>
      <c r="D8" s="328"/>
      <c r="E8" s="368"/>
      <c r="F8" s="369"/>
      <c r="G8" s="369"/>
      <c r="H8" s="369"/>
      <c r="I8" s="370"/>
      <c r="J8" s="52" t="str">
        <f>IF(AND('Mapa final'!$Y$31="Muy Alta",'Mapa final'!$AA$31="Leve"),CONCATENATE("R3C",'Mapa final'!$O$31),"")</f>
        <v/>
      </c>
      <c r="K8" s="53" t="str">
        <f>IF(AND('Mapa final'!$Y$32="Muy Alta",'Mapa final'!$AA$32="Leve"),CONCATENATE("R3C",'Mapa final'!$O$32),"")</f>
        <v/>
      </c>
      <c r="L8" s="53" t="str">
        <f>IF(AND('Mapa final'!$Y$33="Muy Alta",'Mapa final'!$AA$33="Leve"),CONCATENATE("R3C",'Mapa final'!$O$33),"")</f>
        <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final'!$Y$31="Muy Alta",'Mapa final'!$AA$31="Menor"),CONCATENATE("R3C",'Mapa final'!$O$31),"")</f>
        <v/>
      </c>
      <c r="Q8" s="53" t="str">
        <f>IF(AND('Mapa final'!$Y$32="Muy Alta",'Mapa final'!$AA$32="Menor"),CONCATENATE("R3C",'Mapa final'!$O$32),"")</f>
        <v/>
      </c>
      <c r="R8" s="53" t="str">
        <f>IF(AND('Mapa final'!$Y$33="Muy Alta",'Mapa final'!$AA$33="Menor"),CONCATENATE("R3C",'Mapa final'!$O$33),"")</f>
        <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final'!$Y$31="Muy Alta",'Mapa final'!$AA$31="Moderado"),CONCATENATE("R3C",'Mapa final'!$O$31),"")</f>
        <v/>
      </c>
      <c r="W8" s="53" t="str">
        <f>IF(AND('Mapa final'!$Y$32="Muy Alta",'Mapa final'!$AA$32="Moderado"),CONCATENATE("R3C",'Mapa final'!$O$32),"")</f>
        <v/>
      </c>
      <c r="X8" s="53" t="str">
        <f>IF(AND('Mapa final'!$Y$33="Muy Alta",'Mapa final'!$AA$33="Moderado"),CONCATENATE("R3C",'Mapa final'!$O$33),"")</f>
        <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final'!$Y$31="Muy Alta",'Mapa final'!$AA$31="Mayor"),CONCATENATE("R3C",'Mapa final'!$O$31),"")</f>
        <v/>
      </c>
      <c r="AC8" s="53" t="str">
        <f>IF(AND('Mapa final'!$Y$32="Muy Alta",'Mapa final'!$AA$32="Mayor"),CONCATENATE("R3C",'Mapa final'!$O$32),"")</f>
        <v/>
      </c>
      <c r="AD8" s="53" t="str">
        <f>IF(AND('Mapa final'!$Y$33="Muy Alta",'Mapa final'!$AA$33="Mayor"),CONCATENATE("R3C",'Mapa final'!$O$33),"")</f>
        <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final'!$Y$31="Muy Alta",'Mapa final'!$AA$31="Catastrófico"),CONCATENATE("R3C",'Mapa final'!$O$31),"")</f>
        <v/>
      </c>
      <c r="AI8" s="56" t="str">
        <f>IF(AND('Mapa final'!$Y$32="Muy Alta",'Mapa final'!$AA$32="Catastrófico"),CONCATENATE("R3C",'Mapa final'!$O$32),"")</f>
        <v/>
      </c>
      <c r="AJ8" s="56" t="str">
        <f>IF(AND('Mapa final'!$Y$33="Muy Alta",'Mapa final'!$AA$33="Catastrófico"),CONCATENATE("R3C",'Mapa final'!$O$33),"")</f>
        <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3"/>
      <c r="AO8" s="388"/>
      <c r="AP8" s="389"/>
      <c r="AQ8" s="389"/>
      <c r="AR8" s="389"/>
      <c r="AS8" s="389"/>
      <c r="AT8" s="39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327"/>
      <c r="C9" s="327"/>
      <c r="D9" s="328"/>
      <c r="E9" s="368"/>
      <c r="F9" s="369"/>
      <c r="G9" s="369"/>
      <c r="H9" s="369"/>
      <c r="I9" s="370"/>
      <c r="J9" s="52" t="str">
        <f>IF(AND('Mapa final'!$Y$34="Muy Alta",'Mapa final'!$AA$34="Leve"),CONCATENATE("R4C",'Mapa final'!$O$34),"")</f>
        <v/>
      </c>
      <c r="K9" s="53" t="e">
        <f>IF(AND('Mapa final'!#REF!="Muy Alta",'Mapa final'!#REF!="Leve"),CONCATENATE("R4C",'Mapa final'!#REF!),"")</f>
        <v>#REF!</v>
      </c>
      <c r="L9" s="53" t="str">
        <f>IF(AND('Mapa final'!$Y$35="Muy Alta",'Mapa final'!$AA$35="Leve"),CONCATENATE("R4C",'Mapa final'!$O$35),"")</f>
        <v/>
      </c>
      <c r="M9" s="53" t="str">
        <f>IF(AND('Mapa final'!$Y$36="Muy Alta",'Mapa final'!$AA$36="Leve"),CONCATENATE("R4C",'Mapa final'!$O$36),"")</f>
        <v/>
      </c>
      <c r="N9" s="53" t="e">
        <f>IF(AND('Mapa final'!#REF!="Muy Alta",'Mapa final'!#REF!="Leve"),CONCATENATE("R4C",'Mapa final'!#REF!),"")</f>
        <v>#REF!</v>
      </c>
      <c r="O9" s="54" t="e">
        <f>IF(AND('Mapa final'!#REF!="Muy Alta",'Mapa final'!#REF!="Leve"),CONCATENATE("R4C",'Mapa final'!#REF!),"")</f>
        <v>#REF!</v>
      </c>
      <c r="P9" s="52" t="str">
        <f>IF(AND('Mapa final'!$Y$34="Muy Alta",'Mapa final'!$AA$34="Menor"),CONCATENATE("R4C",'Mapa final'!$O$34),"")</f>
        <v/>
      </c>
      <c r="Q9" s="53" t="e">
        <f>IF(AND('Mapa final'!#REF!="Muy Alta",'Mapa final'!#REF!="Menor"),CONCATENATE("R4C",'Mapa final'!#REF!),"")</f>
        <v>#REF!</v>
      </c>
      <c r="R9" s="53" t="str">
        <f>IF(AND('Mapa final'!$Y$35="Muy Alta",'Mapa final'!$AA$35="Menor"),CONCATENATE("R4C",'Mapa final'!$O$35),"")</f>
        <v/>
      </c>
      <c r="S9" s="53" t="str">
        <f>IF(AND('Mapa final'!$Y$36="Muy Alta",'Mapa final'!$AA$36="Menor"),CONCATENATE("R4C",'Mapa final'!$O$36),"")</f>
        <v/>
      </c>
      <c r="T9" s="53" t="e">
        <f>IF(AND('Mapa final'!#REF!="Muy Alta",'Mapa final'!#REF!="Menor"),CONCATENATE("R4C",'Mapa final'!#REF!),"")</f>
        <v>#REF!</v>
      </c>
      <c r="U9" s="54" t="e">
        <f>IF(AND('Mapa final'!#REF!="Muy Alta",'Mapa final'!#REF!="Menor"),CONCATENATE("R4C",'Mapa final'!#REF!),"")</f>
        <v>#REF!</v>
      </c>
      <c r="V9" s="52" t="str">
        <f>IF(AND('Mapa final'!$Y$34="Muy Alta",'Mapa final'!$AA$34="Moderado"),CONCATENATE("R4C",'Mapa final'!$O$34),"")</f>
        <v/>
      </c>
      <c r="W9" s="53" t="e">
        <f>IF(AND('Mapa final'!#REF!="Muy Alta",'Mapa final'!#REF!="Moderado"),CONCATENATE("R4C",'Mapa final'!#REF!),"")</f>
        <v>#REF!</v>
      </c>
      <c r="X9" s="53" t="str">
        <f>IF(AND('Mapa final'!$Y$35="Muy Alta",'Mapa final'!$AA$35="Moderado"),CONCATENATE("R4C",'Mapa final'!$O$35),"")</f>
        <v/>
      </c>
      <c r="Y9" s="53" t="str">
        <f>IF(AND('Mapa final'!$Y$36="Muy Alta",'Mapa final'!$AA$36="Moderado"),CONCATENATE("R4C",'Mapa final'!$O$36),"")</f>
        <v/>
      </c>
      <c r="Z9" s="53" t="e">
        <f>IF(AND('Mapa final'!#REF!="Muy Alta",'Mapa final'!#REF!="Moderado"),CONCATENATE("R4C",'Mapa final'!#REF!),"")</f>
        <v>#REF!</v>
      </c>
      <c r="AA9" s="54" t="e">
        <f>IF(AND('Mapa final'!#REF!="Muy Alta",'Mapa final'!#REF!="Moderado"),CONCATENATE("R4C",'Mapa final'!#REF!),"")</f>
        <v>#REF!</v>
      </c>
      <c r="AB9" s="52" t="str">
        <f>IF(AND('Mapa final'!$Y$34="Muy Alta",'Mapa final'!$AA$34="Mayor"),CONCATENATE("R4C",'Mapa final'!$O$34),"")</f>
        <v/>
      </c>
      <c r="AC9" s="53" t="e">
        <f>IF(AND('Mapa final'!#REF!="Muy Alta",'Mapa final'!#REF!="Mayor"),CONCATENATE("R4C",'Mapa final'!#REF!),"")</f>
        <v>#REF!</v>
      </c>
      <c r="AD9" s="53" t="str">
        <f>IF(AND('Mapa final'!$Y$35="Muy Alta",'Mapa final'!$AA$35="Mayor"),CONCATENATE("R4C",'Mapa final'!$O$35),"")</f>
        <v/>
      </c>
      <c r="AE9" s="53" t="str">
        <f>IF(AND('Mapa final'!$Y$36="Muy Alta",'Mapa final'!$AA$36="Mayor"),CONCATENATE("R4C",'Mapa final'!$O$36),"")</f>
        <v/>
      </c>
      <c r="AF9" s="53" t="e">
        <f>IF(AND('Mapa final'!#REF!="Muy Alta",'Mapa final'!#REF!="Mayor"),CONCATENATE("R4C",'Mapa final'!#REF!),"")</f>
        <v>#REF!</v>
      </c>
      <c r="AG9" s="54" t="e">
        <f>IF(AND('Mapa final'!#REF!="Muy Alta",'Mapa final'!#REF!="Mayor"),CONCATENATE("R4C",'Mapa final'!#REF!),"")</f>
        <v>#REF!</v>
      </c>
      <c r="AH9" s="55" t="str">
        <f>IF(AND('Mapa final'!$Y$34="Muy Alta",'Mapa final'!$AA$34="Catastrófico"),CONCATENATE("R4C",'Mapa final'!$O$34),"")</f>
        <v/>
      </c>
      <c r="AI9" s="56" t="e">
        <f>IF(AND('Mapa final'!#REF!="Muy Alta",'Mapa final'!#REF!="Catastrófico"),CONCATENATE("R4C",'Mapa final'!#REF!),"")</f>
        <v>#REF!</v>
      </c>
      <c r="AJ9" s="56" t="str">
        <f>IF(AND('Mapa final'!$Y$35="Muy Alta",'Mapa final'!$AA$35="Catastrófico"),CONCATENATE("R4C",'Mapa final'!$O$35),"")</f>
        <v/>
      </c>
      <c r="AK9" s="56" t="str">
        <f>IF(AND('Mapa final'!$Y$36="Muy Alta",'Mapa final'!$AA$36="Catastrófico"),CONCATENATE("R4C",'Mapa final'!$O$36),"")</f>
        <v/>
      </c>
      <c r="AL9" s="56" t="e">
        <f>IF(AND('Mapa final'!#REF!="Muy Alta",'Mapa final'!#REF!="Catastrófico"),CONCATENATE("R4C",'Mapa final'!#REF!),"")</f>
        <v>#REF!</v>
      </c>
      <c r="AM9" s="57" t="e">
        <f>IF(AND('Mapa final'!#REF!="Muy Alta",'Mapa final'!#REF!="Catastrófico"),CONCATENATE("R4C",'Mapa final'!#REF!),"")</f>
        <v>#REF!</v>
      </c>
      <c r="AN9" s="83"/>
      <c r="AO9" s="388"/>
      <c r="AP9" s="389"/>
      <c r="AQ9" s="389"/>
      <c r="AR9" s="389"/>
      <c r="AS9" s="389"/>
      <c r="AT9" s="39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327"/>
      <c r="C10" s="327"/>
      <c r="D10" s="328"/>
      <c r="E10" s="368"/>
      <c r="F10" s="369"/>
      <c r="G10" s="369"/>
      <c r="H10" s="369"/>
      <c r="I10" s="370"/>
      <c r="J10" s="52" t="str">
        <f>IF(AND('Mapa final'!$Y$37="Muy Alta",'Mapa final'!$AA$37="Leve"),CONCATENATE("R5C",'Mapa final'!$O$37),"")</f>
        <v/>
      </c>
      <c r="K10" s="53" t="e">
        <f>IF(AND('Mapa final'!#REF!="Muy Alta",'Mapa final'!#REF!="Leve"),CONCATENATE("R5C",'Mapa final'!#REF!),"")</f>
        <v>#REF!</v>
      </c>
      <c r="L10" s="53" t="e">
        <f>IF(AND('Mapa final'!#REF!="Muy Alta",'Mapa final'!#REF!="Leve"),CONCATENATE("R5C",'Mapa final'!#REF!),"")</f>
        <v>#REF!</v>
      </c>
      <c r="M10" s="53" t="e">
        <f>IF(AND('Mapa final'!#REF!="Muy Alta",'Mapa final'!#REF!="Leve"),CONCATENATE("R5C",'Mapa final'!#REF!),"")</f>
        <v>#REF!</v>
      </c>
      <c r="N10" s="53" t="e">
        <f>IF(AND('Mapa final'!#REF!="Muy Alta",'Mapa final'!#REF!="Leve"),CONCATENATE("R5C",'Mapa final'!#REF!),"")</f>
        <v>#REF!</v>
      </c>
      <c r="O10" s="54" t="e">
        <f>IF(AND('Mapa final'!#REF!="Muy Alta",'Mapa final'!#REF!="Leve"),CONCATENATE("R5C",'Mapa final'!#REF!),"")</f>
        <v>#REF!</v>
      </c>
      <c r="P10" s="52" t="str">
        <f>IF(AND('Mapa final'!$Y$37="Muy Alta",'Mapa final'!$AA$37="Menor"),CONCATENATE("R5C",'Mapa final'!$O$37),"")</f>
        <v/>
      </c>
      <c r="Q10" s="53" t="e">
        <f>IF(AND('Mapa final'!#REF!="Muy Alta",'Mapa final'!#REF!="Menor"),CONCATENATE("R5C",'Mapa final'!#REF!),"")</f>
        <v>#REF!</v>
      </c>
      <c r="R10" s="53" t="e">
        <f>IF(AND('Mapa final'!#REF!="Muy Alta",'Mapa final'!#REF!="Menor"),CONCATENATE("R5C",'Mapa final'!#REF!),"")</f>
        <v>#REF!</v>
      </c>
      <c r="S10" s="53" t="e">
        <f>IF(AND('Mapa final'!#REF!="Muy Alta",'Mapa final'!#REF!="Menor"),CONCATENATE("R5C",'Mapa final'!#REF!),"")</f>
        <v>#REF!</v>
      </c>
      <c r="T10" s="53" t="e">
        <f>IF(AND('Mapa final'!#REF!="Muy Alta",'Mapa final'!#REF!="Menor"),CONCATENATE("R5C",'Mapa final'!#REF!),"")</f>
        <v>#REF!</v>
      </c>
      <c r="U10" s="54" t="e">
        <f>IF(AND('Mapa final'!#REF!="Muy Alta",'Mapa final'!#REF!="Menor"),CONCATENATE("R5C",'Mapa final'!#REF!),"")</f>
        <v>#REF!</v>
      </c>
      <c r="V10" s="52" t="str">
        <f>IF(AND('Mapa final'!$Y$37="Muy Alta",'Mapa final'!$AA$37="Moderado"),CONCATENATE("R5C",'Mapa final'!$O$37),"")</f>
        <v/>
      </c>
      <c r="W10" s="53" t="e">
        <f>IF(AND('Mapa final'!#REF!="Muy Alta",'Mapa final'!#REF!="Moderado"),CONCATENATE("R5C",'Mapa final'!#REF!),"")</f>
        <v>#REF!</v>
      </c>
      <c r="X10" s="53" t="e">
        <f>IF(AND('Mapa final'!#REF!="Muy Alta",'Mapa final'!#REF!="Moderado"),CONCATENATE("R5C",'Mapa final'!#REF!),"")</f>
        <v>#REF!</v>
      </c>
      <c r="Y10" s="53" t="e">
        <f>IF(AND('Mapa final'!#REF!="Muy Alta",'Mapa final'!#REF!="Moderado"),CONCATENATE("R5C",'Mapa final'!#REF!),"")</f>
        <v>#REF!</v>
      </c>
      <c r="Z10" s="53" t="e">
        <f>IF(AND('Mapa final'!#REF!="Muy Alta",'Mapa final'!#REF!="Moderado"),CONCATENATE("R5C",'Mapa final'!#REF!),"")</f>
        <v>#REF!</v>
      </c>
      <c r="AA10" s="54" t="e">
        <f>IF(AND('Mapa final'!#REF!="Muy Alta",'Mapa final'!#REF!="Moderado"),CONCATENATE("R5C",'Mapa final'!#REF!),"")</f>
        <v>#REF!</v>
      </c>
      <c r="AB10" s="52" t="str">
        <f>IF(AND('Mapa final'!$Y$37="Muy Alta",'Mapa final'!$AA$37="Mayor"),CONCATENATE("R5C",'Mapa final'!$O$37),"")</f>
        <v/>
      </c>
      <c r="AC10" s="53" t="e">
        <f>IF(AND('Mapa final'!#REF!="Muy Alta",'Mapa final'!#REF!="Mayor"),CONCATENATE("R5C",'Mapa final'!#REF!),"")</f>
        <v>#REF!</v>
      </c>
      <c r="AD10" s="53" t="e">
        <f>IF(AND('Mapa final'!#REF!="Muy Alta",'Mapa final'!#REF!="Mayor"),CONCATENATE("R5C",'Mapa final'!#REF!),"")</f>
        <v>#REF!</v>
      </c>
      <c r="AE10" s="53" t="e">
        <f>IF(AND('Mapa final'!#REF!="Muy Alta",'Mapa final'!#REF!="Mayor"),CONCATENATE("R5C",'Mapa final'!#REF!),"")</f>
        <v>#REF!</v>
      </c>
      <c r="AF10" s="53" t="e">
        <f>IF(AND('Mapa final'!#REF!="Muy Alta",'Mapa final'!#REF!="Mayor"),CONCATENATE("R5C",'Mapa final'!#REF!),"")</f>
        <v>#REF!</v>
      </c>
      <c r="AG10" s="54" t="e">
        <f>IF(AND('Mapa final'!#REF!="Muy Alta",'Mapa final'!#REF!="Mayor"),CONCATENATE("R5C",'Mapa final'!#REF!),"")</f>
        <v>#REF!</v>
      </c>
      <c r="AH10" s="55" t="str">
        <f>IF(AND('Mapa final'!$Y$37="Muy Alta",'Mapa final'!$AA$37="Catastrófico"),CONCATENATE("R5C",'Mapa final'!$O$37),"")</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3"/>
      <c r="AO10" s="388"/>
      <c r="AP10" s="389"/>
      <c r="AQ10" s="389"/>
      <c r="AR10" s="389"/>
      <c r="AS10" s="389"/>
      <c r="AT10" s="39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327"/>
      <c r="C11" s="327"/>
      <c r="D11" s="328"/>
      <c r="E11" s="368"/>
      <c r="F11" s="369"/>
      <c r="G11" s="369"/>
      <c r="H11" s="369"/>
      <c r="I11" s="370"/>
      <c r="J11" s="52" t="str">
        <f>IF(AND('Mapa final'!$Y$38="Muy Alta",'Mapa final'!$AA$38="Leve"),CONCATENATE("R6C",'Mapa final'!$O$38),"")</f>
        <v/>
      </c>
      <c r="K11" s="53" t="str">
        <f>IF(AND('Mapa final'!$Y$39="Muy Alta",'Mapa final'!$AA$39="Leve"),CONCATENATE("R6C",'Mapa final'!$O$39),"")</f>
        <v/>
      </c>
      <c r="L11" s="53" t="str">
        <f>IF(AND('Mapa final'!$Y$40="Muy Alta",'Mapa final'!$AA$40="Leve"),CONCATENATE("R6C",'Mapa final'!$O$40),"")</f>
        <v/>
      </c>
      <c r="M11" s="53" t="e">
        <f>IF(AND('Mapa final'!#REF!="Muy Alta",'Mapa final'!#REF!="Leve"),CONCATENATE("R6C",'Mapa final'!#REF!),"")</f>
        <v>#REF!</v>
      </c>
      <c r="N11" s="53" t="e">
        <f>IF(AND('Mapa final'!#REF!="Muy Alta",'Mapa final'!#REF!="Leve"),CONCATENATE("R6C",'Mapa final'!#REF!),"")</f>
        <v>#REF!</v>
      </c>
      <c r="O11" s="54" t="e">
        <f>IF(AND('Mapa final'!#REF!="Muy Alta",'Mapa final'!#REF!="Leve"),CONCATENATE("R6C",'Mapa final'!#REF!),"")</f>
        <v>#REF!</v>
      </c>
      <c r="P11" s="52" t="str">
        <f>IF(AND('Mapa final'!$Y$38="Muy Alta",'Mapa final'!$AA$38="Menor"),CONCATENATE("R6C",'Mapa final'!$O$38),"")</f>
        <v/>
      </c>
      <c r="Q11" s="53" t="str">
        <f>IF(AND('Mapa final'!$Y$39="Muy Alta",'Mapa final'!$AA$39="Menor"),CONCATENATE("R6C",'Mapa final'!$O$39),"")</f>
        <v/>
      </c>
      <c r="R11" s="53" t="str">
        <f>IF(AND('Mapa final'!$Y$40="Muy Alta",'Mapa final'!$AA$40="Menor"),CONCATENATE("R6C",'Mapa final'!$O$40),"")</f>
        <v/>
      </c>
      <c r="S11" s="53" t="e">
        <f>IF(AND('Mapa final'!#REF!="Muy Alta",'Mapa final'!#REF!="Menor"),CONCATENATE("R6C",'Mapa final'!#REF!),"")</f>
        <v>#REF!</v>
      </c>
      <c r="T11" s="53" t="e">
        <f>IF(AND('Mapa final'!#REF!="Muy Alta",'Mapa final'!#REF!="Menor"),CONCATENATE("R6C",'Mapa final'!#REF!),"")</f>
        <v>#REF!</v>
      </c>
      <c r="U11" s="54" t="e">
        <f>IF(AND('Mapa final'!#REF!="Muy Alta",'Mapa final'!#REF!="Menor"),CONCATENATE("R6C",'Mapa final'!#REF!),"")</f>
        <v>#REF!</v>
      </c>
      <c r="V11" s="52" t="str">
        <f>IF(AND('Mapa final'!$Y$38="Muy Alta",'Mapa final'!$AA$38="Moderado"),CONCATENATE("R6C",'Mapa final'!$O$38),"")</f>
        <v/>
      </c>
      <c r="W11" s="53" t="str">
        <f>IF(AND('Mapa final'!$Y$39="Muy Alta",'Mapa final'!$AA$39="Moderado"),CONCATENATE("R6C",'Mapa final'!$O$39),"")</f>
        <v/>
      </c>
      <c r="X11" s="53" t="str">
        <f>IF(AND('Mapa final'!$Y$40="Muy Alta",'Mapa final'!$AA$40="Moderado"),CONCATENATE("R6C",'Mapa final'!$O$40),"")</f>
        <v/>
      </c>
      <c r="Y11" s="53" t="e">
        <f>IF(AND('Mapa final'!#REF!="Muy Alta",'Mapa final'!#REF!="Moderado"),CONCATENATE("R6C",'Mapa final'!#REF!),"")</f>
        <v>#REF!</v>
      </c>
      <c r="Z11" s="53" t="e">
        <f>IF(AND('Mapa final'!#REF!="Muy Alta",'Mapa final'!#REF!="Moderado"),CONCATENATE("R6C",'Mapa final'!#REF!),"")</f>
        <v>#REF!</v>
      </c>
      <c r="AA11" s="54" t="e">
        <f>IF(AND('Mapa final'!#REF!="Muy Alta",'Mapa final'!#REF!="Moderado"),CONCATENATE("R6C",'Mapa final'!#REF!),"")</f>
        <v>#REF!</v>
      </c>
      <c r="AB11" s="52" t="str">
        <f>IF(AND('Mapa final'!$Y$38="Muy Alta",'Mapa final'!$AA$38="Mayor"),CONCATENATE("R6C",'Mapa final'!$O$38),"")</f>
        <v/>
      </c>
      <c r="AC11" s="53" t="str">
        <f>IF(AND('Mapa final'!$Y$39="Muy Alta",'Mapa final'!$AA$39="Mayor"),CONCATENATE("R6C",'Mapa final'!$O$39),"")</f>
        <v/>
      </c>
      <c r="AD11" s="53" t="str">
        <f>IF(AND('Mapa final'!$Y$40="Muy Alta",'Mapa final'!$AA$40="Mayor"),CONCATENATE("R6C",'Mapa final'!$O$40),"")</f>
        <v/>
      </c>
      <c r="AE11" s="53" t="e">
        <f>IF(AND('Mapa final'!#REF!="Muy Alta",'Mapa final'!#REF!="Mayor"),CONCATENATE("R6C",'Mapa final'!#REF!),"")</f>
        <v>#REF!</v>
      </c>
      <c r="AF11" s="53" t="e">
        <f>IF(AND('Mapa final'!#REF!="Muy Alta",'Mapa final'!#REF!="Mayor"),CONCATENATE("R6C",'Mapa final'!#REF!),"")</f>
        <v>#REF!</v>
      </c>
      <c r="AG11" s="54" t="e">
        <f>IF(AND('Mapa final'!#REF!="Muy Alta",'Mapa final'!#REF!="Mayor"),CONCATENATE("R6C",'Mapa final'!#REF!),"")</f>
        <v>#REF!</v>
      </c>
      <c r="AH11" s="55" t="str">
        <f>IF(AND('Mapa final'!$Y$38="Muy Alta",'Mapa final'!$AA$38="Catastrófico"),CONCATENATE("R6C",'Mapa final'!$O$38),"")</f>
        <v/>
      </c>
      <c r="AI11" s="56" t="str">
        <f>IF(AND('Mapa final'!$Y$39="Muy Alta",'Mapa final'!$AA$39="Catastrófico"),CONCATENATE("R6C",'Mapa final'!$O$39),"")</f>
        <v/>
      </c>
      <c r="AJ11" s="56" t="str">
        <f>IF(AND('Mapa final'!$Y$40="Muy Alta",'Mapa final'!$AA$40="Catastrófico"),CONCATENATE("R6C",'Mapa final'!$O$40),"")</f>
        <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3"/>
      <c r="AO11" s="388"/>
      <c r="AP11" s="389"/>
      <c r="AQ11" s="389"/>
      <c r="AR11" s="389"/>
      <c r="AS11" s="389"/>
      <c r="AT11" s="39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327"/>
      <c r="C12" s="327"/>
      <c r="D12" s="328"/>
      <c r="E12" s="368"/>
      <c r="F12" s="369"/>
      <c r="G12" s="369"/>
      <c r="H12" s="369"/>
      <c r="I12" s="370"/>
      <c r="J12" s="52" t="e">
        <f>IF(AND('Mapa final'!#REF!="Muy Alta",'Mapa final'!#REF!="Leve"),CONCATENATE("R7C",'Mapa final'!#REF!),"")</f>
        <v>#REF!</v>
      </c>
      <c r="K12" s="53" t="e">
        <f>IF(AND('Mapa final'!#REF!="Muy Alta",'Mapa final'!#REF!="Leve"),CONCATENATE("R7C",'Mapa final'!#REF!),"")</f>
        <v>#REF!</v>
      </c>
      <c r="L12" s="53" t="e">
        <f>IF(AND('Mapa final'!#REF!="Muy Alta",'Mapa final'!#REF!="Leve"),CONCATENATE("R7C",'Mapa final'!#REF!),"")</f>
        <v>#REF!</v>
      </c>
      <c r="M12" s="53" t="e">
        <f>IF(AND('Mapa final'!#REF!="Muy Alta",'Mapa final'!#REF!="Leve"),CONCATENATE("R7C",'Mapa final'!#REF!),"")</f>
        <v>#REF!</v>
      </c>
      <c r="N12" s="53" t="e">
        <f>IF(AND('Mapa final'!#REF!="Muy Alta",'Mapa final'!#REF!="Leve"),CONCATENATE("R7C",'Mapa final'!#REF!),"")</f>
        <v>#REF!</v>
      </c>
      <c r="O12" s="54" t="e">
        <f>IF(AND('Mapa final'!#REF!="Muy Alta",'Mapa final'!#REF!="Leve"),CONCATENATE("R7C",'Mapa final'!#REF!),"")</f>
        <v>#REF!</v>
      </c>
      <c r="P12" s="52" t="e">
        <f>IF(AND('Mapa final'!#REF!="Muy Alta",'Mapa final'!#REF!="Menor"),CONCATENATE("R7C",'Mapa final'!#REF!),"")</f>
        <v>#REF!</v>
      </c>
      <c r="Q12" s="53" t="e">
        <f>IF(AND('Mapa final'!#REF!="Muy Alta",'Mapa final'!#REF!="Menor"),CONCATENATE("R7C",'Mapa final'!#REF!),"")</f>
        <v>#REF!</v>
      </c>
      <c r="R12" s="53" t="e">
        <f>IF(AND('Mapa final'!#REF!="Muy Alta",'Mapa final'!#REF!="Menor"),CONCATENATE("R7C",'Mapa final'!#REF!),"")</f>
        <v>#REF!</v>
      </c>
      <c r="S12" s="53" t="e">
        <f>IF(AND('Mapa final'!#REF!="Muy Alta",'Mapa final'!#REF!="Menor"),CONCATENATE("R7C",'Mapa final'!#REF!),"")</f>
        <v>#REF!</v>
      </c>
      <c r="T12" s="53" t="e">
        <f>IF(AND('Mapa final'!#REF!="Muy Alta",'Mapa final'!#REF!="Menor"),CONCATENATE("R7C",'Mapa final'!#REF!),"")</f>
        <v>#REF!</v>
      </c>
      <c r="U12" s="54" t="e">
        <f>IF(AND('Mapa final'!#REF!="Muy Alta",'Mapa final'!#REF!="Menor"),CONCATENATE("R7C",'Mapa final'!#REF!),"")</f>
        <v>#REF!</v>
      </c>
      <c r="V12" s="52" t="e">
        <f>IF(AND('Mapa final'!#REF!="Muy Alta",'Mapa final'!#REF!="Moderado"),CONCATENATE("R7C",'Mapa final'!#REF!),"")</f>
        <v>#REF!</v>
      </c>
      <c r="W12" s="53" t="e">
        <f>IF(AND('Mapa final'!#REF!="Muy Alta",'Mapa final'!#REF!="Moderado"),CONCATENATE("R7C",'Mapa final'!#REF!),"")</f>
        <v>#REF!</v>
      </c>
      <c r="X12" s="53" t="e">
        <f>IF(AND('Mapa final'!#REF!="Muy Alta",'Mapa final'!#REF!="Moderado"),CONCATENATE("R7C",'Mapa final'!#REF!),"")</f>
        <v>#REF!</v>
      </c>
      <c r="Y12" s="53" t="e">
        <f>IF(AND('Mapa final'!#REF!="Muy Alta",'Mapa final'!#REF!="Moderado"),CONCATENATE("R7C",'Mapa final'!#REF!),"")</f>
        <v>#REF!</v>
      </c>
      <c r="Z12" s="53" t="e">
        <f>IF(AND('Mapa final'!#REF!="Muy Alta",'Mapa final'!#REF!="Moderado"),CONCATENATE("R7C",'Mapa final'!#REF!),"")</f>
        <v>#REF!</v>
      </c>
      <c r="AA12" s="54" t="e">
        <f>IF(AND('Mapa final'!#REF!="Muy Alta",'Mapa final'!#REF!="Moderado"),CONCATENATE("R7C",'Mapa final'!#REF!),"")</f>
        <v>#REF!</v>
      </c>
      <c r="AB12" s="52" t="e">
        <f>IF(AND('Mapa final'!#REF!="Muy Alta",'Mapa final'!#REF!="Mayor"),CONCATENATE("R7C",'Mapa final'!#REF!),"")</f>
        <v>#REF!</v>
      </c>
      <c r="AC12" s="53" t="e">
        <f>IF(AND('Mapa final'!#REF!="Muy Alta",'Mapa final'!#REF!="Mayor"),CONCATENATE("R7C",'Mapa final'!#REF!),"")</f>
        <v>#REF!</v>
      </c>
      <c r="AD12" s="53" t="e">
        <f>IF(AND('Mapa final'!#REF!="Muy Alta",'Mapa final'!#REF!="Mayor"),CONCATENATE("R7C",'Mapa final'!#REF!),"")</f>
        <v>#REF!</v>
      </c>
      <c r="AE12" s="53" t="e">
        <f>IF(AND('Mapa final'!#REF!="Muy Alta",'Mapa final'!#REF!="Mayor"),CONCATENATE("R7C",'Mapa final'!#REF!),"")</f>
        <v>#REF!</v>
      </c>
      <c r="AF12" s="53" t="e">
        <f>IF(AND('Mapa final'!#REF!="Muy Alta",'Mapa final'!#REF!="Mayor"),CONCATENATE("R7C",'Mapa final'!#REF!),"")</f>
        <v>#REF!</v>
      </c>
      <c r="AG12" s="54" t="e">
        <f>IF(AND('Mapa final'!#REF!="Muy Alta",'Mapa final'!#REF!="Mayor"),CONCATENATE("R7C",'Mapa final'!#REF!),"")</f>
        <v>#REF!</v>
      </c>
      <c r="AH12" s="55" t="e">
        <f>IF(AND('Mapa final'!#REF!="Muy Alta",'Mapa final'!#REF!="Catastrófico"),CONCATENATE("R7C",'Mapa final'!#REF!),"")</f>
        <v>#REF!</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3"/>
      <c r="AO12" s="388"/>
      <c r="AP12" s="389"/>
      <c r="AQ12" s="389"/>
      <c r="AR12" s="389"/>
      <c r="AS12" s="389"/>
      <c r="AT12" s="39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327"/>
      <c r="C13" s="327"/>
      <c r="D13" s="328"/>
      <c r="E13" s="368"/>
      <c r="F13" s="369"/>
      <c r="G13" s="369"/>
      <c r="H13" s="369"/>
      <c r="I13" s="370"/>
      <c r="J13" s="52" t="e">
        <f>IF(AND('Mapa final'!#REF!="Muy Alta",'Mapa final'!#REF!="Leve"),CONCATENATE("R8C",'Mapa final'!#REF!),"")</f>
        <v>#REF!</v>
      </c>
      <c r="K13" s="53" t="e">
        <f>IF(AND('Mapa final'!#REF!="Muy Alta",'Mapa final'!#REF!="Leve"),CONCATENATE("R8C",'Mapa final'!#REF!),"")</f>
        <v>#REF!</v>
      </c>
      <c r="L13" s="53" t="e">
        <f>IF(AND('Mapa final'!#REF!="Muy Alta",'Mapa final'!#REF!="Leve"),CONCATENATE("R8C",'Mapa final'!#REF!),"")</f>
        <v>#REF!</v>
      </c>
      <c r="M13" s="53" t="e">
        <f>IF(AND('Mapa final'!#REF!="Muy Alta",'Mapa final'!#REF!="Leve"),CONCATENATE("R8C",'Mapa final'!#REF!),"")</f>
        <v>#REF!</v>
      </c>
      <c r="N13" s="53" t="e">
        <f>IF(AND('Mapa final'!#REF!="Muy Alta",'Mapa final'!#REF!="Leve"),CONCATENATE("R8C",'Mapa final'!#REF!),"")</f>
        <v>#REF!</v>
      </c>
      <c r="O13" s="54" t="e">
        <f>IF(AND('Mapa final'!#REF!="Muy Alta",'Mapa final'!#REF!="Leve"),CONCATENATE("R8C",'Mapa final'!#REF!),"")</f>
        <v>#REF!</v>
      </c>
      <c r="P13" s="52" t="e">
        <f>IF(AND('Mapa final'!#REF!="Muy Alta",'Mapa final'!#REF!="Menor"),CONCATENATE("R8C",'Mapa final'!#REF!),"")</f>
        <v>#REF!</v>
      </c>
      <c r="Q13" s="53" t="e">
        <f>IF(AND('Mapa final'!#REF!="Muy Alta",'Mapa final'!#REF!="Menor"),CONCATENATE("R8C",'Mapa final'!#REF!),"")</f>
        <v>#REF!</v>
      </c>
      <c r="R13" s="53" t="e">
        <f>IF(AND('Mapa final'!#REF!="Muy Alta",'Mapa final'!#REF!="Menor"),CONCATENATE("R8C",'Mapa final'!#REF!),"")</f>
        <v>#REF!</v>
      </c>
      <c r="S13" s="53" t="e">
        <f>IF(AND('Mapa final'!#REF!="Muy Alta",'Mapa final'!#REF!="Menor"),CONCATENATE("R8C",'Mapa final'!#REF!),"")</f>
        <v>#REF!</v>
      </c>
      <c r="T13" s="53" t="e">
        <f>IF(AND('Mapa final'!#REF!="Muy Alta",'Mapa final'!#REF!="Menor"),CONCATENATE("R8C",'Mapa final'!#REF!),"")</f>
        <v>#REF!</v>
      </c>
      <c r="U13" s="54" t="e">
        <f>IF(AND('Mapa final'!#REF!="Muy Alta",'Mapa final'!#REF!="Menor"),CONCATENATE("R8C",'Mapa final'!#REF!),"")</f>
        <v>#REF!</v>
      </c>
      <c r="V13" s="52" t="e">
        <f>IF(AND('Mapa final'!#REF!="Muy Alta",'Mapa final'!#REF!="Moderado"),CONCATENATE("R8C",'Mapa final'!#REF!),"")</f>
        <v>#REF!</v>
      </c>
      <c r="W13" s="53" t="e">
        <f>IF(AND('Mapa final'!#REF!="Muy Alta",'Mapa final'!#REF!="Moderado"),CONCATENATE("R8C",'Mapa final'!#REF!),"")</f>
        <v>#REF!</v>
      </c>
      <c r="X13" s="53" t="e">
        <f>IF(AND('Mapa final'!#REF!="Muy Alta",'Mapa final'!#REF!="Moderado"),CONCATENATE("R8C",'Mapa final'!#REF!),"")</f>
        <v>#REF!</v>
      </c>
      <c r="Y13" s="53" t="e">
        <f>IF(AND('Mapa final'!#REF!="Muy Alta",'Mapa final'!#REF!="Moderado"),CONCATENATE("R8C",'Mapa final'!#REF!),"")</f>
        <v>#REF!</v>
      </c>
      <c r="Z13" s="53" t="e">
        <f>IF(AND('Mapa final'!#REF!="Muy Alta",'Mapa final'!#REF!="Moderado"),CONCATENATE("R8C",'Mapa final'!#REF!),"")</f>
        <v>#REF!</v>
      </c>
      <c r="AA13" s="54" t="e">
        <f>IF(AND('Mapa final'!#REF!="Muy Alta",'Mapa final'!#REF!="Moderado"),CONCATENATE("R8C",'Mapa final'!#REF!),"")</f>
        <v>#REF!</v>
      </c>
      <c r="AB13" s="52" t="e">
        <f>IF(AND('Mapa final'!#REF!="Muy Alta",'Mapa final'!#REF!="Mayor"),CONCATENATE("R8C",'Mapa final'!#REF!),"")</f>
        <v>#REF!</v>
      </c>
      <c r="AC13" s="53" t="e">
        <f>IF(AND('Mapa final'!#REF!="Muy Alta",'Mapa final'!#REF!="Mayor"),CONCATENATE("R8C",'Mapa final'!#REF!),"")</f>
        <v>#REF!</v>
      </c>
      <c r="AD13" s="53" t="e">
        <f>IF(AND('Mapa final'!#REF!="Muy Alta",'Mapa final'!#REF!="Mayor"),CONCATENATE("R8C",'Mapa final'!#REF!),"")</f>
        <v>#REF!</v>
      </c>
      <c r="AE13" s="53" t="e">
        <f>IF(AND('Mapa final'!#REF!="Muy Alta",'Mapa final'!#REF!="Mayor"),CONCATENATE("R8C",'Mapa final'!#REF!),"")</f>
        <v>#REF!</v>
      </c>
      <c r="AF13" s="53" t="e">
        <f>IF(AND('Mapa final'!#REF!="Muy Alta",'Mapa final'!#REF!="Mayor"),CONCATENATE("R8C",'Mapa final'!#REF!),"")</f>
        <v>#REF!</v>
      </c>
      <c r="AG13" s="54" t="e">
        <f>IF(AND('Mapa final'!#REF!="Muy Alta",'Mapa final'!#REF!="Mayor"),CONCATENATE("R8C",'Mapa final'!#REF!),"")</f>
        <v>#REF!</v>
      </c>
      <c r="AH13" s="55" t="e">
        <f>IF(AND('Mapa final'!#REF!="Muy Alta",'Mapa final'!#REF!="Catastrófico"),CONCATENATE("R8C",'Mapa final'!#REF!),"")</f>
        <v>#REF!</v>
      </c>
      <c r="AI13" s="56" t="e">
        <f>IF(AND('Mapa final'!#REF!="Muy Alta",'Mapa final'!#REF!="Catastrófico"),CONCATENATE("R8C",'Mapa final'!#REF!),"")</f>
        <v>#REF!</v>
      </c>
      <c r="AJ13" s="56" t="e">
        <f>IF(AND('Mapa final'!#REF!="Muy Alta",'Mapa final'!#REF!="Catastrófico"),CONCATENATE("R8C",'Mapa final'!#REF!),"")</f>
        <v>#REF!</v>
      </c>
      <c r="AK13" s="56" t="e">
        <f>IF(AND('Mapa final'!#REF!="Muy Alta",'Mapa final'!#REF!="Catastrófico"),CONCATENATE("R8C",'Mapa final'!#REF!),"")</f>
        <v>#REF!</v>
      </c>
      <c r="AL13" s="56" t="e">
        <f>IF(AND('Mapa final'!#REF!="Muy Alta",'Mapa final'!#REF!="Catastrófico"),CONCATENATE("R8C",'Mapa final'!#REF!),"")</f>
        <v>#REF!</v>
      </c>
      <c r="AM13" s="57" t="e">
        <f>IF(AND('Mapa final'!#REF!="Muy Alta",'Mapa final'!#REF!="Catastrófico"),CONCATENATE("R8C",'Mapa final'!#REF!),"")</f>
        <v>#REF!</v>
      </c>
      <c r="AN13" s="83"/>
      <c r="AO13" s="388"/>
      <c r="AP13" s="389"/>
      <c r="AQ13" s="389"/>
      <c r="AR13" s="389"/>
      <c r="AS13" s="389"/>
      <c r="AT13" s="39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327"/>
      <c r="C14" s="327"/>
      <c r="D14" s="328"/>
      <c r="E14" s="368"/>
      <c r="F14" s="369"/>
      <c r="G14" s="369"/>
      <c r="H14" s="369"/>
      <c r="I14" s="370"/>
      <c r="J14" s="52" t="e">
        <f>IF(AND('Mapa final'!#REF!="Muy Alta",'Mapa final'!#REF!="Leve"),CONCATENATE("R9C",'Mapa final'!#REF!),"")</f>
        <v>#REF!</v>
      </c>
      <c r="K14" s="53" t="e">
        <f>IF(AND('Mapa final'!#REF!="Muy Alta",'Mapa final'!#REF!="Leve"),CONCATENATE("R9C",'Mapa final'!#REF!),"")</f>
        <v>#REF!</v>
      </c>
      <c r="L14" s="53" t="e">
        <f>IF(AND('Mapa final'!#REF!="Muy Alta",'Mapa final'!#REF!="Leve"),CONCATENATE("R9C",'Mapa final'!#REF!),"")</f>
        <v>#REF!</v>
      </c>
      <c r="M14" s="53" t="e">
        <f>IF(AND('Mapa final'!#REF!="Muy Alta",'Mapa final'!#REF!="Leve"),CONCATENATE("R9C",'Mapa final'!#REF!),"")</f>
        <v>#REF!</v>
      </c>
      <c r="N14" s="53" t="e">
        <f>IF(AND('Mapa final'!#REF!="Muy Alta",'Mapa final'!#REF!="Leve"),CONCATENATE("R9C",'Mapa final'!#REF!),"")</f>
        <v>#REF!</v>
      </c>
      <c r="O14" s="54" t="e">
        <f>IF(AND('Mapa final'!#REF!="Muy Alta",'Mapa final'!#REF!="Leve"),CONCATENATE("R9C",'Mapa final'!#REF!),"")</f>
        <v>#REF!</v>
      </c>
      <c r="P14" s="52" t="e">
        <f>IF(AND('Mapa final'!#REF!="Muy Alta",'Mapa final'!#REF!="Menor"),CONCATENATE("R9C",'Mapa final'!#REF!),"")</f>
        <v>#REF!</v>
      </c>
      <c r="Q14" s="53" t="e">
        <f>IF(AND('Mapa final'!#REF!="Muy Alta",'Mapa final'!#REF!="Menor"),CONCATENATE("R9C",'Mapa final'!#REF!),"")</f>
        <v>#REF!</v>
      </c>
      <c r="R14" s="53" t="e">
        <f>IF(AND('Mapa final'!#REF!="Muy Alta",'Mapa final'!#REF!="Menor"),CONCATENATE("R9C",'Mapa final'!#REF!),"")</f>
        <v>#REF!</v>
      </c>
      <c r="S14" s="53" t="e">
        <f>IF(AND('Mapa final'!#REF!="Muy Alta",'Mapa final'!#REF!="Menor"),CONCATENATE("R9C",'Mapa final'!#REF!),"")</f>
        <v>#REF!</v>
      </c>
      <c r="T14" s="53" t="e">
        <f>IF(AND('Mapa final'!#REF!="Muy Alta",'Mapa final'!#REF!="Menor"),CONCATENATE("R9C",'Mapa final'!#REF!),"")</f>
        <v>#REF!</v>
      </c>
      <c r="U14" s="54" t="e">
        <f>IF(AND('Mapa final'!#REF!="Muy Alta",'Mapa final'!#REF!="Menor"),CONCATENATE("R9C",'Mapa final'!#REF!),"")</f>
        <v>#REF!</v>
      </c>
      <c r="V14" s="52" t="e">
        <f>IF(AND('Mapa final'!#REF!="Muy Alta",'Mapa final'!#REF!="Moderado"),CONCATENATE("R9C",'Mapa final'!#REF!),"")</f>
        <v>#REF!</v>
      </c>
      <c r="W14" s="53" t="e">
        <f>IF(AND('Mapa final'!#REF!="Muy Alta",'Mapa final'!#REF!="Moderado"),CONCATENATE("R9C",'Mapa final'!#REF!),"")</f>
        <v>#REF!</v>
      </c>
      <c r="X14" s="53" t="e">
        <f>IF(AND('Mapa final'!#REF!="Muy Alta",'Mapa final'!#REF!="Moderado"),CONCATENATE("R9C",'Mapa final'!#REF!),"")</f>
        <v>#REF!</v>
      </c>
      <c r="Y14" s="53" t="e">
        <f>IF(AND('Mapa final'!#REF!="Muy Alta",'Mapa final'!#REF!="Moderado"),CONCATENATE("R9C",'Mapa final'!#REF!),"")</f>
        <v>#REF!</v>
      </c>
      <c r="Z14" s="53" t="e">
        <f>IF(AND('Mapa final'!#REF!="Muy Alta",'Mapa final'!#REF!="Moderado"),CONCATENATE("R9C",'Mapa final'!#REF!),"")</f>
        <v>#REF!</v>
      </c>
      <c r="AA14" s="54" t="e">
        <f>IF(AND('Mapa final'!#REF!="Muy Alta",'Mapa final'!#REF!="Moderado"),CONCATENATE("R9C",'Mapa final'!#REF!),"")</f>
        <v>#REF!</v>
      </c>
      <c r="AB14" s="52" t="e">
        <f>IF(AND('Mapa final'!#REF!="Muy Alta",'Mapa final'!#REF!="Mayor"),CONCATENATE("R9C",'Mapa final'!#REF!),"")</f>
        <v>#REF!</v>
      </c>
      <c r="AC14" s="53" t="e">
        <f>IF(AND('Mapa final'!#REF!="Muy Alta",'Mapa final'!#REF!="Mayor"),CONCATENATE("R9C",'Mapa final'!#REF!),"")</f>
        <v>#REF!</v>
      </c>
      <c r="AD14" s="53" t="e">
        <f>IF(AND('Mapa final'!#REF!="Muy Alta",'Mapa final'!#REF!="Mayor"),CONCATENATE("R9C",'Mapa final'!#REF!),"")</f>
        <v>#REF!</v>
      </c>
      <c r="AE14" s="53" t="e">
        <f>IF(AND('Mapa final'!#REF!="Muy Alta",'Mapa final'!#REF!="Mayor"),CONCATENATE("R9C",'Mapa final'!#REF!),"")</f>
        <v>#REF!</v>
      </c>
      <c r="AF14" s="53" t="e">
        <f>IF(AND('Mapa final'!#REF!="Muy Alta",'Mapa final'!#REF!="Mayor"),CONCATENATE("R9C",'Mapa final'!#REF!),"")</f>
        <v>#REF!</v>
      </c>
      <c r="AG14" s="54" t="e">
        <f>IF(AND('Mapa final'!#REF!="Muy Alta",'Mapa final'!#REF!="Mayor"),CONCATENATE("R9C",'Mapa final'!#REF!),"")</f>
        <v>#REF!</v>
      </c>
      <c r="AH14" s="55" t="e">
        <f>IF(AND('Mapa final'!#REF!="Muy Alta",'Mapa final'!#REF!="Catastrófico"),CONCATENATE("R9C",'Mapa final'!#REF!),"")</f>
        <v>#REF!</v>
      </c>
      <c r="AI14" s="56" t="e">
        <f>IF(AND('Mapa final'!#REF!="Muy Alta",'Mapa final'!#REF!="Catastrófico"),CONCATENATE("R9C",'Mapa final'!#REF!),"")</f>
        <v>#REF!</v>
      </c>
      <c r="AJ14" s="56" t="e">
        <f>IF(AND('Mapa final'!#REF!="Muy Alta",'Mapa final'!#REF!="Catastrófico"),CONCATENATE("R9C",'Mapa final'!#REF!),"")</f>
        <v>#REF!</v>
      </c>
      <c r="AK14" s="56" t="e">
        <f>IF(AND('Mapa final'!#REF!="Muy Alta",'Mapa final'!#REF!="Catastrófico"),CONCATENATE("R9C",'Mapa final'!#REF!),"")</f>
        <v>#REF!</v>
      </c>
      <c r="AL14" s="56" t="e">
        <f>IF(AND('Mapa final'!#REF!="Muy Alta",'Mapa final'!#REF!="Catastrófico"),CONCATENATE("R9C",'Mapa final'!#REF!),"")</f>
        <v>#REF!</v>
      </c>
      <c r="AM14" s="57" t="e">
        <f>IF(AND('Mapa final'!#REF!="Muy Alta",'Mapa final'!#REF!="Catastrófico"),CONCATENATE("R9C",'Mapa final'!#REF!),"")</f>
        <v>#REF!</v>
      </c>
      <c r="AN14" s="83"/>
      <c r="AO14" s="388"/>
      <c r="AP14" s="389"/>
      <c r="AQ14" s="389"/>
      <c r="AR14" s="389"/>
      <c r="AS14" s="389"/>
      <c r="AT14" s="39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327"/>
      <c r="C15" s="327"/>
      <c r="D15" s="328"/>
      <c r="E15" s="371"/>
      <c r="F15" s="372"/>
      <c r="G15" s="372"/>
      <c r="H15" s="372"/>
      <c r="I15" s="373"/>
      <c r="J15" s="58" t="e">
        <f>IF(AND('Mapa final'!#REF!="Muy Alta",'Mapa final'!#REF!="Leve"),CONCATENATE("R10C",'Mapa final'!#REF!),"")</f>
        <v>#REF!</v>
      </c>
      <c r="K15" s="59" t="e">
        <f>IF(AND('Mapa final'!#REF!="Muy Alta",'Mapa final'!#REF!="Leve"),CONCATENATE("R10C",'Mapa final'!#REF!),"")</f>
        <v>#REF!</v>
      </c>
      <c r="L15" s="59" t="e">
        <f>IF(AND('Mapa final'!#REF!="Muy Alta",'Mapa final'!#REF!="Leve"),CONCATENATE("R10C",'Mapa final'!#REF!),"")</f>
        <v>#REF!</v>
      </c>
      <c r="M15" s="59" t="e">
        <f>IF(AND('Mapa final'!#REF!="Muy Alta",'Mapa final'!#REF!="Leve"),CONCATENATE("R10C",'Mapa final'!#REF!),"")</f>
        <v>#REF!</v>
      </c>
      <c r="N15" s="59" t="e">
        <f>IF(AND('Mapa final'!#REF!="Muy Alta",'Mapa final'!#REF!="Leve"),CONCATENATE("R10C",'Mapa final'!#REF!),"")</f>
        <v>#REF!</v>
      </c>
      <c r="O15" s="60" t="e">
        <f>IF(AND('Mapa final'!#REF!="Muy Alta",'Mapa final'!#REF!="Leve"),CONCATENATE("R10C",'Mapa final'!#REF!),"")</f>
        <v>#REF!</v>
      </c>
      <c r="P15" s="52" t="e">
        <f>IF(AND('Mapa final'!#REF!="Muy Alta",'Mapa final'!#REF!="Menor"),CONCATENATE("R10C",'Mapa final'!#REF!),"")</f>
        <v>#REF!</v>
      </c>
      <c r="Q15" s="53" t="e">
        <f>IF(AND('Mapa final'!#REF!="Muy Alta",'Mapa final'!#REF!="Menor"),CONCATENATE("R10C",'Mapa final'!#REF!),"")</f>
        <v>#REF!</v>
      </c>
      <c r="R15" s="53" t="e">
        <f>IF(AND('Mapa final'!#REF!="Muy Alta",'Mapa final'!#REF!="Menor"),CONCATENATE("R10C",'Mapa final'!#REF!),"")</f>
        <v>#REF!</v>
      </c>
      <c r="S15" s="53" t="e">
        <f>IF(AND('Mapa final'!#REF!="Muy Alta",'Mapa final'!#REF!="Menor"),CONCATENATE("R10C",'Mapa final'!#REF!),"")</f>
        <v>#REF!</v>
      </c>
      <c r="T15" s="53" t="e">
        <f>IF(AND('Mapa final'!#REF!="Muy Alta",'Mapa final'!#REF!="Menor"),CONCATENATE("R10C",'Mapa final'!#REF!),"")</f>
        <v>#REF!</v>
      </c>
      <c r="U15" s="54" t="e">
        <f>IF(AND('Mapa final'!#REF!="Muy Alta",'Mapa final'!#REF!="Menor"),CONCATENATE("R10C",'Mapa final'!#REF!),"")</f>
        <v>#REF!</v>
      </c>
      <c r="V15" s="58" t="e">
        <f>IF(AND('Mapa final'!#REF!="Muy Alta",'Mapa final'!#REF!="Moderado"),CONCATENATE("R10C",'Mapa final'!#REF!),"")</f>
        <v>#REF!</v>
      </c>
      <c r="W15" s="59" t="e">
        <f>IF(AND('Mapa final'!#REF!="Muy Alta",'Mapa final'!#REF!="Moderado"),CONCATENATE("R10C",'Mapa final'!#REF!),"")</f>
        <v>#REF!</v>
      </c>
      <c r="X15" s="59" t="e">
        <f>IF(AND('Mapa final'!#REF!="Muy Alta",'Mapa final'!#REF!="Moderado"),CONCATENATE("R10C",'Mapa final'!#REF!),"")</f>
        <v>#REF!</v>
      </c>
      <c r="Y15" s="59" t="e">
        <f>IF(AND('Mapa final'!#REF!="Muy Alta",'Mapa final'!#REF!="Moderado"),CONCATENATE("R10C",'Mapa final'!#REF!),"")</f>
        <v>#REF!</v>
      </c>
      <c r="Z15" s="59" t="e">
        <f>IF(AND('Mapa final'!#REF!="Muy Alta",'Mapa final'!#REF!="Moderado"),CONCATENATE("R10C",'Mapa final'!#REF!),"")</f>
        <v>#REF!</v>
      </c>
      <c r="AA15" s="60" t="e">
        <f>IF(AND('Mapa final'!#REF!="Muy Alta",'Mapa final'!#REF!="Moderado"),CONCATENATE("R10C",'Mapa final'!#REF!),"")</f>
        <v>#REF!</v>
      </c>
      <c r="AB15" s="52" t="e">
        <f>IF(AND('Mapa final'!#REF!="Muy Alta",'Mapa final'!#REF!="Mayor"),CONCATENATE("R10C",'Mapa final'!#REF!),"")</f>
        <v>#REF!</v>
      </c>
      <c r="AC15" s="53" t="e">
        <f>IF(AND('Mapa final'!#REF!="Muy Alta",'Mapa final'!#REF!="Mayor"),CONCATENATE("R10C",'Mapa final'!#REF!),"")</f>
        <v>#REF!</v>
      </c>
      <c r="AD15" s="53" t="e">
        <f>IF(AND('Mapa final'!#REF!="Muy Alta",'Mapa final'!#REF!="Mayor"),CONCATENATE("R10C",'Mapa final'!#REF!),"")</f>
        <v>#REF!</v>
      </c>
      <c r="AE15" s="53" t="e">
        <f>IF(AND('Mapa final'!#REF!="Muy Alta",'Mapa final'!#REF!="Mayor"),CONCATENATE("R10C",'Mapa final'!#REF!),"")</f>
        <v>#REF!</v>
      </c>
      <c r="AF15" s="53" t="e">
        <f>IF(AND('Mapa final'!#REF!="Muy Alta",'Mapa final'!#REF!="Mayor"),CONCATENATE("R10C",'Mapa final'!#REF!),"")</f>
        <v>#REF!</v>
      </c>
      <c r="AG15" s="54" t="e">
        <f>IF(AND('Mapa final'!#REF!="Muy Alta",'Mapa final'!#REF!="Mayor"),CONCATENATE("R10C",'Mapa final'!#REF!),"")</f>
        <v>#REF!</v>
      </c>
      <c r="AH15" s="61" t="e">
        <f>IF(AND('Mapa final'!#REF!="Muy Alta",'Mapa final'!#REF!="Catastrófico"),CONCATENATE("R10C",'Mapa final'!#REF!),"")</f>
        <v>#REF!</v>
      </c>
      <c r="AI15" s="62" t="e">
        <f>IF(AND('Mapa final'!#REF!="Muy Alta",'Mapa final'!#REF!="Catastrófico"),CONCATENATE("R10C",'Mapa final'!#REF!),"")</f>
        <v>#REF!</v>
      </c>
      <c r="AJ15" s="62" t="e">
        <f>IF(AND('Mapa final'!#REF!="Muy Alta",'Mapa final'!#REF!="Catastrófico"),CONCATENATE("R10C",'Mapa final'!#REF!),"")</f>
        <v>#REF!</v>
      </c>
      <c r="AK15" s="62" t="e">
        <f>IF(AND('Mapa final'!#REF!="Muy Alta",'Mapa final'!#REF!="Catastrófico"),CONCATENATE("R10C",'Mapa final'!#REF!),"")</f>
        <v>#REF!</v>
      </c>
      <c r="AL15" s="62" t="e">
        <f>IF(AND('Mapa final'!#REF!="Muy Alta",'Mapa final'!#REF!="Catastrófico"),CONCATENATE("R10C",'Mapa final'!#REF!),"")</f>
        <v>#REF!</v>
      </c>
      <c r="AM15" s="63" t="e">
        <f>IF(AND('Mapa final'!#REF!="Muy Alta",'Mapa final'!#REF!="Catastrófico"),CONCATENATE("R10C",'Mapa final'!#REF!),"")</f>
        <v>#REF!</v>
      </c>
      <c r="AN15" s="83"/>
      <c r="AO15" s="391"/>
      <c r="AP15" s="392"/>
      <c r="AQ15" s="392"/>
      <c r="AR15" s="392"/>
      <c r="AS15" s="392"/>
      <c r="AT15" s="39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327"/>
      <c r="C16" s="327"/>
      <c r="D16" s="328"/>
      <c r="E16" s="365" t="s">
        <v>94</v>
      </c>
      <c r="F16" s="366"/>
      <c r="G16" s="366"/>
      <c r="H16" s="366"/>
      <c r="I16" s="366"/>
      <c r="J16" s="64" t="str">
        <f>IF(AND('Mapa final'!$Y$23="Alta",'Mapa final'!$AA$23="Leve"),CONCATENATE("R1C",'Mapa final'!$O$23),"")</f>
        <v/>
      </c>
      <c r="K16" s="65" t="str">
        <f>IF(AND('Mapa final'!$Y$24="Alta",'Mapa final'!$AA$24="Leve"),CONCATENATE("R1C",'Mapa final'!$O$24),"")</f>
        <v/>
      </c>
      <c r="L16" s="65" t="str">
        <f>IF(AND('Mapa final'!$Y$25="Alta",'Mapa final'!$AA$25="Leve"),CONCATENATE("R1C",'Mapa final'!$O$25),"")</f>
        <v/>
      </c>
      <c r="M16" s="65" t="str">
        <f>IF(AND('Mapa final'!$Y$26="Alta",'Mapa final'!$AA$26="Leve"),CONCATENATE("R1C",'Mapa final'!$O$26),"")</f>
        <v/>
      </c>
      <c r="N16" s="65" t="str">
        <f>IF(AND('Mapa final'!$Y$27="Alta",'Mapa final'!$AA$27="Leve"),CONCATENATE("R1C",'Mapa final'!$O$27),"")</f>
        <v/>
      </c>
      <c r="O16" s="66" t="str">
        <f>IF(AND('Mapa final'!$Y$28="Alta",'Mapa final'!$AA$28="Leve"),CONCATENATE("R1C",'Mapa final'!$O$28),"")</f>
        <v/>
      </c>
      <c r="P16" s="64" t="str">
        <f>IF(AND('Mapa final'!$Y$23="Alta",'Mapa final'!$AA$23="Menor"),CONCATENATE("R1C",'Mapa final'!$O$23),"")</f>
        <v/>
      </c>
      <c r="Q16" s="65" t="str">
        <f>IF(AND('Mapa final'!$Y$24="Alta",'Mapa final'!$AA$24="Menor"),CONCATENATE("R1C",'Mapa final'!$O$24),"")</f>
        <v/>
      </c>
      <c r="R16" s="65" t="str">
        <f>IF(AND('Mapa final'!$Y$25="Alta",'Mapa final'!$AA$25="Menor"),CONCATENATE("R1C",'Mapa final'!$O$25),"")</f>
        <v/>
      </c>
      <c r="S16" s="65" t="str">
        <f>IF(AND('Mapa final'!$Y$26="Alta",'Mapa final'!$AA$26="Menor"),CONCATENATE("R1C",'Mapa final'!$O$26),"")</f>
        <v/>
      </c>
      <c r="T16" s="65" t="str">
        <f>IF(AND('Mapa final'!$Y$27="Alta",'Mapa final'!$AA$27="Menor"),CONCATENATE("R1C",'Mapa final'!$O$27),"")</f>
        <v/>
      </c>
      <c r="U16" s="66" t="str">
        <f>IF(AND('Mapa final'!$Y$28="Alta",'Mapa final'!$AA$28="Menor"),CONCATENATE("R1C",'Mapa final'!$O$28),"")</f>
        <v/>
      </c>
      <c r="V16" s="46" t="str">
        <f>IF(AND('Mapa final'!$Y$23="Alta",'Mapa final'!$AA$23="Moderado"),CONCATENATE("R1C",'Mapa final'!$O$23),"")</f>
        <v/>
      </c>
      <c r="W16" s="47" t="str">
        <f>IF(AND('Mapa final'!$Y$24="Alta",'Mapa final'!$AA$24="Moderado"),CONCATENATE("R1C",'Mapa final'!$O$24),"")</f>
        <v/>
      </c>
      <c r="X16" s="47" t="str">
        <f>IF(AND('Mapa final'!$Y$25="Alta",'Mapa final'!$AA$25="Moderado"),CONCATENATE("R1C",'Mapa final'!$O$25),"")</f>
        <v/>
      </c>
      <c r="Y16" s="47" t="str">
        <f>IF(AND('Mapa final'!$Y$26="Alta",'Mapa final'!$AA$26="Moderado"),CONCATENATE("R1C",'Mapa final'!$O$26),"")</f>
        <v/>
      </c>
      <c r="Z16" s="47" t="str">
        <f>IF(AND('Mapa final'!$Y$27="Alta",'Mapa final'!$AA$27="Moderado"),CONCATENATE("R1C",'Mapa final'!$O$27),"")</f>
        <v/>
      </c>
      <c r="AA16" s="48" t="str">
        <f>IF(AND('Mapa final'!$Y$28="Alta",'Mapa final'!$AA$28="Moderado"),CONCATENATE("R1C",'Mapa final'!$O$28),"")</f>
        <v/>
      </c>
      <c r="AB16" s="46" t="str">
        <f>IF(AND('Mapa final'!$Y$23="Alta",'Mapa final'!$AA$23="Mayor"),CONCATENATE("R1C",'Mapa final'!$O$23),"")</f>
        <v/>
      </c>
      <c r="AC16" s="47" t="str">
        <f>IF(AND('Mapa final'!$Y$24="Alta",'Mapa final'!$AA$24="Mayor"),CONCATENATE("R1C",'Mapa final'!$O$24),"")</f>
        <v/>
      </c>
      <c r="AD16" s="47" t="str">
        <f>IF(AND('Mapa final'!$Y$25="Alta",'Mapa final'!$AA$25="Mayor"),CONCATENATE("R1C",'Mapa final'!$O$25),"")</f>
        <v/>
      </c>
      <c r="AE16" s="47" t="str">
        <f>IF(AND('Mapa final'!$Y$26="Alta",'Mapa final'!$AA$26="Mayor"),CONCATENATE("R1C",'Mapa final'!$O$26),"")</f>
        <v/>
      </c>
      <c r="AF16" s="47" t="str">
        <f>IF(AND('Mapa final'!$Y$27="Alta",'Mapa final'!$AA$27="Mayor"),CONCATENATE("R1C",'Mapa final'!$O$27),"")</f>
        <v/>
      </c>
      <c r="AG16" s="48" t="str">
        <f>IF(AND('Mapa final'!$Y$28="Alta",'Mapa final'!$AA$28="Mayor"),CONCATENATE("R1C",'Mapa final'!$O$28),"")</f>
        <v/>
      </c>
      <c r="AH16" s="49" t="str">
        <f>IF(AND('Mapa final'!$Y$23="Alta",'Mapa final'!$AA$23="Catastrófico"),CONCATENATE("R1C",'Mapa final'!$O$23),"")</f>
        <v/>
      </c>
      <c r="AI16" s="50" t="str">
        <f>IF(AND('Mapa final'!$Y$24="Alta",'Mapa final'!$AA$24="Catastrófico"),CONCATENATE("R1C",'Mapa final'!$O$24),"")</f>
        <v/>
      </c>
      <c r="AJ16" s="50" t="str">
        <f>IF(AND('Mapa final'!$Y$25="Alta",'Mapa final'!$AA$25="Catastrófico"),CONCATENATE("R1C",'Mapa final'!$O$25),"")</f>
        <v/>
      </c>
      <c r="AK16" s="50" t="str">
        <f>IF(AND('Mapa final'!$Y$26="Alta",'Mapa final'!$AA$26="Catastrófico"),CONCATENATE("R1C",'Mapa final'!$O$26),"")</f>
        <v/>
      </c>
      <c r="AL16" s="50" t="str">
        <f>IF(AND('Mapa final'!$Y$27="Alta",'Mapa final'!$AA$27="Catastrófico"),CONCATENATE("R1C",'Mapa final'!$O$27),"")</f>
        <v/>
      </c>
      <c r="AM16" s="51" t="str">
        <f>IF(AND('Mapa final'!$Y$28="Alta",'Mapa final'!$AA$28="Catastrófico"),CONCATENATE("R1C",'Mapa final'!$O$28),"")</f>
        <v/>
      </c>
      <c r="AN16" s="83"/>
      <c r="AO16" s="375" t="s">
        <v>95</v>
      </c>
      <c r="AP16" s="376"/>
      <c r="AQ16" s="376"/>
      <c r="AR16" s="376"/>
      <c r="AS16" s="376"/>
      <c r="AT16" s="37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327"/>
      <c r="C17" s="327"/>
      <c r="D17" s="328"/>
      <c r="E17" s="384"/>
      <c r="F17" s="369"/>
      <c r="G17" s="369"/>
      <c r="H17" s="369"/>
      <c r="I17" s="369"/>
      <c r="J17" s="67" t="str">
        <f>IF(AND('Mapa final'!$Y$29="Alta",'Mapa final'!$AA$29="Leve"),CONCATENATE("R2C",'Mapa final'!$O$29),"")</f>
        <v/>
      </c>
      <c r="K17" s="68" t="str">
        <f>IF(AND('Mapa final'!$Y$30="Alta",'Mapa final'!$AA$30="Leve"),CONCATENATE("R2C",'Mapa final'!$O$30),"")</f>
        <v/>
      </c>
      <c r="L17" s="68" t="e">
        <f>IF(AND('Mapa final'!#REF!="Alta",'Mapa final'!#REF!="Leve"),CONCATENATE("R2C",'Mapa final'!#REF!),"")</f>
        <v>#REF!</v>
      </c>
      <c r="M17" s="68" t="e">
        <f>IF(AND('Mapa final'!#REF!="Alta",'Mapa final'!#REF!="Leve"),CONCATENATE("R2C",'Mapa final'!#REF!),"")</f>
        <v>#REF!</v>
      </c>
      <c r="N17" s="68" t="e">
        <f>IF(AND('Mapa final'!#REF!="Alta",'Mapa final'!#REF!="Leve"),CONCATENATE("R2C",'Mapa final'!#REF!),"")</f>
        <v>#REF!</v>
      </c>
      <c r="O17" s="69" t="e">
        <f>IF(AND('Mapa final'!#REF!="Alta",'Mapa final'!#REF!="Leve"),CONCATENATE("R2C",'Mapa final'!#REF!),"")</f>
        <v>#REF!</v>
      </c>
      <c r="P17" s="67" t="str">
        <f>IF(AND('Mapa final'!$Y$29="Alta",'Mapa final'!$AA$29="Menor"),CONCATENATE("R2C",'Mapa final'!$O$29),"")</f>
        <v/>
      </c>
      <c r="Q17" s="68" t="str">
        <f>IF(AND('Mapa final'!$Y$30="Alta",'Mapa final'!$AA$30="Menor"),CONCATENATE("R2C",'Mapa final'!$O$30),"")</f>
        <v/>
      </c>
      <c r="R17" s="68" t="e">
        <f>IF(AND('Mapa final'!#REF!="Alta",'Mapa final'!#REF!="Menor"),CONCATENATE("R2C",'Mapa final'!#REF!),"")</f>
        <v>#REF!</v>
      </c>
      <c r="S17" s="68" t="e">
        <f>IF(AND('Mapa final'!#REF!="Alta",'Mapa final'!#REF!="Menor"),CONCATENATE("R2C",'Mapa final'!#REF!),"")</f>
        <v>#REF!</v>
      </c>
      <c r="T17" s="68" t="e">
        <f>IF(AND('Mapa final'!#REF!="Alta",'Mapa final'!#REF!="Menor"),CONCATENATE("R2C",'Mapa final'!#REF!),"")</f>
        <v>#REF!</v>
      </c>
      <c r="U17" s="69" t="e">
        <f>IF(AND('Mapa final'!#REF!="Alta",'Mapa final'!#REF!="Menor"),CONCATENATE("R2C",'Mapa final'!#REF!),"")</f>
        <v>#REF!</v>
      </c>
      <c r="V17" s="52" t="str">
        <f>IF(AND('Mapa final'!$Y$29="Alta",'Mapa final'!$AA$29="Moderado"),CONCATENATE("R2C",'Mapa final'!$O$29),"")</f>
        <v/>
      </c>
      <c r="W17" s="53" t="str">
        <f>IF(AND('Mapa final'!$Y$30="Alta",'Mapa final'!$AA$30="Moderado"),CONCATENATE("R2C",'Mapa final'!$O$30),"")</f>
        <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final'!$Y$29="Alta",'Mapa final'!$AA$29="Mayor"),CONCATENATE("R2C",'Mapa final'!$O$29),"")</f>
        <v/>
      </c>
      <c r="AC17" s="53" t="str">
        <f>IF(AND('Mapa final'!$Y$30="Alta",'Mapa final'!$AA$30="Mayor"),CONCATENATE("R2C",'Mapa final'!$O$30),"")</f>
        <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final'!$Y$29="Alta",'Mapa final'!$AA$29="Catastrófico"),CONCATENATE("R2C",'Mapa final'!$O$29),"")</f>
        <v/>
      </c>
      <c r="AI17" s="56" t="str">
        <f>IF(AND('Mapa final'!$Y$30="Alta",'Mapa final'!$AA$30="Catastrófico"),CONCATENATE("R2C",'Mapa final'!$O$30),"")</f>
        <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3"/>
      <c r="AO17" s="378"/>
      <c r="AP17" s="379"/>
      <c r="AQ17" s="379"/>
      <c r="AR17" s="379"/>
      <c r="AS17" s="379"/>
      <c r="AT17" s="38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327"/>
      <c r="C18" s="327"/>
      <c r="D18" s="328"/>
      <c r="E18" s="368"/>
      <c r="F18" s="369"/>
      <c r="G18" s="369"/>
      <c r="H18" s="369"/>
      <c r="I18" s="369"/>
      <c r="J18" s="67" t="str">
        <f>IF(AND('Mapa final'!$Y$31="Alta",'Mapa final'!$AA$31="Leve"),CONCATENATE("R3C",'Mapa final'!$O$31),"")</f>
        <v/>
      </c>
      <c r="K18" s="68" t="str">
        <f>IF(AND('Mapa final'!$Y$32="Alta",'Mapa final'!$AA$32="Leve"),CONCATENATE("R3C",'Mapa final'!$O$32),"")</f>
        <v/>
      </c>
      <c r="L18" s="68" t="str">
        <f>IF(AND('Mapa final'!$Y$33="Alta",'Mapa final'!$AA$33="Leve"),CONCATENATE("R3C",'Mapa final'!$O$33),"")</f>
        <v/>
      </c>
      <c r="M18" s="68" t="e">
        <f>IF(AND('Mapa final'!#REF!="Alta",'Mapa final'!#REF!="Leve"),CONCATENATE("R3C",'Mapa final'!#REF!),"")</f>
        <v>#REF!</v>
      </c>
      <c r="N18" s="68" t="e">
        <f>IF(AND('Mapa final'!#REF!="Alta",'Mapa final'!#REF!="Leve"),CONCATENATE("R3C",'Mapa final'!#REF!),"")</f>
        <v>#REF!</v>
      </c>
      <c r="O18" s="69" t="e">
        <f>IF(AND('Mapa final'!#REF!="Alta",'Mapa final'!#REF!="Leve"),CONCATENATE("R3C",'Mapa final'!#REF!),"")</f>
        <v>#REF!</v>
      </c>
      <c r="P18" s="67" t="str">
        <f>IF(AND('Mapa final'!$Y$31="Alta",'Mapa final'!$AA$31="Menor"),CONCATENATE("R3C",'Mapa final'!$O$31),"")</f>
        <v/>
      </c>
      <c r="Q18" s="68" t="str">
        <f>IF(AND('Mapa final'!$Y$32="Alta",'Mapa final'!$AA$32="Menor"),CONCATENATE("R3C",'Mapa final'!$O$32),"")</f>
        <v/>
      </c>
      <c r="R18" s="68" t="str">
        <f>IF(AND('Mapa final'!$Y$33="Alta",'Mapa final'!$AA$33="Menor"),CONCATENATE("R3C",'Mapa final'!$O$33),"")</f>
        <v/>
      </c>
      <c r="S18" s="68" t="e">
        <f>IF(AND('Mapa final'!#REF!="Alta",'Mapa final'!#REF!="Menor"),CONCATENATE("R3C",'Mapa final'!#REF!),"")</f>
        <v>#REF!</v>
      </c>
      <c r="T18" s="68" t="e">
        <f>IF(AND('Mapa final'!#REF!="Alta",'Mapa final'!#REF!="Menor"),CONCATENATE("R3C",'Mapa final'!#REF!),"")</f>
        <v>#REF!</v>
      </c>
      <c r="U18" s="69" t="e">
        <f>IF(AND('Mapa final'!#REF!="Alta",'Mapa final'!#REF!="Menor"),CONCATENATE("R3C",'Mapa final'!#REF!),"")</f>
        <v>#REF!</v>
      </c>
      <c r="V18" s="52" t="str">
        <f>IF(AND('Mapa final'!$Y$31="Alta",'Mapa final'!$AA$31="Moderado"),CONCATENATE("R3C",'Mapa final'!$O$31),"")</f>
        <v/>
      </c>
      <c r="W18" s="53" t="str">
        <f>IF(AND('Mapa final'!$Y$32="Alta",'Mapa final'!$AA$32="Moderado"),CONCATENATE("R3C",'Mapa final'!$O$32),"")</f>
        <v/>
      </c>
      <c r="X18" s="53" t="str">
        <f>IF(AND('Mapa final'!$Y$33="Alta",'Mapa final'!$AA$33="Moderado"),CONCATENATE("R3C",'Mapa final'!$O$33),"")</f>
        <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final'!$Y$31="Alta",'Mapa final'!$AA$31="Mayor"),CONCATENATE("R3C",'Mapa final'!$O$31),"")</f>
        <v/>
      </c>
      <c r="AC18" s="53" t="str">
        <f>IF(AND('Mapa final'!$Y$32="Alta",'Mapa final'!$AA$32="Mayor"),CONCATENATE("R3C",'Mapa final'!$O$32),"")</f>
        <v/>
      </c>
      <c r="AD18" s="53" t="str">
        <f>IF(AND('Mapa final'!$Y$33="Alta",'Mapa final'!$AA$33="Mayor"),CONCATENATE("R3C",'Mapa final'!$O$33),"")</f>
        <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final'!$Y$31="Alta",'Mapa final'!$AA$31="Catastrófico"),CONCATENATE("R3C",'Mapa final'!$O$31),"")</f>
        <v/>
      </c>
      <c r="AI18" s="56" t="str">
        <f>IF(AND('Mapa final'!$Y$32="Alta",'Mapa final'!$AA$32="Catastrófico"),CONCATENATE("R3C",'Mapa final'!$O$32),"")</f>
        <v/>
      </c>
      <c r="AJ18" s="56" t="str">
        <f>IF(AND('Mapa final'!$Y$33="Alta",'Mapa final'!$AA$33="Catastrófico"),CONCATENATE("R3C",'Mapa final'!$O$33),"")</f>
        <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3"/>
      <c r="AO18" s="378"/>
      <c r="AP18" s="379"/>
      <c r="AQ18" s="379"/>
      <c r="AR18" s="379"/>
      <c r="AS18" s="379"/>
      <c r="AT18" s="38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327"/>
      <c r="C19" s="327"/>
      <c r="D19" s="328"/>
      <c r="E19" s="368"/>
      <c r="F19" s="369"/>
      <c r="G19" s="369"/>
      <c r="H19" s="369"/>
      <c r="I19" s="369"/>
      <c r="J19" s="67" t="str">
        <f>IF(AND('Mapa final'!$Y$34="Alta",'Mapa final'!$AA$34="Leve"),CONCATENATE("R4C",'Mapa final'!$O$34),"")</f>
        <v/>
      </c>
      <c r="K19" s="68" t="e">
        <f>IF(AND('Mapa final'!#REF!="Alta",'Mapa final'!#REF!="Leve"),CONCATENATE("R4C",'Mapa final'!#REF!),"")</f>
        <v>#REF!</v>
      </c>
      <c r="L19" s="68" t="str">
        <f>IF(AND('Mapa final'!$Y$35="Alta",'Mapa final'!$AA$35="Leve"),CONCATENATE("R4C",'Mapa final'!$O$35),"")</f>
        <v/>
      </c>
      <c r="M19" s="68" t="str">
        <f>IF(AND('Mapa final'!$Y$36="Alta",'Mapa final'!$AA$36="Leve"),CONCATENATE("R4C",'Mapa final'!$O$36),"")</f>
        <v/>
      </c>
      <c r="N19" s="68" t="e">
        <f>IF(AND('Mapa final'!#REF!="Alta",'Mapa final'!#REF!="Leve"),CONCATENATE("R4C",'Mapa final'!#REF!),"")</f>
        <v>#REF!</v>
      </c>
      <c r="O19" s="69" t="e">
        <f>IF(AND('Mapa final'!#REF!="Alta",'Mapa final'!#REF!="Leve"),CONCATENATE("R4C",'Mapa final'!#REF!),"")</f>
        <v>#REF!</v>
      </c>
      <c r="P19" s="67" t="str">
        <f>IF(AND('Mapa final'!$Y$34="Alta",'Mapa final'!$AA$34="Menor"),CONCATENATE("R4C",'Mapa final'!$O$34),"")</f>
        <v/>
      </c>
      <c r="Q19" s="68" t="e">
        <f>IF(AND('Mapa final'!#REF!="Alta",'Mapa final'!#REF!="Menor"),CONCATENATE("R4C",'Mapa final'!#REF!),"")</f>
        <v>#REF!</v>
      </c>
      <c r="R19" s="68" t="str">
        <f>IF(AND('Mapa final'!$Y$35="Alta",'Mapa final'!$AA$35="Menor"),CONCATENATE("R4C",'Mapa final'!$O$35),"")</f>
        <v/>
      </c>
      <c r="S19" s="68" t="str">
        <f>IF(AND('Mapa final'!$Y$36="Alta",'Mapa final'!$AA$36="Menor"),CONCATENATE("R4C",'Mapa final'!$O$36),"")</f>
        <v/>
      </c>
      <c r="T19" s="68" t="e">
        <f>IF(AND('Mapa final'!#REF!="Alta",'Mapa final'!#REF!="Menor"),CONCATENATE("R4C",'Mapa final'!#REF!),"")</f>
        <v>#REF!</v>
      </c>
      <c r="U19" s="69" t="e">
        <f>IF(AND('Mapa final'!#REF!="Alta",'Mapa final'!#REF!="Menor"),CONCATENATE("R4C",'Mapa final'!#REF!),"")</f>
        <v>#REF!</v>
      </c>
      <c r="V19" s="52" t="str">
        <f>IF(AND('Mapa final'!$Y$34="Alta",'Mapa final'!$AA$34="Moderado"),CONCATENATE("R4C",'Mapa final'!$O$34),"")</f>
        <v/>
      </c>
      <c r="W19" s="53" t="e">
        <f>IF(AND('Mapa final'!#REF!="Alta",'Mapa final'!#REF!="Moderado"),CONCATENATE("R4C",'Mapa final'!#REF!),"")</f>
        <v>#REF!</v>
      </c>
      <c r="X19" s="53" t="str">
        <f>IF(AND('Mapa final'!$Y$35="Alta",'Mapa final'!$AA$35="Moderado"),CONCATENATE("R4C",'Mapa final'!$O$35),"")</f>
        <v/>
      </c>
      <c r="Y19" s="53" t="str">
        <f>IF(AND('Mapa final'!$Y$36="Alta",'Mapa final'!$AA$36="Moderado"),CONCATENATE("R4C",'Mapa final'!$O$36),"")</f>
        <v/>
      </c>
      <c r="Z19" s="53" t="e">
        <f>IF(AND('Mapa final'!#REF!="Alta",'Mapa final'!#REF!="Moderado"),CONCATENATE("R4C",'Mapa final'!#REF!),"")</f>
        <v>#REF!</v>
      </c>
      <c r="AA19" s="54" t="e">
        <f>IF(AND('Mapa final'!#REF!="Alta",'Mapa final'!#REF!="Moderado"),CONCATENATE("R4C",'Mapa final'!#REF!),"")</f>
        <v>#REF!</v>
      </c>
      <c r="AB19" s="52" t="str">
        <f>IF(AND('Mapa final'!$Y$34="Alta",'Mapa final'!$AA$34="Mayor"),CONCATENATE("R4C",'Mapa final'!$O$34),"")</f>
        <v/>
      </c>
      <c r="AC19" s="53" t="e">
        <f>IF(AND('Mapa final'!#REF!="Alta",'Mapa final'!#REF!="Mayor"),CONCATENATE("R4C",'Mapa final'!#REF!),"")</f>
        <v>#REF!</v>
      </c>
      <c r="AD19" s="53" t="str">
        <f>IF(AND('Mapa final'!$Y$35="Alta",'Mapa final'!$AA$35="Mayor"),CONCATENATE("R4C",'Mapa final'!$O$35),"")</f>
        <v/>
      </c>
      <c r="AE19" s="53" t="str">
        <f>IF(AND('Mapa final'!$Y$36="Alta",'Mapa final'!$AA$36="Mayor"),CONCATENATE("R4C",'Mapa final'!$O$36),"")</f>
        <v/>
      </c>
      <c r="AF19" s="53" t="e">
        <f>IF(AND('Mapa final'!#REF!="Alta",'Mapa final'!#REF!="Mayor"),CONCATENATE("R4C",'Mapa final'!#REF!),"")</f>
        <v>#REF!</v>
      </c>
      <c r="AG19" s="54" t="e">
        <f>IF(AND('Mapa final'!#REF!="Alta",'Mapa final'!#REF!="Mayor"),CONCATENATE("R4C",'Mapa final'!#REF!),"")</f>
        <v>#REF!</v>
      </c>
      <c r="AH19" s="55" t="str">
        <f>IF(AND('Mapa final'!$Y$34="Alta",'Mapa final'!$AA$34="Catastrófico"),CONCATENATE("R4C",'Mapa final'!$O$34),"")</f>
        <v/>
      </c>
      <c r="AI19" s="56" t="e">
        <f>IF(AND('Mapa final'!#REF!="Alta",'Mapa final'!#REF!="Catastrófico"),CONCATENATE("R4C",'Mapa final'!#REF!),"")</f>
        <v>#REF!</v>
      </c>
      <c r="AJ19" s="56" t="str">
        <f>IF(AND('Mapa final'!$Y$35="Alta",'Mapa final'!$AA$35="Catastrófico"),CONCATENATE("R4C",'Mapa final'!$O$35),"")</f>
        <v/>
      </c>
      <c r="AK19" s="56" t="str">
        <f>IF(AND('Mapa final'!$Y$36="Alta",'Mapa final'!$AA$36="Catastrófico"),CONCATENATE("R4C",'Mapa final'!$O$36),"")</f>
        <v/>
      </c>
      <c r="AL19" s="56" t="e">
        <f>IF(AND('Mapa final'!#REF!="Alta",'Mapa final'!#REF!="Catastrófico"),CONCATENATE("R4C",'Mapa final'!#REF!),"")</f>
        <v>#REF!</v>
      </c>
      <c r="AM19" s="57" t="e">
        <f>IF(AND('Mapa final'!#REF!="Alta",'Mapa final'!#REF!="Catastrófico"),CONCATENATE("R4C",'Mapa final'!#REF!),"")</f>
        <v>#REF!</v>
      </c>
      <c r="AN19" s="83"/>
      <c r="AO19" s="378"/>
      <c r="AP19" s="379"/>
      <c r="AQ19" s="379"/>
      <c r="AR19" s="379"/>
      <c r="AS19" s="379"/>
      <c r="AT19" s="38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327"/>
      <c r="C20" s="327"/>
      <c r="D20" s="328"/>
      <c r="E20" s="368"/>
      <c r="F20" s="369"/>
      <c r="G20" s="369"/>
      <c r="H20" s="369"/>
      <c r="I20" s="369"/>
      <c r="J20" s="67" t="str">
        <f>IF(AND('Mapa final'!$Y$37="Alta",'Mapa final'!$AA$37="Leve"),CONCATENATE("R5C",'Mapa final'!$O$37),"")</f>
        <v/>
      </c>
      <c r="K20" s="68" t="e">
        <f>IF(AND('Mapa final'!#REF!="Alta",'Mapa final'!#REF!="Leve"),CONCATENATE("R5C",'Mapa final'!#REF!),"")</f>
        <v>#REF!</v>
      </c>
      <c r="L20" s="68" t="e">
        <f>IF(AND('Mapa final'!#REF!="Alta",'Mapa final'!#REF!="Leve"),CONCATENATE("R5C",'Mapa final'!#REF!),"")</f>
        <v>#REF!</v>
      </c>
      <c r="M20" s="68" t="e">
        <f>IF(AND('Mapa final'!#REF!="Alta",'Mapa final'!#REF!="Leve"),CONCATENATE("R5C",'Mapa final'!#REF!),"")</f>
        <v>#REF!</v>
      </c>
      <c r="N20" s="68" t="e">
        <f>IF(AND('Mapa final'!#REF!="Alta",'Mapa final'!#REF!="Leve"),CONCATENATE("R5C",'Mapa final'!#REF!),"")</f>
        <v>#REF!</v>
      </c>
      <c r="O20" s="69" t="e">
        <f>IF(AND('Mapa final'!#REF!="Alta",'Mapa final'!#REF!="Leve"),CONCATENATE("R5C",'Mapa final'!#REF!),"")</f>
        <v>#REF!</v>
      </c>
      <c r="P20" s="67" t="str">
        <f>IF(AND('Mapa final'!$Y$37="Alta",'Mapa final'!$AA$37="Menor"),CONCATENATE("R5C",'Mapa final'!$O$37),"")</f>
        <v/>
      </c>
      <c r="Q20" s="68" t="e">
        <f>IF(AND('Mapa final'!#REF!="Alta",'Mapa final'!#REF!="Menor"),CONCATENATE("R5C",'Mapa final'!#REF!),"")</f>
        <v>#REF!</v>
      </c>
      <c r="R20" s="68" t="e">
        <f>IF(AND('Mapa final'!#REF!="Alta",'Mapa final'!#REF!="Menor"),CONCATENATE("R5C",'Mapa final'!#REF!),"")</f>
        <v>#REF!</v>
      </c>
      <c r="S20" s="68" t="e">
        <f>IF(AND('Mapa final'!#REF!="Alta",'Mapa final'!#REF!="Menor"),CONCATENATE("R5C",'Mapa final'!#REF!),"")</f>
        <v>#REF!</v>
      </c>
      <c r="T20" s="68" t="e">
        <f>IF(AND('Mapa final'!#REF!="Alta",'Mapa final'!#REF!="Menor"),CONCATENATE("R5C",'Mapa final'!#REF!),"")</f>
        <v>#REF!</v>
      </c>
      <c r="U20" s="69" t="e">
        <f>IF(AND('Mapa final'!#REF!="Alta",'Mapa final'!#REF!="Menor"),CONCATENATE("R5C",'Mapa final'!#REF!),"")</f>
        <v>#REF!</v>
      </c>
      <c r="V20" s="52" t="str">
        <f>IF(AND('Mapa final'!$Y$37="Alta",'Mapa final'!$AA$37="Moderado"),CONCATENATE("R5C",'Mapa final'!$O$37),"")</f>
        <v/>
      </c>
      <c r="W20" s="53" t="e">
        <f>IF(AND('Mapa final'!#REF!="Alta",'Mapa final'!#REF!="Moderado"),CONCATENATE("R5C",'Mapa final'!#REF!),"")</f>
        <v>#REF!</v>
      </c>
      <c r="X20" s="53" t="e">
        <f>IF(AND('Mapa final'!#REF!="Alta",'Mapa final'!#REF!="Moderado"),CONCATENATE("R5C",'Mapa final'!#REF!),"")</f>
        <v>#REF!</v>
      </c>
      <c r="Y20" s="53" t="e">
        <f>IF(AND('Mapa final'!#REF!="Alta",'Mapa final'!#REF!="Moderado"),CONCATENATE("R5C",'Mapa final'!#REF!),"")</f>
        <v>#REF!</v>
      </c>
      <c r="Z20" s="53" t="e">
        <f>IF(AND('Mapa final'!#REF!="Alta",'Mapa final'!#REF!="Moderado"),CONCATENATE("R5C",'Mapa final'!#REF!),"")</f>
        <v>#REF!</v>
      </c>
      <c r="AA20" s="54" t="e">
        <f>IF(AND('Mapa final'!#REF!="Alta",'Mapa final'!#REF!="Moderado"),CONCATENATE("R5C",'Mapa final'!#REF!),"")</f>
        <v>#REF!</v>
      </c>
      <c r="AB20" s="52" t="str">
        <f>IF(AND('Mapa final'!$Y$37="Alta",'Mapa final'!$AA$37="Mayor"),CONCATENATE("R5C",'Mapa final'!$O$37),"")</f>
        <v/>
      </c>
      <c r="AC20" s="53" t="e">
        <f>IF(AND('Mapa final'!#REF!="Alta",'Mapa final'!#REF!="Mayor"),CONCATENATE("R5C",'Mapa final'!#REF!),"")</f>
        <v>#REF!</v>
      </c>
      <c r="AD20" s="53" t="e">
        <f>IF(AND('Mapa final'!#REF!="Alta",'Mapa final'!#REF!="Mayor"),CONCATENATE("R5C",'Mapa final'!#REF!),"")</f>
        <v>#REF!</v>
      </c>
      <c r="AE20" s="53" t="e">
        <f>IF(AND('Mapa final'!#REF!="Alta",'Mapa final'!#REF!="Mayor"),CONCATENATE("R5C",'Mapa final'!#REF!),"")</f>
        <v>#REF!</v>
      </c>
      <c r="AF20" s="53" t="e">
        <f>IF(AND('Mapa final'!#REF!="Alta",'Mapa final'!#REF!="Mayor"),CONCATENATE("R5C",'Mapa final'!#REF!),"")</f>
        <v>#REF!</v>
      </c>
      <c r="AG20" s="54" t="e">
        <f>IF(AND('Mapa final'!#REF!="Alta",'Mapa final'!#REF!="Mayor"),CONCATENATE("R5C",'Mapa final'!#REF!),"")</f>
        <v>#REF!</v>
      </c>
      <c r="AH20" s="55" t="str">
        <f>IF(AND('Mapa final'!$Y$37="Alta",'Mapa final'!$AA$37="Catastrófico"),CONCATENATE("R5C",'Mapa final'!$O$37),"")</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3"/>
      <c r="AO20" s="378"/>
      <c r="AP20" s="379"/>
      <c r="AQ20" s="379"/>
      <c r="AR20" s="379"/>
      <c r="AS20" s="379"/>
      <c r="AT20" s="38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327"/>
      <c r="C21" s="327"/>
      <c r="D21" s="328"/>
      <c r="E21" s="368"/>
      <c r="F21" s="369"/>
      <c r="G21" s="369"/>
      <c r="H21" s="369"/>
      <c r="I21" s="369"/>
      <c r="J21" s="67" t="str">
        <f>IF(AND('Mapa final'!$Y$38="Alta",'Mapa final'!$AA$38="Leve"),CONCATENATE("R6C",'Mapa final'!$O$38),"")</f>
        <v/>
      </c>
      <c r="K21" s="68" t="str">
        <f>IF(AND('Mapa final'!$Y$39="Alta",'Mapa final'!$AA$39="Leve"),CONCATENATE("R6C",'Mapa final'!$O$39),"")</f>
        <v/>
      </c>
      <c r="L21" s="68" t="str">
        <f>IF(AND('Mapa final'!$Y$40="Alta",'Mapa final'!$AA$40="Leve"),CONCATENATE("R6C",'Mapa final'!$O$40),"")</f>
        <v/>
      </c>
      <c r="M21" s="68" t="e">
        <f>IF(AND('Mapa final'!#REF!="Alta",'Mapa final'!#REF!="Leve"),CONCATENATE("R6C",'Mapa final'!#REF!),"")</f>
        <v>#REF!</v>
      </c>
      <c r="N21" s="68" t="e">
        <f>IF(AND('Mapa final'!#REF!="Alta",'Mapa final'!#REF!="Leve"),CONCATENATE("R6C",'Mapa final'!#REF!),"")</f>
        <v>#REF!</v>
      </c>
      <c r="O21" s="69" t="e">
        <f>IF(AND('Mapa final'!#REF!="Alta",'Mapa final'!#REF!="Leve"),CONCATENATE("R6C",'Mapa final'!#REF!),"")</f>
        <v>#REF!</v>
      </c>
      <c r="P21" s="67" t="str">
        <f>IF(AND('Mapa final'!$Y$38="Alta",'Mapa final'!$AA$38="Menor"),CONCATENATE("R6C",'Mapa final'!$O$38),"")</f>
        <v/>
      </c>
      <c r="Q21" s="68" t="str">
        <f>IF(AND('Mapa final'!$Y$39="Alta",'Mapa final'!$AA$39="Menor"),CONCATENATE("R6C",'Mapa final'!$O$39),"")</f>
        <v/>
      </c>
      <c r="R21" s="68" t="str">
        <f>IF(AND('Mapa final'!$Y$40="Alta",'Mapa final'!$AA$40="Menor"),CONCATENATE("R6C",'Mapa final'!$O$40),"")</f>
        <v/>
      </c>
      <c r="S21" s="68" t="e">
        <f>IF(AND('Mapa final'!#REF!="Alta",'Mapa final'!#REF!="Menor"),CONCATENATE("R6C",'Mapa final'!#REF!),"")</f>
        <v>#REF!</v>
      </c>
      <c r="T21" s="68" t="e">
        <f>IF(AND('Mapa final'!#REF!="Alta",'Mapa final'!#REF!="Menor"),CONCATENATE("R6C",'Mapa final'!#REF!),"")</f>
        <v>#REF!</v>
      </c>
      <c r="U21" s="69" t="e">
        <f>IF(AND('Mapa final'!#REF!="Alta",'Mapa final'!#REF!="Menor"),CONCATENATE("R6C",'Mapa final'!#REF!),"")</f>
        <v>#REF!</v>
      </c>
      <c r="V21" s="52" t="str">
        <f>IF(AND('Mapa final'!$Y$38="Alta",'Mapa final'!$AA$38="Moderado"),CONCATENATE("R6C",'Mapa final'!$O$38),"")</f>
        <v/>
      </c>
      <c r="W21" s="53" t="str">
        <f>IF(AND('Mapa final'!$Y$39="Alta",'Mapa final'!$AA$39="Moderado"),CONCATENATE("R6C",'Mapa final'!$O$39),"")</f>
        <v/>
      </c>
      <c r="X21" s="53" t="str">
        <f>IF(AND('Mapa final'!$Y$40="Alta",'Mapa final'!$AA$40="Moderado"),CONCATENATE("R6C",'Mapa final'!$O$40),"")</f>
        <v/>
      </c>
      <c r="Y21" s="53" t="e">
        <f>IF(AND('Mapa final'!#REF!="Alta",'Mapa final'!#REF!="Moderado"),CONCATENATE("R6C",'Mapa final'!#REF!),"")</f>
        <v>#REF!</v>
      </c>
      <c r="Z21" s="53" t="e">
        <f>IF(AND('Mapa final'!#REF!="Alta",'Mapa final'!#REF!="Moderado"),CONCATENATE("R6C",'Mapa final'!#REF!),"")</f>
        <v>#REF!</v>
      </c>
      <c r="AA21" s="54" t="e">
        <f>IF(AND('Mapa final'!#REF!="Alta",'Mapa final'!#REF!="Moderado"),CONCATENATE("R6C",'Mapa final'!#REF!),"")</f>
        <v>#REF!</v>
      </c>
      <c r="AB21" s="52" t="str">
        <f>IF(AND('Mapa final'!$Y$38="Alta",'Mapa final'!$AA$38="Mayor"),CONCATENATE("R6C",'Mapa final'!$O$38),"")</f>
        <v/>
      </c>
      <c r="AC21" s="53" t="str">
        <f>IF(AND('Mapa final'!$Y$39="Alta",'Mapa final'!$AA$39="Mayor"),CONCATENATE("R6C",'Mapa final'!$O$39),"")</f>
        <v/>
      </c>
      <c r="AD21" s="53" t="str">
        <f>IF(AND('Mapa final'!$Y$40="Alta",'Mapa final'!$AA$40="Mayor"),CONCATENATE("R6C",'Mapa final'!$O$40),"")</f>
        <v/>
      </c>
      <c r="AE21" s="53" t="e">
        <f>IF(AND('Mapa final'!#REF!="Alta",'Mapa final'!#REF!="Mayor"),CONCATENATE("R6C",'Mapa final'!#REF!),"")</f>
        <v>#REF!</v>
      </c>
      <c r="AF21" s="53" t="e">
        <f>IF(AND('Mapa final'!#REF!="Alta",'Mapa final'!#REF!="Mayor"),CONCATENATE("R6C",'Mapa final'!#REF!),"")</f>
        <v>#REF!</v>
      </c>
      <c r="AG21" s="54" t="e">
        <f>IF(AND('Mapa final'!#REF!="Alta",'Mapa final'!#REF!="Mayor"),CONCATENATE("R6C",'Mapa final'!#REF!),"")</f>
        <v>#REF!</v>
      </c>
      <c r="AH21" s="55" t="str">
        <f>IF(AND('Mapa final'!$Y$38="Alta",'Mapa final'!$AA$38="Catastrófico"),CONCATENATE("R6C",'Mapa final'!$O$38),"")</f>
        <v/>
      </c>
      <c r="AI21" s="56" t="str">
        <f>IF(AND('Mapa final'!$Y$39="Alta",'Mapa final'!$AA$39="Catastrófico"),CONCATENATE("R6C",'Mapa final'!$O$39),"")</f>
        <v/>
      </c>
      <c r="AJ21" s="56" t="str">
        <f>IF(AND('Mapa final'!$Y$40="Alta",'Mapa final'!$AA$40="Catastrófico"),CONCATENATE("R6C",'Mapa final'!$O$40),"")</f>
        <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3"/>
      <c r="AO21" s="378"/>
      <c r="AP21" s="379"/>
      <c r="AQ21" s="379"/>
      <c r="AR21" s="379"/>
      <c r="AS21" s="379"/>
      <c r="AT21" s="38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327"/>
      <c r="C22" s="327"/>
      <c r="D22" s="328"/>
      <c r="E22" s="368"/>
      <c r="F22" s="369"/>
      <c r="G22" s="369"/>
      <c r="H22" s="369"/>
      <c r="I22" s="369"/>
      <c r="J22" s="67" t="e">
        <f>IF(AND('Mapa final'!#REF!="Alta",'Mapa final'!#REF!="Leve"),CONCATENATE("R7C",'Mapa final'!#REF!),"")</f>
        <v>#REF!</v>
      </c>
      <c r="K22" s="68" t="e">
        <f>IF(AND('Mapa final'!#REF!="Alta",'Mapa final'!#REF!="Leve"),CONCATENATE("R7C",'Mapa final'!#REF!),"")</f>
        <v>#REF!</v>
      </c>
      <c r="L22" s="68" t="e">
        <f>IF(AND('Mapa final'!#REF!="Alta",'Mapa final'!#REF!="Leve"),CONCATENATE("R7C",'Mapa final'!#REF!),"")</f>
        <v>#REF!</v>
      </c>
      <c r="M22" s="68" t="e">
        <f>IF(AND('Mapa final'!#REF!="Alta",'Mapa final'!#REF!="Leve"),CONCATENATE("R7C",'Mapa final'!#REF!),"")</f>
        <v>#REF!</v>
      </c>
      <c r="N22" s="68" t="e">
        <f>IF(AND('Mapa final'!#REF!="Alta",'Mapa final'!#REF!="Leve"),CONCATENATE("R7C",'Mapa final'!#REF!),"")</f>
        <v>#REF!</v>
      </c>
      <c r="O22" s="69" t="e">
        <f>IF(AND('Mapa final'!#REF!="Alta",'Mapa final'!#REF!="Leve"),CONCATENATE("R7C",'Mapa final'!#REF!),"")</f>
        <v>#REF!</v>
      </c>
      <c r="P22" s="67" t="e">
        <f>IF(AND('Mapa final'!#REF!="Alta",'Mapa final'!#REF!="Menor"),CONCATENATE("R7C",'Mapa final'!#REF!),"")</f>
        <v>#REF!</v>
      </c>
      <c r="Q22" s="68" t="e">
        <f>IF(AND('Mapa final'!#REF!="Alta",'Mapa final'!#REF!="Menor"),CONCATENATE("R7C",'Mapa final'!#REF!),"")</f>
        <v>#REF!</v>
      </c>
      <c r="R22" s="68" t="e">
        <f>IF(AND('Mapa final'!#REF!="Alta",'Mapa final'!#REF!="Menor"),CONCATENATE("R7C",'Mapa final'!#REF!),"")</f>
        <v>#REF!</v>
      </c>
      <c r="S22" s="68" t="e">
        <f>IF(AND('Mapa final'!#REF!="Alta",'Mapa final'!#REF!="Menor"),CONCATENATE("R7C",'Mapa final'!#REF!),"")</f>
        <v>#REF!</v>
      </c>
      <c r="T22" s="68" t="e">
        <f>IF(AND('Mapa final'!#REF!="Alta",'Mapa final'!#REF!="Menor"),CONCATENATE("R7C",'Mapa final'!#REF!),"")</f>
        <v>#REF!</v>
      </c>
      <c r="U22" s="69" t="e">
        <f>IF(AND('Mapa final'!#REF!="Alta",'Mapa final'!#REF!="Menor"),CONCATENATE("R7C",'Mapa final'!#REF!),"")</f>
        <v>#REF!</v>
      </c>
      <c r="V22" s="52" t="e">
        <f>IF(AND('Mapa final'!#REF!="Alta",'Mapa final'!#REF!="Moderado"),CONCATENATE("R7C",'Mapa final'!#REF!),"")</f>
        <v>#REF!</v>
      </c>
      <c r="W22" s="53" t="e">
        <f>IF(AND('Mapa final'!#REF!="Alta",'Mapa final'!#REF!="Moderado"),CONCATENATE("R7C",'Mapa final'!#REF!),"")</f>
        <v>#REF!</v>
      </c>
      <c r="X22" s="53" t="e">
        <f>IF(AND('Mapa final'!#REF!="Alta",'Mapa final'!#REF!="Moderado"),CONCATENATE("R7C",'Mapa final'!#REF!),"")</f>
        <v>#REF!</v>
      </c>
      <c r="Y22" s="53" t="e">
        <f>IF(AND('Mapa final'!#REF!="Alta",'Mapa final'!#REF!="Moderado"),CONCATENATE("R7C",'Mapa final'!#REF!),"")</f>
        <v>#REF!</v>
      </c>
      <c r="Z22" s="53" t="e">
        <f>IF(AND('Mapa final'!#REF!="Alta",'Mapa final'!#REF!="Moderado"),CONCATENATE("R7C",'Mapa final'!#REF!),"")</f>
        <v>#REF!</v>
      </c>
      <c r="AA22" s="54" t="e">
        <f>IF(AND('Mapa final'!#REF!="Alta",'Mapa final'!#REF!="Moderado"),CONCATENATE("R7C",'Mapa final'!#REF!),"")</f>
        <v>#REF!</v>
      </c>
      <c r="AB22" s="52" t="e">
        <f>IF(AND('Mapa final'!#REF!="Alta",'Mapa final'!#REF!="Mayor"),CONCATENATE("R7C",'Mapa final'!#REF!),"")</f>
        <v>#REF!</v>
      </c>
      <c r="AC22" s="53" t="e">
        <f>IF(AND('Mapa final'!#REF!="Alta",'Mapa final'!#REF!="Mayor"),CONCATENATE("R7C",'Mapa final'!#REF!),"")</f>
        <v>#REF!</v>
      </c>
      <c r="AD22" s="53" t="e">
        <f>IF(AND('Mapa final'!#REF!="Alta",'Mapa final'!#REF!="Mayor"),CONCATENATE("R7C",'Mapa final'!#REF!),"")</f>
        <v>#REF!</v>
      </c>
      <c r="AE22" s="53" t="e">
        <f>IF(AND('Mapa final'!#REF!="Alta",'Mapa final'!#REF!="Mayor"),CONCATENATE("R7C",'Mapa final'!#REF!),"")</f>
        <v>#REF!</v>
      </c>
      <c r="AF22" s="53" t="e">
        <f>IF(AND('Mapa final'!#REF!="Alta",'Mapa final'!#REF!="Mayor"),CONCATENATE("R7C",'Mapa final'!#REF!),"")</f>
        <v>#REF!</v>
      </c>
      <c r="AG22" s="54" t="e">
        <f>IF(AND('Mapa final'!#REF!="Alta",'Mapa final'!#REF!="Mayor"),CONCATENATE("R7C",'Mapa final'!#REF!),"")</f>
        <v>#REF!</v>
      </c>
      <c r="AH22" s="55" t="e">
        <f>IF(AND('Mapa final'!#REF!="Alta",'Mapa final'!#REF!="Catastrófico"),CONCATENATE("R7C",'Mapa final'!#REF!),"")</f>
        <v>#REF!</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3"/>
      <c r="AO22" s="378"/>
      <c r="AP22" s="379"/>
      <c r="AQ22" s="379"/>
      <c r="AR22" s="379"/>
      <c r="AS22" s="379"/>
      <c r="AT22" s="38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327"/>
      <c r="C23" s="327"/>
      <c r="D23" s="328"/>
      <c r="E23" s="368"/>
      <c r="F23" s="369"/>
      <c r="G23" s="369"/>
      <c r="H23" s="369"/>
      <c r="I23" s="369"/>
      <c r="J23" s="67" t="e">
        <f>IF(AND('Mapa final'!#REF!="Alta",'Mapa final'!#REF!="Leve"),CONCATENATE("R8C",'Mapa final'!#REF!),"")</f>
        <v>#REF!</v>
      </c>
      <c r="K23" s="68" t="e">
        <f>IF(AND('Mapa final'!#REF!="Alta",'Mapa final'!#REF!="Leve"),CONCATENATE("R8C",'Mapa final'!#REF!),"")</f>
        <v>#REF!</v>
      </c>
      <c r="L23" s="68" t="e">
        <f>IF(AND('Mapa final'!#REF!="Alta",'Mapa final'!#REF!="Leve"),CONCATENATE("R8C",'Mapa final'!#REF!),"")</f>
        <v>#REF!</v>
      </c>
      <c r="M23" s="68" t="e">
        <f>IF(AND('Mapa final'!#REF!="Alta",'Mapa final'!#REF!="Leve"),CONCATENATE("R8C",'Mapa final'!#REF!),"")</f>
        <v>#REF!</v>
      </c>
      <c r="N23" s="68" t="e">
        <f>IF(AND('Mapa final'!#REF!="Alta",'Mapa final'!#REF!="Leve"),CONCATENATE("R8C",'Mapa final'!#REF!),"")</f>
        <v>#REF!</v>
      </c>
      <c r="O23" s="69" t="e">
        <f>IF(AND('Mapa final'!#REF!="Alta",'Mapa final'!#REF!="Leve"),CONCATENATE("R8C",'Mapa final'!#REF!),"")</f>
        <v>#REF!</v>
      </c>
      <c r="P23" s="67" t="e">
        <f>IF(AND('Mapa final'!#REF!="Alta",'Mapa final'!#REF!="Menor"),CONCATENATE("R8C",'Mapa final'!#REF!),"")</f>
        <v>#REF!</v>
      </c>
      <c r="Q23" s="68" t="e">
        <f>IF(AND('Mapa final'!#REF!="Alta",'Mapa final'!#REF!="Menor"),CONCATENATE("R8C",'Mapa final'!#REF!),"")</f>
        <v>#REF!</v>
      </c>
      <c r="R23" s="68" t="e">
        <f>IF(AND('Mapa final'!#REF!="Alta",'Mapa final'!#REF!="Menor"),CONCATENATE("R8C",'Mapa final'!#REF!),"")</f>
        <v>#REF!</v>
      </c>
      <c r="S23" s="68" t="e">
        <f>IF(AND('Mapa final'!#REF!="Alta",'Mapa final'!#REF!="Menor"),CONCATENATE("R8C",'Mapa final'!#REF!),"")</f>
        <v>#REF!</v>
      </c>
      <c r="T23" s="68" t="e">
        <f>IF(AND('Mapa final'!#REF!="Alta",'Mapa final'!#REF!="Menor"),CONCATENATE("R8C",'Mapa final'!#REF!),"")</f>
        <v>#REF!</v>
      </c>
      <c r="U23" s="69" t="e">
        <f>IF(AND('Mapa final'!#REF!="Alta",'Mapa final'!#REF!="Menor"),CONCATENATE("R8C",'Mapa final'!#REF!),"")</f>
        <v>#REF!</v>
      </c>
      <c r="V23" s="52" t="e">
        <f>IF(AND('Mapa final'!#REF!="Alta",'Mapa final'!#REF!="Moderado"),CONCATENATE("R8C",'Mapa final'!#REF!),"")</f>
        <v>#REF!</v>
      </c>
      <c r="W23" s="53" t="e">
        <f>IF(AND('Mapa final'!#REF!="Alta",'Mapa final'!#REF!="Moderado"),CONCATENATE("R8C",'Mapa final'!#REF!),"")</f>
        <v>#REF!</v>
      </c>
      <c r="X23" s="53" t="e">
        <f>IF(AND('Mapa final'!#REF!="Alta",'Mapa final'!#REF!="Moderado"),CONCATENATE("R8C",'Mapa final'!#REF!),"")</f>
        <v>#REF!</v>
      </c>
      <c r="Y23" s="53" t="e">
        <f>IF(AND('Mapa final'!#REF!="Alta",'Mapa final'!#REF!="Moderado"),CONCATENATE("R8C",'Mapa final'!#REF!),"")</f>
        <v>#REF!</v>
      </c>
      <c r="Z23" s="53" t="e">
        <f>IF(AND('Mapa final'!#REF!="Alta",'Mapa final'!#REF!="Moderado"),CONCATENATE("R8C",'Mapa final'!#REF!),"")</f>
        <v>#REF!</v>
      </c>
      <c r="AA23" s="54" t="e">
        <f>IF(AND('Mapa final'!#REF!="Alta",'Mapa final'!#REF!="Moderado"),CONCATENATE("R8C",'Mapa final'!#REF!),"")</f>
        <v>#REF!</v>
      </c>
      <c r="AB23" s="52" t="e">
        <f>IF(AND('Mapa final'!#REF!="Alta",'Mapa final'!#REF!="Mayor"),CONCATENATE("R8C",'Mapa final'!#REF!),"")</f>
        <v>#REF!</v>
      </c>
      <c r="AC23" s="53" t="e">
        <f>IF(AND('Mapa final'!#REF!="Alta",'Mapa final'!#REF!="Mayor"),CONCATENATE("R8C",'Mapa final'!#REF!),"")</f>
        <v>#REF!</v>
      </c>
      <c r="AD23" s="53" t="e">
        <f>IF(AND('Mapa final'!#REF!="Alta",'Mapa final'!#REF!="Mayor"),CONCATENATE("R8C",'Mapa final'!#REF!),"")</f>
        <v>#REF!</v>
      </c>
      <c r="AE23" s="53" t="e">
        <f>IF(AND('Mapa final'!#REF!="Alta",'Mapa final'!#REF!="Mayor"),CONCATENATE("R8C",'Mapa final'!#REF!),"")</f>
        <v>#REF!</v>
      </c>
      <c r="AF23" s="53" t="e">
        <f>IF(AND('Mapa final'!#REF!="Alta",'Mapa final'!#REF!="Mayor"),CONCATENATE("R8C",'Mapa final'!#REF!),"")</f>
        <v>#REF!</v>
      </c>
      <c r="AG23" s="54" t="e">
        <f>IF(AND('Mapa final'!#REF!="Alta",'Mapa final'!#REF!="Mayor"),CONCATENATE("R8C",'Mapa final'!#REF!),"")</f>
        <v>#REF!</v>
      </c>
      <c r="AH23" s="55" t="e">
        <f>IF(AND('Mapa final'!#REF!="Alta",'Mapa final'!#REF!="Catastrófico"),CONCATENATE("R8C",'Mapa final'!#REF!),"")</f>
        <v>#REF!</v>
      </c>
      <c r="AI23" s="56" t="e">
        <f>IF(AND('Mapa final'!#REF!="Alta",'Mapa final'!#REF!="Catastrófico"),CONCATENATE("R8C",'Mapa final'!#REF!),"")</f>
        <v>#REF!</v>
      </c>
      <c r="AJ23" s="56" t="e">
        <f>IF(AND('Mapa final'!#REF!="Alta",'Mapa final'!#REF!="Catastrófico"),CONCATENATE("R8C",'Mapa final'!#REF!),"")</f>
        <v>#REF!</v>
      </c>
      <c r="AK23" s="56" t="e">
        <f>IF(AND('Mapa final'!#REF!="Alta",'Mapa final'!#REF!="Catastrófico"),CONCATENATE("R8C",'Mapa final'!#REF!),"")</f>
        <v>#REF!</v>
      </c>
      <c r="AL23" s="56" t="e">
        <f>IF(AND('Mapa final'!#REF!="Alta",'Mapa final'!#REF!="Catastrófico"),CONCATENATE("R8C",'Mapa final'!#REF!),"")</f>
        <v>#REF!</v>
      </c>
      <c r="AM23" s="57" t="e">
        <f>IF(AND('Mapa final'!#REF!="Alta",'Mapa final'!#REF!="Catastrófico"),CONCATENATE("R8C",'Mapa final'!#REF!),"")</f>
        <v>#REF!</v>
      </c>
      <c r="AN23" s="83"/>
      <c r="AO23" s="378"/>
      <c r="AP23" s="379"/>
      <c r="AQ23" s="379"/>
      <c r="AR23" s="379"/>
      <c r="AS23" s="379"/>
      <c r="AT23" s="38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327"/>
      <c r="C24" s="327"/>
      <c r="D24" s="328"/>
      <c r="E24" s="368"/>
      <c r="F24" s="369"/>
      <c r="G24" s="369"/>
      <c r="H24" s="369"/>
      <c r="I24" s="369"/>
      <c r="J24" s="67" t="e">
        <f>IF(AND('Mapa final'!#REF!="Alta",'Mapa final'!#REF!="Leve"),CONCATENATE("R9C",'Mapa final'!#REF!),"")</f>
        <v>#REF!</v>
      </c>
      <c r="K24" s="68" t="e">
        <f>IF(AND('Mapa final'!#REF!="Alta",'Mapa final'!#REF!="Leve"),CONCATENATE("R9C",'Mapa final'!#REF!),"")</f>
        <v>#REF!</v>
      </c>
      <c r="L24" s="68" t="e">
        <f>IF(AND('Mapa final'!#REF!="Alta",'Mapa final'!#REF!="Leve"),CONCATENATE("R9C",'Mapa final'!#REF!),"")</f>
        <v>#REF!</v>
      </c>
      <c r="M24" s="68" t="e">
        <f>IF(AND('Mapa final'!#REF!="Alta",'Mapa final'!#REF!="Leve"),CONCATENATE("R9C",'Mapa final'!#REF!),"")</f>
        <v>#REF!</v>
      </c>
      <c r="N24" s="68" t="e">
        <f>IF(AND('Mapa final'!#REF!="Alta",'Mapa final'!#REF!="Leve"),CONCATENATE("R9C",'Mapa final'!#REF!),"")</f>
        <v>#REF!</v>
      </c>
      <c r="O24" s="69" t="e">
        <f>IF(AND('Mapa final'!#REF!="Alta",'Mapa final'!#REF!="Leve"),CONCATENATE("R9C",'Mapa final'!#REF!),"")</f>
        <v>#REF!</v>
      </c>
      <c r="P24" s="67" t="e">
        <f>IF(AND('Mapa final'!#REF!="Alta",'Mapa final'!#REF!="Menor"),CONCATENATE("R9C",'Mapa final'!#REF!),"")</f>
        <v>#REF!</v>
      </c>
      <c r="Q24" s="68" t="e">
        <f>IF(AND('Mapa final'!#REF!="Alta",'Mapa final'!#REF!="Menor"),CONCATENATE("R9C",'Mapa final'!#REF!),"")</f>
        <v>#REF!</v>
      </c>
      <c r="R24" s="68" t="e">
        <f>IF(AND('Mapa final'!#REF!="Alta",'Mapa final'!#REF!="Menor"),CONCATENATE("R9C",'Mapa final'!#REF!),"")</f>
        <v>#REF!</v>
      </c>
      <c r="S24" s="68" t="e">
        <f>IF(AND('Mapa final'!#REF!="Alta",'Mapa final'!#REF!="Menor"),CONCATENATE("R9C",'Mapa final'!#REF!),"")</f>
        <v>#REF!</v>
      </c>
      <c r="T24" s="68" t="e">
        <f>IF(AND('Mapa final'!#REF!="Alta",'Mapa final'!#REF!="Menor"),CONCATENATE("R9C",'Mapa final'!#REF!),"")</f>
        <v>#REF!</v>
      </c>
      <c r="U24" s="69" t="e">
        <f>IF(AND('Mapa final'!#REF!="Alta",'Mapa final'!#REF!="Menor"),CONCATENATE("R9C",'Mapa final'!#REF!),"")</f>
        <v>#REF!</v>
      </c>
      <c r="V24" s="52" t="e">
        <f>IF(AND('Mapa final'!#REF!="Alta",'Mapa final'!#REF!="Moderado"),CONCATENATE("R9C",'Mapa final'!#REF!),"")</f>
        <v>#REF!</v>
      </c>
      <c r="W24" s="53" t="e">
        <f>IF(AND('Mapa final'!#REF!="Alta",'Mapa final'!#REF!="Moderado"),CONCATENATE("R9C",'Mapa final'!#REF!),"")</f>
        <v>#REF!</v>
      </c>
      <c r="X24" s="53" t="e">
        <f>IF(AND('Mapa final'!#REF!="Alta",'Mapa final'!#REF!="Moderado"),CONCATENATE("R9C",'Mapa final'!#REF!),"")</f>
        <v>#REF!</v>
      </c>
      <c r="Y24" s="53" t="e">
        <f>IF(AND('Mapa final'!#REF!="Alta",'Mapa final'!#REF!="Moderado"),CONCATENATE("R9C",'Mapa final'!#REF!),"")</f>
        <v>#REF!</v>
      </c>
      <c r="Z24" s="53" t="e">
        <f>IF(AND('Mapa final'!#REF!="Alta",'Mapa final'!#REF!="Moderado"),CONCATENATE("R9C",'Mapa final'!#REF!),"")</f>
        <v>#REF!</v>
      </c>
      <c r="AA24" s="54" t="e">
        <f>IF(AND('Mapa final'!#REF!="Alta",'Mapa final'!#REF!="Moderado"),CONCATENATE("R9C",'Mapa final'!#REF!),"")</f>
        <v>#REF!</v>
      </c>
      <c r="AB24" s="52" t="e">
        <f>IF(AND('Mapa final'!#REF!="Alta",'Mapa final'!#REF!="Mayor"),CONCATENATE("R9C",'Mapa final'!#REF!),"")</f>
        <v>#REF!</v>
      </c>
      <c r="AC24" s="53" t="e">
        <f>IF(AND('Mapa final'!#REF!="Alta",'Mapa final'!#REF!="Mayor"),CONCATENATE("R9C",'Mapa final'!#REF!),"")</f>
        <v>#REF!</v>
      </c>
      <c r="AD24" s="53" t="e">
        <f>IF(AND('Mapa final'!#REF!="Alta",'Mapa final'!#REF!="Mayor"),CONCATENATE("R9C",'Mapa final'!#REF!),"")</f>
        <v>#REF!</v>
      </c>
      <c r="AE24" s="53" t="e">
        <f>IF(AND('Mapa final'!#REF!="Alta",'Mapa final'!#REF!="Mayor"),CONCATENATE("R9C",'Mapa final'!#REF!),"")</f>
        <v>#REF!</v>
      </c>
      <c r="AF24" s="53" t="e">
        <f>IF(AND('Mapa final'!#REF!="Alta",'Mapa final'!#REF!="Mayor"),CONCATENATE("R9C",'Mapa final'!#REF!),"")</f>
        <v>#REF!</v>
      </c>
      <c r="AG24" s="54" t="e">
        <f>IF(AND('Mapa final'!#REF!="Alta",'Mapa final'!#REF!="Mayor"),CONCATENATE("R9C",'Mapa final'!#REF!),"")</f>
        <v>#REF!</v>
      </c>
      <c r="AH24" s="55" t="e">
        <f>IF(AND('Mapa final'!#REF!="Alta",'Mapa final'!#REF!="Catastrófico"),CONCATENATE("R9C",'Mapa final'!#REF!),"")</f>
        <v>#REF!</v>
      </c>
      <c r="AI24" s="56" t="e">
        <f>IF(AND('Mapa final'!#REF!="Alta",'Mapa final'!#REF!="Catastrófico"),CONCATENATE("R9C",'Mapa final'!#REF!),"")</f>
        <v>#REF!</v>
      </c>
      <c r="AJ24" s="56" t="e">
        <f>IF(AND('Mapa final'!#REF!="Alta",'Mapa final'!#REF!="Catastrófico"),CONCATENATE("R9C",'Mapa final'!#REF!),"")</f>
        <v>#REF!</v>
      </c>
      <c r="AK24" s="56" t="e">
        <f>IF(AND('Mapa final'!#REF!="Alta",'Mapa final'!#REF!="Catastrófico"),CONCATENATE("R9C",'Mapa final'!#REF!),"")</f>
        <v>#REF!</v>
      </c>
      <c r="AL24" s="56" t="e">
        <f>IF(AND('Mapa final'!#REF!="Alta",'Mapa final'!#REF!="Catastrófico"),CONCATENATE("R9C",'Mapa final'!#REF!),"")</f>
        <v>#REF!</v>
      </c>
      <c r="AM24" s="57" t="e">
        <f>IF(AND('Mapa final'!#REF!="Alta",'Mapa final'!#REF!="Catastrófico"),CONCATENATE("R9C",'Mapa final'!#REF!),"")</f>
        <v>#REF!</v>
      </c>
      <c r="AN24" s="83"/>
      <c r="AO24" s="378"/>
      <c r="AP24" s="379"/>
      <c r="AQ24" s="379"/>
      <c r="AR24" s="379"/>
      <c r="AS24" s="379"/>
      <c r="AT24" s="38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327"/>
      <c r="C25" s="327"/>
      <c r="D25" s="328"/>
      <c r="E25" s="371"/>
      <c r="F25" s="372"/>
      <c r="G25" s="372"/>
      <c r="H25" s="372"/>
      <c r="I25" s="372"/>
      <c r="J25" s="70" t="e">
        <f>IF(AND('Mapa final'!#REF!="Alta",'Mapa final'!#REF!="Leve"),CONCATENATE("R10C",'Mapa final'!#REF!),"")</f>
        <v>#REF!</v>
      </c>
      <c r="K25" s="71" t="e">
        <f>IF(AND('Mapa final'!#REF!="Alta",'Mapa final'!#REF!="Leve"),CONCATENATE("R10C",'Mapa final'!#REF!),"")</f>
        <v>#REF!</v>
      </c>
      <c r="L25" s="71" t="e">
        <f>IF(AND('Mapa final'!#REF!="Alta",'Mapa final'!#REF!="Leve"),CONCATENATE("R10C",'Mapa final'!#REF!),"")</f>
        <v>#REF!</v>
      </c>
      <c r="M25" s="71" t="e">
        <f>IF(AND('Mapa final'!#REF!="Alta",'Mapa final'!#REF!="Leve"),CONCATENATE("R10C",'Mapa final'!#REF!),"")</f>
        <v>#REF!</v>
      </c>
      <c r="N25" s="71" t="e">
        <f>IF(AND('Mapa final'!#REF!="Alta",'Mapa final'!#REF!="Leve"),CONCATENATE("R10C",'Mapa final'!#REF!),"")</f>
        <v>#REF!</v>
      </c>
      <c r="O25" s="72" t="e">
        <f>IF(AND('Mapa final'!#REF!="Alta",'Mapa final'!#REF!="Leve"),CONCATENATE("R10C",'Mapa final'!#REF!),"")</f>
        <v>#REF!</v>
      </c>
      <c r="P25" s="70" t="e">
        <f>IF(AND('Mapa final'!#REF!="Alta",'Mapa final'!#REF!="Menor"),CONCATENATE("R10C",'Mapa final'!#REF!),"")</f>
        <v>#REF!</v>
      </c>
      <c r="Q25" s="71" t="e">
        <f>IF(AND('Mapa final'!#REF!="Alta",'Mapa final'!#REF!="Menor"),CONCATENATE("R10C",'Mapa final'!#REF!),"")</f>
        <v>#REF!</v>
      </c>
      <c r="R25" s="71" t="e">
        <f>IF(AND('Mapa final'!#REF!="Alta",'Mapa final'!#REF!="Menor"),CONCATENATE("R10C",'Mapa final'!#REF!),"")</f>
        <v>#REF!</v>
      </c>
      <c r="S25" s="71" t="e">
        <f>IF(AND('Mapa final'!#REF!="Alta",'Mapa final'!#REF!="Menor"),CONCATENATE("R10C",'Mapa final'!#REF!),"")</f>
        <v>#REF!</v>
      </c>
      <c r="T25" s="71" t="e">
        <f>IF(AND('Mapa final'!#REF!="Alta",'Mapa final'!#REF!="Menor"),CONCATENATE("R10C",'Mapa final'!#REF!),"")</f>
        <v>#REF!</v>
      </c>
      <c r="U25" s="72" t="e">
        <f>IF(AND('Mapa final'!#REF!="Alta",'Mapa final'!#REF!="Menor"),CONCATENATE("R10C",'Mapa final'!#REF!),"")</f>
        <v>#REF!</v>
      </c>
      <c r="V25" s="58" t="e">
        <f>IF(AND('Mapa final'!#REF!="Alta",'Mapa final'!#REF!="Moderado"),CONCATENATE("R10C",'Mapa final'!#REF!),"")</f>
        <v>#REF!</v>
      </c>
      <c r="W25" s="59" t="e">
        <f>IF(AND('Mapa final'!#REF!="Alta",'Mapa final'!#REF!="Moderado"),CONCATENATE("R10C",'Mapa final'!#REF!),"")</f>
        <v>#REF!</v>
      </c>
      <c r="X25" s="59" t="e">
        <f>IF(AND('Mapa final'!#REF!="Alta",'Mapa final'!#REF!="Moderado"),CONCATENATE("R10C",'Mapa final'!#REF!),"")</f>
        <v>#REF!</v>
      </c>
      <c r="Y25" s="59" t="e">
        <f>IF(AND('Mapa final'!#REF!="Alta",'Mapa final'!#REF!="Moderado"),CONCATENATE("R10C",'Mapa final'!#REF!),"")</f>
        <v>#REF!</v>
      </c>
      <c r="Z25" s="59" t="e">
        <f>IF(AND('Mapa final'!#REF!="Alta",'Mapa final'!#REF!="Moderado"),CONCATENATE("R10C",'Mapa final'!#REF!),"")</f>
        <v>#REF!</v>
      </c>
      <c r="AA25" s="60" t="e">
        <f>IF(AND('Mapa final'!#REF!="Alta",'Mapa final'!#REF!="Moderado"),CONCATENATE("R10C",'Mapa final'!#REF!),"")</f>
        <v>#REF!</v>
      </c>
      <c r="AB25" s="58" t="e">
        <f>IF(AND('Mapa final'!#REF!="Alta",'Mapa final'!#REF!="Mayor"),CONCATENATE("R10C",'Mapa final'!#REF!),"")</f>
        <v>#REF!</v>
      </c>
      <c r="AC25" s="59" t="e">
        <f>IF(AND('Mapa final'!#REF!="Alta",'Mapa final'!#REF!="Mayor"),CONCATENATE("R10C",'Mapa final'!#REF!),"")</f>
        <v>#REF!</v>
      </c>
      <c r="AD25" s="59" t="e">
        <f>IF(AND('Mapa final'!#REF!="Alta",'Mapa final'!#REF!="Mayor"),CONCATENATE("R10C",'Mapa final'!#REF!),"")</f>
        <v>#REF!</v>
      </c>
      <c r="AE25" s="59" t="e">
        <f>IF(AND('Mapa final'!#REF!="Alta",'Mapa final'!#REF!="Mayor"),CONCATENATE("R10C",'Mapa final'!#REF!),"")</f>
        <v>#REF!</v>
      </c>
      <c r="AF25" s="59" t="e">
        <f>IF(AND('Mapa final'!#REF!="Alta",'Mapa final'!#REF!="Mayor"),CONCATENATE("R10C",'Mapa final'!#REF!),"")</f>
        <v>#REF!</v>
      </c>
      <c r="AG25" s="60" t="e">
        <f>IF(AND('Mapa final'!#REF!="Alta",'Mapa final'!#REF!="Mayor"),CONCATENATE("R10C",'Mapa final'!#REF!),"")</f>
        <v>#REF!</v>
      </c>
      <c r="AH25" s="61" t="e">
        <f>IF(AND('Mapa final'!#REF!="Alta",'Mapa final'!#REF!="Catastrófico"),CONCATENATE("R10C",'Mapa final'!#REF!),"")</f>
        <v>#REF!</v>
      </c>
      <c r="AI25" s="62" t="e">
        <f>IF(AND('Mapa final'!#REF!="Alta",'Mapa final'!#REF!="Catastrófico"),CONCATENATE("R10C",'Mapa final'!#REF!),"")</f>
        <v>#REF!</v>
      </c>
      <c r="AJ25" s="62" t="e">
        <f>IF(AND('Mapa final'!#REF!="Alta",'Mapa final'!#REF!="Catastrófico"),CONCATENATE("R10C",'Mapa final'!#REF!),"")</f>
        <v>#REF!</v>
      </c>
      <c r="AK25" s="62" t="e">
        <f>IF(AND('Mapa final'!#REF!="Alta",'Mapa final'!#REF!="Catastrófico"),CONCATENATE("R10C",'Mapa final'!#REF!),"")</f>
        <v>#REF!</v>
      </c>
      <c r="AL25" s="62" t="e">
        <f>IF(AND('Mapa final'!#REF!="Alta",'Mapa final'!#REF!="Catastrófico"),CONCATENATE("R10C",'Mapa final'!#REF!),"")</f>
        <v>#REF!</v>
      </c>
      <c r="AM25" s="63" t="e">
        <f>IF(AND('Mapa final'!#REF!="Alta",'Mapa final'!#REF!="Catastrófico"),CONCATENATE("R10C",'Mapa final'!#REF!),"")</f>
        <v>#REF!</v>
      </c>
      <c r="AN25" s="83"/>
      <c r="AO25" s="381"/>
      <c r="AP25" s="382"/>
      <c r="AQ25" s="382"/>
      <c r="AR25" s="382"/>
      <c r="AS25" s="382"/>
      <c r="AT25" s="3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327"/>
      <c r="C26" s="327"/>
      <c r="D26" s="328"/>
      <c r="E26" s="365" t="s">
        <v>96</v>
      </c>
      <c r="F26" s="366"/>
      <c r="G26" s="366"/>
      <c r="H26" s="366"/>
      <c r="I26" s="367"/>
      <c r="J26" s="64" t="str">
        <f>IF(AND('Mapa final'!$Y$23="Media",'Mapa final'!$AA$23="Leve"),CONCATENATE("R1C",'Mapa final'!$O$23),"")</f>
        <v/>
      </c>
      <c r="K26" s="65" t="str">
        <f>IF(AND('Mapa final'!$Y$24="Media",'Mapa final'!$AA$24="Leve"),CONCATENATE("R1C",'Mapa final'!$O$24),"")</f>
        <v/>
      </c>
      <c r="L26" s="65" t="str">
        <f>IF(AND('Mapa final'!$Y$25="Media",'Mapa final'!$AA$25="Leve"),CONCATENATE("R1C",'Mapa final'!$O$25),"")</f>
        <v/>
      </c>
      <c r="M26" s="65" t="str">
        <f>IF(AND('Mapa final'!$Y$26="Media",'Mapa final'!$AA$26="Leve"),CONCATENATE("R1C",'Mapa final'!$O$26),"")</f>
        <v/>
      </c>
      <c r="N26" s="65" t="str">
        <f>IF(AND('Mapa final'!$Y$27="Media",'Mapa final'!$AA$27="Leve"),CONCATENATE("R1C",'Mapa final'!$O$27),"")</f>
        <v/>
      </c>
      <c r="O26" s="66" t="str">
        <f>IF(AND('Mapa final'!$Y$28="Media",'Mapa final'!$AA$28="Leve"),CONCATENATE("R1C",'Mapa final'!$O$28),"")</f>
        <v/>
      </c>
      <c r="P26" s="64" t="str">
        <f>IF(AND('Mapa final'!$Y$23="Media",'Mapa final'!$AA$23="Menor"),CONCATENATE("R1C",'Mapa final'!$O$23),"")</f>
        <v/>
      </c>
      <c r="Q26" s="65" t="str">
        <f>IF(AND('Mapa final'!$Y$24="Media",'Mapa final'!$AA$24="Menor"),CONCATENATE("R1C",'Mapa final'!$O$24),"")</f>
        <v/>
      </c>
      <c r="R26" s="65" t="str">
        <f>IF(AND('Mapa final'!$Y$25="Media",'Mapa final'!$AA$25="Menor"),CONCATENATE("R1C",'Mapa final'!$O$25),"")</f>
        <v/>
      </c>
      <c r="S26" s="65" t="str">
        <f>IF(AND('Mapa final'!$Y$26="Media",'Mapa final'!$AA$26="Menor"),CONCATENATE("R1C",'Mapa final'!$O$26),"")</f>
        <v/>
      </c>
      <c r="T26" s="65" t="str">
        <f>IF(AND('Mapa final'!$Y$27="Media",'Mapa final'!$AA$27="Menor"),CONCATENATE("R1C",'Mapa final'!$O$27),"")</f>
        <v/>
      </c>
      <c r="U26" s="66" t="str">
        <f>IF(AND('Mapa final'!$Y$28="Media",'Mapa final'!$AA$28="Menor"),CONCATENATE("R1C",'Mapa final'!$O$28),"")</f>
        <v/>
      </c>
      <c r="V26" s="64" t="str">
        <f>IF(AND('Mapa final'!$Y$23="Media",'Mapa final'!$AA$23="Moderado"),CONCATENATE("R1C",'Mapa final'!$O$23),"")</f>
        <v/>
      </c>
      <c r="W26" s="65" t="str">
        <f>IF(AND('Mapa final'!$Y$24="Media",'Mapa final'!$AA$24="Moderado"),CONCATENATE("R1C",'Mapa final'!$O$24),"")</f>
        <v/>
      </c>
      <c r="X26" s="65" t="str">
        <f>IF(AND('Mapa final'!$Y$25="Media",'Mapa final'!$AA$25="Moderado"),CONCATENATE("R1C",'Mapa final'!$O$25),"")</f>
        <v/>
      </c>
      <c r="Y26" s="65" t="str">
        <f>IF(AND('Mapa final'!$Y$26="Media",'Mapa final'!$AA$26="Moderado"),CONCATENATE("R1C",'Mapa final'!$O$26),"")</f>
        <v/>
      </c>
      <c r="Z26" s="65" t="str">
        <f>IF(AND('Mapa final'!$Y$27="Media",'Mapa final'!$AA$27="Moderado"),CONCATENATE("R1C",'Mapa final'!$O$27),"")</f>
        <v/>
      </c>
      <c r="AA26" s="66" t="str">
        <f>IF(AND('Mapa final'!$Y$28="Media",'Mapa final'!$AA$28="Moderado"),CONCATENATE("R1C",'Mapa final'!$O$28),"")</f>
        <v/>
      </c>
      <c r="AB26" s="46" t="str">
        <f>IF(AND('Mapa final'!$Y$23="Media",'Mapa final'!$AA$23="Mayor"),CONCATENATE("R1C",'Mapa final'!$O$23),"")</f>
        <v/>
      </c>
      <c r="AC26" s="47" t="str">
        <f>IF(AND('Mapa final'!$Y$24="Media",'Mapa final'!$AA$24="Mayor"),CONCATENATE("R1C",'Mapa final'!$O$24),"")</f>
        <v/>
      </c>
      <c r="AD26" s="47" t="str">
        <f>IF(AND('Mapa final'!$Y$25="Media",'Mapa final'!$AA$25="Mayor"),CONCATENATE("R1C",'Mapa final'!$O$25),"")</f>
        <v/>
      </c>
      <c r="AE26" s="47" t="str">
        <f>IF(AND('Mapa final'!$Y$26="Media",'Mapa final'!$AA$26="Mayor"),CONCATENATE("R1C",'Mapa final'!$O$26),"")</f>
        <v/>
      </c>
      <c r="AF26" s="47" t="str">
        <f>IF(AND('Mapa final'!$Y$27="Media",'Mapa final'!$AA$27="Mayor"),CONCATENATE("R1C",'Mapa final'!$O$27),"")</f>
        <v/>
      </c>
      <c r="AG26" s="48" t="str">
        <f>IF(AND('Mapa final'!$Y$28="Media",'Mapa final'!$AA$28="Mayor"),CONCATENATE("R1C",'Mapa final'!$O$28),"")</f>
        <v/>
      </c>
      <c r="AH26" s="49" t="str">
        <f>IF(AND('Mapa final'!$Y$23="Media",'Mapa final'!$AA$23="Catastrófico"),CONCATENATE("R1C",'Mapa final'!$O$23),"")</f>
        <v/>
      </c>
      <c r="AI26" s="50" t="str">
        <f>IF(AND('Mapa final'!$Y$24="Media",'Mapa final'!$AA$24="Catastrófico"),CONCATENATE("R1C",'Mapa final'!$O$24),"")</f>
        <v/>
      </c>
      <c r="AJ26" s="50" t="str">
        <f>IF(AND('Mapa final'!$Y$25="Media",'Mapa final'!$AA$25="Catastrófico"),CONCATENATE("R1C",'Mapa final'!$O$25),"")</f>
        <v/>
      </c>
      <c r="AK26" s="50" t="str">
        <f>IF(AND('Mapa final'!$Y$26="Media",'Mapa final'!$AA$26="Catastrófico"),CONCATENATE("R1C",'Mapa final'!$O$26),"")</f>
        <v/>
      </c>
      <c r="AL26" s="50" t="str">
        <f>IF(AND('Mapa final'!$Y$27="Media",'Mapa final'!$AA$27="Catastrófico"),CONCATENATE("R1C",'Mapa final'!$O$27),"")</f>
        <v/>
      </c>
      <c r="AM26" s="51" t="str">
        <f>IF(AND('Mapa final'!$Y$28="Media",'Mapa final'!$AA$28="Catastrófico"),CONCATENATE("R1C",'Mapa final'!$O$28),"")</f>
        <v/>
      </c>
      <c r="AN26" s="83"/>
      <c r="AO26" s="405" t="s">
        <v>97</v>
      </c>
      <c r="AP26" s="406"/>
      <c r="AQ26" s="406"/>
      <c r="AR26" s="406"/>
      <c r="AS26" s="406"/>
      <c r="AT26" s="407"/>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327"/>
      <c r="C27" s="327"/>
      <c r="D27" s="328"/>
      <c r="E27" s="384"/>
      <c r="F27" s="369"/>
      <c r="G27" s="369"/>
      <c r="H27" s="369"/>
      <c r="I27" s="370"/>
      <c r="J27" s="67" t="str">
        <f>IF(AND('Mapa final'!$Y$29="Media",'Mapa final'!$AA$29="Leve"),CONCATENATE("R2C",'Mapa final'!$O$29),"")</f>
        <v/>
      </c>
      <c r="K27" s="68" t="str">
        <f>IF(AND('Mapa final'!$Y$30="Media",'Mapa final'!$AA$30="Leve"),CONCATENATE("R2C",'Mapa final'!$O$30),"")</f>
        <v/>
      </c>
      <c r="L27" s="68" t="e">
        <f>IF(AND('Mapa final'!#REF!="Media",'Mapa final'!#REF!="Leve"),CONCATENATE("R2C",'Mapa final'!#REF!),"")</f>
        <v>#REF!</v>
      </c>
      <c r="M27" s="68" t="e">
        <f>IF(AND('Mapa final'!#REF!="Media",'Mapa final'!#REF!="Leve"),CONCATENATE("R2C",'Mapa final'!#REF!),"")</f>
        <v>#REF!</v>
      </c>
      <c r="N27" s="68" t="e">
        <f>IF(AND('Mapa final'!#REF!="Media",'Mapa final'!#REF!="Leve"),CONCATENATE("R2C",'Mapa final'!#REF!),"")</f>
        <v>#REF!</v>
      </c>
      <c r="O27" s="69" t="e">
        <f>IF(AND('Mapa final'!#REF!="Media",'Mapa final'!#REF!="Leve"),CONCATENATE("R2C",'Mapa final'!#REF!),"")</f>
        <v>#REF!</v>
      </c>
      <c r="P27" s="67" t="str">
        <f>IF(AND('Mapa final'!$Y$29="Media",'Mapa final'!$AA$29="Menor"),CONCATENATE("R2C",'Mapa final'!$O$29),"")</f>
        <v/>
      </c>
      <c r="Q27" s="68" t="str">
        <f>IF(AND('Mapa final'!$Y$30="Media",'Mapa final'!$AA$30="Menor"),CONCATENATE("R2C",'Mapa final'!$O$30),"")</f>
        <v/>
      </c>
      <c r="R27" s="68" t="e">
        <f>IF(AND('Mapa final'!#REF!="Media",'Mapa final'!#REF!="Menor"),CONCATENATE("R2C",'Mapa final'!#REF!),"")</f>
        <v>#REF!</v>
      </c>
      <c r="S27" s="68" t="e">
        <f>IF(AND('Mapa final'!#REF!="Media",'Mapa final'!#REF!="Menor"),CONCATENATE("R2C",'Mapa final'!#REF!),"")</f>
        <v>#REF!</v>
      </c>
      <c r="T27" s="68" t="e">
        <f>IF(AND('Mapa final'!#REF!="Media",'Mapa final'!#REF!="Menor"),CONCATENATE("R2C",'Mapa final'!#REF!),"")</f>
        <v>#REF!</v>
      </c>
      <c r="U27" s="69" t="e">
        <f>IF(AND('Mapa final'!#REF!="Media",'Mapa final'!#REF!="Menor"),CONCATENATE("R2C",'Mapa final'!#REF!),"")</f>
        <v>#REF!</v>
      </c>
      <c r="V27" s="67" t="str">
        <f>IF(AND('Mapa final'!$Y$29="Media",'Mapa final'!$AA$29="Moderado"),CONCATENATE("R2C",'Mapa final'!$O$29),"")</f>
        <v/>
      </c>
      <c r="W27" s="68" t="str">
        <f>IF(AND('Mapa final'!$Y$30="Media",'Mapa final'!$AA$30="Moderado"),CONCATENATE("R2C",'Mapa final'!$O$30),"")</f>
        <v/>
      </c>
      <c r="X27" s="68" t="e">
        <f>IF(AND('Mapa final'!#REF!="Media",'Mapa final'!#REF!="Moderado"),CONCATENATE("R2C",'Mapa final'!#REF!),"")</f>
        <v>#REF!</v>
      </c>
      <c r="Y27" s="68" t="e">
        <f>IF(AND('Mapa final'!#REF!="Media",'Mapa final'!#REF!="Moderado"),CONCATENATE("R2C",'Mapa final'!#REF!),"")</f>
        <v>#REF!</v>
      </c>
      <c r="Z27" s="68" t="e">
        <f>IF(AND('Mapa final'!#REF!="Media",'Mapa final'!#REF!="Moderado"),CONCATENATE("R2C",'Mapa final'!#REF!),"")</f>
        <v>#REF!</v>
      </c>
      <c r="AA27" s="69" t="e">
        <f>IF(AND('Mapa final'!#REF!="Media",'Mapa final'!#REF!="Moderado"),CONCATENATE("R2C",'Mapa final'!#REF!),"")</f>
        <v>#REF!</v>
      </c>
      <c r="AB27" s="52" t="str">
        <f>IF(AND('Mapa final'!$Y$29="Media",'Mapa final'!$AA$29="Mayor"),CONCATENATE("R2C",'Mapa final'!$O$29),"")</f>
        <v/>
      </c>
      <c r="AC27" s="53" t="str">
        <f>IF(AND('Mapa final'!$Y$30="Media",'Mapa final'!$AA$30="Mayor"),CONCATENATE("R2C",'Mapa final'!$O$30),"")</f>
        <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final'!$Y$29="Media",'Mapa final'!$AA$29="Catastrófico"),CONCATENATE("R2C",'Mapa final'!$O$29),"")</f>
        <v/>
      </c>
      <c r="AI27" s="56" t="str">
        <f>IF(AND('Mapa final'!$Y$30="Media",'Mapa final'!$AA$30="Catastrófico"),CONCATENATE("R2C",'Mapa final'!$O$30),"")</f>
        <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3"/>
      <c r="AO27" s="408"/>
      <c r="AP27" s="409"/>
      <c r="AQ27" s="409"/>
      <c r="AR27" s="409"/>
      <c r="AS27" s="409"/>
      <c r="AT27" s="41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327"/>
      <c r="C28" s="327"/>
      <c r="D28" s="328"/>
      <c r="E28" s="368"/>
      <c r="F28" s="369"/>
      <c r="G28" s="369"/>
      <c r="H28" s="369"/>
      <c r="I28" s="370"/>
      <c r="J28" s="67" t="str">
        <f>IF(AND('Mapa final'!$Y$31="Media",'Mapa final'!$AA$31="Leve"),CONCATENATE("R3C",'Mapa final'!$O$31),"")</f>
        <v/>
      </c>
      <c r="K28" s="68" t="str">
        <f>IF(AND('Mapa final'!$Y$32="Media",'Mapa final'!$AA$32="Leve"),CONCATENATE("R3C",'Mapa final'!$O$32),"")</f>
        <v/>
      </c>
      <c r="L28" s="68" t="str">
        <f>IF(AND('Mapa final'!$Y$33="Media",'Mapa final'!$AA$33="Leve"),CONCATENATE("R3C",'Mapa final'!$O$33),"")</f>
        <v/>
      </c>
      <c r="M28" s="68" t="e">
        <f>IF(AND('Mapa final'!#REF!="Media",'Mapa final'!#REF!="Leve"),CONCATENATE("R3C",'Mapa final'!#REF!),"")</f>
        <v>#REF!</v>
      </c>
      <c r="N28" s="68" t="e">
        <f>IF(AND('Mapa final'!#REF!="Media",'Mapa final'!#REF!="Leve"),CONCATENATE("R3C",'Mapa final'!#REF!),"")</f>
        <v>#REF!</v>
      </c>
      <c r="O28" s="69" t="e">
        <f>IF(AND('Mapa final'!#REF!="Media",'Mapa final'!#REF!="Leve"),CONCATENATE("R3C",'Mapa final'!#REF!),"")</f>
        <v>#REF!</v>
      </c>
      <c r="P28" s="67" t="str">
        <f>IF(AND('Mapa final'!$Y$31="Media",'Mapa final'!$AA$31="Menor"),CONCATENATE("R3C",'Mapa final'!$O$31),"")</f>
        <v/>
      </c>
      <c r="Q28" s="68" t="str">
        <f>IF(AND('Mapa final'!$Y$32="Media",'Mapa final'!$AA$32="Menor"),CONCATENATE("R3C",'Mapa final'!$O$32),"")</f>
        <v/>
      </c>
      <c r="R28" s="68" t="str">
        <f>IF(AND('Mapa final'!$Y$33="Media",'Mapa final'!$AA$33="Menor"),CONCATENATE("R3C",'Mapa final'!$O$33),"")</f>
        <v/>
      </c>
      <c r="S28" s="68" t="e">
        <f>IF(AND('Mapa final'!#REF!="Media",'Mapa final'!#REF!="Menor"),CONCATENATE("R3C",'Mapa final'!#REF!),"")</f>
        <v>#REF!</v>
      </c>
      <c r="T28" s="68" t="e">
        <f>IF(AND('Mapa final'!#REF!="Media",'Mapa final'!#REF!="Menor"),CONCATENATE("R3C",'Mapa final'!#REF!),"")</f>
        <v>#REF!</v>
      </c>
      <c r="U28" s="69" t="e">
        <f>IF(AND('Mapa final'!#REF!="Media",'Mapa final'!#REF!="Menor"),CONCATENATE("R3C",'Mapa final'!#REF!),"")</f>
        <v>#REF!</v>
      </c>
      <c r="V28" s="67" t="str">
        <f>IF(AND('Mapa final'!$Y$31="Media",'Mapa final'!$AA$31="Moderado"),CONCATENATE("R3C",'Mapa final'!$O$31),"")</f>
        <v/>
      </c>
      <c r="W28" s="68" t="str">
        <f>IF(AND('Mapa final'!$Y$32="Media",'Mapa final'!$AA$32="Moderado"),CONCATENATE("R3C",'Mapa final'!$O$32),"")</f>
        <v/>
      </c>
      <c r="X28" s="68" t="str">
        <f>IF(AND('Mapa final'!$Y$33="Media",'Mapa final'!$AA$33="Moderado"),CONCATENATE("R3C",'Mapa final'!$O$33),"")</f>
        <v/>
      </c>
      <c r="Y28" s="68" t="e">
        <f>IF(AND('Mapa final'!#REF!="Media",'Mapa final'!#REF!="Moderado"),CONCATENATE("R3C",'Mapa final'!#REF!),"")</f>
        <v>#REF!</v>
      </c>
      <c r="Z28" s="68" t="e">
        <f>IF(AND('Mapa final'!#REF!="Media",'Mapa final'!#REF!="Moderado"),CONCATENATE("R3C",'Mapa final'!#REF!),"")</f>
        <v>#REF!</v>
      </c>
      <c r="AA28" s="69" t="e">
        <f>IF(AND('Mapa final'!#REF!="Media",'Mapa final'!#REF!="Moderado"),CONCATENATE("R3C",'Mapa final'!#REF!),"")</f>
        <v>#REF!</v>
      </c>
      <c r="AB28" s="52" t="str">
        <f>IF(AND('Mapa final'!$Y$31="Media",'Mapa final'!$AA$31="Mayor"),CONCATENATE("R3C",'Mapa final'!$O$31),"")</f>
        <v/>
      </c>
      <c r="AC28" s="53" t="str">
        <f>IF(AND('Mapa final'!$Y$32="Media",'Mapa final'!$AA$32="Mayor"),CONCATENATE("R3C",'Mapa final'!$O$32),"")</f>
        <v/>
      </c>
      <c r="AD28" s="53" t="str">
        <f>IF(AND('Mapa final'!$Y$33="Media",'Mapa final'!$AA$33="Mayor"),CONCATENATE("R3C",'Mapa final'!$O$33),"")</f>
        <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final'!$Y$31="Media",'Mapa final'!$AA$31="Catastrófico"),CONCATENATE("R3C",'Mapa final'!$O$31),"")</f>
        <v/>
      </c>
      <c r="AI28" s="56" t="str">
        <f>IF(AND('Mapa final'!$Y$32="Media",'Mapa final'!$AA$32="Catastrófico"),CONCATENATE("R3C",'Mapa final'!$O$32),"")</f>
        <v/>
      </c>
      <c r="AJ28" s="56" t="str">
        <f>IF(AND('Mapa final'!$Y$33="Media",'Mapa final'!$AA$33="Catastrófico"),CONCATENATE("R3C",'Mapa final'!$O$33),"")</f>
        <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3"/>
      <c r="AO28" s="408"/>
      <c r="AP28" s="409"/>
      <c r="AQ28" s="409"/>
      <c r="AR28" s="409"/>
      <c r="AS28" s="409"/>
      <c r="AT28" s="41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327"/>
      <c r="C29" s="327"/>
      <c r="D29" s="328"/>
      <c r="E29" s="368"/>
      <c r="F29" s="369"/>
      <c r="G29" s="369"/>
      <c r="H29" s="369"/>
      <c r="I29" s="370"/>
      <c r="J29" s="67" t="str">
        <f>IF(AND('Mapa final'!$Y$34="Media",'Mapa final'!$AA$34="Leve"),CONCATENATE("R4C",'Mapa final'!$O$34),"")</f>
        <v/>
      </c>
      <c r="K29" s="68" t="e">
        <f>IF(AND('Mapa final'!#REF!="Media",'Mapa final'!#REF!="Leve"),CONCATENATE("R4C",'Mapa final'!#REF!),"")</f>
        <v>#REF!</v>
      </c>
      <c r="L29" s="68" t="str">
        <f>IF(AND('Mapa final'!$Y$35="Media",'Mapa final'!$AA$35="Leve"),CONCATENATE("R4C",'Mapa final'!$O$35),"")</f>
        <v/>
      </c>
      <c r="M29" s="68" t="str">
        <f>IF(AND('Mapa final'!$Y$36="Media",'Mapa final'!$AA$36="Leve"),CONCATENATE("R4C",'Mapa final'!$O$36),"")</f>
        <v/>
      </c>
      <c r="N29" s="68" t="e">
        <f>IF(AND('Mapa final'!#REF!="Media",'Mapa final'!#REF!="Leve"),CONCATENATE("R4C",'Mapa final'!#REF!),"")</f>
        <v>#REF!</v>
      </c>
      <c r="O29" s="69" t="e">
        <f>IF(AND('Mapa final'!#REF!="Media",'Mapa final'!#REF!="Leve"),CONCATENATE("R4C",'Mapa final'!#REF!),"")</f>
        <v>#REF!</v>
      </c>
      <c r="P29" s="67" t="str">
        <f>IF(AND('Mapa final'!$Y$34="Media",'Mapa final'!$AA$34="Menor"),CONCATENATE("R4C",'Mapa final'!$O$34),"")</f>
        <v/>
      </c>
      <c r="Q29" s="68" t="e">
        <f>IF(AND('Mapa final'!#REF!="Media",'Mapa final'!#REF!="Menor"),CONCATENATE("R4C",'Mapa final'!#REF!),"")</f>
        <v>#REF!</v>
      </c>
      <c r="R29" s="68" t="str">
        <f>IF(AND('Mapa final'!$Y$35="Media",'Mapa final'!$AA$35="Menor"),CONCATENATE("R4C",'Mapa final'!$O$35),"")</f>
        <v/>
      </c>
      <c r="S29" s="68" t="str">
        <f>IF(AND('Mapa final'!$Y$36="Media",'Mapa final'!$AA$36="Menor"),CONCATENATE("R4C",'Mapa final'!$O$36),"")</f>
        <v/>
      </c>
      <c r="T29" s="68" t="e">
        <f>IF(AND('Mapa final'!#REF!="Media",'Mapa final'!#REF!="Menor"),CONCATENATE("R4C",'Mapa final'!#REF!),"")</f>
        <v>#REF!</v>
      </c>
      <c r="U29" s="69" t="e">
        <f>IF(AND('Mapa final'!#REF!="Media",'Mapa final'!#REF!="Menor"),CONCATENATE("R4C",'Mapa final'!#REF!),"")</f>
        <v>#REF!</v>
      </c>
      <c r="V29" s="67" t="str">
        <f>IF(AND('Mapa final'!$Y$34="Media",'Mapa final'!$AA$34="Moderado"),CONCATENATE("R4C",'Mapa final'!$O$34),"")</f>
        <v/>
      </c>
      <c r="W29" s="68" t="e">
        <f>IF(AND('Mapa final'!#REF!="Media",'Mapa final'!#REF!="Moderado"),CONCATENATE("R4C",'Mapa final'!#REF!),"")</f>
        <v>#REF!</v>
      </c>
      <c r="X29" s="68" t="str">
        <f>IF(AND('Mapa final'!$Y$35="Media",'Mapa final'!$AA$35="Moderado"),CONCATENATE("R4C",'Mapa final'!$O$35),"")</f>
        <v/>
      </c>
      <c r="Y29" s="68" t="str">
        <f>IF(AND('Mapa final'!$Y$36="Media",'Mapa final'!$AA$36="Moderado"),CONCATENATE("R4C",'Mapa final'!$O$36),"")</f>
        <v/>
      </c>
      <c r="Z29" s="68" t="e">
        <f>IF(AND('Mapa final'!#REF!="Media",'Mapa final'!#REF!="Moderado"),CONCATENATE("R4C",'Mapa final'!#REF!),"")</f>
        <v>#REF!</v>
      </c>
      <c r="AA29" s="69" t="e">
        <f>IF(AND('Mapa final'!#REF!="Media",'Mapa final'!#REF!="Moderado"),CONCATENATE("R4C",'Mapa final'!#REF!),"")</f>
        <v>#REF!</v>
      </c>
      <c r="AB29" s="52" t="str">
        <f>IF(AND('Mapa final'!$Y$34="Media",'Mapa final'!$AA$34="Mayor"),CONCATENATE("R4C",'Mapa final'!$O$34),"")</f>
        <v/>
      </c>
      <c r="AC29" s="53" t="e">
        <f>IF(AND('Mapa final'!#REF!="Media",'Mapa final'!#REF!="Mayor"),CONCATENATE("R4C",'Mapa final'!#REF!),"")</f>
        <v>#REF!</v>
      </c>
      <c r="AD29" s="53" t="str">
        <f>IF(AND('Mapa final'!$Y$35="Media",'Mapa final'!$AA$35="Mayor"),CONCATENATE("R4C",'Mapa final'!$O$35),"")</f>
        <v/>
      </c>
      <c r="AE29" s="53" t="str">
        <f>IF(AND('Mapa final'!$Y$36="Media",'Mapa final'!$AA$36="Mayor"),CONCATENATE("R4C",'Mapa final'!$O$36),"")</f>
        <v/>
      </c>
      <c r="AF29" s="53" t="e">
        <f>IF(AND('Mapa final'!#REF!="Media",'Mapa final'!#REF!="Mayor"),CONCATENATE("R4C",'Mapa final'!#REF!),"")</f>
        <v>#REF!</v>
      </c>
      <c r="AG29" s="54" t="e">
        <f>IF(AND('Mapa final'!#REF!="Media",'Mapa final'!#REF!="Mayor"),CONCATENATE("R4C",'Mapa final'!#REF!),"")</f>
        <v>#REF!</v>
      </c>
      <c r="AH29" s="55" t="str">
        <f>IF(AND('Mapa final'!$Y$34="Media",'Mapa final'!$AA$34="Catastrófico"),CONCATENATE("R4C",'Mapa final'!$O$34),"")</f>
        <v/>
      </c>
      <c r="AI29" s="56" t="e">
        <f>IF(AND('Mapa final'!#REF!="Media",'Mapa final'!#REF!="Catastrófico"),CONCATENATE("R4C",'Mapa final'!#REF!),"")</f>
        <v>#REF!</v>
      </c>
      <c r="AJ29" s="56" t="str">
        <f>IF(AND('Mapa final'!$Y$35="Media",'Mapa final'!$AA$35="Catastrófico"),CONCATENATE("R4C",'Mapa final'!$O$35),"")</f>
        <v/>
      </c>
      <c r="AK29" s="56" t="str">
        <f>IF(AND('Mapa final'!$Y$36="Media",'Mapa final'!$AA$36="Catastrófico"),CONCATENATE("R4C",'Mapa final'!$O$36),"")</f>
        <v/>
      </c>
      <c r="AL29" s="56" t="e">
        <f>IF(AND('Mapa final'!#REF!="Media",'Mapa final'!#REF!="Catastrófico"),CONCATENATE("R4C",'Mapa final'!#REF!),"")</f>
        <v>#REF!</v>
      </c>
      <c r="AM29" s="57" t="e">
        <f>IF(AND('Mapa final'!#REF!="Media",'Mapa final'!#REF!="Catastrófico"),CONCATENATE("R4C",'Mapa final'!#REF!),"")</f>
        <v>#REF!</v>
      </c>
      <c r="AN29" s="83"/>
      <c r="AO29" s="408"/>
      <c r="AP29" s="409"/>
      <c r="AQ29" s="409"/>
      <c r="AR29" s="409"/>
      <c r="AS29" s="409"/>
      <c r="AT29" s="410"/>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327"/>
      <c r="C30" s="327"/>
      <c r="D30" s="328"/>
      <c r="E30" s="368"/>
      <c r="F30" s="369"/>
      <c r="G30" s="369"/>
      <c r="H30" s="369"/>
      <c r="I30" s="370"/>
      <c r="J30" s="67" t="str">
        <f>IF(AND('Mapa final'!$Y$37="Media",'Mapa final'!$AA$37="Leve"),CONCATENATE("R5C",'Mapa final'!$O$37),"")</f>
        <v/>
      </c>
      <c r="K30" s="68" t="e">
        <f>IF(AND('Mapa final'!#REF!="Media",'Mapa final'!#REF!="Leve"),CONCATENATE("R5C",'Mapa final'!#REF!),"")</f>
        <v>#REF!</v>
      </c>
      <c r="L30" s="68" t="e">
        <f>IF(AND('Mapa final'!#REF!="Media",'Mapa final'!#REF!="Leve"),CONCATENATE("R5C",'Mapa final'!#REF!),"")</f>
        <v>#REF!</v>
      </c>
      <c r="M30" s="68" t="e">
        <f>IF(AND('Mapa final'!#REF!="Media",'Mapa final'!#REF!="Leve"),CONCATENATE("R5C",'Mapa final'!#REF!),"")</f>
        <v>#REF!</v>
      </c>
      <c r="N30" s="68" t="e">
        <f>IF(AND('Mapa final'!#REF!="Media",'Mapa final'!#REF!="Leve"),CONCATENATE("R5C",'Mapa final'!#REF!),"")</f>
        <v>#REF!</v>
      </c>
      <c r="O30" s="69" t="e">
        <f>IF(AND('Mapa final'!#REF!="Media",'Mapa final'!#REF!="Leve"),CONCATENATE("R5C",'Mapa final'!#REF!),"")</f>
        <v>#REF!</v>
      </c>
      <c r="P30" s="67" t="str">
        <f>IF(AND('Mapa final'!$Y$37="Media",'Mapa final'!$AA$37="Menor"),CONCATENATE("R5C",'Mapa final'!$O$37),"")</f>
        <v/>
      </c>
      <c r="Q30" s="68" t="e">
        <f>IF(AND('Mapa final'!#REF!="Media",'Mapa final'!#REF!="Menor"),CONCATENATE("R5C",'Mapa final'!#REF!),"")</f>
        <v>#REF!</v>
      </c>
      <c r="R30" s="68" t="e">
        <f>IF(AND('Mapa final'!#REF!="Media",'Mapa final'!#REF!="Menor"),CONCATENATE("R5C",'Mapa final'!#REF!),"")</f>
        <v>#REF!</v>
      </c>
      <c r="S30" s="68" t="e">
        <f>IF(AND('Mapa final'!#REF!="Media",'Mapa final'!#REF!="Menor"),CONCATENATE("R5C",'Mapa final'!#REF!),"")</f>
        <v>#REF!</v>
      </c>
      <c r="T30" s="68" t="e">
        <f>IF(AND('Mapa final'!#REF!="Media",'Mapa final'!#REF!="Menor"),CONCATENATE("R5C",'Mapa final'!#REF!),"")</f>
        <v>#REF!</v>
      </c>
      <c r="U30" s="69" t="e">
        <f>IF(AND('Mapa final'!#REF!="Media",'Mapa final'!#REF!="Menor"),CONCATENATE("R5C",'Mapa final'!#REF!),"")</f>
        <v>#REF!</v>
      </c>
      <c r="V30" s="67" t="str">
        <f>IF(AND('Mapa final'!$Y$37="Media",'Mapa final'!$AA$37="Moderado"),CONCATENATE("R5C",'Mapa final'!$O$37),"")</f>
        <v/>
      </c>
      <c r="W30" s="68" t="e">
        <f>IF(AND('Mapa final'!#REF!="Media",'Mapa final'!#REF!="Moderado"),CONCATENATE("R5C",'Mapa final'!#REF!),"")</f>
        <v>#REF!</v>
      </c>
      <c r="X30" s="68" t="e">
        <f>IF(AND('Mapa final'!#REF!="Media",'Mapa final'!#REF!="Moderado"),CONCATENATE("R5C",'Mapa final'!#REF!),"")</f>
        <v>#REF!</v>
      </c>
      <c r="Y30" s="68" t="e">
        <f>IF(AND('Mapa final'!#REF!="Media",'Mapa final'!#REF!="Moderado"),CONCATENATE("R5C",'Mapa final'!#REF!),"")</f>
        <v>#REF!</v>
      </c>
      <c r="Z30" s="68" t="e">
        <f>IF(AND('Mapa final'!#REF!="Media",'Mapa final'!#REF!="Moderado"),CONCATENATE("R5C",'Mapa final'!#REF!),"")</f>
        <v>#REF!</v>
      </c>
      <c r="AA30" s="69" t="e">
        <f>IF(AND('Mapa final'!#REF!="Media",'Mapa final'!#REF!="Moderado"),CONCATENATE("R5C",'Mapa final'!#REF!),"")</f>
        <v>#REF!</v>
      </c>
      <c r="AB30" s="52" t="str">
        <f>IF(AND('Mapa final'!$Y$37="Media",'Mapa final'!$AA$37="Mayor"),CONCATENATE("R5C",'Mapa final'!$O$37),"")</f>
        <v/>
      </c>
      <c r="AC30" s="53" t="e">
        <f>IF(AND('Mapa final'!#REF!="Media",'Mapa final'!#REF!="Mayor"),CONCATENATE("R5C",'Mapa final'!#REF!),"")</f>
        <v>#REF!</v>
      </c>
      <c r="AD30" s="53" t="e">
        <f>IF(AND('Mapa final'!#REF!="Media",'Mapa final'!#REF!="Mayor"),CONCATENATE("R5C",'Mapa final'!#REF!),"")</f>
        <v>#REF!</v>
      </c>
      <c r="AE30" s="53" t="e">
        <f>IF(AND('Mapa final'!#REF!="Media",'Mapa final'!#REF!="Mayor"),CONCATENATE("R5C",'Mapa final'!#REF!),"")</f>
        <v>#REF!</v>
      </c>
      <c r="AF30" s="53" t="e">
        <f>IF(AND('Mapa final'!#REF!="Media",'Mapa final'!#REF!="Mayor"),CONCATENATE("R5C",'Mapa final'!#REF!),"")</f>
        <v>#REF!</v>
      </c>
      <c r="AG30" s="54" t="e">
        <f>IF(AND('Mapa final'!#REF!="Media",'Mapa final'!#REF!="Mayor"),CONCATENATE("R5C",'Mapa final'!#REF!),"")</f>
        <v>#REF!</v>
      </c>
      <c r="AH30" s="55" t="str">
        <f>IF(AND('Mapa final'!$Y$37="Media",'Mapa final'!$AA$37="Catastrófico"),CONCATENATE("R5C",'Mapa final'!$O$37),"")</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3"/>
      <c r="AO30" s="408"/>
      <c r="AP30" s="409"/>
      <c r="AQ30" s="409"/>
      <c r="AR30" s="409"/>
      <c r="AS30" s="409"/>
      <c r="AT30" s="41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327"/>
      <c r="C31" s="327"/>
      <c r="D31" s="328"/>
      <c r="E31" s="368"/>
      <c r="F31" s="369"/>
      <c r="G31" s="369"/>
      <c r="H31" s="369"/>
      <c r="I31" s="370"/>
      <c r="J31" s="67" t="str">
        <f>IF(AND('Mapa final'!$Y$38="Media",'Mapa final'!$AA$38="Leve"),CONCATENATE("R6C",'Mapa final'!$O$38),"")</f>
        <v/>
      </c>
      <c r="K31" s="68" t="str">
        <f>IF(AND('Mapa final'!$Y$39="Media",'Mapa final'!$AA$39="Leve"),CONCATENATE("R6C",'Mapa final'!$O$39),"")</f>
        <v/>
      </c>
      <c r="L31" s="68" t="str">
        <f>IF(AND('Mapa final'!$Y$40="Media",'Mapa final'!$AA$40="Leve"),CONCATENATE("R6C",'Mapa final'!$O$40),"")</f>
        <v/>
      </c>
      <c r="M31" s="68" t="e">
        <f>IF(AND('Mapa final'!#REF!="Media",'Mapa final'!#REF!="Leve"),CONCATENATE("R6C",'Mapa final'!#REF!),"")</f>
        <v>#REF!</v>
      </c>
      <c r="N31" s="68" t="e">
        <f>IF(AND('Mapa final'!#REF!="Media",'Mapa final'!#REF!="Leve"),CONCATENATE("R6C",'Mapa final'!#REF!),"")</f>
        <v>#REF!</v>
      </c>
      <c r="O31" s="69" t="e">
        <f>IF(AND('Mapa final'!#REF!="Media",'Mapa final'!#REF!="Leve"),CONCATENATE("R6C",'Mapa final'!#REF!),"")</f>
        <v>#REF!</v>
      </c>
      <c r="P31" s="67" t="str">
        <f>IF(AND('Mapa final'!$Y$38="Media",'Mapa final'!$AA$38="Menor"),CONCATENATE("R6C",'Mapa final'!$O$38),"")</f>
        <v/>
      </c>
      <c r="Q31" s="68" t="str">
        <f>IF(AND('Mapa final'!$Y$39="Media",'Mapa final'!$AA$39="Menor"),CONCATENATE("R6C",'Mapa final'!$O$39),"")</f>
        <v/>
      </c>
      <c r="R31" s="68" t="str">
        <f>IF(AND('Mapa final'!$Y$40="Media",'Mapa final'!$AA$40="Menor"),CONCATENATE("R6C",'Mapa final'!$O$40),"")</f>
        <v/>
      </c>
      <c r="S31" s="68" t="e">
        <f>IF(AND('Mapa final'!#REF!="Media",'Mapa final'!#REF!="Menor"),CONCATENATE("R6C",'Mapa final'!#REF!),"")</f>
        <v>#REF!</v>
      </c>
      <c r="T31" s="68" t="e">
        <f>IF(AND('Mapa final'!#REF!="Media",'Mapa final'!#REF!="Menor"),CONCATENATE("R6C",'Mapa final'!#REF!),"")</f>
        <v>#REF!</v>
      </c>
      <c r="U31" s="69" t="e">
        <f>IF(AND('Mapa final'!#REF!="Media",'Mapa final'!#REF!="Menor"),CONCATENATE("R6C",'Mapa final'!#REF!),"")</f>
        <v>#REF!</v>
      </c>
      <c r="V31" s="67" t="str">
        <f>IF(AND('Mapa final'!$Y$38="Media",'Mapa final'!$AA$38="Moderado"),CONCATENATE("R6C",'Mapa final'!$O$38),"")</f>
        <v/>
      </c>
      <c r="W31" s="68" t="str">
        <f>IF(AND('Mapa final'!$Y$39="Media",'Mapa final'!$AA$39="Moderado"),CONCATENATE("R6C",'Mapa final'!$O$39),"")</f>
        <v/>
      </c>
      <c r="X31" s="68" t="str">
        <f>IF(AND('Mapa final'!$Y$40="Media",'Mapa final'!$AA$40="Moderado"),CONCATENATE("R6C",'Mapa final'!$O$40),"")</f>
        <v/>
      </c>
      <c r="Y31" s="68" t="e">
        <f>IF(AND('Mapa final'!#REF!="Media",'Mapa final'!#REF!="Moderado"),CONCATENATE("R6C",'Mapa final'!#REF!),"")</f>
        <v>#REF!</v>
      </c>
      <c r="Z31" s="68" t="e">
        <f>IF(AND('Mapa final'!#REF!="Media",'Mapa final'!#REF!="Moderado"),CONCATENATE("R6C",'Mapa final'!#REF!),"")</f>
        <v>#REF!</v>
      </c>
      <c r="AA31" s="69" t="e">
        <f>IF(AND('Mapa final'!#REF!="Media",'Mapa final'!#REF!="Moderado"),CONCATENATE("R6C",'Mapa final'!#REF!),"")</f>
        <v>#REF!</v>
      </c>
      <c r="AB31" s="52" t="str">
        <f>IF(AND('Mapa final'!$Y$38="Media",'Mapa final'!$AA$38="Mayor"),CONCATENATE("R6C",'Mapa final'!$O$38),"")</f>
        <v/>
      </c>
      <c r="AC31" s="53" t="str">
        <f>IF(AND('Mapa final'!$Y$39="Media",'Mapa final'!$AA$39="Mayor"),CONCATENATE("R6C",'Mapa final'!$O$39),"")</f>
        <v/>
      </c>
      <c r="AD31" s="53" t="str">
        <f>IF(AND('Mapa final'!$Y$40="Media",'Mapa final'!$AA$40="Mayor"),CONCATENATE("R6C",'Mapa final'!$O$40),"")</f>
        <v/>
      </c>
      <c r="AE31" s="53" t="e">
        <f>IF(AND('Mapa final'!#REF!="Media",'Mapa final'!#REF!="Mayor"),CONCATENATE("R6C",'Mapa final'!#REF!),"")</f>
        <v>#REF!</v>
      </c>
      <c r="AF31" s="53" t="e">
        <f>IF(AND('Mapa final'!#REF!="Media",'Mapa final'!#REF!="Mayor"),CONCATENATE("R6C",'Mapa final'!#REF!),"")</f>
        <v>#REF!</v>
      </c>
      <c r="AG31" s="54" t="e">
        <f>IF(AND('Mapa final'!#REF!="Media",'Mapa final'!#REF!="Mayor"),CONCATENATE("R6C",'Mapa final'!#REF!),"")</f>
        <v>#REF!</v>
      </c>
      <c r="AH31" s="55" t="str">
        <f>IF(AND('Mapa final'!$Y$38="Media",'Mapa final'!$AA$38="Catastrófico"),CONCATENATE("R6C",'Mapa final'!$O$38),"")</f>
        <v/>
      </c>
      <c r="AI31" s="56" t="str">
        <f>IF(AND('Mapa final'!$Y$39="Media",'Mapa final'!$AA$39="Catastrófico"),CONCATENATE("R6C",'Mapa final'!$O$39),"")</f>
        <v/>
      </c>
      <c r="AJ31" s="56" t="str">
        <f>IF(AND('Mapa final'!$Y$40="Media",'Mapa final'!$AA$40="Catastrófico"),CONCATENATE("R6C",'Mapa final'!$O$40),"")</f>
        <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3"/>
      <c r="AO31" s="408"/>
      <c r="AP31" s="409"/>
      <c r="AQ31" s="409"/>
      <c r="AR31" s="409"/>
      <c r="AS31" s="409"/>
      <c r="AT31" s="41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327"/>
      <c r="C32" s="327"/>
      <c r="D32" s="328"/>
      <c r="E32" s="368"/>
      <c r="F32" s="369"/>
      <c r="G32" s="369"/>
      <c r="H32" s="369"/>
      <c r="I32" s="370"/>
      <c r="J32" s="67" t="e">
        <f>IF(AND('Mapa final'!#REF!="Media",'Mapa final'!#REF!="Leve"),CONCATENATE("R7C",'Mapa final'!#REF!),"")</f>
        <v>#REF!</v>
      </c>
      <c r="K32" s="68" t="e">
        <f>IF(AND('Mapa final'!#REF!="Media",'Mapa final'!#REF!="Leve"),CONCATENATE("R7C",'Mapa final'!#REF!),"")</f>
        <v>#REF!</v>
      </c>
      <c r="L32" s="68" t="e">
        <f>IF(AND('Mapa final'!#REF!="Media",'Mapa final'!#REF!="Leve"),CONCATENATE("R7C",'Mapa final'!#REF!),"")</f>
        <v>#REF!</v>
      </c>
      <c r="M32" s="68" t="e">
        <f>IF(AND('Mapa final'!#REF!="Media",'Mapa final'!#REF!="Leve"),CONCATENATE("R7C",'Mapa final'!#REF!),"")</f>
        <v>#REF!</v>
      </c>
      <c r="N32" s="68" t="e">
        <f>IF(AND('Mapa final'!#REF!="Media",'Mapa final'!#REF!="Leve"),CONCATENATE("R7C",'Mapa final'!#REF!),"")</f>
        <v>#REF!</v>
      </c>
      <c r="O32" s="69" t="e">
        <f>IF(AND('Mapa final'!#REF!="Media",'Mapa final'!#REF!="Leve"),CONCATENATE("R7C",'Mapa final'!#REF!),"")</f>
        <v>#REF!</v>
      </c>
      <c r="P32" s="67" t="e">
        <f>IF(AND('Mapa final'!#REF!="Media",'Mapa final'!#REF!="Menor"),CONCATENATE("R7C",'Mapa final'!#REF!),"")</f>
        <v>#REF!</v>
      </c>
      <c r="Q32" s="68" t="e">
        <f>IF(AND('Mapa final'!#REF!="Media",'Mapa final'!#REF!="Menor"),CONCATENATE("R7C",'Mapa final'!#REF!),"")</f>
        <v>#REF!</v>
      </c>
      <c r="R32" s="68" t="e">
        <f>IF(AND('Mapa final'!#REF!="Media",'Mapa final'!#REF!="Menor"),CONCATENATE("R7C",'Mapa final'!#REF!),"")</f>
        <v>#REF!</v>
      </c>
      <c r="S32" s="68" t="e">
        <f>IF(AND('Mapa final'!#REF!="Media",'Mapa final'!#REF!="Menor"),CONCATENATE("R7C",'Mapa final'!#REF!),"")</f>
        <v>#REF!</v>
      </c>
      <c r="T32" s="68" t="e">
        <f>IF(AND('Mapa final'!#REF!="Media",'Mapa final'!#REF!="Menor"),CONCATENATE("R7C",'Mapa final'!#REF!),"")</f>
        <v>#REF!</v>
      </c>
      <c r="U32" s="69" t="e">
        <f>IF(AND('Mapa final'!#REF!="Media",'Mapa final'!#REF!="Menor"),CONCATENATE("R7C",'Mapa final'!#REF!),"")</f>
        <v>#REF!</v>
      </c>
      <c r="V32" s="67" t="e">
        <f>IF(AND('Mapa final'!#REF!="Media",'Mapa final'!#REF!="Moderado"),CONCATENATE("R7C",'Mapa final'!#REF!),"")</f>
        <v>#REF!</v>
      </c>
      <c r="W32" s="68" t="e">
        <f>IF(AND('Mapa final'!#REF!="Media",'Mapa final'!#REF!="Moderado"),CONCATENATE("R7C",'Mapa final'!#REF!),"")</f>
        <v>#REF!</v>
      </c>
      <c r="X32" s="68" t="e">
        <f>IF(AND('Mapa final'!#REF!="Media",'Mapa final'!#REF!="Moderado"),CONCATENATE("R7C",'Mapa final'!#REF!),"")</f>
        <v>#REF!</v>
      </c>
      <c r="Y32" s="68" t="e">
        <f>IF(AND('Mapa final'!#REF!="Media",'Mapa final'!#REF!="Moderado"),CONCATENATE("R7C",'Mapa final'!#REF!),"")</f>
        <v>#REF!</v>
      </c>
      <c r="Z32" s="68" t="e">
        <f>IF(AND('Mapa final'!#REF!="Media",'Mapa final'!#REF!="Moderado"),CONCATENATE("R7C",'Mapa final'!#REF!),"")</f>
        <v>#REF!</v>
      </c>
      <c r="AA32" s="69" t="e">
        <f>IF(AND('Mapa final'!#REF!="Media",'Mapa final'!#REF!="Moderado"),CONCATENATE("R7C",'Mapa final'!#REF!),"")</f>
        <v>#REF!</v>
      </c>
      <c r="AB32" s="52" t="e">
        <f>IF(AND('Mapa final'!#REF!="Media",'Mapa final'!#REF!="Mayor"),CONCATENATE("R7C",'Mapa final'!#REF!),"")</f>
        <v>#REF!</v>
      </c>
      <c r="AC32" s="53" t="e">
        <f>IF(AND('Mapa final'!#REF!="Media",'Mapa final'!#REF!="Mayor"),CONCATENATE("R7C",'Mapa final'!#REF!),"")</f>
        <v>#REF!</v>
      </c>
      <c r="AD32" s="53" t="e">
        <f>IF(AND('Mapa final'!#REF!="Media",'Mapa final'!#REF!="Mayor"),CONCATENATE("R7C",'Mapa final'!#REF!),"")</f>
        <v>#REF!</v>
      </c>
      <c r="AE32" s="53" t="e">
        <f>IF(AND('Mapa final'!#REF!="Media",'Mapa final'!#REF!="Mayor"),CONCATENATE("R7C",'Mapa final'!#REF!),"")</f>
        <v>#REF!</v>
      </c>
      <c r="AF32" s="53" t="e">
        <f>IF(AND('Mapa final'!#REF!="Media",'Mapa final'!#REF!="Mayor"),CONCATENATE("R7C",'Mapa final'!#REF!),"")</f>
        <v>#REF!</v>
      </c>
      <c r="AG32" s="54" t="e">
        <f>IF(AND('Mapa final'!#REF!="Media",'Mapa final'!#REF!="Mayor"),CONCATENATE("R7C",'Mapa final'!#REF!),"")</f>
        <v>#REF!</v>
      </c>
      <c r="AH32" s="55" t="e">
        <f>IF(AND('Mapa final'!#REF!="Media",'Mapa final'!#REF!="Catastrófico"),CONCATENATE("R7C",'Mapa final'!#REF!),"")</f>
        <v>#REF!</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3"/>
      <c r="AO32" s="408"/>
      <c r="AP32" s="409"/>
      <c r="AQ32" s="409"/>
      <c r="AR32" s="409"/>
      <c r="AS32" s="409"/>
      <c r="AT32" s="41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327"/>
      <c r="C33" s="327"/>
      <c r="D33" s="328"/>
      <c r="E33" s="368"/>
      <c r="F33" s="369"/>
      <c r="G33" s="369"/>
      <c r="H33" s="369"/>
      <c r="I33" s="370"/>
      <c r="J33" s="67" t="e">
        <f>IF(AND('Mapa final'!#REF!="Media",'Mapa final'!#REF!="Leve"),CONCATENATE("R8C",'Mapa final'!#REF!),"")</f>
        <v>#REF!</v>
      </c>
      <c r="K33" s="68" t="e">
        <f>IF(AND('Mapa final'!#REF!="Media",'Mapa final'!#REF!="Leve"),CONCATENATE("R8C",'Mapa final'!#REF!),"")</f>
        <v>#REF!</v>
      </c>
      <c r="L33" s="68" t="e">
        <f>IF(AND('Mapa final'!#REF!="Media",'Mapa final'!#REF!="Leve"),CONCATENATE("R8C",'Mapa final'!#REF!),"")</f>
        <v>#REF!</v>
      </c>
      <c r="M33" s="68" t="e">
        <f>IF(AND('Mapa final'!#REF!="Media",'Mapa final'!#REF!="Leve"),CONCATENATE("R8C",'Mapa final'!#REF!),"")</f>
        <v>#REF!</v>
      </c>
      <c r="N33" s="68" t="e">
        <f>IF(AND('Mapa final'!#REF!="Media",'Mapa final'!#REF!="Leve"),CONCATENATE("R8C",'Mapa final'!#REF!),"")</f>
        <v>#REF!</v>
      </c>
      <c r="O33" s="69" t="e">
        <f>IF(AND('Mapa final'!#REF!="Media",'Mapa final'!#REF!="Leve"),CONCATENATE("R8C",'Mapa final'!#REF!),"")</f>
        <v>#REF!</v>
      </c>
      <c r="P33" s="67" t="e">
        <f>IF(AND('Mapa final'!#REF!="Media",'Mapa final'!#REF!="Menor"),CONCATENATE("R8C",'Mapa final'!#REF!),"")</f>
        <v>#REF!</v>
      </c>
      <c r="Q33" s="68" t="e">
        <f>IF(AND('Mapa final'!#REF!="Media",'Mapa final'!#REF!="Menor"),CONCATENATE("R8C",'Mapa final'!#REF!),"")</f>
        <v>#REF!</v>
      </c>
      <c r="R33" s="68" t="e">
        <f>IF(AND('Mapa final'!#REF!="Media",'Mapa final'!#REF!="Menor"),CONCATENATE("R8C",'Mapa final'!#REF!),"")</f>
        <v>#REF!</v>
      </c>
      <c r="S33" s="68" t="e">
        <f>IF(AND('Mapa final'!#REF!="Media",'Mapa final'!#REF!="Menor"),CONCATENATE("R8C",'Mapa final'!#REF!),"")</f>
        <v>#REF!</v>
      </c>
      <c r="T33" s="68" t="e">
        <f>IF(AND('Mapa final'!#REF!="Media",'Mapa final'!#REF!="Menor"),CONCATENATE("R8C",'Mapa final'!#REF!),"")</f>
        <v>#REF!</v>
      </c>
      <c r="U33" s="69" t="e">
        <f>IF(AND('Mapa final'!#REF!="Media",'Mapa final'!#REF!="Menor"),CONCATENATE("R8C",'Mapa final'!#REF!),"")</f>
        <v>#REF!</v>
      </c>
      <c r="V33" s="67" t="e">
        <f>IF(AND('Mapa final'!#REF!="Media",'Mapa final'!#REF!="Moderado"),CONCATENATE("R8C",'Mapa final'!#REF!),"")</f>
        <v>#REF!</v>
      </c>
      <c r="W33" s="68" t="e">
        <f>IF(AND('Mapa final'!#REF!="Media",'Mapa final'!#REF!="Moderado"),CONCATENATE("R8C",'Mapa final'!#REF!),"")</f>
        <v>#REF!</v>
      </c>
      <c r="X33" s="68" t="e">
        <f>IF(AND('Mapa final'!#REF!="Media",'Mapa final'!#REF!="Moderado"),CONCATENATE("R8C",'Mapa final'!#REF!),"")</f>
        <v>#REF!</v>
      </c>
      <c r="Y33" s="68" t="e">
        <f>IF(AND('Mapa final'!#REF!="Media",'Mapa final'!#REF!="Moderado"),CONCATENATE("R8C",'Mapa final'!#REF!),"")</f>
        <v>#REF!</v>
      </c>
      <c r="Z33" s="68" t="e">
        <f>IF(AND('Mapa final'!#REF!="Media",'Mapa final'!#REF!="Moderado"),CONCATENATE("R8C",'Mapa final'!#REF!),"")</f>
        <v>#REF!</v>
      </c>
      <c r="AA33" s="69" t="e">
        <f>IF(AND('Mapa final'!#REF!="Media",'Mapa final'!#REF!="Moderado"),CONCATENATE("R8C",'Mapa final'!#REF!),"")</f>
        <v>#REF!</v>
      </c>
      <c r="AB33" s="52" t="e">
        <f>IF(AND('Mapa final'!#REF!="Media",'Mapa final'!#REF!="Mayor"),CONCATENATE("R8C",'Mapa final'!#REF!),"")</f>
        <v>#REF!</v>
      </c>
      <c r="AC33" s="53" t="e">
        <f>IF(AND('Mapa final'!#REF!="Media",'Mapa final'!#REF!="Mayor"),CONCATENATE("R8C",'Mapa final'!#REF!),"")</f>
        <v>#REF!</v>
      </c>
      <c r="AD33" s="53" t="e">
        <f>IF(AND('Mapa final'!#REF!="Media",'Mapa final'!#REF!="Mayor"),CONCATENATE("R8C",'Mapa final'!#REF!),"")</f>
        <v>#REF!</v>
      </c>
      <c r="AE33" s="53" t="e">
        <f>IF(AND('Mapa final'!#REF!="Media",'Mapa final'!#REF!="Mayor"),CONCATENATE("R8C",'Mapa final'!#REF!),"")</f>
        <v>#REF!</v>
      </c>
      <c r="AF33" s="53" t="e">
        <f>IF(AND('Mapa final'!#REF!="Media",'Mapa final'!#REF!="Mayor"),CONCATENATE("R8C",'Mapa final'!#REF!),"")</f>
        <v>#REF!</v>
      </c>
      <c r="AG33" s="54" t="e">
        <f>IF(AND('Mapa final'!#REF!="Media",'Mapa final'!#REF!="Mayor"),CONCATENATE("R8C",'Mapa final'!#REF!),"")</f>
        <v>#REF!</v>
      </c>
      <c r="AH33" s="55" t="e">
        <f>IF(AND('Mapa final'!#REF!="Media",'Mapa final'!#REF!="Catastrófico"),CONCATENATE("R8C",'Mapa final'!#REF!),"")</f>
        <v>#REF!</v>
      </c>
      <c r="AI33" s="56" t="e">
        <f>IF(AND('Mapa final'!#REF!="Media",'Mapa final'!#REF!="Catastrófico"),CONCATENATE("R8C",'Mapa final'!#REF!),"")</f>
        <v>#REF!</v>
      </c>
      <c r="AJ33" s="56" t="e">
        <f>IF(AND('Mapa final'!#REF!="Media",'Mapa final'!#REF!="Catastrófico"),CONCATENATE("R8C",'Mapa final'!#REF!),"")</f>
        <v>#REF!</v>
      </c>
      <c r="AK33" s="56" t="e">
        <f>IF(AND('Mapa final'!#REF!="Media",'Mapa final'!#REF!="Catastrófico"),CONCATENATE("R8C",'Mapa final'!#REF!),"")</f>
        <v>#REF!</v>
      </c>
      <c r="AL33" s="56" t="e">
        <f>IF(AND('Mapa final'!#REF!="Media",'Mapa final'!#REF!="Catastrófico"),CONCATENATE("R8C",'Mapa final'!#REF!),"")</f>
        <v>#REF!</v>
      </c>
      <c r="AM33" s="57" t="e">
        <f>IF(AND('Mapa final'!#REF!="Media",'Mapa final'!#REF!="Catastrófico"),CONCATENATE("R8C",'Mapa final'!#REF!),"")</f>
        <v>#REF!</v>
      </c>
      <c r="AN33" s="83"/>
      <c r="AO33" s="408"/>
      <c r="AP33" s="409"/>
      <c r="AQ33" s="409"/>
      <c r="AR33" s="409"/>
      <c r="AS33" s="409"/>
      <c r="AT33" s="41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327"/>
      <c r="C34" s="327"/>
      <c r="D34" s="328"/>
      <c r="E34" s="368"/>
      <c r="F34" s="369"/>
      <c r="G34" s="369"/>
      <c r="H34" s="369"/>
      <c r="I34" s="370"/>
      <c r="J34" s="67" t="e">
        <f>IF(AND('Mapa final'!#REF!="Media",'Mapa final'!#REF!="Leve"),CONCATENATE("R9C",'Mapa final'!#REF!),"")</f>
        <v>#REF!</v>
      </c>
      <c r="K34" s="68" t="e">
        <f>IF(AND('Mapa final'!#REF!="Media",'Mapa final'!#REF!="Leve"),CONCATENATE("R9C",'Mapa final'!#REF!),"")</f>
        <v>#REF!</v>
      </c>
      <c r="L34" s="68" t="e">
        <f>IF(AND('Mapa final'!#REF!="Media",'Mapa final'!#REF!="Leve"),CONCATENATE("R9C",'Mapa final'!#REF!),"")</f>
        <v>#REF!</v>
      </c>
      <c r="M34" s="68" t="e">
        <f>IF(AND('Mapa final'!#REF!="Media",'Mapa final'!#REF!="Leve"),CONCATENATE("R9C",'Mapa final'!#REF!),"")</f>
        <v>#REF!</v>
      </c>
      <c r="N34" s="68" t="e">
        <f>IF(AND('Mapa final'!#REF!="Media",'Mapa final'!#REF!="Leve"),CONCATENATE("R9C",'Mapa final'!#REF!),"")</f>
        <v>#REF!</v>
      </c>
      <c r="O34" s="69" t="e">
        <f>IF(AND('Mapa final'!#REF!="Media",'Mapa final'!#REF!="Leve"),CONCATENATE("R9C",'Mapa final'!#REF!),"")</f>
        <v>#REF!</v>
      </c>
      <c r="P34" s="67" t="e">
        <f>IF(AND('Mapa final'!#REF!="Media",'Mapa final'!#REF!="Menor"),CONCATENATE("R9C",'Mapa final'!#REF!),"")</f>
        <v>#REF!</v>
      </c>
      <c r="Q34" s="68" t="e">
        <f>IF(AND('Mapa final'!#REF!="Media",'Mapa final'!#REF!="Menor"),CONCATENATE("R9C",'Mapa final'!#REF!),"")</f>
        <v>#REF!</v>
      </c>
      <c r="R34" s="68" t="e">
        <f>IF(AND('Mapa final'!#REF!="Media",'Mapa final'!#REF!="Menor"),CONCATENATE("R9C",'Mapa final'!#REF!),"")</f>
        <v>#REF!</v>
      </c>
      <c r="S34" s="68" t="e">
        <f>IF(AND('Mapa final'!#REF!="Media",'Mapa final'!#REF!="Menor"),CONCATENATE("R9C",'Mapa final'!#REF!),"")</f>
        <v>#REF!</v>
      </c>
      <c r="T34" s="68" t="e">
        <f>IF(AND('Mapa final'!#REF!="Media",'Mapa final'!#REF!="Menor"),CONCATENATE("R9C",'Mapa final'!#REF!),"")</f>
        <v>#REF!</v>
      </c>
      <c r="U34" s="69" t="e">
        <f>IF(AND('Mapa final'!#REF!="Media",'Mapa final'!#REF!="Menor"),CONCATENATE("R9C",'Mapa final'!#REF!),"")</f>
        <v>#REF!</v>
      </c>
      <c r="V34" s="67" t="e">
        <f>IF(AND('Mapa final'!#REF!="Media",'Mapa final'!#REF!="Moderado"),CONCATENATE("R9C",'Mapa final'!#REF!),"")</f>
        <v>#REF!</v>
      </c>
      <c r="W34" s="68" t="e">
        <f>IF(AND('Mapa final'!#REF!="Media",'Mapa final'!#REF!="Moderado"),CONCATENATE("R9C",'Mapa final'!#REF!),"")</f>
        <v>#REF!</v>
      </c>
      <c r="X34" s="68" t="e">
        <f>IF(AND('Mapa final'!#REF!="Media",'Mapa final'!#REF!="Moderado"),CONCATENATE("R9C",'Mapa final'!#REF!),"")</f>
        <v>#REF!</v>
      </c>
      <c r="Y34" s="68" t="e">
        <f>IF(AND('Mapa final'!#REF!="Media",'Mapa final'!#REF!="Moderado"),CONCATENATE("R9C",'Mapa final'!#REF!),"")</f>
        <v>#REF!</v>
      </c>
      <c r="Z34" s="68" t="e">
        <f>IF(AND('Mapa final'!#REF!="Media",'Mapa final'!#REF!="Moderado"),CONCATENATE("R9C",'Mapa final'!#REF!),"")</f>
        <v>#REF!</v>
      </c>
      <c r="AA34" s="69" t="e">
        <f>IF(AND('Mapa final'!#REF!="Media",'Mapa final'!#REF!="Moderado"),CONCATENATE("R9C",'Mapa final'!#REF!),"")</f>
        <v>#REF!</v>
      </c>
      <c r="AB34" s="52" t="e">
        <f>IF(AND('Mapa final'!#REF!="Media",'Mapa final'!#REF!="Mayor"),CONCATENATE("R9C",'Mapa final'!#REF!),"")</f>
        <v>#REF!</v>
      </c>
      <c r="AC34" s="53" t="e">
        <f>IF(AND('Mapa final'!#REF!="Media",'Mapa final'!#REF!="Mayor"),CONCATENATE("R9C",'Mapa final'!#REF!),"")</f>
        <v>#REF!</v>
      </c>
      <c r="AD34" s="53" t="e">
        <f>IF(AND('Mapa final'!#REF!="Media",'Mapa final'!#REF!="Mayor"),CONCATENATE("R9C",'Mapa final'!#REF!),"")</f>
        <v>#REF!</v>
      </c>
      <c r="AE34" s="53" t="e">
        <f>IF(AND('Mapa final'!#REF!="Media",'Mapa final'!#REF!="Mayor"),CONCATENATE("R9C",'Mapa final'!#REF!),"")</f>
        <v>#REF!</v>
      </c>
      <c r="AF34" s="53" t="e">
        <f>IF(AND('Mapa final'!#REF!="Media",'Mapa final'!#REF!="Mayor"),CONCATENATE("R9C",'Mapa final'!#REF!),"")</f>
        <v>#REF!</v>
      </c>
      <c r="AG34" s="54" t="e">
        <f>IF(AND('Mapa final'!#REF!="Media",'Mapa final'!#REF!="Mayor"),CONCATENATE("R9C",'Mapa final'!#REF!),"")</f>
        <v>#REF!</v>
      </c>
      <c r="AH34" s="55" t="e">
        <f>IF(AND('Mapa final'!#REF!="Media",'Mapa final'!#REF!="Catastrófico"),CONCATENATE("R9C",'Mapa final'!#REF!),"")</f>
        <v>#REF!</v>
      </c>
      <c r="AI34" s="56" t="e">
        <f>IF(AND('Mapa final'!#REF!="Media",'Mapa final'!#REF!="Catastrófico"),CONCATENATE("R9C",'Mapa final'!#REF!),"")</f>
        <v>#REF!</v>
      </c>
      <c r="AJ34" s="56" t="e">
        <f>IF(AND('Mapa final'!#REF!="Media",'Mapa final'!#REF!="Catastrófico"),CONCATENATE("R9C",'Mapa final'!#REF!),"")</f>
        <v>#REF!</v>
      </c>
      <c r="AK34" s="56" t="e">
        <f>IF(AND('Mapa final'!#REF!="Media",'Mapa final'!#REF!="Catastrófico"),CONCATENATE("R9C",'Mapa final'!#REF!),"")</f>
        <v>#REF!</v>
      </c>
      <c r="AL34" s="56" t="e">
        <f>IF(AND('Mapa final'!#REF!="Media",'Mapa final'!#REF!="Catastrófico"),CONCATENATE("R9C",'Mapa final'!#REF!),"")</f>
        <v>#REF!</v>
      </c>
      <c r="AM34" s="57" t="e">
        <f>IF(AND('Mapa final'!#REF!="Media",'Mapa final'!#REF!="Catastrófico"),CONCATENATE("R9C",'Mapa final'!#REF!),"")</f>
        <v>#REF!</v>
      </c>
      <c r="AN34" s="83"/>
      <c r="AO34" s="408"/>
      <c r="AP34" s="409"/>
      <c r="AQ34" s="409"/>
      <c r="AR34" s="409"/>
      <c r="AS34" s="409"/>
      <c r="AT34" s="41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327"/>
      <c r="C35" s="327"/>
      <c r="D35" s="328"/>
      <c r="E35" s="371"/>
      <c r="F35" s="372"/>
      <c r="G35" s="372"/>
      <c r="H35" s="372"/>
      <c r="I35" s="373"/>
      <c r="J35" s="67" t="e">
        <f>IF(AND('Mapa final'!#REF!="Media",'Mapa final'!#REF!="Leve"),CONCATENATE("R10C",'Mapa final'!#REF!),"")</f>
        <v>#REF!</v>
      </c>
      <c r="K35" s="68" t="e">
        <f>IF(AND('Mapa final'!#REF!="Media",'Mapa final'!#REF!="Leve"),CONCATENATE("R10C",'Mapa final'!#REF!),"")</f>
        <v>#REF!</v>
      </c>
      <c r="L35" s="68" t="e">
        <f>IF(AND('Mapa final'!#REF!="Media",'Mapa final'!#REF!="Leve"),CONCATENATE("R10C",'Mapa final'!#REF!),"")</f>
        <v>#REF!</v>
      </c>
      <c r="M35" s="68" t="e">
        <f>IF(AND('Mapa final'!#REF!="Media",'Mapa final'!#REF!="Leve"),CONCATENATE("R10C",'Mapa final'!#REF!),"")</f>
        <v>#REF!</v>
      </c>
      <c r="N35" s="68" t="e">
        <f>IF(AND('Mapa final'!#REF!="Media",'Mapa final'!#REF!="Leve"),CONCATENATE("R10C",'Mapa final'!#REF!),"")</f>
        <v>#REF!</v>
      </c>
      <c r="O35" s="69" t="e">
        <f>IF(AND('Mapa final'!#REF!="Media",'Mapa final'!#REF!="Leve"),CONCATENATE("R10C",'Mapa final'!#REF!),"")</f>
        <v>#REF!</v>
      </c>
      <c r="P35" s="67" t="e">
        <f>IF(AND('Mapa final'!#REF!="Media",'Mapa final'!#REF!="Menor"),CONCATENATE("R10C",'Mapa final'!#REF!),"")</f>
        <v>#REF!</v>
      </c>
      <c r="Q35" s="68" t="e">
        <f>IF(AND('Mapa final'!#REF!="Media",'Mapa final'!#REF!="Menor"),CONCATENATE("R10C",'Mapa final'!#REF!),"")</f>
        <v>#REF!</v>
      </c>
      <c r="R35" s="68" t="e">
        <f>IF(AND('Mapa final'!#REF!="Media",'Mapa final'!#REF!="Menor"),CONCATENATE("R10C",'Mapa final'!#REF!),"")</f>
        <v>#REF!</v>
      </c>
      <c r="S35" s="68" t="e">
        <f>IF(AND('Mapa final'!#REF!="Media",'Mapa final'!#REF!="Menor"),CONCATENATE("R10C",'Mapa final'!#REF!),"")</f>
        <v>#REF!</v>
      </c>
      <c r="T35" s="68" t="e">
        <f>IF(AND('Mapa final'!#REF!="Media",'Mapa final'!#REF!="Menor"),CONCATENATE("R10C",'Mapa final'!#REF!),"")</f>
        <v>#REF!</v>
      </c>
      <c r="U35" s="69" t="e">
        <f>IF(AND('Mapa final'!#REF!="Media",'Mapa final'!#REF!="Menor"),CONCATENATE("R10C",'Mapa final'!#REF!),"")</f>
        <v>#REF!</v>
      </c>
      <c r="V35" s="67" t="e">
        <f>IF(AND('Mapa final'!#REF!="Media",'Mapa final'!#REF!="Moderado"),CONCATENATE("R10C",'Mapa final'!#REF!),"")</f>
        <v>#REF!</v>
      </c>
      <c r="W35" s="68" t="e">
        <f>IF(AND('Mapa final'!#REF!="Media",'Mapa final'!#REF!="Moderado"),CONCATENATE("R10C",'Mapa final'!#REF!),"")</f>
        <v>#REF!</v>
      </c>
      <c r="X35" s="68" t="e">
        <f>IF(AND('Mapa final'!#REF!="Media",'Mapa final'!#REF!="Moderado"),CONCATENATE("R10C",'Mapa final'!#REF!),"")</f>
        <v>#REF!</v>
      </c>
      <c r="Y35" s="68" t="e">
        <f>IF(AND('Mapa final'!#REF!="Media",'Mapa final'!#REF!="Moderado"),CONCATENATE("R10C",'Mapa final'!#REF!),"")</f>
        <v>#REF!</v>
      </c>
      <c r="Z35" s="68" t="e">
        <f>IF(AND('Mapa final'!#REF!="Media",'Mapa final'!#REF!="Moderado"),CONCATENATE("R10C",'Mapa final'!#REF!),"")</f>
        <v>#REF!</v>
      </c>
      <c r="AA35" s="69" t="e">
        <f>IF(AND('Mapa final'!#REF!="Media",'Mapa final'!#REF!="Moderado"),CONCATENATE("R10C",'Mapa final'!#REF!),"")</f>
        <v>#REF!</v>
      </c>
      <c r="AB35" s="58" t="e">
        <f>IF(AND('Mapa final'!#REF!="Media",'Mapa final'!#REF!="Mayor"),CONCATENATE("R10C",'Mapa final'!#REF!),"")</f>
        <v>#REF!</v>
      </c>
      <c r="AC35" s="59" t="e">
        <f>IF(AND('Mapa final'!#REF!="Media",'Mapa final'!#REF!="Mayor"),CONCATENATE("R10C",'Mapa final'!#REF!),"")</f>
        <v>#REF!</v>
      </c>
      <c r="AD35" s="59" t="e">
        <f>IF(AND('Mapa final'!#REF!="Media",'Mapa final'!#REF!="Mayor"),CONCATENATE("R10C",'Mapa final'!#REF!),"")</f>
        <v>#REF!</v>
      </c>
      <c r="AE35" s="59" t="e">
        <f>IF(AND('Mapa final'!#REF!="Media",'Mapa final'!#REF!="Mayor"),CONCATENATE("R10C",'Mapa final'!#REF!),"")</f>
        <v>#REF!</v>
      </c>
      <c r="AF35" s="59" t="e">
        <f>IF(AND('Mapa final'!#REF!="Media",'Mapa final'!#REF!="Mayor"),CONCATENATE("R10C",'Mapa final'!#REF!),"")</f>
        <v>#REF!</v>
      </c>
      <c r="AG35" s="60" t="e">
        <f>IF(AND('Mapa final'!#REF!="Media",'Mapa final'!#REF!="Mayor"),CONCATENATE("R10C",'Mapa final'!#REF!),"")</f>
        <v>#REF!</v>
      </c>
      <c r="AH35" s="61" t="e">
        <f>IF(AND('Mapa final'!#REF!="Media",'Mapa final'!#REF!="Catastrófico"),CONCATENATE("R10C",'Mapa final'!#REF!),"")</f>
        <v>#REF!</v>
      </c>
      <c r="AI35" s="62" t="e">
        <f>IF(AND('Mapa final'!#REF!="Media",'Mapa final'!#REF!="Catastrófico"),CONCATENATE("R10C",'Mapa final'!#REF!),"")</f>
        <v>#REF!</v>
      </c>
      <c r="AJ35" s="62" t="e">
        <f>IF(AND('Mapa final'!#REF!="Media",'Mapa final'!#REF!="Catastrófico"),CONCATENATE("R10C",'Mapa final'!#REF!),"")</f>
        <v>#REF!</v>
      </c>
      <c r="AK35" s="62" t="e">
        <f>IF(AND('Mapa final'!#REF!="Media",'Mapa final'!#REF!="Catastrófico"),CONCATENATE("R10C",'Mapa final'!#REF!),"")</f>
        <v>#REF!</v>
      </c>
      <c r="AL35" s="62" t="e">
        <f>IF(AND('Mapa final'!#REF!="Media",'Mapa final'!#REF!="Catastrófico"),CONCATENATE("R10C",'Mapa final'!#REF!),"")</f>
        <v>#REF!</v>
      </c>
      <c r="AM35" s="63" t="e">
        <f>IF(AND('Mapa final'!#REF!="Media",'Mapa final'!#REF!="Catastrófico"),CONCATENATE("R10C",'Mapa final'!#REF!),"")</f>
        <v>#REF!</v>
      </c>
      <c r="AN35" s="83"/>
      <c r="AO35" s="411"/>
      <c r="AP35" s="412"/>
      <c r="AQ35" s="412"/>
      <c r="AR35" s="412"/>
      <c r="AS35" s="412"/>
      <c r="AT35" s="41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327"/>
      <c r="C36" s="327"/>
      <c r="D36" s="328"/>
      <c r="E36" s="365" t="s">
        <v>98</v>
      </c>
      <c r="F36" s="366"/>
      <c r="G36" s="366"/>
      <c r="H36" s="366"/>
      <c r="I36" s="366"/>
      <c r="J36" s="73" t="str">
        <f>IF(AND('Mapa final'!$Y$23="Baja",'Mapa final'!$AA$23="Leve"),CONCATENATE("R1C",'Mapa final'!$O$23),"")</f>
        <v>R1C1</v>
      </c>
      <c r="K36" s="74" t="str">
        <f>IF(AND('Mapa final'!$Y$24="Baja",'Mapa final'!$AA$24="Leve"),CONCATENATE("R1C",'Mapa final'!$O$24),"")</f>
        <v/>
      </c>
      <c r="L36" s="74" t="str">
        <f>IF(AND('Mapa final'!$Y$25="Baja",'Mapa final'!$AA$25="Leve"),CONCATENATE("R1C",'Mapa final'!$O$25),"")</f>
        <v/>
      </c>
      <c r="M36" s="74" t="str">
        <f>IF(AND('Mapa final'!$Y$26="Baja",'Mapa final'!$AA$26="Leve"),CONCATENATE("R1C",'Mapa final'!$O$26),"")</f>
        <v/>
      </c>
      <c r="N36" s="74" t="str">
        <f>IF(AND('Mapa final'!$Y$27="Baja",'Mapa final'!$AA$27="Leve"),CONCATENATE("R1C",'Mapa final'!$O$27),"")</f>
        <v/>
      </c>
      <c r="O36" s="75" t="str">
        <f>IF(AND('Mapa final'!$Y$28="Baja",'Mapa final'!$AA$28="Leve"),CONCATENATE("R1C",'Mapa final'!$O$28),"")</f>
        <v/>
      </c>
      <c r="P36" s="64" t="str">
        <f>IF(AND('Mapa final'!$Y$23="Baja",'Mapa final'!$AA$23="Menor"),CONCATENATE("R1C",'Mapa final'!$O$23),"")</f>
        <v/>
      </c>
      <c r="Q36" s="65" t="str">
        <f>IF(AND('Mapa final'!$Y$24="Baja",'Mapa final'!$AA$24="Menor"),CONCATENATE("R1C",'Mapa final'!$O$24),"")</f>
        <v/>
      </c>
      <c r="R36" s="65" t="str">
        <f>IF(AND('Mapa final'!$Y$25="Baja",'Mapa final'!$AA$25="Menor"),CONCATENATE("R1C",'Mapa final'!$O$25),"")</f>
        <v/>
      </c>
      <c r="S36" s="65" t="str">
        <f>IF(AND('Mapa final'!$Y$26="Baja",'Mapa final'!$AA$26="Menor"),CONCATENATE("R1C",'Mapa final'!$O$26),"")</f>
        <v/>
      </c>
      <c r="T36" s="65" t="str">
        <f>IF(AND('Mapa final'!$Y$27="Baja",'Mapa final'!$AA$27="Menor"),CONCATENATE("R1C",'Mapa final'!$O$27),"")</f>
        <v/>
      </c>
      <c r="U36" s="66" t="str">
        <f>IF(AND('Mapa final'!$Y$28="Baja",'Mapa final'!$AA$28="Menor"),CONCATENATE("R1C",'Mapa final'!$O$28),"")</f>
        <v/>
      </c>
      <c r="V36" s="64" t="str">
        <f>IF(AND('Mapa final'!$Y$23="Baja",'Mapa final'!$AA$23="Moderado"),CONCATENATE("R1C",'Mapa final'!$O$23),"")</f>
        <v/>
      </c>
      <c r="W36" s="65" t="str">
        <f>IF(AND('Mapa final'!$Y$24="Baja",'Mapa final'!$AA$24="Moderado"),CONCATENATE("R1C",'Mapa final'!$O$24),"")</f>
        <v/>
      </c>
      <c r="X36" s="65" t="str">
        <f>IF(AND('Mapa final'!$Y$25="Baja",'Mapa final'!$AA$25="Moderado"),CONCATENATE("R1C",'Mapa final'!$O$25),"")</f>
        <v/>
      </c>
      <c r="Y36" s="65" t="str">
        <f>IF(AND('Mapa final'!$Y$26="Baja",'Mapa final'!$AA$26="Moderado"),CONCATENATE("R1C",'Mapa final'!$O$26),"")</f>
        <v/>
      </c>
      <c r="Z36" s="65" t="str">
        <f>IF(AND('Mapa final'!$Y$27="Baja",'Mapa final'!$AA$27="Moderado"),CONCATENATE("R1C",'Mapa final'!$O$27),"")</f>
        <v/>
      </c>
      <c r="AA36" s="66" t="str">
        <f>IF(AND('Mapa final'!$Y$28="Baja",'Mapa final'!$AA$28="Moderado"),CONCATENATE("R1C",'Mapa final'!$O$28),"")</f>
        <v/>
      </c>
      <c r="AB36" s="46" t="str">
        <f>IF(AND('Mapa final'!$Y$23="Baja",'Mapa final'!$AA$23="Mayor"),CONCATENATE("R1C",'Mapa final'!$O$23),"")</f>
        <v/>
      </c>
      <c r="AC36" s="47" t="str">
        <f>IF(AND('Mapa final'!$Y$24="Baja",'Mapa final'!$AA$24="Mayor"),CONCATENATE("R1C",'Mapa final'!$O$24),"")</f>
        <v/>
      </c>
      <c r="AD36" s="47" t="str">
        <f>IF(AND('Mapa final'!$Y$25="Baja",'Mapa final'!$AA$25="Mayor"),CONCATENATE("R1C",'Mapa final'!$O$25),"")</f>
        <v/>
      </c>
      <c r="AE36" s="47" t="str">
        <f>IF(AND('Mapa final'!$Y$26="Baja",'Mapa final'!$AA$26="Mayor"),CONCATENATE("R1C",'Mapa final'!$O$26),"")</f>
        <v/>
      </c>
      <c r="AF36" s="47" t="str">
        <f>IF(AND('Mapa final'!$Y$27="Baja",'Mapa final'!$AA$27="Mayor"),CONCATENATE("R1C",'Mapa final'!$O$27),"")</f>
        <v/>
      </c>
      <c r="AG36" s="48" t="str">
        <f>IF(AND('Mapa final'!$Y$28="Baja",'Mapa final'!$AA$28="Mayor"),CONCATENATE("R1C",'Mapa final'!$O$28),"")</f>
        <v/>
      </c>
      <c r="AH36" s="49" t="str">
        <f>IF(AND('Mapa final'!$Y$23="Baja",'Mapa final'!$AA$23="Catastrófico"),CONCATENATE("R1C",'Mapa final'!$O$23),"")</f>
        <v/>
      </c>
      <c r="AI36" s="50" t="str">
        <f>IF(AND('Mapa final'!$Y$24="Baja",'Mapa final'!$AA$24="Catastrófico"),CONCATENATE("R1C",'Mapa final'!$O$24),"")</f>
        <v/>
      </c>
      <c r="AJ36" s="50" t="str">
        <f>IF(AND('Mapa final'!$Y$25="Baja",'Mapa final'!$AA$25="Catastrófico"),CONCATENATE("R1C",'Mapa final'!$O$25),"")</f>
        <v/>
      </c>
      <c r="AK36" s="50" t="str">
        <f>IF(AND('Mapa final'!$Y$26="Baja",'Mapa final'!$AA$26="Catastrófico"),CONCATENATE("R1C",'Mapa final'!$O$26),"")</f>
        <v/>
      </c>
      <c r="AL36" s="50" t="str">
        <f>IF(AND('Mapa final'!$Y$27="Baja",'Mapa final'!$AA$27="Catastrófico"),CONCATENATE("R1C",'Mapa final'!$O$27),"")</f>
        <v/>
      </c>
      <c r="AM36" s="51" t="str">
        <f>IF(AND('Mapa final'!$Y$28="Baja",'Mapa final'!$AA$28="Catastrófico"),CONCATENATE("R1C",'Mapa final'!$O$28),"")</f>
        <v/>
      </c>
      <c r="AN36" s="83"/>
      <c r="AO36" s="396" t="s">
        <v>99</v>
      </c>
      <c r="AP36" s="397"/>
      <c r="AQ36" s="397"/>
      <c r="AR36" s="397"/>
      <c r="AS36" s="397"/>
      <c r="AT36" s="39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327"/>
      <c r="C37" s="327"/>
      <c r="D37" s="328"/>
      <c r="E37" s="384"/>
      <c r="F37" s="369"/>
      <c r="G37" s="369"/>
      <c r="H37" s="369"/>
      <c r="I37" s="369"/>
      <c r="J37" s="76" t="str">
        <f>IF(AND('Mapa final'!$Y$29="Baja",'Mapa final'!$AA$29="Leve"),CONCATENATE("R2C",'Mapa final'!$O$29),"")</f>
        <v>R2C1</v>
      </c>
      <c r="K37" s="77" t="str">
        <f>IF(AND('Mapa final'!$Y$30="Baja",'Mapa final'!$AA$30="Leve"),CONCATENATE("R2C",'Mapa final'!$O$30),"")</f>
        <v/>
      </c>
      <c r="L37" s="77" t="e">
        <f>IF(AND('Mapa final'!#REF!="Baja",'Mapa final'!#REF!="Leve"),CONCATENATE("R2C",'Mapa final'!#REF!),"")</f>
        <v>#REF!</v>
      </c>
      <c r="M37" s="77" t="e">
        <f>IF(AND('Mapa final'!#REF!="Baja",'Mapa final'!#REF!="Leve"),CONCATENATE("R2C",'Mapa final'!#REF!),"")</f>
        <v>#REF!</v>
      </c>
      <c r="N37" s="77" t="e">
        <f>IF(AND('Mapa final'!#REF!="Baja",'Mapa final'!#REF!="Leve"),CONCATENATE("R2C",'Mapa final'!#REF!),"")</f>
        <v>#REF!</v>
      </c>
      <c r="O37" s="78" t="e">
        <f>IF(AND('Mapa final'!#REF!="Baja",'Mapa final'!#REF!="Leve"),CONCATENATE("R2C",'Mapa final'!#REF!),"")</f>
        <v>#REF!</v>
      </c>
      <c r="P37" s="67" t="str">
        <f>IF(AND('Mapa final'!$Y$29="Baja",'Mapa final'!$AA$29="Menor"),CONCATENATE("R2C",'Mapa final'!$O$29),"")</f>
        <v/>
      </c>
      <c r="Q37" s="68" t="str">
        <f>IF(AND('Mapa final'!$Y$30="Baja",'Mapa final'!$AA$30="Menor"),CONCATENATE("R2C",'Mapa final'!$O$30),"")</f>
        <v/>
      </c>
      <c r="R37" s="68" t="e">
        <f>IF(AND('Mapa final'!#REF!="Baja",'Mapa final'!#REF!="Menor"),CONCATENATE("R2C",'Mapa final'!#REF!),"")</f>
        <v>#REF!</v>
      </c>
      <c r="S37" s="68" t="e">
        <f>IF(AND('Mapa final'!#REF!="Baja",'Mapa final'!#REF!="Menor"),CONCATENATE("R2C",'Mapa final'!#REF!),"")</f>
        <v>#REF!</v>
      </c>
      <c r="T37" s="68" t="e">
        <f>IF(AND('Mapa final'!#REF!="Baja",'Mapa final'!#REF!="Menor"),CONCATENATE("R2C",'Mapa final'!#REF!),"")</f>
        <v>#REF!</v>
      </c>
      <c r="U37" s="69" t="e">
        <f>IF(AND('Mapa final'!#REF!="Baja",'Mapa final'!#REF!="Menor"),CONCATENATE("R2C",'Mapa final'!#REF!),"")</f>
        <v>#REF!</v>
      </c>
      <c r="V37" s="67" t="str">
        <f>IF(AND('Mapa final'!$Y$29="Baja",'Mapa final'!$AA$29="Moderado"),CONCATENATE("R2C",'Mapa final'!$O$29),"")</f>
        <v/>
      </c>
      <c r="W37" s="68" t="str">
        <f>IF(AND('Mapa final'!$Y$30="Baja",'Mapa final'!$AA$30="Moderado"),CONCATENATE("R2C",'Mapa final'!$O$30),"")</f>
        <v/>
      </c>
      <c r="X37" s="68" t="e">
        <f>IF(AND('Mapa final'!#REF!="Baja",'Mapa final'!#REF!="Moderado"),CONCATENATE("R2C",'Mapa final'!#REF!),"")</f>
        <v>#REF!</v>
      </c>
      <c r="Y37" s="68" t="e">
        <f>IF(AND('Mapa final'!#REF!="Baja",'Mapa final'!#REF!="Moderado"),CONCATENATE("R2C",'Mapa final'!#REF!),"")</f>
        <v>#REF!</v>
      </c>
      <c r="Z37" s="68" t="e">
        <f>IF(AND('Mapa final'!#REF!="Baja",'Mapa final'!#REF!="Moderado"),CONCATENATE("R2C",'Mapa final'!#REF!),"")</f>
        <v>#REF!</v>
      </c>
      <c r="AA37" s="69" t="e">
        <f>IF(AND('Mapa final'!#REF!="Baja",'Mapa final'!#REF!="Moderado"),CONCATENATE("R2C",'Mapa final'!#REF!),"")</f>
        <v>#REF!</v>
      </c>
      <c r="AB37" s="52" t="str">
        <f>IF(AND('Mapa final'!$Y$29="Baja",'Mapa final'!$AA$29="Mayor"),CONCATENATE("R2C",'Mapa final'!$O$29),"")</f>
        <v/>
      </c>
      <c r="AC37" s="53" t="str">
        <f>IF(AND('Mapa final'!$Y$30="Baja",'Mapa final'!$AA$30="Mayor"),CONCATENATE("R2C",'Mapa final'!$O$30),"")</f>
        <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final'!$Y$29="Baja",'Mapa final'!$AA$29="Catastrófico"),CONCATENATE("R2C",'Mapa final'!$O$29),"")</f>
        <v/>
      </c>
      <c r="AI37" s="56" t="str">
        <f>IF(AND('Mapa final'!$Y$30="Baja",'Mapa final'!$AA$30="Catastrófico"),CONCATENATE("R2C",'Mapa final'!$O$30),"")</f>
        <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3"/>
      <c r="AO37" s="399"/>
      <c r="AP37" s="400"/>
      <c r="AQ37" s="400"/>
      <c r="AR37" s="400"/>
      <c r="AS37" s="400"/>
      <c r="AT37" s="40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327"/>
      <c r="C38" s="327"/>
      <c r="D38" s="328"/>
      <c r="E38" s="368"/>
      <c r="F38" s="369"/>
      <c r="G38" s="369"/>
      <c r="H38" s="369"/>
      <c r="I38" s="369"/>
      <c r="J38" s="76" t="str">
        <f>IF(AND('Mapa final'!$Y$31="Baja",'Mapa final'!$AA$31="Leve"),CONCATENATE("R3C",'Mapa final'!$O$31),"")</f>
        <v>R3C1</v>
      </c>
      <c r="K38" s="77" t="str">
        <f>IF(AND('Mapa final'!$Y$32="Baja",'Mapa final'!$AA$32="Leve"),CONCATENATE("R3C",'Mapa final'!$O$32),"")</f>
        <v/>
      </c>
      <c r="L38" s="77" t="str">
        <f>IF(AND('Mapa final'!$Y$33="Baja",'Mapa final'!$AA$33="Leve"),CONCATENATE("R3C",'Mapa final'!$O$33),"")</f>
        <v/>
      </c>
      <c r="M38" s="77" t="e">
        <f>IF(AND('Mapa final'!#REF!="Baja",'Mapa final'!#REF!="Leve"),CONCATENATE("R3C",'Mapa final'!#REF!),"")</f>
        <v>#REF!</v>
      </c>
      <c r="N38" s="77" t="e">
        <f>IF(AND('Mapa final'!#REF!="Baja",'Mapa final'!#REF!="Leve"),CONCATENATE("R3C",'Mapa final'!#REF!),"")</f>
        <v>#REF!</v>
      </c>
      <c r="O38" s="78" t="e">
        <f>IF(AND('Mapa final'!#REF!="Baja",'Mapa final'!#REF!="Leve"),CONCATENATE("R3C",'Mapa final'!#REF!),"")</f>
        <v>#REF!</v>
      </c>
      <c r="P38" s="67" t="str">
        <f>IF(AND('Mapa final'!$Y$31="Baja",'Mapa final'!$AA$31="Menor"),CONCATENATE("R3C",'Mapa final'!$O$31),"")</f>
        <v/>
      </c>
      <c r="Q38" s="68" t="str">
        <f>IF(AND('Mapa final'!$Y$32="Baja",'Mapa final'!$AA$32="Menor"),CONCATENATE("R3C",'Mapa final'!$O$32),"")</f>
        <v/>
      </c>
      <c r="R38" s="68" t="str">
        <f>IF(AND('Mapa final'!$Y$33="Baja",'Mapa final'!$AA$33="Menor"),CONCATENATE("R3C",'Mapa final'!$O$33),"")</f>
        <v/>
      </c>
      <c r="S38" s="68" t="e">
        <f>IF(AND('Mapa final'!#REF!="Baja",'Mapa final'!#REF!="Menor"),CONCATENATE("R3C",'Mapa final'!#REF!),"")</f>
        <v>#REF!</v>
      </c>
      <c r="T38" s="68" t="e">
        <f>IF(AND('Mapa final'!#REF!="Baja",'Mapa final'!#REF!="Menor"),CONCATENATE("R3C",'Mapa final'!#REF!),"")</f>
        <v>#REF!</v>
      </c>
      <c r="U38" s="69" t="e">
        <f>IF(AND('Mapa final'!#REF!="Baja",'Mapa final'!#REF!="Menor"),CONCATENATE("R3C",'Mapa final'!#REF!),"")</f>
        <v>#REF!</v>
      </c>
      <c r="V38" s="67" t="str">
        <f>IF(AND('Mapa final'!$Y$31="Baja",'Mapa final'!$AA$31="Moderado"),CONCATENATE("R3C",'Mapa final'!$O$31),"")</f>
        <v/>
      </c>
      <c r="W38" s="68" t="str">
        <f>IF(AND('Mapa final'!$Y$32="Baja",'Mapa final'!$AA$32="Moderado"),CONCATENATE("R3C",'Mapa final'!$O$32),"")</f>
        <v/>
      </c>
      <c r="X38" s="68" t="str">
        <f>IF(AND('Mapa final'!$Y$33="Baja",'Mapa final'!$AA$33="Moderado"),CONCATENATE("R3C",'Mapa final'!$O$33),"")</f>
        <v/>
      </c>
      <c r="Y38" s="68" t="e">
        <f>IF(AND('Mapa final'!#REF!="Baja",'Mapa final'!#REF!="Moderado"),CONCATENATE("R3C",'Mapa final'!#REF!),"")</f>
        <v>#REF!</v>
      </c>
      <c r="Z38" s="68" t="e">
        <f>IF(AND('Mapa final'!#REF!="Baja",'Mapa final'!#REF!="Moderado"),CONCATENATE("R3C",'Mapa final'!#REF!),"")</f>
        <v>#REF!</v>
      </c>
      <c r="AA38" s="69" t="e">
        <f>IF(AND('Mapa final'!#REF!="Baja",'Mapa final'!#REF!="Moderado"),CONCATENATE("R3C",'Mapa final'!#REF!),"")</f>
        <v>#REF!</v>
      </c>
      <c r="AB38" s="52" t="str">
        <f>IF(AND('Mapa final'!$Y$31="Baja",'Mapa final'!$AA$31="Mayor"),CONCATENATE("R3C",'Mapa final'!$O$31),"")</f>
        <v/>
      </c>
      <c r="AC38" s="53" t="str">
        <f>IF(AND('Mapa final'!$Y$32="Baja",'Mapa final'!$AA$32="Mayor"),CONCATENATE("R3C",'Mapa final'!$O$32),"")</f>
        <v/>
      </c>
      <c r="AD38" s="53" t="str">
        <f>IF(AND('Mapa final'!$Y$33="Baja",'Mapa final'!$AA$33="Mayor"),CONCATENATE("R3C",'Mapa final'!$O$33),"")</f>
        <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final'!$Y$31="Baja",'Mapa final'!$AA$31="Catastrófico"),CONCATENATE("R3C",'Mapa final'!$O$31),"")</f>
        <v/>
      </c>
      <c r="AI38" s="56" t="str">
        <f>IF(AND('Mapa final'!$Y$32="Baja",'Mapa final'!$AA$32="Catastrófico"),CONCATENATE("R3C",'Mapa final'!$O$32),"")</f>
        <v/>
      </c>
      <c r="AJ38" s="56" t="str">
        <f>IF(AND('Mapa final'!$Y$33="Baja",'Mapa final'!$AA$33="Catastrófico"),CONCATENATE("R3C",'Mapa final'!$O$33),"")</f>
        <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3"/>
      <c r="AO38" s="399"/>
      <c r="AP38" s="400"/>
      <c r="AQ38" s="400"/>
      <c r="AR38" s="400"/>
      <c r="AS38" s="400"/>
      <c r="AT38" s="401"/>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327"/>
      <c r="C39" s="327"/>
      <c r="D39" s="328"/>
      <c r="E39" s="368"/>
      <c r="F39" s="369"/>
      <c r="G39" s="369"/>
      <c r="H39" s="369"/>
      <c r="I39" s="369"/>
      <c r="J39" s="76" t="str">
        <f>IF(AND('Mapa final'!$Y$34="Baja",'Mapa final'!$AA$34="Leve"),CONCATENATE("R4C",'Mapa final'!$O$34),"")</f>
        <v>R4C1</v>
      </c>
      <c r="K39" s="77" t="e">
        <f>IF(AND('Mapa final'!#REF!="Baja",'Mapa final'!#REF!="Leve"),CONCATENATE("R4C",'Mapa final'!#REF!),"")</f>
        <v>#REF!</v>
      </c>
      <c r="L39" s="77" t="str">
        <f>IF(AND('Mapa final'!$Y$35="Baja",'Mapa final'!$AA$35="Leve"),CONCATENATE("R4C",'Mapa final'!$O$35),"")</f>
        <v/>
      </c>
      <c r="M39" s="77" t="str">
        <f>IF(AND('Mapa final'!$Y$36="Baja",'Mapa final'!$AA$36="Leve"),CONCATENATE("R4C",'Mapa final'!$O$36),"")</f>
        <v/>
      </c>
      <c r="N39" s="77" t="e">
        <f>IF(AND('Mapa final'!#REF!="Baja",'Mapa final'!#REF!="Leve"),CONCATENATE("R4C",'Mapa final'!#REF!),"")</f>
        <v>#REF!</v>
      </c>
      <c r="O39" s="78" t="e">
        <f>IF(AND('Mapa final'!#REF!="Baja",'Mapa final'!#REF!="Leve"),CONCATENATE("R4C",'Mapa final'!#REF!),"")</f>
        <v>#REF!</v>
      </c>
      <c r="P39" s="67" t="str">
        <f>IF(AND('Mapa final'!$Y$34="Baja",'Mapa final'!$AA$34="Menor"),CONCATENATE("R4C",'Mapa final'!$O$34),"")</f>
        <v/>
      </c>
      <c r="Q39" s="68" t="e">
        <f>IF(AND('Mapa final'!#REF!="Baja",'Mapa final'!#REF!="Menor"),CONCATENATE("R4C",'Mapa final'!#REF!),"")</f>
        <v>#REF!</v>
      </c>
      <c r="R39" s="68" t="str">
        <f>IF(AND('Mapa final'!$Y$35="Baja",'Mapa final'!$AA$35="Menor"),CONCATENATE("R4C",'Mapa final'!$O$35),"")</f>
        <v/>
      </c>
      <c r="S39" s="68" t="str">
        <f>IF(AND('Mapa final'!$Y$36="Baja",'Mapa final'!$AA$36="Menor"),CONCATENATE("R4C",'Mapa final'!$O$36),"")</f>
        <v/>
      </c>
      <c r="T39" s="68" t="e">
        <f>IF(AND('Mapa final'!#REF!="Baja",'Mapa final'!#REF!="Menor"),CONCATENATE("R4C",'Mapa final'!#REF!),"")</f>
        <v>#REF!</v>
      </c>
      <c r="U39" s="69" t="e">
        <f>IF(AND('Mapa final'!#REF!="Baja",'Mapa final'!#REF!="Menor"),CONCATENATE("R4C",'Mapa final'!#REF!),"")</f>
        <v>#REF!</v>
      </c>
      <c r="V39" s="67" t="str">
        <f>IF(AND('Mapa final'!$Y$34="Baja",'Mapa final'!$AA$34="Moderado"),CONCATENATE("R4C",'Mapa final'!$O$34),"")</f>
        <v/>
      </c>
      <c r="W39" s="68" t="e">
        <f>IF(AND('Mapa final'!#REF!="Baja",'Mapa final'!#REF!="Moderado"),CONCATENATE("R4C",'Mapa final'!#REF!),"")</f>
        <v>#REF!</v>
      </c>
      <c r="X39" s="68" t="str">
        <f>IF(AND('Mapa final'!$Y$35="Baja",'Mapa final'!$AA$35="Moderado"),CONCATENATE("R4C",'Mapa final'!$O$35),"")</f>
        <v/>
      </c>
      <c r="Y39" s="68" t="str">
        <f>IF(AND('Mapa final'!$Y$36="Baja",'Mapa final'!$AA$36="Moderado"),CONCATENATE("R4C",'Mapa final'!$O$36),"")</f>
        <v/>
      </c>
      <c r="Z39" s="68" t="e">
        <f>IF(AND('Mapa final'!#REF!="Baja",'Mapa final'!#REF!="Moderado"),CONCATENATE("R4C",'Mapa final'!#REF!),"")</f>
        <v>#REF!</v>
      </c>
      <c r="AA39" s="69" t="e">
        <f>IF(AND('Mapa final'!#REF!="Baja",'Mapa final'!#REF!="Moderado"),CONCATENATE("R4C",'Mapa final'!#REF!),"")</f>
        <v>#REF!</v>
      </c>
      <c r="AB39" s="52" t="str">
        <f>IF(AND('Mapa final'!$Y$34="Baja",'Mapa final'!$AA$34="Mayor"),CONCATENATE("R4C",'Mapa final'!$O$34),"")</f>
        <v/>
      </c>
      <c r="AC39" s="53" t="e">
        <f>IF(AND('Mapa final'!#REF!="Baja",'Mapa final'!#REF!="Mayor"),CONCATENATE("R4C",'Mapa final'!#REF!),"")</f>
        <v>#REF!</v>
      </c>
      <c r="AD39" s="53" t="str">
        <f>IF(AND('Mapa final'!$Y$35="Baja",'Mapa final'!$AA$35="Mayor"),CONCATENATE("R4C",'Mapa final'!$O$35),"")</f>
        <v/>
      </c>
      <c r="AE39" s="53" t="str">
        <f>IF(AND('Mapa final'!$Y$36="Baja",'Mapa final'!$AA$36="Mayor"),CONCATENATE("R4C",'Mapa final'!$O$36),"")</f>
        <v/>
      </c>
      <c r="AF39" s="53" t="e">
        <f>IF(AND('Mapa final'!#REF!="Baja",'Mapa final'!#REF!="Mayor"),CONCATENATE("R4C",'Mapa final'!#REF!),"")</f>
        <v>#REF!</v>
      </c>
      <c r="AG39" s="54" t="e">
        <f>IF(AND('Mapa final'!#REF!="Baja",'Mapa final'!#REF!="Mayor"),CONCATENATE("R4C",'Mapa final'!#REF!),"")</f>
        <v>#REF!</v>
      </c>
      <c r="AH39" s="55" t="str">
        <f>IF(AND('Mapa final'!$Y$34="Baja",'Mapa final'!$AA$34="Catastrófico"),CONCATENATE("R4C",'Mapa final'!$O$34),"")</f>
        <v/>
      </c>
      <c r="AI39" s="56" t="e">
        <f>IF(AND('Mapa final'!#REF!="Baja",'Mapa final'!#REF!="Catastrófico"),CONCATENATE("R4C",'Mapa final'!#REF!),"")</f>
        <v>#REF!</v>
      </c>
      <c r="AJ39" s="56" t="str">
        <f>IF(AND('Mapa final'!$Y$35="Baja",'Mapa final'!$AA$35="Catastrófico"),CONCATENATE("R4C",'Mapa final'!$O$35),"")</f>
        <v/>
      </c>
      <c r="AK39" s="56" t="str">
        <f>IF(AND('Mapa final'!$Y$36="Baja",'Mapa final'!$AA$36="Catastrófico"),CONCATENATE("R4C",'Mapa final'!$O$36),"")</f>
        <v/>
      </c>
      <c r="AL39" s="56" t="e">
        <f>IF(AND('Mapa final'!#REF!="Baja",'Mapa final'!#REF!="Catastrófico"),CONCATENATE("R4C",'Mapa final'!#REF!),"")</f>
        <v>#REF!</v>
      </c>
      <c r="AM39" s="57" t="e">
        <f>IF(AND('Mapa final'!#REF!="Baja",'Mapa final'!#REF!="Catastrófico"),CONCATENATE("R4C",'Mapa final'!#REF!),"")</f>
        <v>#REF!</v>
      </c>
      <c r="AN39" s="83"/>
      <c r="AO39" s="399"/>
      <c r="AP39" s="400"/>
      <c r="AQ39" s="400"/>
      <c r="AR39" s="400"/>
      <c r="AS39" s="400"/>
      <c r="AT39" s="401"/>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327"/>
      <c r="C40" s="327"/>
      <c r="D40" s="328"/>
      <c r="E40" s="368"/>
      <c r="F40" s="369"/>
      <c r="G40" s="369"/>
      <c r="H40" s="369"/>
      <c r="I40" s="369"/>
      <c r="J40" s="76" t="str">
        <f>IF(AND('Mapa final'!$Y$37="Baja",'Mapa final'!$AA$37="Leve"),CONCATENATE("R5C",'Mapa final'!$O$37),"")</f>
        <v>R5C1</v>
      </c>
      <c r="K40" s="77" t="e">
        <f>IF(AND('Mapa final'!#REF!="Baja",'Mapa final'!#REF!="Leve"),CONCATENATE("R5C",'Mapa final'!#REF!),"")</f>
        <v>#REF!</v>
      </c>
      <c r="L40" s="77" t="e">
        <f>IF(AND('Mapa final'!#REF!="Baja",'Mapa final'!#REF!="Leve"),CONCATENATE("R5C",'Mapa final'!#REF!),"")</f>
        <v>#REF!</v>
      </c>
      <c r="M40" s="77" t="e">
        <f>IF(AND('Mapa final'!#REF!="Baja",'Mapa final'!#REF!="Leve"),CONCATENATE("R5C",'Mapa final'!#REF!),"")</f>
        <v>#REF!</v>
      </c>
      <c r="N40" s="77" t="e">
        <f>IF(AND('Mapa final'!#REF!="Baja",'Mapa final'!#REF!="Leve"),CONCATENATE("R5C",'Mapa final'!#REF!),"")</f>
        <v>#REF!</v>
      </c>
      <c r="O40" s="78" t="e">
        <f>IF(AND('Mapa final'!#REF!="Baja",'Mapa final'!#REF!="Leve"),CONCATENATE("R5C",'Mapa final'!#REF!),"")</f>
        <v>#REF!</v>
      </c>
      <c r="P40" s="67" t="str">
        <f>IF(AND('Mapa final'!$Y$37="Baja",'Mapa final'!$AA$37="Menor"),CONCATENATE("R5C",'Mapa final'!$O$37),"")</f>
        <v/>
      </c>
      <c r="Q40" s="68" t="e">
        <f>IF(AND('Mapa final'!#REF!="Baja",'Mapa final'!#REF!="Menor"),CONCATENATE("R5C",'Mapa final'!#REF!),"")</f>
        <v>#REF!</v>
      </c>
      <c r="R40" s="68" t="e">
        <f>IF(AND('Mapa final'!#REF!="Baja",'Mapa final'!#REF!="Menor"),CONCATENATE("R5C",'Mapa final'!#REF!),"")</f>
        <v>#REF!</v>
      </c>
      <c r="S40" s="68" t="e">
        <f>IF(AND('Mapa final'!#REF!="Baja",'Mapa final'!#REF!="Menor"),CONCATENATE("R5C",'Mapa final'!#REF!),"")</f>
        <v>#REF!</v>
      </c>
      <c r="T40" s="68" t="e">
        <f>IF(AND('Mapa final'!#REF!="Baja",'Mapa final'!#REF!="Menor"),CONCATENATE("R5C",'Mapa final'!#REF!),"")</f>
        <v>#REF!</v>
      </c>
      <c r="U40" s="69" t="e">
        <f>IF(AND('Mapa final'!#REF!="Baja",'Mapa final'!#REF!="Menor"),CONCATENATE("R5C",'Mapa final'!#REF!),"")</f>
        <v>#REF!</v>
      </c>
      <c r="V40" s="67" t="str">
        <f>IF(AND('Mapa final'!$Y$37="Baja",'Mapa final'!$AA$37="Moderado"),CONCATENATE("R5C",'Mapa final'!$O$37),"")</f>
        <v/>
      </c>
      <c r="W40" s="68" t="e">
        <f>IF(AND('Mapa final'!#REF!="Baja",'Mapa final'!#REF!="Moderado"),CONCATENATE("R5C",'Mapa final'!#REF!),"")</f>
        <v>#REF!</v>
      </c>
      <c r="X40" s="68" t="e">
        <f>IF(AND('Mapa final'!#REF!="Baja",'Mapa final'!#REF!="Moderado"),CONCATENATE("R5C",'Mapa final'!#REF!),"")</f>
        <v>#REF!</v>
      </c>
      <c r="Y40" s="68" t="e">
        <f>IF(AND('Mapa final'!#REF!="Baja",'Mapa final'!#REF!="Moderado"),CONCATENATE("R5C",'Mapa final'!#REF!),"")</f>
        <v>#REF!</v>
      </c>
      <c r="Z40" s="68" t="e">
        <f>IF(AND('Mapa final'!#REF!="Baja",'Mapa final'!#REF!="Moderado"),CONCATENATE("R5C",'Mapa final'!#REF!),"")</f>
        <v>#REF!</v>
      </c>
      <c r="AA40" s="69" t="e">
        <f>IF(AND('Mapa final'!#REF!="Baja",'Mapa final'!#REF!="Moderado"),CONCATENATE("R5C",'Mapa final'!#REF!),"")</f>
        <v>#REF!</v>
      </c>
      <c r="AB40" s="52" t="str">
        <f>IF(AND('Mapa final'!$Y$37="Baja",'Mapa final'!$AA$37="Mayor"),CONCATENATE("R5C",'Mapa final'!$O$37),"")</f>
        <v/>
      </c>
      <c r="AC40" s="53" t="e">
        <f>IF(AND('Mapa final'!#REF!="Baja",'Mapa final'!#REF!="Mayor"),CONCATENATE("R5C",'Mapa final'!#REF!),"")</f>
        <v>#REF!</v>
      </c>
      <c r="AD40" s="53" t="e">
        <f>IF(AND('Mapa final'!#REF!="Baja",'Mapa final'!#REF!="Mayor"),CONCATENATE("R5C",'Mapa final'!#REF!),"")</f>
        <v>#REF!</v>
      </c>
      <c r="AE40" s="53" t="e">
        <f>IF(AND('Mapa final'!#REF!="Baja",'Mapa final'!#REF!="Mayor"),CONCATENATE("R5C",'Mapa final'!#REF!),"")</f>
        <v>#REF!</v>
      </c>
      <c r="AF40" s="53" t="e">
        <f>IF(AND('Mapa final'!#REF!="Baja",'Mapa final'!#REF!="Mayor"),CONCATENATE("R5C",'Mapa final'!#REF!),"")</f>
        <v>#REF!</v>
      </c>
      <c r="AG40" s="54" t="e">
        <f>IF(AND('Mapa final'!#REF!="Baja",'Mapa final'!#REF!="Mayor"),CONCATENATE("R5C",'Mapa final'!#REF!),"")</f>
        <v>#REF!</v>
      </c>
      <c r="AH40" s="55" t="str">
        <f>IF(AND('Mapa final'!$Y$37="Baja",'Mapa final'!$AA$37="Catastrófico"),CONCATENATE("R5C",'Mapa final'!$O$37),"")</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3"/>
      <c r="AO40" s="399"/>
      <c r="AP40" s="400"/>
      <c r="AQ40" s="400"/>
      <c r="AR40" s="400"/>
      <c r="AS40" s="400"/>
      <c r="AT40" s="401"/>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327"/>
      <c r="C41" s="327"/>
      <c r="D41" s="328"/>
      <c r="E41" s="368"/>
      <c r="F41" s="369"/>
      <c r="G41" s="369"/>
      <c r="H41" s="369"/>
      <c r="I41" s="369"/>
      <c r="J41" s="76" t="str">
        <f>IF(AND('Mapa final'!$Y$38="Baja",'Mapa final'!$AA$38="Leve"),CONCATENATE("R6C",'Mapa final'!$O$38),"")</f>
        <v>R6C1</v>
      </c>
      <c r="K41" s="77" t="str">
        <f>IF(AND('Mapa final'!$Y$39="Baja",'Mapa final'!$AA$39="Leve"),CONCATENATE("R6C",'Mapa final'!$O$39),"")</f>
        <v/>
      </c>
      <c r="L41" s="77" t="str">
        <f>IF(AND('Mapa final'!$Y$40="Baja",'Mapa final'!$AA$40="Leve"),CONCATENATE("R6C",'Mapa final'!$O$40),"")</f>
        <v/>
      </c>
      <c r="M41" s="77" t="e">
        <f>IF(AND('Mapa final'!#REF!="Baja",'Mapa final'!#REF!="Leve"),CONCATENATE("R6C",'Mapa final'!#REF!),"")</f>
        <v>#REF!</v>
      </c>
      <c r="N41" s="77" t="e">
        <f>IF(AND('Mapa final'!#REF!="Baja",'Mapa final'!#REF!="Leve"),CONCATENATE("R6C",'Mapa final'!#REF!),"")</f>
        <v>#REF!</v>
      </c>
      <c r="O41" s="78" t="e">
        <f>IF(AND('Mapa final'!#REF!="Baja",'Mapa final'!#REF!="Leve"),CONCATENATE("R6C",'Mapa final'!#REF!),"")</f>
        <v>#REF!</v>
      </c>
      <c r="P41" s="67" t="str">
        <f>IF(AND('Mapa final'!$Y$38="Baja",'Mapa final'!$AA$38="Menor"),CONCATENATE("R6C",'Mapa final'!$O$38),"")</f>
        <v/>
      </c>
      <c r="Q41" s="68" t="str">
        <f>IF(AND('Mapa final'!$Y$39="Baja",'Mapa final'!$AA$39="Menor"),CONCATENATE("R6C",'Mapa final'!$O$39),"")</f>
        <v/>
      </c>
      <c r="R41" s="68" t="str">
        <f>IF(AND('Mapa final'!$Y$40="Baja",'Mapa final'!$AA$40="Menor"),CONCATENATE("R6C",'Mapa final'!$O$40),"")</f>
        <v/>
      </c>
      <c r="S41" s="68" t="e">
        <f>IF(AND('Mapa final'!#REF!="Baja",'Mapa final'!#REF!="Menor"),CONCATENATE("R6C",'Mapa final'!#REF!),"")</f>
        <v>#REF!</v>
      </c>
      <c r="T41" s="68" t="e">
        <f>IF(AND('Mapa final'!#REF!="Baja",'Mapa final'!#REF!="Menor"),CONCATENATE("R6C",'Mapa final'!#REF!),"")</f>
        <v>#REF!</v>
      </c>
      <c r="U41" s="69" t="e">
        <f>IF(AND('Mapa final'!#REF!="Baja",'Mapa final'!#REF!="Menor"),CONCATENATE("R6C",'Mapa final'!#REF!),"")</f>
        <v>#REF!</v>
      </c>
      <c r="V41" s="67" t="str">
        <f>IF(AND('Mapa final'!$Y$38="Baja",'Mapa final'!$AA$38="Moderado"),CONCATENATE("R6C",'Mapa final'!$O$38),"")</f>
        <v/>
      </c>
      <c r="W41" s="68" t="str">
        <f>IF(AND('Mapa final'!$Y$39="Baja",'Mapa final'!$AA$39="Moderado"),CONCATENATE("R6C",'Mapa final'!$O$39),"")</f>
        <v/>
      </c>
      <c r="X41" s="68" t="str">
        <f>IF(AND('Mapa final'!$Y$40="Baja",'Mapa final'!$AA$40="Moderado"),CONCATENATE("R6C",'Mapa final'!$O$40),"")</f>
        <v/>
      </c>
      <c r="Y41" s="68" t="e">
        <f>IF(AND('Mapa final'!#REF!="Baja",'Mapa final'!#REF!="Moderado"),CONCATENATE("R6C",'Mapa final'!#REF!),"")</f>
        <v>#REF!</v>
      </c>
      <c r="Z41" s="68" t="e">
        <f>IF(AND('Mapa final'!#REF!="Baja",'Mapa final'!#REF!="Moderado"),CONCATENATE("R6C",'Mapa final'!#REF!),"")</f>
        <v>#REF!</v>
      </c>
      <c r="AA41" s="69" t="e">
        <f>IF(AND('Mapa final'!#REF!="Baja",'Mapa final'!#REF!="Moderado"),CONCATENATE("R6C",'Mapa final'!#REF!),"")</f>
        <v>#REF!</v>
      </c>
      <c r="AB41" s="52" t="str">
        <f>IF(AND('Mapa final'!$Y$38="Baja",'Mapa final'!$AA$38="Mayor"),CONCATENATE("R6C",'Mapa final'!$O$38),"")</f>
        <v/>
      </c>
      <c r="AC41" s="53" t="str">
        <f>IF(AND('Mapa final'!$Y$39="Baja",'Mapa final'!$AA$39="Mayor"),CONCATENATE("R6C",'Mapa final'!$O$39),"")</f>
        <v/>
      </c>
      <c r="AD41" s="53" t="str">
        <f>IF(AND('Mapa final'!$Y$40="Baja",'Mapa final'!$AA$40="Mayor"),CONCATENATE("R6C",'Mapa final'!$O$40),"")</f>
        <v/>
      </c>
      <c r="AE41" s="53" t="e">
        <f>IF(AND('Mapa final'!#REF!="Baja",'Mapa final'!#REF!="Mayor"),CONCATENATE("R6C",'Mapa final'!#REF!),"")</f>
        <v>#REF!</v>
      </c>
      <c r="AF41" s="53" t="e">
        <f>IF(AND('Mapa final'!#REF!="Baja",'Mapa final'!#REF!="Mayor"),CONCATENATE("R6C",'Mapa final'!#REF!),"")</f>
        <v>#REF!</v>
      </c>
      <c r="AG41" s="54" t="e">
        <f>IF(AND('Mapa final'!#REF!="Baja",'Mapa final'!#REF!="Mayor"),CONCATENATE("R6C",'Mapa final'!#REF!),"")</f>
        <v>#REF!</v>
      </c>
      <c r="AH41" s="55" t="str">
        <f>IF(AND('Mapa final'!$Y$38="Baja",'Mapa final'!$AA$38="Catastrófico"),CONCATENATE("R6C",'Mapa final'!$O$38),"")</f>
        <v/>
      </c>
      <c r="AI41" s="56" t="str">
        <f>IF(AND('Mapa final'!$Y$39="Baja",'Mapa final'!$AA$39="Catastrófico"),CONCATENATE("R6C",'Mapa final'!$O$39),"")</f>
        <v/>
      </c>
      <c r="AJ41" s="56" t="str">
        <f>IF(AND('Mapa final'!$Y$40="Baja",'Mapa final'!$AA$40="Catastrófico"),CONCATENATE("R6C",'Mapa final'!$O$40),"")</f>
        <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3"/>
      <c r="AO41" s="399"/>
      <c r="AP41" s="400"/>
      <c r="AQ41" s="400"/>
      <c r="AR41" s="400"/>
      <c r="AS41" s="400"/>
      <c r="AT41" s="401"/>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327"/>
      <c r="C42" s="327"/>
      <c r="D42" s="328"/>
      <c r="E42" s="368"/>
      <c r="F42" s="369"/>
      <c r="G42" s="369"/>
      <c r="H42" s="369"/>
      <c r="I42" s="369"/>
      <c r="J42" s="76" t="e">
        <f>IF(AND('Mapa final'!#REF!="Baja",'Mapa final'!#REF!="Leve"),CONCATENATE("R7C",'Mapa final'!#REF!),"")</f>
        <v>#REF!</v>
      </c>
      <c r="K42" s="77" t="e">
        <f>IF(AND('Mapa final'!#REF!="Baja",'Mapa final'!#REF!="Leve"),CONCATENATE("R7C",'Mapa final'!#REF!),"")</f>
        <v>#REF!</v>
      </c>
      <c r="L42" s="77" t="e">
        <f>IF(AND('Mapa final'!#REF!="Baja",'Mapa final'!#REF!="Leve"),CONCATENATE("R7C",'Mapa final'!#REF!),"")</f>
        <v>#REF!</v>
      </c>
      <c r="M42" s="77" t="e">
        <f>IF(AND('Mapa final'!#REF!="Baja",'Mapa final'!#REF!="Leve"),CONCATENATE("R7C",'Mapa final'!#REF!),"")</f>
        <v>#REF!</v>
      </c>
      <c r="N42" s="77" t="e">
        <f>IF(AND('Mapa final'!#REF!="Baja",'Mapa final'!#REF!="Leve"),CONCATENATE("R7C",'Mapa final'!#REF!),"")</f>
        <v>#REF!</v>
      </c>
      <c r="O42" s="78" t="e">
        <f>IF(AND('Mapa final'!#REF!="Baja",'Mapa final'!#REF!="Leve"),CONCATENATE("R7C",'Mapa final'!#REF!),"")</f>
        <v>#REF!</v>
      </c>
      <c r="P42" s="67" t="e">
        <f>IF(AND('Mapa final'!#REF!="Baja",'Mapa final'!#REF!="Menor"),CONCATENATE("R7C",'Mapa final'!#REF!),"")</f>
        <v>#REF!</v>
      </c>
      <c r="Q42" s="68" t="e">
        <f>IF(AND('Mapa final'!#REF!="Baja",'Mapa final'!#REF!="Menor"),CONCATENATE("R7C",'Mapa final'!#REF!),"")</f>
        <v>#REF!</v>
      </c>
      <c r="R42" s="68" t="e">
        <f>IF(AND('Mapa final'!#REF!="Baja",'Mapa final'!#REF!="Menor"),CONCATENATE("R7C",'Mapa final'!#REF!),"")</f>
        <v>#REF!</v>
      </c>
      <c r="S42" s="68" t="e">
        <f>IF(AND('Mapa final'!#REF!="Baja",'Mapa final'!#REF!="Menor"),CONCATENATE("R7C",'Mapa final'!#REF!),"")</f>
        <v>#REF!</v>
      </c>
      <c r="T42" s="68" t="e">
        <f>IF(AND('Mapa final'!#REF!="Baja",'Mapa final'!#REF!="Menor"),CONCATENATE("R7C",'Mapa final'!#REF!),"")</f>
        <v>#REF!</v>
      </c>
      <c r="U42" s="69" t="e">
        <f>IF(AND('Mapa final'!#REF!="Baja",'Mapa final'!#REF!="Menor"),CONCATENATE("R7C",'Mapa final'!#REF!),"")</f>
        <v>#REF!</v>
      </c>
      <c r="V42" s="67" t="e">
        <f>IF(AND('Mapa final'!#REF!="Baja",'Mapa final'!#REF!="Moderado"),CONCATENATE("R7C",'Mapa final'!#REF!),"")</f>
        <v>#REF!</v>
      </c>
      <c r="W42" s="68" t="e">
        <f>IF(AND('Mapa final'!#REF!="Baja",'Mapa final'!#REF!="Moderado"),CONCATENATE("R7C",'Mapa final'!#REF!),"")</f>
        <v>#REF!</v>
      </c>
      <c r="X42" s="68" t="e">
        <f>IF(AND('Mapa final'!#REF!="Baja",'Mapa final'!#REF!="Moderado"),CONCATENATE("R7C",'Mapa final'!#REF!),"")</f>
        <v>#REF!</v>
      </c>
      <c r="Y42" s="68" t="e">
        <f>IF(AND('Mapa final'!#REF!="Baja",'Mapa final'!#REF!="Moderado"),CONCATENATE("R7C",'Mapa final'!#REF!),"")</f>
        <v>#REF!</v>
      </c>
      <c r="Z42" s="68" t="e">
        <f>IF(AND('Mapa final'!#REF!="Baja",'Mapa final'!#REF!="Moderado"),CONCATENATE("R7C",'Mapa final'!#REF!),"")</f>
        <v>#REF!</v>
      </c>
      <c r="AA42" s="69" t="e">
        <f>IF(AND('Mapa final'!#REF!="Baja",'Mapa final'!#REF!="Moderado"),CONCATENATE("R7C",'Mapa final'!#REF!),"")</f>
        <v>#REF!</v>
      </c>
      <c r="AB42" s="52" t="e">
        <f>IF(AND('Mapa final'!#REF!="Baja",'Mapa final'!#REF!="Mayor"),CONCATENATE("R7C",'Mapa final'!#REF!),"")</f>
        <v>#REF!</v>
      </c>
      <c r="AC42" s="53" t="e">
        <f>IF(AND('Mapa final'!#REF!="Baja",'Mapa final'!#REF!="Mayor"),CONCATENATE("R7C",'Mapa final'!#REF!),"")</f>
        <v>#REF!</v>
      </c>
      <c r="AD42" s="53" t="e">
        <f>IF(AND('Mapa final'!#REF!="Baja",'Mapa final'!#REF!="Mayor"),CONCATENATE("R7C",'Mapa final'!#REF!),"")</f>
        <v>#REF!</v>
      </c>
      <c r="AE42" s="53" t="e">
        <f>IF(AND('Mapa final'!#REF!="Baja",'Mapa final'!#REF!="Mayor"),CONCATENATE("R7C",'Mapa final'!#REF!),"")</f>
        <v>#REF!</v>
      </c>
      <c r="AF42" s="53" t="e">
        <f>IF(AND('Mapa final'!#REF!="Baja",'Mapa final'!#REF!="Mayor"),CONCATENATE("R7C",'Mapa final'!#REF!),"")</f>
        <v>#REF!</v>
      </c>
      <c r="AG42" s="54" t="e">
        <f>IF(AND('Mapa final'!#REF!="Baja",'Mapa final'!#REF!="Mayor"),CONCATENATE("R7C",'Mapa final'!#REF!),"")</f>
        <v>#REF!</v>
      </c>
      <c r="AH42" s="55" t="e">
        <f>IF(AND('Mapa final'!#REF!="Baja",'Mapa final'!#REF!="Catastrófico"),CONCATENATE("R7C",'Mapa final'!#REF!),"")</f>
        <v>#REF!</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3"/>
      <c r="AO42" s="399"/>
      <c r="AP42" s="400"/>
      <c r="AQ42" s="400"/>
      <c r="AR42" s="400"/>
      <c r="AS42" s="400"/>
      <c r="AT42" s="401"/>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327"/>
      <c r="C43" s="327"/>
      <c r="D43" s="328"/>
      <c r="E43" s="368"/>
      <c r="F43" s="369"/>
      <c r="G43" s="369"/>
      <c r="H43" s="369"/>
      <c r="I43" s="369"/>
      <c r="J43" s="76" t="e">
        <f>IF(AND('Mapa final'!#REF!="Baja",'Mapa final'!#REF!="Leve"),CONCATENATE("R8C",'Mapa final'!#REF!),"")</f>
        <v>#REF!</v>
      </c>
      <c r="K43" s="77" t="e">
        <f>IF(AND('Mapa final'!#REF!="Baja",'Mapa final'!#REF!="Leve"),CONCATENATE("R8C",'Mapa final'!#REF!),"")</f>
        <v>#REF!</v>
      </c>
      <c r="L43" s="77" t="e">
        <f>IF(AND('Mapa final'!#REF!="Baja",'Mapa final'!#REF!="Leve"),CONCATENATE("R8C",'Mapa final'!#REF!),"")</f>
        <v>#REF!</v>
      </c>
      <c r="M43" s="77" t="e">
        <f>IF(AND('Mapa final'!#REF!="Baja",'Mapa final'!#REF!="Leve"),CONCATENATE("R8C",'Mapa final'!#REF!),"")</f>
        <v>#REF!</v>
      </c>
      <c r="N43" s="77" t="e">
        <f>IF(AND('Mapa final'!#REF!="Baja",'Mapa final'!#REF!="Leve"),CONCATENATE("R8C",'Mapa final'!#REF!),"")</f>
        <v>#REF!</v>
      </c>
      <c r="O43" s="78" t="e">
        <f>IF(AND('Mapa final'!#REF!="Baja",'Mapa final'!#REF!="Leve"),CONCATENATE("R8C",'Mapa final'!#REF!),"")</f>
        <v>#REF!</v>
      </c>
      <c r="P43" s="67" t="e">
        <f>IF(AND('Mapa final'!#REF!="Baja",'Mapa final'!#REF!="Menor"),CONCATENATE("R8C",'Mapa final'!#REF!),"")</f>
        <v>#REF!</v>
      </c>
      <c r="Q43" s="68" t="e">
        <f>IF(AND('Mapa final'!#REF!="Baja",'Mapa final'!#REF!="Menor"),CONCATENATE("R8C",'Mapa final'!#REF!),"")</f>
        <v>#REF!</v>
      </c>
      <c r="R43" s="68" t="e">
        <f>IF(AND('Mapa final'!#REF!="Baja",'Mapa final'!#REF!="Menor"),CONCATENATE("R8C",'Mapa final'!#REF!),"")</f>
        <v>#REF!</v>
      </c>
      <c r="S43" s="68" t="e">
        <f>IF(AND('Mapa final'!#REF!="Baja",'Mapa final'!#REF!="Menor"),CONCATENATE("R8C",'Mapa final'!#REF!),"")</f>
        <v>#REF!</v>
      </c>
      <c r="T43" s="68" t="e">
        <f>IF(AND('Mapa final'!#REF!="Baja",'Mapa final'!#REF!="Menor"),CONCATENATE("R8C",'Mapa final'!#REF!),"")</f>
        <v>#REF!</v>
      </c>
      <c r="U43" s="69" t="e">
        <f>IF(AND('Mapa final'!#REF!="Baja",'Mapa final'!#REF!="Menor"),CONCATENATE("R8C",'Mapa final'!#REF!),"")</f>
        <v>#REF!</v>
      </c>
      <c r="V43" s="67" t="e">
        <f>IF(AND('Mapa final'!#REF!="Baja",'Mapa final'!#REF!="Moderado"),CONCATENATE("R8C",'Mapa final'!#REF!),"")</f>
        <v>#REF!</v>
      </c>
      <c r="W43" s="68" t="e">
        <f>IF(AND('Mapa final'!#REF!="Baja",'Mapa final'!#REF!="Moderado"),CONCATENATE("R8C",'Mapa final'!#REF!),"")</f>
        <v>#REF!</v>
      </c>
      <c r="X43" s="68" t="e">
        <f>IF(AND('Mapa final'!#REF!="Baja",'Mapa final'!#REF!="Moderado"),CONCATENATE("R8C",'Mapa final'!#REF!),"")</f>
        <v>#REF!</v>
      </c>
      <c r="Y43" s="68" t="e">
        <f>IF(AND('Mapa final'!#REF!="Baja",'Mapa final'!#REF!="Moderado"),CONCATENATE("R8C",'Mapa final'!#REF!),"")</f>
        <v>#REF!</v>
      </c>
      <c r="Z43" s="68" t="e">
        <f>IF(AND('Mapa final'!#REF!="Baja",'Mapa final'!#REF!="Moderado"),CONCATENATE("R8C",'Mapa final'!#REF!),"")</f>
        <v>#REF!</v>
      </c>
      <c r="AA43" s="69" t="e">
        <f>IF(AND('Mapa final'!#REF!="Baja",'Mapa final'!#REF!="Moderado"),CONCATENATE("R8C",'Mapa final'!#REF!),"")</f>
        <v>#REF!</v>
      </c>
      <c r="AB43" s="52" t="e">
        <f>IF(AND('Mapa final'!#REF!="Baja",'Mapa final'!#REF!="Mayor"),CONCATENATE("R8C",'Mapa final'!#REF!),"")</f>
        <v>#REF!</v>
      </c>
      <c r="AC43" s="53" t="e">
        <f>IF(AND('Mapa final'!#REF!="Baja",'Mapa final'!#REF!="Mayor"),CONCATENATE("R8C",'Mapa final'!#REF!),"")</f>
        <v>#REF!</v>
      </c>
      <c r="AD43" s="53" t="e">
        <f>IF(AND('Mapa final'!#REF!="Baja",'Mapa final'!#REF!="Mayor"),CONCATENATE("R8C",'Mapa final'!#REF!),"")</f>
        <v>#REF!</v>
      </c>
      <c r="AE43" s="53" t="e">
        <f>IF(AND('Mapa final'!#REF!="Baja",'Mapa final'!#REF!="Mayor"),CONCATENATE("R8C",'Mapa final'!#REF!),"")</f>
        <v>#REF!</v>
      </c>
      <c r="AF43" s="53" t="e">
        <f>IF(AND('Mapa final'!#REF!="Baja",'Mapa final'!#REF!="Mayor"),CONCATENATE("R8C",'Mapa final'!#REF!),"")</f>
        <v>#REF!</v>
      </c>
      <c r="AG43" s="54" t="e">
        <f>IF(AND('Mapa final'!#REF!="Baja",'Mapa final'!#REF!="Mayor"),CONCATENATE("R8C",'Mapa final'!#REF!),"")</f>
        <v>#REF!</v>
      </c>
      <c r="AH43" s="55" t="e">
        <f>IF(AND('Mapa final'!#REF!="Baja",'Mapa final'!#REF!="Catastrófico"),CONCATENATE("R8C",'Mapa final'!#REF!),"")</f>
        <v>#REF!</v>
      </c>
      <c r="AI43" s="56" t="e">
        <f>IF(AND('Mapa final'!#REF!="Baja",'Mapa final'!#REF!="Catastrófico"),CONCATENATE("R8C",'Mapa final'!#REF!),"")</f>
        <v>#REF!</v>
      </c>
      <c r="AJ43" s="56" t="e">
        <f>IF(AND('Mapa final'!#REF!="Baja",'Mapa final'!#REF!="Catastrófico"),CONCATENATE("R8C",'Mapa final'!#REF!),"")</f>
        <v>#REF!</v>
      </c>
      <c r="AK43" s="56" t="e">
        <f>IF(AND('Mapa final'!#REF!="Baja",'Mapa final'!#REF!="Catastrófico"),CONCATENATE("R8C",'Mapa final'!#REF!),"")</f>
        <v>#REF!</v>
      </c>
      <c r="AL43" s="56" t="e">
        <f>IF(AND('Mapa final'!#REF!="Baja",'Mapa final'!#REF!="Catastrófico"),CONCATENATE("R8C",'Mapa final'!#REF!),"")</f>
        <v>#REF!</v>
      </c>
      <c r="AM43" s="57" t="e">
        <f>IF(AND('Mapa final'!#REF!="Baja",'Mapa final'!#REF!="Catastrófico"),CONCATENATE("R8C",'Mapa final'!#REF!),"")</f>
        <v>#REF!</v>
      </c>
      <c r="AN43" s="83"/>
      <c r="AO43" s="399"/>
      <c r="AP43" s="400"/>
      <c r="AQ43" s="400"/>
      <c r="AR43" s="400"/>
      <c r="AS43" s="400"/>
      <c r="AT43" s="401"/>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327"/>
      <c r="C44" s="327"/>
      <c r="D44" s="328"/>
      <c r="E44" s="368"/>
      <c r="F44" s="369"/>
      <c r="G44" s="369"/>
      <c r="H44" s="369"/>
      <c r="I44" s="369"/>
      <c r="J44" s="76" t="e">
        <f>IF(AND('Mapa final'!#REF!="Baja",'Mapa final'!#REF!="Leve"),CONCATENATE("R9C",'Mapa final'!#REF!),"")</f>
        <v>#REF!</v>
      </c>
      <c r="K44" s="77" t="e">
        <f>IF(AND('Mapa final'!#REF!="Baja",'Mapa final'!#REF!="Leve"),CONCATENATE("R9C",'Mapa final'!#REF!),"")</f>
        <v>#REF!</v>
      </c>
      <c r="L44" s="77" t="e">
        <f>IF(AND('Mapa final'!#REF!="Baja",'Mapa final'!#REF!="Leve"),CONCATENATE("R9C",'Mapa final'!#REF!),"")</f>
        <v>#REF!</v>
      </c>
      <c r="M44" s="77" t="e">
        <f>IF(AND('Mapa final'!#REF!="Baja",'Mapa final'!#REF!="Leve"),CONCATENATE("R9C",'Mapa final'!#REF!),"")</f>
        <v>#REF!</v>
      </c>
      <c r="N44" s="77" t="e">
        <f>IF(AND('Mapa final'!#REF!="Baja",'Mapa final'!#REF!="Leve"),CONCATENATE("R9C",'Mapa final'!#REF!),"")</f>
        <v>#REF!</v>
      </c>
      <c r="O44" s="78" t="e">
        <f>IF(AND('Mapa final'!#REF!="Baja",'Mapa final'!#REF!="Leve"),CONCATENATE("R9C",'Mapa final'!#REF!),"")</f>
        <v>#REF!</v>
      </c>
      <c r="P44" s="67" t="e">
        <f>IF(AND('Mapa final'!#REF!="Baja",'Mapa final'!#REF!="Menor"),CONCATENATE("R9C",'Mapa final'!#REF!),"")</f>
        <v>#REF!</v>
      </c>
      <c r="Q44" s="68" t="e">
        <f>IF(AND('Mapa final'!#REF!="Baja",'Mapa final'!#REF!="Menor"),CONCATENATE("R9C",'Mapa final'!#REF!),"")</f>
        <v>#REF!</v>
      </c>
      <c r="R44" s="68" t="e">
        <f>IF(AND('Mapa final'!#REF!="Baja",'Mapa final'!#REF!="Menor"),CONCATENATE("R9C",'Mapa final'!#REF!),"")</f>
        <v>#REF!</v>
      </c>
      <c r="S44" s="68" t="e">
        <f>IF(AND('Mapa final'!#REF!="Baja",'Mapa final'!#REF!="Menor"),CONCATENATE("R9C",'Mapa final'!#REF!),"")</f>
        <v>#REF!</v>
      </c>
      <c r="T44" s="68" t="e">
        <f>IF(AND('Mapa final'!#REF!="Baja",'Mapa final'!#REF!="Menor"),CONCATENATE("R9C",'Mapa final'!#REF!),"")</f>
        <v>#REF!</v>
      </c>
      <c r="U44" s="69" t="e">
        <f>IF(AND('Mapa final'!#REF!="Baja",'Mapa final'!#REF!="Menor"),CONCATENATE("R9C",'Mapa final'!#REF!),"")</f>
        <v>#REF!</v>
      </c>
      <c r="V44" s="67" t="e">
        <f>IF(AND('Mapa final'!#REF!="Baja",'Mapa final'!#REF!="Moderado"),CONCATENATE("R9C",'Mapa final'!#REF!),"")</f>
        <v>#REF!</v>
      </c>
      <c r="W44" s="68" t="e">
        <f>IF(AND('Mapa final'!#REF!="Baja",'Mapa final'!#REF!="Moderado"),CONCATENATE("R9C",'Mapa final'!#REF!),"")</f>
        <v>#REF!</v>
      </c>
      <c r="X44" s="68" t="e">
        <f>IF(AND('Mapa final'!#REF!="Baja",'Mapa final'!#REF!="Moderado"),CONCATENATE("R9C",'Mapa final'!#REF!),"")</f>
        <v>#REF!</v>
      </c>
      <c r="Y44" s="68" t="e">
        <f>IF(AND('Mapa final'!#REF!="Baja",'Mapa final'!#REF!="Moderado"),CONCATENATE("R9C",'Mapa final'!#REF!),"")</f>
        <v>#REF!</v>
      </c>
      <c r="Z44" s="68" t="e">
        <f>IF(AND('Mapa final'!#REF!="Baja",'Mapa final'!#REF!="Moderado"),CONCATENATE("R9C",'Mapa final'!#REF!),"")</f>
        <v>#REF!</v>
      </c>
      <c r="AA44" s="69" t="e">
        <f>IF(AND('Mapa final'!#REF!="Baja",'Mapa final'!#REF!="Moderado"),CONCATENATE("R9C",'Mapa final'!#REF!),"")</f>
        <v>#REF!</v>
      </c>
      <c r="AB44" s="52" t="e">
        <f>IF(AND('Mapa final'!#REF!="Baja",'Mapa final'!#REF!="Mayor"),CONCATENATE("R9C",'Mapa final'!#REF!),"")</f>
        <v>#REF!</v>
      </c>
      <c r="AC44" s="53" t="e">
        <f>IF(AND('Mapa final'!#REF!="Baja",'Mapa final'!#REF!="Mayor"),CONCATENATE("R9C",'Mapa final'!#REF!),"")</f>
        <v>#REF!</v>
      </c>
      <c r="AD44" s="53" t="e">
        <f>IF(AND('Mapa final'!#REF!="Baja",'Mapa final'!#REF!="Mayor"),CONCATENATE("R9C",'Mapa final'!#REF!),"")</f>
        <v>#REF!</v>
      </c>
      <c r="AE44" s="53" t="e">
        <f>IF(AND('Mapa final'!#REF!="Baja",'Mapa final'!#REF!="Mayor"),CONCATENATE("R9C",'Mapa final'!#REF!),"")</f>
        <v>#REF!</v>
      </c>
      <c r="AF44" s="53" t="e">
        <f>IF(AND('Mapa final'!#REF!="Baja",'Mapa final'!#REF!="Mayor"),CONCATENATE("R9C",'Mapa final'!#REF!),"")</f>
        <v>#REF!</v>
      </c>
      <c r="AG44" s="54" t="e">
        <f>IF(AND('Mapa final'!#REF!="Baja",'Mapa final'!#REF!="Mayor"),CONCATENATE("R9C",'Mapa final'!#REF!),"")</f>
        <v>#REF!</v>
      </c>
      <c r="AH44" s="55" t="e">
        <f>IF(AND('Mapa final'!#REF!="Baja",'Mapa final'!#REF!="Catastrófico"),CONCATENATE("R9C",'Mapa final'!#REF!),"")</f>
        <v>#REF!</v>
      </c>
      <c r="AI44" s="56" t="e">
        <f>IF(AND('Mapa final'!#REF!="Baja",'Mapa final'!#REF!="Catastrófico"),CONCATENATE("R9C",'Mapa final'!#REF!),"")</f>
        <v>#REF!</v>
      </c>
      <c r="AJ44" s="56" t="e">
        <f>IF(AND('Mapa final'!#REF!="Baja",'Mapa final'!#REF!="Catastrófico"),CONCATENATE("R9C",'Mapa final'!#REF!),"")</f>
        <v>#REF!</v>
      </c>
      <c r="AK44" s="56" t="e">
        <f>IF(AND('Mapa final'!#REF!="Baja",'Mapa final'!#REF!="Catastrófico"),CONCATENATE("R9C",'Mapa final'!#REF!),"")</f>
        <v>#REF!</v>
      </c>
      <c r="AL44" s="56" t="e">
        <f>IF(AND('Mapa final'!#REF!="Baja",'Mapa final'!#REF!="Catastrófico"),CONCATENATE("R9C",'Mapa final'!#REF!),"")</f>
        <v>#REF!</v>
      </c>
      <c r="AM44" s="57" t="e">
        <f>IF(AND('Mapa final'!#REF!="Baja",'Mapa final'!#REF!="Catastrófico"),CONCATENATE("R9C",'Mapa final'!#REF!),"")</f>
        <v>#REF!</v>
      </c>
      <c r="AN44" s="83"/>
      <c r="AO44" s="399"/>
      <c r="AP44" s="400"/>
      <c r="AQ44" s="400"/>
      <c r="AR44" s="400"/>
      <c r="AS44" s="400"/>
      <c r="AT44" s="401"/>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327"/>
      <c r="C45" s="327"/>
      <c r="D45" s="328"/>
      <c r="E45" s="371"/>
      <c r="F45" s="372"/>
      <c r="G45" s="372"/>
      <c r="H45" s="372"/>
      <c r="I45" s="372"/>
      <c r="J45" s="79" t="e">
        <f>IF(AND('Mapa final'!#REF!="Baja",'Mapa final'!#REF!="Leve"),CONCATENATE("R10C",'Mapa final'!#REF!),"")</f>
        <v>#REF!</v>
      </c>
      <c r="K45" s="80" t="e">
        <f>IF(AND('Mapa final'!#REF!="Baja",'Mapa final'!#REF!="Leve"),CONCATENATE("R10C",'Mapa final'!#REF!),"")</f>
        <v>#REF!</v>
      </c>
      <c r="L45" s="80" t="e">
        <f>IF(AND('Mapa final'!#REF!="Baja",'Mapa final'!#REF!="Leve"),CONCATENATE("R10C",'Mapa final'!#REF!),"")</f>
        <v>#REF!</v>
      </c>
      <c r="M45" s="80" t="e">
        <f>IF(AND('Mapa final'!#REF!="Baja",'Mapa final'!#REF!="Leve"),CONCATENATE("R10C",'Mapa final'!#REF!),"")</f>
        <v>#REF!</v>
      </c>
      <c r="N45" s="80" t="e">
        <f>IF(AND('Mapa final'!#REF!="Baja",'Mapa final'!#REF!="Leve"),CONCATENATE("R10C",'Mapa final'!#REF!),"")</f>
        <v>#REF!</v>
      </c>
      <c r="O45" s="81" t="e">
        <f>IF(AND('Mapa final'!#REF!="Baja",'Mapa final'!#REF!="Leve"),CONCATENATE("R10C",'Mapa final'!#REF!),"")</f>
        <v>#REF!</v>
      </c>
      <c r="P45" s="67" t="e">
        <f>IF(AND('Mapa final'!#REF!="Baja",'Mapa final'!#REF!="Menor"),CONCATENATE("R10C",'Mapa final'!#REF!),"")</f>
        <v>#REF!</v>
      </c>
      <c r="Q45" s="68" t="e">
        <f>IF(AND('Mapa final'!#REF!="Baja",'Mapa final'!#REF!="Menor"),CONCATENATE("R10C",'Mapa final'!#REF!),"")</f>
        <v>#REF!</v>
      </c>
      <c r="R45" s="68" t="e">
        <f>IF(AND('Mapa final'!#REF!="Baja",'Mapa final'!#REF!="Menor"),CONCATENATE("R10C",'Mapa final'!#REF!),"")</f>
        <v>#REF!</v>
      </c>
      <c r="S45" s="68" t="e">
        <f>IF(AND('Mapa final'!#REF!="Baja",'Mapa final'!#REF!="Menor"),CONCATENATE("R10C",'Mapa final'!#REF!),"")</f>
        <v>#REF!</v>
      </c>
      <c r="T45" s="68" t="e">
        <f>IF(AND('Mapa final'!#REF!="Baja",'Mapa final'!#REF!="Menor"),CONCATENATE("R10C",'Mapa final'!#REF!),"")</f>
        <v>#REF!</v>
      </c>
      <c r="U45" s="69" t="e">
        <f>IF(AND('Mapa final'!#REF!="Baja",'Mapa final'!#REF!="Menor"),CONCATENATE("R10C",'Mapa final'!#REF!),"")</f>
        <v>#REF!</v>
      </c>
      <c r="V45" s="70" t="e">
        <f>IF(AND('Mapa final'!#REF!="Baja",'Mapa final'!#REF!="Moderado"),CONCATENATE("R10C",'Mapa final'!#REF!),"")</f>
        <v>#REF!</v>
      </c>
      <c r="W45" s="71" t="e">
        <f>IF(AND('Mapa final'!#REF!="Baja",'Mapa final'!#REF!="Moderado"),CONCATENATE("R10C",'Mapa final'!#REF!),"")</f>
        <v>#REF!</v>
      </c>
      <c r="X45" s="71" t="e">
        <f>IF(AND('Mapa final'!#REF!="Baja",'Mapa final'!#REF!="Moderado"),CONCATENATE("R10C",'Mapa final'!#REF!),"")</f>
        <v>#REF!</v>
      </c>
      <c r="Y45" s="71" t="e">
        <f>IF(AND('Mapa final'!#REF!="Baja",'Mapa final'!#REF!="Moderado"),CONCATENATE("R10C",'Mapa final'!#REF!),"")</f>
        <v>#REF!</v>
      </c>
      <c r="Z45" s="71" t="e">
        <f>IF(AND('Mapa final'!#REF!="Baja",'Mapa final'!#REF!="Moderado"),CONCATENATE("R10C",'Mapa final'!#REF!),"")</f>
        <v>#REF!</v>
      </c>
      <c r="AA45" s="72" t="e">
        <f>IF(AND('Mapa final'!#REF!="Baja",'Mapa final'!#REF!="Moderado"),CONCATENATE("R10C",'Mapa final'!#REF!),"")</f>
        <v>#REF!</v>
      </c>
      <c r="AB45" s="58" t="e">
        <f>IF(AND('Mapa final'!#REF!="Baja",'Mapa final'!#REF!="Mayor"),CONCATENATE("R10C",'Mapa final'!#REF!),"")</f>
        <v>#REF!</v>
      </c>
      <c r="AC45" s="59" t="e">
        <f>IF(AND('Mapa final'!#REF!="Baja",'Mapa final'!#REF!="Mayor"),CONCATENATE("R10C",'Mapa final'!#REF!),"")</f>
        <v>#REF!</v>
      </c>
      <c r="AD45" s="59" t="e">
        <f>IF(AND('Mapa final'!#REF!="Baja",'Mapa final'!#REF!="Mayor"),CONCATENATE("R10C",'Mapa final'!#REF!),"")</f>
        <v>#REF!</v>
      </c>
      <c r="AE45" s="59" t="e">
        <f>IF(AND('Mapa final'!#REF!="Baja",'Mapa final'!#REF!="Mayor"),CONCATENATE("R10C",'Mapa final'!#REF!),"")</f>
        <v>#REF!</v>
      </c>
      <c r="AF45" s="59" t="e">
        <f>IF(AND('Mapa final'!#REF!="Baja",'Mapa final'!#REF!="Mayor"),CONCATENATE("R10C",'Mapa final'!#REF!),"")</f>
        <v>#REF!</v>
      </c>
      <c r="AG45" s="60" t="e">
        <f>IF(AND('Mapa final'!#REF!="Baja",'Mapa final'!#REF!="Mayor"),CONCATENATE("R10C",'Mapa final'!#REF!),"")</f>
        <v>#REF!</v>
      </c>
      <c r="AH45" s="61" t="e">
        <f>IF(AND('Mapa final'!#REF!="Baja",'Mapa final'!#REF!="Catastrófico"),CONCATENATE("R10C",'Mapa final'!#REF!),"")</f>
        <v>#REF!</v>
      </c>
      <c r="AI45" s="62" t="e">
        <f>IF(AND('Mapa final'!#REF!="Baja",'Mapa final'!#REF!="Catastrófico"),CONCATENATE("R10C",'Mapa final'!#REF!),"")</f>
        <v>#REF!</v>
      </c>
      <c r="AJ45" s="62" t="e">
        <f>IF(AND('Mapa final'!#REF!="Baja",'Mapa final'!#REF!="Catastrófico"),CONCATENATE("R10C",'Mapa final'!#REF!),"")</f>
        <v>#REF!</v>
      </c>
      <c r="AK45" s="62" t="e">
        <f>IF(AND('Mapa final'!#REF!="Baja",'Mapa final'!#REF!="Catastrófico"),CONCATENATE("R10C",'Mapa final'!#REF!),"")</f>
        <v>#REF!</v>
      </c>
      <c r="AL45" s="62" t="e">
        <f>IF(AND('Mapa final'!#REF!="Baja",'Mapa final'!#REF!="Catastrófico"),CONCATENATE("R10C",'Mapa final'!#REF!),"")</f>
        <v>#REF!</v>
      </c>
      <c r="AM45" s="63" t="e">
        <f>IF(AND('Mapa final'!#REF!="Baja",'Mapa final'!#REF!="Catastrófico"),CONCATENATE("R10C",'Mapa final'!#REF!),"")</f>
        <v>#REF!</v>
      </c>
      <c r="AN45" s="83"/>
      <c r="AO45" s="402"/>
      <c r="AP45" s="403"/>
      <c r="AQ45" s="403"/>
      <c r="AR45" s="403"/>
      <c r="AS45" s="403"/>
      <c r="AT45" s="404"/>
    </row>
    <row r="46" spans="1:80" ht="46.5" customHeight="1" x14ac:dyDescent="0.35">
      <c r="A46" s="83"/>
      <c r="B46" s="327"/>
      <c r="C46" s="327"/>
      <c r="D46" s="328"/>
      <c r="E46" s="365" t="s">
        <v>100</v>
      </c>
      <c r="F46" s="366"/>
      <c r="G46" s="366"/>
      <c r="H46" s="366"/>
      <c r="I46" s="367"/>
      <c r="J46" s="73" t="str">
        <f>IF(AND('Mapa final'!$Y$23="Muy Baja",'Mapa final'!$AA$23="Leve"),CONCATENATE("R1C",'Mapa final'!$O$23),"")</f>
        <v/>
      </c>
      <c r="K46" s="74" t="str">
        <f>IF(AND('Mapa final'!$Y$24="Muy Baja",'Mapa final'!$AA$24="Leve"),CONCATENATE("R1C",'Mapa final'!$O$24),"")</f>
        <v/>
      </c>
      <c r="L46" s="74" t="str">
        <f>IF(AND('Mapa final'!$Y$25="Muy Baja",'Mapa final'!$AA$25="Leve"),CONCATENATE("R1C",'Mapa final'!$O$25),"")</f>
        <v/>
      </c>
      <c r="M46" s="74" t="str">
        <f>IF(AND('Mapa final'!$Y$26="Muy Baja",'Mapa final'!$AA$26="Leve"),CONCATENATE("R1C",'Mapa final'!$O$26),"")</f>
        <v/>
      </c>
      <c r="N46" s="74" t="str">
        <f>IF(AND('Mapa final'!$Y$27="Muy Baja",'Mapa final'!$AA$27="Leve"),CONCATENATE("R1C",'Mapa final'!$O$27),"")</f>
        <v/>
      </c>
      <c r="O46" s="75" t="str">
        <f>IF(AND('Mapa final'!$Y$28="Muy Baja",'Mapa final'!$AA$28="Leve"),CONCATENATE("R1C",'Mapa final'!$O$28),"")</f>
        <v/>
      </c>
      <c r="P46" s="73" t="str">
        <f>IF(AND('Mapa final'!$Y$23="Muy Baja",'Mapa final'!$AA$23="Menor"),CONCATENATE("R1C",'Mapa final'!$O$23),"")</f>
        <v/>
      </c>
      <c r="Q46" s="74" t="str">
        <f>IF(AND('Mapa final'!$Y$24="Muy Baja",'Mapa final'!$AA$24="Menor"),CONCATENATE("R1C",'Mapa final'!$O$24),"")</f>
        <v/>
      </c>
      <c r="R46" s="74" t="str">
        <f>IF(AND('Mapa final'!$Y$25="Muy Baja",'Mapa final'!$AA$25="Menor"),CONCATENATE("R1C",'Mapa final'!$O$25),"")</f>
        <v/>
      </c>
      <c r="S46" s="74" t="str">
        <f>IF(AND('Mapa final'!$Y$26="Muy Baja",'Mapa final'!$AA$26="Menor"),CONCATENATE("R1C",'Mapa final'!$O$26),"")</f>
        <v/>
      </c>
      <c r="T46" s="74" t="str">
        <f>IF(AND('Mapa final'!$Y$27="Muy Baja",'Mapa final'!$AA$27="Menor"),CONCATENATE("R1C",'Mapa final'!$O$27),"")</f>
        <v/>
      </c>
      <c r="U46" s="75" t="str">
        <f>IF(AND('Mapa final'!$Y$28="Muy Baja",'Mapa final'!$AA$28="Menor"),CONCATENATE("R1C",'Mapa final'!$O$28),"")</f>
        <v/>
      </c>
      <c r="V46" s="64" t="str">
        <f>IF(AND('Mapa final'!$Y$23="Muy Baja",'Mapa final'!$AA$23="Moderado"),CONCATENATE("R1C",'Mapa final'!$O$23),"")</f>
        <v/>
      </c>
      <c r="W46" s="82" t="str">
        <f>IF(AND('Mapa final'!$Y$24="Muy Baja",'Mapa final'!$AA$24="Moderado"),CONCATENATE("R1C",'Mapa final'!$O$24),"")</f>
        <v/>
      </c>
      <c r="X46" s="65" t="str">
        <f>IF(AND('Mapa final'!$Y$25="Muy Baja",'Mapa final'!$AA$25="Moderado"),CONCATENATE("R1C",'Mapa final'!$O$25),"")</f>
        <v/>
      </c>
      <c r="Y46" s="65" t="str">
        <f>IF(AND('Mapa final'!$Y$26="Muy Baja",'Mapa final'!$AA$26="Moderado"),CONCATENATE("R1C",'Mapa final'!$O$26),"")</f>
        <v/>
      </c>
      <c r="Z46" s="65" t="str">
        <f>IF(AND('Mapa final'!$Y$27="Muy Baja",'Mapa final'!$AA$27="Moderado"),CONCATENATE("R1C",'Mapa final'!$O$27),"")</f>
        <v/>
      </c>
      <c r="AA46" s="66" t="str">
        <f>IF(AND('Mapa final'!$Y$28="Muy Baja",'Mapa final'!$AA$28="Moderado"),CONCATENATE("R1C",'Mapa final'!$O$28),"")</f>
        <v/>
      </c>
      <c r="AB46" s="46" t="str">
        <f>IF(AND('Mapa final'!$Y$23="Muy Baja",'Mapa final'!$AA$23="Mayor"),CONCATENATE("R1C",'Mapa final'!$O$23),"")</f>
        <v/>
      </c>
      <c r="AC46" s="47" t="str">
        <f>IF(AND('Mapa final'!$Y$24="Muy Baja",'Mapa final'!$AA$24="Mayor"),CONCATENATE("R1C",'Mapa final'!$O$24),"")</f>
        <v/>
      </c>
      <c r="AD46" s="47" t="str">
        <f>IF(AND('Mapa final'!$Y$25="Muy Baja",'Mapa final'!$AA$25="Mayor"),CONCATENATE("R1C",'Mapa final'!$O$25),"")</f>
        <v/>
      </c>
      <c r="AE46" s="47" t="str">
        <f>IF(AND('Mapa final'!$Y$26="Muy Baja",'Mapa final'!$AA$26="Mayor"),CONCATENATE("R1C",'Mapa final'!$O$26),"")</f>
        <v/>
      </c>
      <c r="AF46" s="47" t="str">
        <f>IF(AND('Mapa final'!$Y$27="Muy Baja",'Mapa final'!$AA$27="Mayor"),CONCATENATE("R1C",'Mapa final'!$O$27),"")</f>
        <v/>
      </c>
      <c r="AG46" s="48" t="str">
        <f>IF(AND('Mapa final'!$Y$28="Muy Baja",'Mapa final'!$AA$28="Mayor"),CONCATENATE("R1C",'Mapa final'!$O$28),"")</f>
        <v/>
      </c>
      <c r="AH46" s="49" t="str">
        <f>IF(AND('Mapa final'!$Y$23="Muy Baja",'Mapa final'!$AA$23="Catastrófico"),CONCATENATE("R1C",'Mapa final'!$O$23),"")</f>
        <v/>
      </c>
      <c r="AI46" s="50" t="str">
        <f>IF(AND('Mapa final'!$Y$24="Muy Baja",'Mapa final'!$AA$24="Catastrófico"),CONCATENATE("R1C",'Mapa final'!$O$24),"")</f>
        <v/>
      </c>
      <c r="AJ46" s="50" t="str">
        <f>IF(AND('Mapa final'!$Y$25="Muy Baja",'Mapa final'!$AA$25="Catastrófico"),CONCATENATE("R1C",'Mapa final'!$O$25),"")</f>
        <v/>
      </c>
      <c r="AK46" s="50" t="str">
        <f>IF(AND('Mapa final'!$Y$26="Muy Baja",'Mapa final'!$AA$26="Catastrófico"),CONCATENATE("R1C",'Mapa final'!$O$26),"")</f>
        <v/>
      </c>
      <c r="AL46" s="50" t="str">
        <f>IF(AND('Mapa final'!$Y$27="Muy Baja",'Mapa final'!$AA$27="Catastrófico"),CONCATENATE("R1C",'Mapa final'!$O$27),"")</f>
        <v/>
      </c>
      <c r="AM46" s="51" t="str">
        <f>IF(AND('Mapa final'!$Y$28="Muy Baja",'Mapa final'!$AA$28="Catastrófico"),CONCATENATE("R1C",'Mapa final'!$O$28),"")</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327"/>
      <c r="C47" s="327"/>
      <c r="D47" s="328"/>
      <c r="E47" s="384"/>
      <c r="F47" s="369"/>
      <c r="G47" s="369"/>
      <c r="H47" s="369"/>
      <c r="I47" s="370"/>
      <c r="J47" s="76" t="str">
        <f>IF(AND('Mapa final'!$Y$29="Muy Baja",'Mapa final'!$AA$29="Leve"),CONCATENATE("R2C",'Mapa final'!$O$29),"")</f>
        <v/>
      </c>
      <c r="K47" s="77" t="str">
        <f>IF(AND('Mapa final'!$Y$30="Muy Baja",'Mapa final'!$AA$30="Leve"),CONCATENATE("R2C",'Mapa final'!$O$30),"")</f>
        <v>R2C2</v>
      </c>
      <c r="L47" s="77" t="e">
        <f>IF(AND('Mapa final'!#REF!="Muy Baja",'Mapa final'!#REF!="Leve"),CONCATENATE("R2C",'Mapa final'!#REF!),"")</f>
        <v>#REF!</v>
      </c>
      <c r="M47" s="77" t="e">
        <f>IF(AND('Mapa final'!#REF!="Muy Baja",'Mapa final'!#REF!="Leve"),CONCATENATE("R2C",'Mapa final'!#REF!),"")</f>
        <v>#REF!</v>
      </c>
      <c r="N47" s="77" t="e">
        <f>IF(AND('Mapa final'!#REF!="Muy Baja",'Mapa final'!#REF!="Leve"),CONCATENATE("R2C",'Mapa final'!#REF!),"")</f>
        <v>#REF!</v>
      </c>
      <c r="O47" s="78" t="e">
        <f>IF(AND('Mapa final'!#REF!="Muy Baja",'Mapa final'!#REF!="Leve"),CONCATENATE("R2C",'Mapa final'!#REF!),"")</f>
        <v>#REF!</v>
      </c>
      <c r="P47" s="76" t="str">
        <f>IF(AND('Mapa final'!$Y$29="Muy Baja",'Mapa final'!$AA$29="Menor"),CONCATENATE("R2C",'Mapa final'!$O$29),"")</f>
        <v/>
      </c>
      <c r="Q47" s="77" t="str">
        <f>IF(AND('Mapa final'!$Y$30="Muy Baja",'Mapa final'!$AA$30="Menor"),CONCATENATE("R2C",'Mapa final'!$O$30),"")</f>
        <v/>
      </c>
      <c r="R47" s="77" t="e">
        <f>IF(AND('Mapa final'!#REF!="Muy Baja",'Mapa final'!#REF!="Menor"),CONCATENATE("R2C",'Mapa final'!#REF!),"")</f>
        <v>#REF!</v>
      </c>
      <c r="S47" s="77" t="e">
        <f>IF(AND('Mapa final'!#REF!="Muy Baja",'Mapa final'!#REF!="Menor"),CONCATENATE("R2C",'Mapa final'!#REF!),"")</f>
        <v>#REF!</v>
      </c>
      <c r="T47" s="77" t="e">
        <f>IF(AND('Mapa final'!#REF!="Muy Baja",'Mapa final'!#REF!="Menor"),CONCATENATE("R2C",'Mapa final'!#REF!),"")</f>
        <v>#REF!</v>
      </c>
      <c r="U47" s="78" t="e">
        <f>IF(AND('Mapa final'!#REF!="Muy Baja",'Mapa final'!#REF!="Menor"),CONCATENATE("R2C",'Mapa final'!#REF!),"")</f>
        <v>#REF!</v>
      </c>
      <c r="V47" s="67" t="str">
        <f>IF(AND('Mapa final'!$Y$29="Muy Baja",'Mapa final'!$AA$29="Moderado"),CONCATENATE("R2C",'Mapa final'!$O$29),"")</f>
        <v/>
      </c>
      <c r="W47" s="68" t="str">
        <f>IF(AND('Mapa final'!$Y$30="Muy Baja",'Mapa final'!$AA$30="Moderado"),CONCATENATE("R2C",'Mapa final'!$O$30),"")</f>
        <v/>
      </c>
      <c r="X47" s="68" t="e">
        <f>IF(AND('Mapa final'!#REF!="Muy Baja",'Mapa final'!#REF!="Moderado"),CONCATENATE("R2C",'Mapa final'!#REF!),"")</f>
        <v>#REF!</v>
      </c>
      <c r="Y47" s="68" t="e">
        <f>IF(AND('Mapa final'!#REF!="Muy Baja",'Mapa final'!#REF!="Moderado"),CONCATENATE("R2C",'Mapa final'!#REF!),"")</f>
        <v>#REF!</v>
      </c>
      <c r="Z47" s="68" t="e">
        <f>IF(AND('Mapa final'!#REF!="Muy Baja",'Mapa final'!#REF!="Moderado"),CONCATENATE("R2C",'Mapa final'!#REF!),"")</f>
        <v>#REF!</v>
      </c>
      <c r="AA47" s="69" t="e">
        <f>IF(AND('Mapa final'!#REF!="Muy Baja",'Mapa final'!#REF!="Moderado"),CONCATENATE("R2C",'Mapa final'!#REF!),"")</f>
        <v>#REF!</v>
      </c>
      <c r="AB47" s="52" t="str">
        <f>IF(AND('Mapa final'!$Y$29="Muy Baja",'Mapa final'!$AA$29="Mayor"),CONCATENATE("R2C",'Mapa final'!$O$29),"")</f>
        <v/>
      </c>
      <c r="AC47" s="53" t="str">
        <f>IF(AND('Mapa final'!$Y$30="Muy Baja",'Mapa final'!$AA$30="Mayor"),CONCATENATE("R2C",'Mapa final'!$O$30),"")</f>
        <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final'!$Y$29="Muy Baja",'Mapa final'!$AA$29="Catastrófico"),CONCATENATE("R2C",'Mapa final'!$O$29),"")</f>
        <v/>
      </c>
      <c r="AI47" s="56" t="str">
        <f>IF(AND('Mapa final'!$Y$30="Muy Baja",'Mapa final'!$AA$30="Catastrófico"),CONCATENATE("R2C",'Mapa final'!$O$30),"")</f>
        <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327"/>
      <c r="C48" s="327"/>
      <c r="D48" s="328"/>
      <c r="E48" s="384"/>
      <c r="F48" s="369"/>
      <c r="G48" s="369"/>
      <c r="H48" s="369"/>
      <c r="I48" s="370"/>
      <c r="J48" s="76" t="str">
        <f>IF(AND('Mapa final'!$Y$31="Muy Baja",'Mapa final'!$AA$31="Leve"),CONCATENATE("R3C",'Mapa final'!$O$31),"")</f>
        <v/>
      </c>
      <c r="K48" s="77" t="str">
        <f>IF(AND('Mapa final'!$Y$32="Muy Baja",'Mapa final'!$AA$32="Leve"),CONCATENATE("R3C",'Mapa final'!$O$32),"")</f>
        <v/>
      </c>
      <c r="L48" s="77" t="str">
        <f>IF(AND('Mapa final'!$Y$33="Muy Baja",'Mapa final'!$AA$33="Leve"),CONCATENATE("R3C",'Mapa final'!$O$33),"")</f>
        <v/>
      </c>
      <c r="M48" s="77" t="e">
        <f>IF(AND('Mapa final'!#REF!="Muy Baja",'Mapa final'!#REF!="Leve"),CONCATENATE("R3C",'Mapa final'!#REF!),"")</f>
        <v>#REF!</v>
      </c>
      <c r="N48" s="77" t="e">
        <f>IF(AND('Mapa final'!#REF!="Muy Baja",'Mapa final'!#REF!="Leve"),CONCATENATE("R3C",'Mapa final'!#REF!),"")</f>
        <v>#REF!</v>
      </c>
      <c r="O48" s="78" t="e">
        <f>IF(AND('Mapa final'!#REF!="Muy Baja",'Mapa final'!#REF!="Leve"),CONCATENATE("R3C",'Mapa final'!#REF!),"")</f>
        <v>#REF!</v>
      </c>
      <c r="P48" s="76" t="str">
        <f>IF(AND('Mapa final'!$Y$31="Muy Baja",'Mapa final'!$AA$31="Menor"),CONCATENATE("R3C",'Mapa final'!$O$31),"")</f>
        <v/>
      </c>
      <c r="Q48" s="77" t="str">
        <f>IF(AND('Mapa final'!$Y$32="Muy Baja",'Mapa final'!$AA$32="Menor"),CONCATENATE("R3C",'Mapa final'!$O$32),"")</f>
        <v/>
      </c>
      <c r="R48" s="77" t="str">
        <f>IF(AND('Mapa final'!$Y$33="Muy Baja",'Mapa final'!$AA$33="Menor"),CONCATENATE("R3C",'Mapa final'!$O$33),"")</f>
        <v/>
      </c>
      <c r="S48" s="77" t="e">
        <f>IF(AND('Mapa final'!#REF!="Muy Baja",'Mapa final'!#REF!="Menor"),CONCATENATE("R3C",'Mapa final'!#REF!),"")</f>
        <v>#REF!</v>
      </c>
      <c r="T48" s="77" t="e">
        <f>IF(AND('Mapa final'!#REF!="Muy Baja",'Mapa final'!#REF!="Menor"),CONCATENATE("R3C",'Mapa final'!#REF!),"")</f>
        <v>#REF!</v>
      </c>
      <c r="U48" s="78" t="e">
        <f>IF(AND('Mapa final'!#REF!="Muy Baja",'Mapa final'!#REF!="Menor"),CONCATENATE("R3C",'Mapa final'!#REF!),"")</f>
        <v>#REF!</v>
      </c>
      <c r="V48" s="67" t="str">
        <f>IF(AND('Mapa final'!$Y$31="Muy Baja",'Mapa final'!$AA$31="Moderado"),CONCATENATE("R3C",'Mapa final'!$O$31),"")</f>
        <v/>
      </c>
      <c r="W48" s="68" t="str">
        <f>IF(AND('Mapa final'!$Y$32="Muy Baja",'Mapa final'!$AA$32="Moderado"),CONCATENATE("R3C",'Mapa final'!$O$32),"")</f>
        <v/>
      </c>
      <c r="X48" s="68" t="str">
        <f>IF(AND('Mapa final'!$Y$33="Muy Baja",'Mapa final'!$AA$33="Moderado"),CONCATENATE("R3C",'Mapa final'!$O$33),"")</f>
        <v/>
      </c>
      <c r="Y48" s="68" t="e">
        <f>IF(AND('Mapa final'!#REF!="Muy Baja",'Mapa final'!#REF!="Moderado"),CONCATENATE("R3C",'Mapa final'!#REF!),"")</f>
        <v>#REF!</v>
      </c>
      <c r="Z48" s="68" t="e">
        <f>IF(AND('Mapa final'!#REF!="Muy Baja",'Mapa final'!#REF!="Moderado"),CONCATENATE("R3C",'Mapa final'!#REF!),"")</f>
        <v>#REF!</v>
      </c>
      <c r="AA48" s="69" t="e">
        <f>IF(AND('Mapa final'!#REF!="Muy Baja",'Mapa final'!#REF!="Moderado"),CONCATENATE("R3C",'Mapa final'!#REF!),"")</f>
        <v>#REF!</v>
      </c>
      <c r="AB48" s="52" t="str">
        <f>IF(AND('Mapa final'!$Y$31="Muy Baja",'Mapa final'!$AA$31="Mayor"),CONCATENATE("R3C",'Mapa final'!$O$31),"")</f>
        <v/>
      </c>
      <c r="AC48" s="53" t="str">
        <f>IF(AND('Mapa final'!$Y$32="Muy Baja",'Mapa final'!$AA$32="Mayor"),CONCATENATE("R3C",'Mapa final'!$O$32),"")</f>
        <v/>
      </c>
      <c r="AD48" s="53" t="str">
        <f>IF(AND('Mapa final'!$Y$33="Muy Baja",'Mapa final'!$AA$33="Mayor"),CONCATENATE("R3C",'Mapa final'!$O$33),"")</f>
        <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final'!$Y$31="Muy Baja",'Mapa final'!$AA$31="Catastrófico"),CONCATENATE("R3C",'Mapa final'!$O$31),"")</f>
        <v/>
      </c>
      <c r="AI48" s="56" t="str">
        <f>IF(AND('Mapa final'!$Y$32="Muy Baja",'Mapa final'!$AA$32="Catastrófico"),CONCATENATE("R3C",'Mapa final'!$O$32),"")</f>
        <v/>
      </c>
      <c r="AJ48" s="56" t="str">
        <f>IF(AND('Mapa final'!$Y$33="Muy Baja",'Mapa final'!$AA$33="Catastrófico"),CONCATENATE("R3C",'Mapa final'!$O$33),"")</f>
        <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327"/>
      <c r="C49" s="327"/>
      <c r="D49" s="328"/>
      <c r="E49" s="368"/>
      <c r="F49" s="369"/>
      <c r="G49" s="369"/>
      <c r="H49" s="369"/>
      <c r="I49" s="370"/>
      <c r="J49" s="76" t="str">
        <f>IF(AND('Mapa final'!$Y$34="Muy Baja",'Mapa final'!$AA$34="Leve"),CONCATENATE("R4C",'Mapa final'!$O$34),"")</f>
        <v/>
      </c>
      <c r="K49" s="77" t="e">
        <f>IF(AND('Mapa final'!#REF!="Muy Baja",'Mapa final'!#REF!="Leve"),CONCATENATE("R4C",'Mapa final'!#REF!),"")</f>
        <v>#REF!</v>
      </c>
      <c r="L49" s="77" t="str">
        <f>IF(AND('Mapa final'!$Y$35="Muy Baja",'Mapa final'!$AA$35="Leve"),CONCATENATE("R4C",'Mapa final'!$O$35),"")</f>
        <v>R4C2</v>
      </c>
      <c r="M49" s="77" t="str">
        <f>IF(AND('Mapa final'!$Y$36="Muy Baja",'Mapa final'!$AA$36="Leve"),CONCATENATE("R4C",'Mapa final'!$O$36),"")</f>
        <v/>
      </c>
      <c r="N49" s="77" t="e">
        <f>IF(AND('Mapa final'!#REF!="Muy Baja",'Mapa final'!#REF!="Leve"),CONCATENATE("R4C",'Mapa final'!#REF!),"")</f>
        <v>#REF!</v>
      </c>
      <c r="O49" s="78" t="e">
        <f>IF(AND('Mapa final'!#REF!="Muy Baja",'Mapa final'!#REF!="Leve"),CONCATENATE("R4C",'Mapa final'!#REF!),"")</f>
        <v>#REF!</v>
      </c>
      <c r="P49" s="76" t="str">
        <f>IF(AND('Mapa final'!$Y$34="Muy Baja",'Mapa final'!$AA$34="Menor"),CONCATENATE("R4C",'Mapa final'!$O$34),"")</f>
        <v/>
      </c>
      <c r="Q49" s="77" t="e">
        <f>IF(AND('Mapa final'!#REF!="Muy Baja",'Mapa final'!#REF!="Menor"),CONCATENATE("R4C",'Mapa final'!#REF!),"")</f>
        <v>#REF!</v>
      </c>
      <c r="R49" s="77" t="str">
        <f>IF(AND('Mapa final'!$Y$35="Muy Baja",'Mapa final'!$AA$35="Menor"),CONCATENATE("R4C",'Mapa final'!$O$35),"")</f>
        <v/>
      </c>
      <c r="S49" s="77" t="str">
        <f>IF(AND('Mapa final'!$Y$36="Muy Baja",'Mapa final'!$AA$36="Menor"),CONCATENATE("R4C",'Mapa final'!$O$36),"")</f>
        <v/>
      </c>
      <c r="T49" s="77" t="e">
        <f>IF(AND('Mapa final'!#REF!="Muy Baja",'Mapa final'!#REF!="Menor"),CONCATENATE("R4C",'Mapa final'!#REF!),"")</f>
        <v>#REF!</v>
      </c>
      <c r="U49" s="78" t="e">
        <f>IF(AND('Mapa final'!#REF!="Muy Baja",'Mapa final'!#REF!="Menor"),CONCATENATE("R4C",'Mapa final'!#REF!),"")</f>
        <v>#REF!</v>
      </c>
      <c r="V49" s="67" t="str">
        <f>IF(AND('Mapa final'!$Y$34="Muy Baja",'Mapa final'!$AA$34="Moderado"),CONCATENATE("R4C",'Mapa final'!$O$34),"")</f>
        <v/>
      </c>
      <c r="W49" s="68" t="e">
        <f>IF(AND('Mapa final'!#REF!="Muy Baja",'Mapa final'!#REF!="Moderado"),CONCATENATE("R4C",'Mapa final'!#REF!),"")</f>
        <v>#REF!</v>
      </c>
      <c r="X49" s="68" t="str">
        <f>IF(AND('Mapa final'!$Y$35="Muy Baja",'Mapa final'!$AA$35="Moderado"),CONCATENATE("R4C",'Mapa final'!$O$35),"")</f>
        <v/>
      </c>
      <c r="Y49" s="68" t="str">
        <f>IF(AND('Mapa final'!$Y$36="Muy Baja",'Mapa final'!$AA$36="Moderado"),CONCATENATE("R4C",'Mapa final'!$O$36),"")</f>
        <v/>
      </c>
      <c r="Z49" s="68" t="e">
        <f>IF(AND('Mapa final'!#REF!="Muy Baja",'Mapa final'!#REF!="Moderado"),CONCATENATE("R4C",'Mapa final'!#REF!),"")</f>
        <v>#REF!</v>
      </c>
      <c r="AA49" s="69" t="e">
        <f>IF(AND('Mapa final'!#REF!="Muy Baja",'Mapa final'!#REF!="Moderado"),CONCATENATE("R4C",'Mapa final'!#REF!),"")</f>
        <v>#REF!</v>
      </c>
      <c r="AB49" s="52" t="str">
        <f>IF(AND('Mapa final'!$Y$34="Muy Baja",'Mapa final'!$AA$34="Mayor"),CONCATENATE("R4C",'Mapa final'!$O$34),"")</f>
        <v/>
      </c>
      <c r="AC49" s="53" t="e">
        <f>IF(AND('Mapa final'!#REF!="Muy Baja",'Mapa final'!#REF!="Mayor"),CONCATENATE("R4C",'Mapa final'!#REF!),"")</f>
        <v>#REF!</v>
      </c>
      <c r="AD49" s="53" t="str">
        <f>IF(AND('Mapa final'!$Y$35="Muy Baja",'Mapa final'!$AA$35="Mayor"),CONCATENATE("R4C",'Mapa final'!$O$35),"")</f>
        <v/>
      </c>
      <c r="AE49" s="53" t="str">
        <f>IF(AND('Mapa final'!$Y$36="Muy Baja",'Mapa final'!$AA$36="Mayor"),CONCATENATE("R4C",'Mapa final'!$O$36),"")</f>
        <v/>
      </c>
      <c r="AF49" s="53" t="e">
        <f>IF(AND('Mapa final'!#REF!="Muy Baja",'Mapa final'!#REF!="Mayor"),CONCATENATE("R4C",'Mapa final'!#REF!),"")</f>
        <v>#REF!</v>
      </c>
      <c r="AG49" s="54" t="e">
        <f>IF(AND('Mapa final'!#REF!="Muy Baja",'Mapa final'!#REF!="Mayor"),CONCATENATE("R4C",'Mapa final'!#REF!),"")</f>
        <v>#REF!</v>
      </c>
      <c r="AH49" s="55" t="str">
        <f>IF(AND('Mapa final'!$Y$34="Muy Baja",'Mapa final'!$AA$34="Catastrófico"),CONCATENATE("R4C",'Mapa final'!$O$34),"")</f>
        <v/>
      </c>
      <c r="AI49" s="56" t="e">
        <f>IF(AND('Mapa final'!#REF!="Muy Baja",'Mapa final'!#REF!="Catastrófico"),CONCATENATE("R4C",'Mapa final'!#REF!),"")</f>
        <v>#REF!</v>
      </c>
      <c r="AJ49" s="56" t="str">
        <f>IF(AND('Mapa final'!$Y$35="Muy Baja",'Mapa final'!$AA$35="Catastrófico"),CONCATENATE("R4C",'Mapa final'!$O$35),"")</f>
        <v/>
      </c>
      <c r="AK49" s="56" t="str">
        <f>IF(AND('Mapa final'!$Y$36="Muy Baja",'Mapa final'!$AA$36="Catastrófico"),CONCATENATE("R4C",'Mapa final'!$O$36),"")</f>
        <v/>
      </c>
      <c r="AL49" s="56" t="e">
        <f>IF(AND('Mapa final'!#REF!="Muy Baja",'Mapa final'!#REF!="Catastrófico"),CONCATENATE("R4C",'Mapa final'!#REF!),"")</f>
        <v>#REF!</v>
      </c>
      <c r="AM49" s="57" t="e">
        <f>IF(AND('Mapa final'!#REF!="Muy Baja",'Mapa final'!#REF!="Catastrófico"),CONCATENATE("R4C",'Mapa final'!#REF!),"")</f>
        <v>#REF!</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327"/>
      <c r="C50" s="327"/>
      <c r="D50" s="328"/>
      <c r="E50" s="368"/>
      <c r="F50" s="369"/>
      <c r="G50" s="369"/>
      <c r="H50" s="369"/>
      <c r="I50" s="370"/>
      <c r="J50" s="76" t="str">
        <f>IF(AND('Mapa final'!$Y$37="Muy Baja",'Mapa final'!$AA$37="Leve"),CONCATENATE("R5C",'Mapa final'!$O$37),"")</f>
        <v/>
      </c>
      <c r="K50" s="77" t="e">
        <f>IF(AND('Mapa final'!#REF!="Muy Baja",'Mapa final'!#REF!="Leve"),CONCATENATE("R5C",'Mapa final'!#REF!),"")</f>
        <v>#REF!</v>
      </c>
      <c r="L50" s="77" t="e">
        <f>IF(AND('Mapa final'!#REF!="Muy Baja",'Mapa final'!#REF!="Leve"),CONCATENATE("R5C",'Mapa final'!#REF!),"")</f>
        <v>#REF!</v>
      </c>
      <c r="M50" s="77" t="e">
        <f>IF(AND('Mapa final'!#REF!="Muy Baja",'Mapa final'!#REF!="Leve"),CONCATENATE("R5C",'Mapa final'!#REF!),"")</f>
        <v>#REF!</v>
      </c>
      <c r="N50" s="77" t="e">
        <f>IF(AND('Mapa final'!#REF!="Muy Baja",'Mapa final'!#REF!="Leve"),CONCATENATE("R5C",'Mapa final'!#REF!),"")</f>
        <v>#REF!</v>
      </c>
      <c r="O50" s="78" t="e">
        <f>IF(AND('Mapa final'!#REF!="Muy Baja",'Mapa final'!#REF!="Leve"),CONCATENATE("R5C",'Mapa final'!#REF!),"")</f>
        <v>#REF!</v>
      </c>
      <c r="P50" s="76" t="str">
        <f>IF(AND('Mapa final'!$Y$37="Muy Baja",'Mapa final'!$AA$37="Menor"),CONCATENATE("R5C",'Mapa final'!$O$37),"")</f>
        <v/>
      </c>
      <c r="Q50" s="77" t="e">
        <f>IF(AND('Mapa final'!#REF!="Muy Baja",'Mapa final'!#REF!="Menor"),CONCATENATE("R5C",'Mapa final'!#REF!),"")</f>
        <v>#REF!</v>
      </c>
      <c r="R50" s="77" t="e">
        <f>IF(AND('Mapa final'!#REF!="Muy Baja",'Mapa final'!#REF!="Menor"),CONCATENATE("R5C",'Mapa final'!#REF!),"")</f>
        <v>#REF!</v>
      </c>
      <c r="S50" s="77" t="e">
        <f>IF(AND('Mapa final'!#REF!="Muy Baja",'Mapa final'!#REF!="Menor"),CONCATENATE("R5C",'Mapa final'!#REF!),"")</f>
        <v>#REF!</v>
      </c>
      <c r="T50" s="77" t="e">
        <f>IF(AND('Mapa final'!#REF!="Muy Baja",'Mapa final'!#REF!="Menor"),CONCATENATE("R5C",'Mapa final'!#REF!),"")</f>
        <v>#REF!</v>
      </c>
      <c r="U50" s="78" t="e">
        <f>IF(AND('Mapa final'!#REF!="Muy Baja",'Mapa final'!#REF!="Menor"),CONCATENATE("R5C",'Mapa final'!#REF!),"")</f>
        <v>#REF!</v>
      </c>
      <c r="V50" s="67" t="str">
        <f>IF(AND('Mapa final'!$Y$37="Muy Baja",'Mapa final'!$AA$37="Moderado"),CONCATENATE("R5C",'Mapa final'!$O$37),"")</f>
        <v/>
      </c>
      <c r="W50" s="68" t="e">
        <f>IF(AND('Mapa final'!#REF!="Muy Baja",'Mapa final'!#REF!="Moderado"),CONCATENATE("R5C",'Mapa final'!#REF!),"")</f>
        <v>#REF!</v>
      </c>
      <c r="X50" s="68" t="e">
        <f>IF(AND('Mapa final'!#REF!="Muy Baja",'Mapa final'!#REF!="Moderado"),CONCATENATE("R5C",'Mapa final'!#REF!),"")</f>
        <v>#REF!</v>
      </c>
      <c r="Y50" s="68" t="e">
        <f>IF(AND('Mapa final'!#REF!="Muy Baja",'Mapa final'!#REF!="Moderado"),CONCATENATE("R5C",'Mapa final'!#REF!),"")</f>
        <v>#REF!</v>
      </c>
      <c r="Z50" s="68" t="e">
        <f>IF(AND('Mapa final'!#REF!="Muy Baja",'Mapa final'!#REF!="Moderado"),CONCATENATE("R5C",'Mapa final'!#REF!),"")</f>
        <v>#REF!</v>
      </c>
      <c r="AA50" s="69" t="e">
        <f>IF(AND('Mapa final'!#REF!="Muy Baja",'Mapa final'!#REF!="Moderado"),CONCATENATE("R5C",'Mapa final'!#REF!),"")</f>
        <v>#REF!</v>
      </c>
      <c r="AB50" s="52" t="str">
        <f>IF(AND('Mapa final'!$Y$37="Muy Baja",'Mapa final'!$AA$37="Mayor"),CONCATENATE("R5C",'Mapa final'!$O$37),"")</f>
        <v/>
      </c>
      <c r="AC50" s="53" t="e">
        <f>IF(AND('Mapa final'!#REF!="Muy Baja",'Mapa final'!#REF!="Mayor"),CONCATENATE("R5C",'Mapa final'!#REF!),"")</f>
        <v>#REF!</v>
      </c>
      <c r="AD50" s="53" t="e">
        <f>IF(AND('Mapa final'!#REF!="Muy Baja",'Mapa final'!#REF!="Mayor"),CONCATENATE("R5C",'Mapa final'!#REF!),"")</f>
        <v>#REF!</v>
      </c>
      <c r="AE50" s="53" t="e">
        <f>IF(AND('Mapa final'!#REF!="Muy Baja",'Mapa final'!#REF!="Mayor"),CONCATENATE("R5C",'Mapa final'!#REF!),"")</f>
        <v>#REF!</v>
      </c>
      <c r="AF50" s="53" t="e">
        <f>IF(AND('Mapa final'!#REF!="Muy Baja",'Mapa final'!#REF!="Mayor"),CONCATENATE("R5C",'Mapa final'!#REF!),"")</f>
        <v>#REF!</v>
      </c>
      <c r="AG50" s="54" t="e">
        <f>IF(AND('Mapa final'!#REF!="Muy Baja",'Mapa final'!#REF!="Mayor"),CONCATENATE("R5C",'Mapa final'!#REF!),"")</f>
        <v>#REF!</v>
      </c>
      <c r="AH50" s="55" t="str">
        <f>IF(AND('Mapa final'!$Y$37="Muy Baja",'Mapa final'!$AA$37="Catastrófico"),CONCATENATE("R5C",'Mapa final'!$O$37),"")</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327"/>
      <c r="C51" s="327"/>
      <c r="D51" s="328"/>
      <c r="E51" s="368"/>
      <c r="F51" s="369"/>
      <c r="G51" s="369"/>
      <c r="H51" s="369"/>
      <c r="I51" s="370"/>
      <c r="J51" s="76" t="str">
        <f>IF(AND('Mapa final'!$Y$38="Muy Baja",'Mapa final'!$AA$38="Leve"),CONCATENATE("R6C",'Mapa final'!$O$38),"")</f>
        <v/>
      </c>
      <c r="K51" s="77" t="str">
        <f>IF(AND('Mapa final'!$Y$39="Muy Baja",'Mapa final'!$AA$39="Leve"),CONCATENATE("R6C",'Mapa final'!$O$39),"")</f>
        <v>R6C2</v>
      </c>
      <c r="L51" s="77" t="str">
        <f>IF(AND('Mapa final'!$Y$40="Muy Baja",'Mapa final'!$AA$40="Leve"),CONCATENATE("R6C",'Mapa final'!$O$40),"")</f>
        <v/>
      </c>
      <c r="M51" s="77" t="e">
        <f>IF(AND('Mapa final'!#REF!="Muy Baja",'Mapa final'!#REF!="Leve"),CONCATENATE("R6C",'Mapa final'!#REF!),"")</f>
        <v>#REF!</v>
      </c>
      <c r="N51" s="77" t="e">
        <f>IF(AND('Mapa final'!#REF!="Muy Baja",'Mapa final'!#REF!="Leve"),CONCATENATE("R6C",'Mapa final'!#REF!),"")</f>
        <v>#REF!</v>
      </c>
      <c r="O51" s="78" t="e">
        <f>IF(AND('Mapa final'!#REF!="Muy Baja",'Mapa final'!#REF!="Leve"),CONCATENATE("R6C",'Mapa final'!#REF!),"")</f>
        <v>#REF!</v>
      </c>
      <c r="P51" s="76" t="str">
        <f>IF(AND('Mapa final'!$Y$38="Muy Baja",'Mapa final'!$AA$38="Menor"),CONCATENATE("R6C",'Mapa final'!$O$38),"")</f>
        <v/>
      </c>
      <c r="Q51" s="77" t="str">
        <f>IF(AND('Mapa final'!$Y$39="Muy Baja",'Mapa final'!$AA$39="Menor"),CONCATENATE("R6C",'Mapa final'!$O$39),"")</f>
        <v/>
      </c>
      <c r="R51" s="77" t="str">
        <f>IF(AND('Mapa final'!$Y$40="Muy Baja",'Mapa final'!$AA$40="Menor"),CONCATENATE("R6C",'Mapa final'!$O$40),"")</f>
        <v/>
      </c>
      <c r="S51" s="77" t="e">
        <f>IF(AND('Mapa final'!#REF!="Muy Baja",'Mapa final'!#REF!="Menor"),CONCATENATE("R6C",'Mapa final'!#REF!),"")</f>
        <v>#REF!</v>
      </c>
      <c r="T51" s="77" t="e">
        <f>IF(AND('Mapa final'!#REF!="Muy Baja",'Mapa final'!#REF!="Menor"),CONCATENATE("R6C",'Mapa final'!#REF!),"")</f>
        <v>#REF!</v>
      </c>
      <c r="U51" s="78" t="e">
        <f>IF(AND('Mapa final'!#REF!="Muy Baja",'Mapa final'!#REF!="Menor"),CONCATENATE("R6C",'Mapa final'!#REF!),"")</f>
        <v>#REF!</v>
      </c>
      <c r="V51" s="67" t="str">
        <f>IF(AND('Mapa final'!$Y$38="Muy Baja",'Mapa final'!$AA$38="Moderado"),CONCATENATE("R6C",'Mapa final'!$O$38),"")</f>
        <v/>
      </c>
      <c r="W51" s="68" t="str">
        <f>IF(AND('Mapa final'!$Y$39="Muy Baja",'Mapa final'!$AA$39="Moderado"),CONCATENATE("R6C",'Mapa final'!$O$39),"")</f>
        <v/>
      </c>
      <c r="X51" s="68" t="str">
        <f>IF(AND('Mapa final'!$Y$40="Muy Baja",'Mapa final'!$AA$40="Moderado"),CONCATENATE("R6C",'Mapa final'!$O$40),"")</f>
        <v/>
      </c>
      <c r="Y51" s="68" t="e">
        <f>IF(AND('Mapa final'!#REF!="Muy Baja",'Mapa final'!#REF!="Moderado"),CONCATENATE("R6C",'Mapa final'!#REF!),"")</f>
        <v>#REF!</v>
      </c>
      <c r="Z51" s="68" t="e">
        <f>IF(AND('Mapa final'!#REF!="Muy Baja",'Mapa final'!#REF!="Moderado"),CONCATENATE("R6C",'Mapa final'!#REF!),"")</f>
        <v>#REF!</v>
      </c>
      <c r="AA51" s="69" t="e">
        <f>IF(AND('Mapa final'!#REF!="Muy Baja",'Mapa final'!#REF!="Moderado"),CONCATENATE("R6C",'Mapa final'!#REF!),"")</f>
        <v>#REF!</v>
      </c>
      <c r="AB51" s="52" t="str">
        <f>IF(AND('Mapa final'!$Y$38="Muy Baja",'Mapa final'!$AA$38="Mayor"),CONCATENATE("R6C",'Mapa final'!$O$38),"")</f>
        <v/>
      </c>
      <c r="AC51" s="53" t="str">
        <f>IF(AND('Mapa final'!$Y$39="Muy Baja",'Mapa final'!$AA$39="Mayor"),CONCATENATE("R6C",'Mapa final'!$O$39),"")</f>
        <v/>
      </c>
      <c r="AD51" s="53" t="str">
        <f>IF(AND('Mapa final'!$Y$40="Muy Baja",'Mapa final'!$AA$40="Mayor"),CONCATENATE("R6C",'Mapa final'!$O$40),"")</f>
        <v/>
      </c>
      <c r="AE51" s="53" t="e">
        <f>IF(AND('Mapa final'!#REF!="Muy Baja",'Mapa final'!#REF!="Mayor"),CONCATENATE("R6C",'Mapa final'!#REF!),"")</f>
        <v>#REF!</v>
      </c>
      <c r="AF51" s="53" t="e">
        <f>IF(AND('Mapa final'!#REF!="Muy Baja",'Mapa final'!#REF!="Mayor"),CONCATENATE("R6C",'Mapa final'!#REF!),"")</f>
        <v>#REF!</v>
      </c>
      <c r="AG51" s="54" t="e">
        <f>IF(AND('Mapa final'!#REF!="Muy Baja",'Mapa final'!#REF!="Mayor"),CONCATENATE("R6C",'Mapa final'!#REF!),"")</f>
        <v>#REF!</v>
      </c>
      <c r="AH51" s="55" t="str">
        <f>IF(AND('Mapa final'!$Y$38="Muy Baja",'Mapa final'!$AA$38="Catastrófico"),CONCATENATE("R6C",'Mapa final'!$O$38),"")</f>
        <v/>
      </c>
      <c r="AI51" s="56" t="str">
        <f>IF(AND('Mapa final'!$Y$39="Muy Baja",'Mapa final'!$AA$39="Catastrófico"),CONCATENATE("R6C",'Mapa final'!$O$39),"")</f>
        <v/>
      </c>
      <c r="AJ51" s="56" t="str">
        <f>IF(AND('Mapa final'!$Y$40="Muy Baja",'Mapa final'!$AA$40="Catastrófico"),CONCATENATE("R6C",'Mapa final'!$O$40),"")</f>
        <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327"/>
      <c r="C52" s="327"/>
      <c r="D52" s="328"/>
      <c r="E52" s="368"/>
      <c r="F52" s="369"/>
      <c r="G52" s="369"/>
      <c r="H52" s="369"/>
      <c r="I52" s="370"/>
      <c r="J52" s="76" t="e">
        <f>IF(AND('Mapa final'!#REF!="Muy Baja",'Mapa final'!#REF!="Leve"),CONCATENATE("R7C",'Mapa final'!#REF!),"")</f>
        <v>#REF!</v>
      </c>
      <c r="K52" s="77" t="e">
        <f>IF(AND('Mapa final'!#REF!="Muy Baja",'Mapa final'!#REF!="Leve"),CONCATENATE("R7C",'Mapa final'!#REF!),"")</f>
        <v>#REF!</v>
      </c>
      <c r="L52" s="77" t="e">
        <f>IF(AND('Mapa final'!#REF!="Muy Baja",'Mapa final'!#REF!="Leve"),CONCATENATE("R7C",'Mapa final'!#REF!),"")</f>
        <v>#REF!</v>
      </c>
      <c r="M52" s="77" t="e">
        <f>IF(AND('Mapa final'!#REF!="Muy Baja",'Mapa final'!#REF!="Leve"),CONCATENATE("R7C",'Mapa final'!#REF!),"")</f>
        <v>#REF!</v>
      </c>
      <c r="N52" s="77" t="e">
        <f>IF(AND('Mapa final'!#REF!="Muy Baja",'Mapa final'!#REF!="Leve"),CONCATENATE("R7C",'Mapa final'!#REF!),"")</f>
        <v>#REF!</v>
      </c>
      <c r="O52" s="78" t="e">
        <f>IF(AND('Mapa final'!#REF!="Muy Baja",'Mapa final'!#REF!="Leve"),CONCATENATE("R7C",'Mapa final'!#REF!),"")</f>
        <v>#REF!</v>
      </c>
      <c r="P52" s="76" t="e">
        <f>IF(AND('Mapa final'!#REF!="Muy Baja",'Mapa final'!#REF!="Menor"),CONCATENATE("R7C",'Mapa final'!#REF!),"")</f>
        <v>#REF!</v>
      </c>
      <c r="Q52" s="77" t="e">
        <f>IF(AND('Mapa final'!#REF!="Muy Baja",'Mapa final'!#REF!="Menor"),CONCATENATE("R7C",'Mapa final'!#REF!),"")</f>
        <v>#REF!</v>
      </c>
      <c r="R52" s="77" t="e">
        <f>IF(AND('Mapa final'!#REF!="Muy Baja",'Mapa final'!#REF!="Menor"),CONCATENATE("R7C",'Mapa final'!#REF!),"")</f>
        <v>#REF!</v>
      </c>
      <c r="S52" s="77" t="e">
        <f>IF(AND('Mapa final'!#REF!="Muy Baja",'Mapa final'!#REF!="Menor"),CONCATENATE("R7C",'Mapa final'!#REF!),"")</f>
        <v>#REF!</v>
      </c>
      <c r="T52" s="77" t="e">
        <f>IF(AND('Mapa final'!#REF!="Muy Baja",'Mapa final'!#REF!="Menor"),CONCATENATE("R7C",'Mapa final'!#REF!),"")</f>
        <v>#REF!</v>
      </c>
      <c r="U52" s="78" t="e">
        <f>IF(AND('Mapa final'!#REF!="Muy Baja",'Mapa final'!#REF!="Menor"),CONCATENATE("R7C",'Mapa final'!#REF!),"")</f>
        <v>#REF!</v>
      </c>
      <c r="V52" s="67" t="e">
        <f>IF(AND('Mapa final'!#REF!="Muy Baja",'Mapa final'!#REF!="Moderado"),CONCATENATE("R7C",'Mapa final'!#REF!),"")</f>
        <v>#REF!</v>
      </c>
      <c r="W52" s="68" t="e">
        <f>IF(AND('Mapa final'!#REF!="Muy Baja",'Mapa final'!#REF!="Moderado"),CONCATENATE("R7C",'Mapa final'!#REF!),"")</f>
        <v>#REF!</v>
      </c>
      <c r="X52" s="68" t="e">
        <f>IF(AND('Mapa final'!#REF!="Muy Baja",'Mapa final'!#REF!="Moderado"),CONCATENATE("R7C",'Mapa final'!#REF!),"")</f>
        <v>#REF!</v>
      </c>
      <c r="Y52" s="68" t="e">
        <f>IF(AND('Mapa final'!#REF!="Muy Baja",'Mapa final'!#REF!="Moderado"),CONCATENATE("R7C",'Mapa final'!#REF!),"")</f>
        <v>#REF!</v>
      </c>
      <c r="Z52" s="68" t="e">
        <f>IF(AND('Mapa final'!#REF!="Muy Baja",'Mapa final'!#REF!="Moderado"),CONCATENATE("R7C",'Mapa final'!#REF!),"")</f>
        <v>#REF!</v>
      </c>
      <c r="AA52" s="69" t="e">
        <f>IF(AND('Mapa final'!#REF!="Muy Baja",'Mapa final'!#REF!="Moderado"),CONCATENATE("R7C",'Mapa final'!#REF!),"")</f>
        <v>#REF!</v>
      </c>
      <c r="AB52" s="52" t="e">
        <f>IF(AND('Mapa final'!#REF!="Muy Baja",'Mapa final'!#REF!="Mayor"),CONCATENATE("R7C",'Mapa final'!#REF!),"")</f>
        <v>#REF!</v>
      </c>
      <c r="AC52" s="53" t="e">
        <f>IF(AND('Mapa final'!#REF!="Muy Baja",'Mapa final'!#REF!="Mayor"),CONCATENATE("R7C",'Mapa final'!#REF!),"")</f>
        <v>#REF!</v>
      </c>
      <c r="AD52" s="53" t="e">
        <f>IF(AND('Mapa final'!#REF!="Muy Baja",'Mapa final'!#REF!="Mayor"),CONCATENATE("R7C",'Mapa final'!#REF!),"")</f>
        <v>#REF!</v>
      </c>
      <c r="AE52" s="53" t="e">
        <f>IF(AND('Mapa final'!#REF!="Muy Baja",'Mapa final'!#REF!="Mayor"),CONCATENATE("R7C",'Mapa final'!#REF!),"")</f>
        <v>#REF!</v>
      </c>
      <c r="AF52" s="53" t="e">
        <f>IF(AND('Mapa final'!#REF!="Muy Baja",'Mapa final'!#REF!="Mayor"),CONCATENATE("R7C",'Mapa final'!#REF!),"")</f>
        <v>#REF!</v>
      </c>
      <c r="AG52" s="54" t="e">
        <f>IF(AND('Mapa final'!#REF!="Muy Baja",'Mapa final'!#REF!="Mayor"),CONCATENATE("R7C",'Mapa final'!#REF!),"")</f>
        <v>#REF!</v>
      </c>
      <c r="AH52" s="55" t="e">
        <f>IF(AND('Mapa final'!#REF!="Muy Baja",'Mapa final'!#REF!="Catastrófico"),CONCATENATE("R7C",'Mapa final'!#REF!),"")</f>
        <v>#REF!</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327"/>
      <c r="C53" s="327"/>
      <c r="D53" s="328"/>
      <c r="E53" s="368"/>
      <c r="F53" s="369"/>
      <c r="G53" s="369"/>
      <c r="H53" s="369"/>
      <c r="I53" s="370"/>
      <c r="J53" s="76" t="e">
        <f>IF(AND('Mapa final'!#REF!="Muy Baja",'Mapa final'!#REF!="Leve"),CONCATENATE("R8C",'Mapa final'!#REF!),"")</f>
        <v>#REF!</v>
      </c>
      <c r="K53" s="77" t="e">
        <f>IF(AND('Mapa final'!#REF!="Muy Baja",'Mapa final'!#REF!="Leve"),CONCATENATE("R8C",'Mapa final'!#REF!),"")</f>
        <v>#REF!</v>
      </c>
      <c r="L53" s="77" t="e">
        <f>IF(AND('Mapa final'!#REF!="Muy Baja",'Mapa final'!#REF!="Leve"),CONCATENATE("R8C",'Mapa final'!#REF!),"")</f>
        <v>#REF!</v>
      </c>
      <c r="M53" s="77" t="e">
        <f>IF(AND('Mapa final'!#REF!="Muy Baja",'Mapa final'!#REF!="Leve"),CONCATENATE("R8C",'Mapa final'!#REF!),"")</f>
        <v>#REF!</v>
      </c>
      <c r="N53" s="77" t="e">
        <f>IF(AND('Mapa final'!#REF!="Muy Baja",'Mapa final'!#REF!="Leve"),CONCATENATE("R8C",'Mapa final'!#REF!),"")</f>
        <v>#REF!</v>
      </c>
      <c r="O53" s="78" t="e">
        <f>IF(AND('Mapa final'!#REF!="Muy Baja",'Mapa final'!#REF!="Leve"),CONCATENATE("R8C",'Mapa final'!#REF!),"")</f>
        <v>#REF!</v>
      </c>
      <c r="P53" s="76" t="e">
        <f>IF(AND('Mapa final'!#REF!="Muy Baja",'Mapa final'!#REF!="Menor"),CONCATENATE("R8C",'Mapa final'!#REF!),"")</f>
        <v>#REF!</v>
      </c>
      <c r="Q53" s="77" t="e">
        <f>IF(AND('Mapa final'!#REF!="Muy Baja",'Mapa final'!#REF!="Menor"),CONCATENATE("R8C",'Mapa final'!#REF!),"")</f>
        <v>#REF!</v>
      </c>
      <c r="R53" s="77" t="e">
        <f>IF(AND('Mapa final'!#REF!="Muy Baja",'Mapa final'!#REF!="Menor"),CONCATENATE("R8C",'Mapa final'!#REF!),"")</f>
        <v>#REF!</v>
      </c>
      <c r="S53" s="77" t="e">
        <f>IF(AND('Mapa final'!#REF!="Muy Baja",'Mapa final'!#REF!="Menor"),CONCATENATE("R8C",'Mapa final'!#REF!),"")</f>
        <v>#REF!</v>
      </c>
      <c r="T53" s="77" t="e">
        <f>IF(AND('Mapa final'!#REF!="Muy Baja",'Mapa final'!#REF!="Menor"),CONCATENATE("R8C",'Mapa final'!#REF!),"")</f>
        <v>#REF!</v>
      </c>
      <c r="U53" s="78" t="e">
        <f>IF(AND('Mapa final'!#REF!="Muy Baja",'Mapa final'!#REF!="Menor"),CONCATENATE("R8C",'Mapa final'!#REF!),"")</f>
        <v>#REF!</v>
      </c>
      <c r="V53" s="67" t="e">
        <f>IF(AND('Mapa final'!#REF!="Muy Baja",'Mapa final'!#REF!="Moderado"),CONCATENATE("R8C",'Mapa final'!#REF!),"")</f>
        <v>#REF!</v>
      </c>
      <c r="W53" s="68" t="e">
        <f>IF(AND('Mapa final'!#REF!="Muy Baja",'Mapa final'!#REF!="Moderado"),CONCATENATE("R8C",'Mapa final'!#REF!),"")</f>
        <v>#REF!</v>
      </c>
      <c r="X53" s="68" t="e">
        <f>IF(AND('Mapa final'!#REF!="Muy Baja",'Mapa final'!#REF!="Moderado"),CONCATENATE("R8C",'Mapa final'!#REF!),"")</f>
        <v>#REF!</v>
      </c>
      <c r="Y53" s="68" t="e">
        <f>IF(AND('Mapa final'!#REF!="Muy Baja",'Mapa final'!#REF!="Moderado"),CONCATENATE("R8C",'Mapa final'!#REF!),"")</f>
        <v>#REF!</v>
      </c>
      <c r="Z53" s="68" t="e">
        <f>IF(AND('Mapa final'!#REF!="Muy Baja",'Mapa final'!#REF!="Moderado"),CONCATENATE("R8C",'Mapa final'!#REF!),"")</f>
        <v>#REF!</v>
      </c>
      <c r="AA53" s="69" t="e">
        <f>IF(AND('Mapa final'!#REF!="Muy Baja",'Mapa final'!#REF!="Moderado"),CONCATENATE("R8C",'Mapa final'!#REF!),"")</f>
        <v>#REF!</v>
      </c>
      <c r="AB53" s="52" t="e">
        <f>IF(AND('Mapa final'!#REF!="Muy Baja",'Mapa final'!#REF!="Mayor"),CONCATENATE("R8C",'Mapa final'!#REF!),"")</f>
        <v>#REF!</v>
      </c>
      <c r="AC53" s="53" t="e">
        <f>IF(AND('Mapa final'!#REF!="Muy Baja",'Mapa final'!#REF!="Mayor"),CONCATENATE("R8C",'Mapa final'!#REF!),"")</f>
        <v>#REF!</v>
      </c>
      <c r="AD53" s="53" t="e">
        <f>IF(AND('Mapa final'!#REF!="Muy Baja",'Mapa final'!#REF!="Mayor"),CONCATENATE("R8C",'Mapa final'!#REF!),"")</f>
        <v>#REF!</v>
      </c>
      <c r="AE53" s="53" t="e">
        <f>IF(AND('Mapa final'!#REF!="Muy Baja",'Mapa final'!#REF!="Mayor"),CONCATENATE("R8C",'Mapa final'!#REF!),"")</f>
        <v>#REF!</v>
      </c>
      <c r="AF53" s="53" t="e">
        <f>IF(AND('Mapa final'!#REF!="Muy Baja",'Mapa final'!#REF!="Mayor"),CONCATENATE("R8C",'Mapa final'!#REF!),"")</f>
        <v>#REF!</v>
      </c>
      <c r="AG53" s="54" t="e">
        <f>IF(AND('Mapa final'!#REF!="Muy Baja",'Mapa final'!#REF!="Mayor"),CONCATENATE("R8C",'Mapa final'!#REF!),"")</f>
        <v>#REF!</v>
      </c>
      <c r="AH53" s="55" t="e">
        <f>IF(AND('Mapa final'!#REF!="Muy Baja",'Mapa final'!#REF!="Catastrófico"),CONCATENATE("R8C",'Mapa final'!#REF!),"")</f>
        <v>#REF!</v>
      </c>
      <c r="AI53" s="56" t="e">
        <f>IF(AND('Mapa final'!#REF!="Muy Baja",'Mapa final'!#REF!="Catastrófico"),CONCATENATE("R8C",'Mapa final'!#REF!),"")</f>
        <v>#REF!</v>
      </c>
      <c r="AJ53" s="56" t="e">
        <f>IF(AND('Mapa final'!#REF!="Muy Baja",'Mapa final'!#REF!="Catastrófico"),CONCATENATE("R8C",'Mapa final'!#REF!),"")</f>
        <v>#REF!</v>
      </c>
      <c r="AK53" s="56" t="e">
        <f>IF(AND('Mapa final'!#REF!="Muy Baja",'Mapa final'!#REF!="Catastrófico"),CONCATENATE("R8C",'Mapa final'!#REF!),"")</f>
        <v>#REF!</v>
      </c>
      <c r="AL53" s="56" t="e">
        <f>IF(AND('Mapa final'!#REF!="Muy Baja",'Mapa final'!#REF!="Catastrófico"),CONCATENATE("R8C",'Mapa final'!#REF!),"")</f>
        <v>#REF!</v>
      </c>
      <c r="AM53" s="57" t="e">
        <f>IF(AND('Mapa final'!#REF!="Muy Baja",'Mapa final'!#REF!="Catastrófico"),CONCATENATE("R8C",'Mapa final'!#REF!),"")</f>
        <v>#REF!</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327"/>
      <c r="C54" s="327"/>
      <c r="D54" s="328"/>
      <c r="E54" s="368"/>
      <c r="F54" s="369"/>
      <c r="G54" s="369"/>
      <c r="H54" s="369"/>
      <c r="I54" s="370"/>
      <c r="J54" s="76" t="e">
        <f>IF(AND('Mapa final'!#REF!="Muy Baja",'Mapa final'!#REF!="Leve"),CONCATENATE("R9C",'Mapa final'!#REF!),"")</f>
        <v>#REF!</v>
      </c>
      <c r="K54" s="77" t="e">
        <f>IF(AND('Mapa final'!#REF!="Muy Baja",'Mapa final'!#REF!="Leve"),CONCATENATE("R9C",'Mapa final'!#REF!),"")</f>
        <v>#REF!</v>
      </c>
      <c r="L54" s="77" t="e">
        <f>IF(AND('Mapa final'!#REF!="Muy Baja",'Mapa final'!#REF!="Leve"),CONCATENATE("R9C",'Mapa final'!#REF!),"")</f>
        <v>#REF!</v>
      </c>
      <c r="M54" s="77" t="e">
        <f>IF(AND('Mapa final'!#REF!="Muy Baja",'Mapa final'!#REF!="Leve"),CONCATENATE("R9C",'Mapa final'!#REF!),"")</f>
        <v>#REF!</v>
      </c>
      <c r="N54" s="77" t="e">
        <f>IF(AND('Mapa final'!#REF!="Muy Baja",'Mapa final'!#REF!="Leve"),CONCATENATE("R9C",'Mapa final'!#REF!),"")</f>
        <v>#REF!</v>
      </c>
      <c r="O54" s="78" t="e">
        <f>IF(AND('Mapa final'!#REF!="Muy Baja",'Mapa final'!#REF!="Leve"),CONCATENATE("R9C",'Mapa final'!#REF!),"")</f>
        <v>#REF!</v>
      </c>
      <c r="P54" s="76" t="e">
        <f>IF(AND('Mapa final'!#REF!="Muy Baja",'Mapa final'!#REF!="Menor"),CONCATENATE("R9C",'Mapa final'!#REF!),"")</f>
        <v>#REF!</v>
      </c>
      <c r="Q54" s="77" t="e">
        <f>IF(AND('Mapa final'!#REF!="Muy Baja",'Mapa final'!#REF!="Menor"),CONCATENATE("R9C",'Mapa final'!#REF!),"")</f>
        <v>#REF!</v>
      </c>
      <c r="R54" s="77" t="e">
        <f>IF(AND('Mapa final'!#REF!="Muy Baja",'Mapa final'!#REF!="Menor"),CONCATENATE("R9C",'Mapa final'!#REF!),"")</f>
        <v>#REF!</v>
      </c>
      <c r="S54" s="77" t="e">
        <f>IF(AND('Mapa final'!#REF!="Muy Baja",'Mapa final'!#REF!="Menor"),CONCATENATE("R9C",'Mapa final'!#REF!),"")</f>
        <v>#REF!</v>
      </c>
      <c r="T54" s="77" t="e">
        <f>IF(AND('Mapa final'!#REF!="Muy Baja",'Mapa final'!#REF!="Menor"),CONCATENATE("R9C",'Mapa final'!#REF!),"")</f>
        <v>#REF!</v>
      </c>
      <c r="U54" s="78" t="e">
        <f>IF(AND('Mapa final'!#REF!="Muy Baja",'Mapa final'!#REF!="Menor"),CONCATENATE("R9C",'Mapa final'!#REF!),"")</f>
        <v>#REF!</v>
      </c>
      <c r="V54" s="67" t="e">
        <f>IF(AND('Mapa final'!#REF!="Muy Baja",'Mapa final'!#REF!="Moderado"),CONCATENATE("R9C",'Mapa final'!#REF!),"")</f>
        <v>#REF!</v>
      </c>
      <c r="W54" s="68" t="e">
        <f>IF(AND('Mapa final'!#REF!="Muy Baja",'Mapa final'!#REF!="Moderado"),CONCATENATE("R9C",'Mapa final'!#REF!),"")</f>
        <v>#REF!</v>
      </c>
      <c r="X54" s="68" t="e">
        <f>IF(AND('Mapa final'!#REF!="Muy Baja",'Mapa final'!#REF!="Moderado"),CONCATENATE("R9C",'Mapa final'!#REF!),"")</f>
        <v>#REF!</v>
      </c>
      <c r="Y54" s="68" t="e">
        <f>IF(AND('Mapa final'!#REF!="Muy Baja",'Mapa final'!#REF!="Moderado"),CONCATENATE("R9C",'Mapa final'!#REF!),"")</f>
        <v>#REF!</v>
      </c>
      <c r="Z54" s="68" t="e">
        <f>IF(AND('Mapa final'!#REF!="Muy Baja",'Mapa final'!#REF!="Moderado"),CONCATENATE("R9C",'Mapa final'!#REF!),"")</f>
        <v>#REF!</v>
      </c>
      <c r="AA54" s="69" t="e">
        <f>IF(AND('Mapa final'!#REF!="Muy Baja",'Mapa final'!#REF!="Moderado"),CONCATENATE("R9C",'Mapa final'!#REF!),"")</f>
        <v>#REF!</v>
      </c>
      <c r="AB54" s="52" t="e">
        <f>IF(AND('Mapa final'!#REF!="Muy Baja",'Mapa final'!#REF!="Mayor"),CONCATENATE("R9C",'Mapa final'!#REF!),"")</f>
        <v>#REF!</v>
      </c>
      <c r="AC54" s="53" t="e">
        <f>IF(AND('Mapa final'!#REF!="Muy Baja",'Mapa final'!#REF!="Mayor"),CONCATENATE("R9C",'Mapa final'!#REF!),"")</f>
        <v>#REF!</v>
      </c>
      <c r="AD54" s="53" t="e">
        <f>IF(AND('Mapa final'!#REF!="Muy Baja",'Mapa final'!#REF!="Mayor"),CONCATENATE("R9C",'Mapa final'!#REF!),"")</f>
        <v>#REF!</v>
      </c>
      <c r="AE54" s="53" t="e">
        <f>IF(AND('Mapa final'!#REF!="Muy Baja",'Mapa final'!#REF!="Mayor"),CONCATENATE("R9C",'Mapa final'!#REF!),"")</f>
        <v>#REF!</v>
      </c>
      <c r="AF54" s="53" t="e">
        <f>IF(AND('Mapa final'!#REF!="Muy Baja",'Mapa final'!#REF!="Mayor"),CONCATENATE("R9C",'Mapa final'!#REF!),"")</f>
        <v>#REF!</v>
      </c>
      <c r="AG54" s="54" t="e">
        <f>IF(AND('Mapa final'!#REF!="Muy Baja",'Mapa final'!#REF!="Mayor"),CONCATENATE("R9C",'Mapa final'!#REF!),"")</f>
        <v>#REF!</v>
      </c>
      <c r="AH54" s="55" t="e">
        <f>IF(AND('Mapa final'!#REF!="Muy Baja",'Mapa final'!#REF!="Catastrófico"),CONCATENATE("R9C",'Mapa final'!#REF!),"")</f>
        <v>#REF!</v>
      </c>
      <c r="AI54" s="56" t="e">
        <f>IF(AND('Mapa final'!#REF!="Muy Baja",'Mapa final'!#REF!="Catastrófico"),CONCATENATE("R9C",'Mapa final'!#REF!),"")</f>
        <v>#REF!</v>
      </c>
      <c r="AJ54" s="56" t="e">
        <f>IF(AND('Mapa final'!#REF!="Muy Baja",'Mapa final'!#REF!="Catastrófico"),CONCATENATE("R9C",'Mapa final'!#REF!),"")</f>
        <v>#REF!</v>
      </c>
      <c r="AK54" s="56" t="e">
        <f>IF(AND('Mapa final'!#REF!="Muy Baja",'Mapa final'!#REF!="Catastrófico"),CONCATENATE("R9C",'Mapa final'!#REF!),"")</f>
        <v>#REF!</v>
      </c>
      <c r="AL54" s="56" t="e">
        <f>IF(AND('Mapa final'!#REF!="Muy Baja",'Mapa final'!#REF!="Catastrófico"),CONCATENATE("R9C",'Mapa final'!#REF!),"")</f>
        <v>#REF!</v>
      </c>
      <c r="AM54" s="57" t="e">
        <f>IF(AND('Mapa final'!#REF!="Muy Baja",'Mapa final'!#REF!="Catastrófico"),CONCATENATE("R9C",'Mapa final'!#REF!),"")</f>
        <v>#REF!</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327"/>
      <c r="C55" s="327"/>
      <c r="D55" s="328"/>
      <c r="E55" s="371"/>
      <c r="F55" s="372"/>
      <c r="G55" s="372"/>
      <c r="H55" s="372"/>
      <c r="I55" s="373"/>
      <c r="J55" s="79" t="e">
        <f>IF(AND('Mapa final'!#REF!="Muy Baja",'Mapa final'!#REF!="Leve"),CONCATENATE("R10C",'Mapa final'!#REF!),"")</f>
        <v>#REF!</v>
      </c>
      <c r="K55" s="80" t="e">
        <f>IF(AND('Mapa final'!#REF!="Muy Baja",'Mapa final'!#REF!="Leve"),CONCATENATE("R10C",'Mapa final'!#REF!),"")</f>
        <v>#REF!</v>
      </c>
      <c r="L55" s="80" t="e">
        <f>IF(AND('Mapa final'!#REF!="Muy Baja",'Mapa final'!#REF!="Leve"),CONCATENATE("R10C",'Mapa final'!#REF!),"")</f>
        <v>#REF!</v>
      </c>
      <c r="M55" s="80" t="e">
        <f>IF(AND('Mapa final'!#REF!="Muy Baja",'Mapa final'!#REF!="Leve"),CONCATENATE("R10C",'Mapa final'!#REF!),"")</f>
        <v>#REF!</v>
      </c>
      <c r="N55" s="80" t="e">
        <f>IF(AND('Mapa final'!#REF!="Muy Baja",'Mapa final'!#REF!="Leve"),CONCATENATE("R10C",'Mapa final'!#REF!),"")</f>
        <v>#REF!</v>
      </c>
      <c r="O55" s="81" t="e">
        <f>IF(AND('Mapa final'!#REF!="Muy Baja",'Mapa final'!#REF!="Leve"),CONCATENATE("R10C",'Mapa final'!#REF!),"")</f>
        <v>#REF!</v>
      </c>
      <c r="P55" s="79" t="e">
        <f>IF(AND('Mapa final'!#REF!="Muy Baja",'Mapa final'!#REF!="Menor"),CONCATENATE("R10C",'Mapa final'!#REF!),"")</f>
        <v>#REF!</v>
      </c>
      <c r="Q55" s="80" t="e">
        <f>IF(AND('Mapa final'!#REF!="Muy Baja",'Mapa final'!#REF!="Menor"),CONCATENATE("R10C",'Mapa final'!#REF!),"")</f>
        <v>#REF!</v>
      </c>
      <c r="R55" s="80" t="e">
        <f>IF(AND('Mapa final'!#REF!="Muy Baja",'Mapa final'!#REF!="Menor"),CONCATENATE("R10C",'Mapa final'!#REF!),"")</f>
        <v>#REF!</v>
      </c>
      <c r="S55" s="80" t="e">
        <f>IF(AND('Mapa final'!#REF!="Muy Baja",'Mapa final'!#REF!="Menor"),CONCATENATE("R10C",'Mapa final'!#REF!),"")</f>
        <v>#REF!</v>
      </c>
      <c r="T55" s="80" t="e">
        <f>IF(AND('Mapa final'!#REF!="Muy Baja",'Mapa final'!#REF!="Menor"),CONCATENATE("R10C",'Mapa final'!#REF!),"")</f>
        <v>#REF!</v>
      </c>
      <c r="U55" s="81" t="e">
        <f>IF(AND('Mapa final'!#REF!="Muy Baja",'Mapa final'!#REF!="Menor"),CONCATENATE("R10C",'Mapa final'!#REF!),"")</f>
        <v>#REF!</v>
      </c>
      <c r="V55" s="70" t="e">
        <f>IF(AND('Mapa final'!#REF!="Muy Baja",'Mapa final'!#REF!="Moderado"),CONCATENATE("R10C",'Mapa final'!#REF!),"")</f>
        <v>#REF!</v>
      </c>
      <c r="W55" s="71" t="e">
        <f>IF(AND('Mapa final'!#REF!="Muy Baja",'Mapa final'!#REF!="Moderado"),CONCATENATE("R10C",'Mapa final'!#REF!),"")</f>
        <v>#REF!</v>
      </c>
      <c r="X55" s="71" t="e">
        <f>IF(AND('Mapa final'!#REF!="Muy Baja",'Mapa final'!#REF!="Moderado"),CONCATENATE("R10C",'Mapa final'!#REF!),"")</f>
        <v>#REF!</v>
      </c>
      <c r="Y55" s="71" t="e">
        <f>IF(AND('Mapa final'!#REF!="Muy Baja",'Mapa final'!#REF!="Moderado"),CONCATENATE("R10C",'Mapa final'!#REF!),"")</f>
        <v>#REF!</v>
      </c>
      <c r="Z55" s="71" t="e">
        <f>IF(AND('Mapa final'!#REF!="Muy Baja",'Mapa final'!#REF!="Moderado"),CONCATENATE("R10C",'Mapa final'!#REF!),"")</f>
        <v>#REF!</v>
      </c>
      <c r="AA55" s="72" t="e">
        <f>IF(AND('Mapa final'!#REF!="Muy Baja",'Mapa final'!#REF!="Moderado"),CONCATENATE("R10C",'Mapa final'!#REF!),"")</f>
        <v>#REF!</v>
      </c>
      <c r="AB55" s="58" t="e">
        <f>IF(AND('Mapa final'!#REF!="Muy Baja",'Mapa final'!#REF!="Mayor"),CONCATENATE("R10C",'Mapa final'!#REF!),"")</f>
        <v>#REF!</v>
      </c>
      <c r="AC55" s="59" t="e">
        <f>IF(AND('Mapa final'!#REF!="Muy Baja",'Mapa final'!#REF!="Mayor"),CONCATENATE("R10C",'Mapa final'!#REF!),"")</f>
        <v>#REF!</v>
      </c>
      <c r="AD55" s="59" t="e">
        <f>IF(AND('Mapa final'!#REF!="Muy Baja",'Mapa final'!#REF!="Mayor"),CONCATENATE("R10C",'Mapa final'!#REF!),"")</f>
        <v>#REF!</v>
      </c>
      <c r="AE55" s="59" t="e">
        <f>IF(AND('Mapa final'!#REF!="Muy Baja",'Mapa final'!#REF!="Mayor"),CONCATENATE("R10C",'Mapa final'!#REF!),"")</f>
        <v>#REF!</v>
      </c>
      <c r="AF55" s="59" t="e">
        <f>IF(AND('Mapa final'!#REF!="Muy Baja",'Mapa final'!#REF!="Mayor"),CONCATENATE("R10C",'Mapa final'!#REF!),"")</f>
        <v>#REF!</v>
      </c>
      <c r="AG55" s="60" t="e">
        <f>IF(AND('Mapa final'!#REF!="Muy Baja",'Mapa final'!#REF!="Mayor"),CONCATENATE("R10C",'Mapa final'!#REF!),"")</f>
        <v>#REF!</v>
      </c>
      <c r="AH55" s="61" t="e">
        <f>IF(AND('Mapa final'!#REF!="Muy Baja",'Mapa final'!#REF!="Catastrófico"),CONCATENATE("R10C",'Mapa final'!#REF!),"")</f>
        <v>#REF!</v>
      </c>
      <c r="AI55" s="62" t="e">
        <f>IF(AND('Mapa final'!#REF!="Muy Baja",'Mapa final'!#REF!="Catastrófico"),CONCATENATE("R10C",'Mapa final'!#REF!),"")</f>
        <v>#REF!</v>
      </c>
      <c r="AJ55" s="62" t="e">
        <f>IF(AND('Mapa final'!#REF!="Muy Baja",'Mapa final'!#REF!="Catastrófico"),CONCATENATE("R10C",'Mapa final'!#REF!),"")</f>
        <v>#REF!</v>
      </c>
      <c r="AK55" s="62" t="e">
        <f>IF(AND('Mapa final'!#REF!="Muy Baja",'Mapa final'!#REF!="Catastrófico"),CONCATENATE("R10C",'Mapa final'!#REF!),"")</f>
        <v>#REF!</v>
      </c>
      <c r="AL55" s="62" t="e">
        <f>IF(AND('Mapa final'!#REF!="Muy Baja",'Mapa final'!#REF!="Catastrófico"),CONCATENATE("R10C",'Mapa final'!#REF!),"")</f>
        <v>#REF!</v>
      </c>
      <c r="AM55" s="63" t="e">
        <f>IF(AND('Mapa final'!#REF!="Muy Baja",'Mapa final'!#REF!="Catastrófico"),CONCATENATE("R10C",'Mapa final'!#REF!),"")</f>
        <v>#REF!</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65" t="s">
        <v>101</v>
      </c>
      <c r="K56" s="366"/>
      <c r="L56" s="366"/>
      <c r="M56" s="366"/>
      <c r="N56" s="366"/>
      <c r="O56" s="367"/>
      <c r="P56" s="365" t="s">
        <v>102</v>
      </c>
      <c r="Q56" s="366"/>
      <c r="R56" s="366"/>
      <c r="S56" s="366"/>
      <c r="T56" s="366"/>
      <c r="U56" s="367"/>
      <c r="V56" s="365" t="s">
        <v>103</v>
      </c>
      <c r="W56" s="366"/>
      <c r="X56" s="366"/>
      <c r="Y56" s="366"/>
      <c r="Z56" s="366"/>
      <c r="AA56" s="367"/>
      <c r="AB56" s="365" t="s">
        <v>104</v>
      </c>
      <c r="AC56" s="374"/>
      <c r="AD56" s="366"/>
      <c r="AE56" s="366"/>
      <c r="AF56" s="366"/>
      <c r="AG56" s="367"/>
      <c r="AH56" s="365" t="s">
        <v>105</v>
      </c>
      <c r="AI56" s="366"/>
      <c r="AJ56" s="366"/>
      <c r="AK56" s="366"/>
      <c r="AL56" s="366"/>
      <c r="AM56" s="367"/>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68"/>
      <c r="K57" s="369"/>
      <c r="L57" s="369"/>
      <c r="M57" s="369"/>
      <c r="N57" s="369"/>
      <c r="O57" s="370"/>
      <c r="P57" s="368"/>
      <c r="Q57" s="369"/>
      <c r="R57" s="369"/>
      <c r="S57" s="369"/>
      <c r="T57" s="369"/>
      <c r="U57" s="370"/>
      <c r="V57" s="368"/>
      <c r="W57" s="369"/>
      <c r="X57" s="369"/>
      <c r="Y57" s="369"/>
      <c r="Z57" s="369"/>
      <c r="AA57" s="370"/>
      <c r="AB57" s="368"/>
      <c r="AC57" s="369"/>
      <c r="AD57" s="369"/>
      <c r="AE57" s="369"/>
      <c r="AF57" s="369"/>
      <c r="AG57" s="370"/>
      <c r="AH57" s="368"/>
      <c r="AI57" s="369"/>
      <c r="AJ57" s="369"/>
      <c r="AK57" s="369"/>
      <c r="AL57" s="369"/>
      <c r="AM57" s="37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68"/>
      <c r="K58" s="369"/>
      <c r="L58" s="369"/>
      <c r="M58" s="369"/>
      <c r="N58" s="369"/>
      <c r="O58" s="370"/>
      <c r="P58" s="368"/>
      <c r="Q58" s="369"/>
      <c r="R58" s="369"/>
      <c r="S58" s="369"/>
      <c r="T58" s="369"/>
      <c r="U58" s="370"/>
      <c r="V58" s="368"/>
      <c r="W58" s="369"/>
      <c r="X58" s="369"/>
      <c r="Y58" s="369"/>
      <c r="Z58" s="369"/>
      <c r="AA58" s="370"/>
      <c r="AB58" s="368"/>
      <c r="AC58" s="369"/>
      <c r="AD58" s="369"/>
      <c r="AE58" s="369"/>
      <c r="AF58" s="369"/>
      <c r="AG58" s="370"/>
      <c r="AH58" s="368"/>
      <c r="AI58" s="369"/>
      <c r="AJ58" s="369"/>
      <c r="AK58" s="369"/>
      <c r="AL58" s="369"/>
      <c r="AM58" s="37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68"/>
      <c r="K59" s="369"/>
      <c r="L59" s="369"/>
      <c r="M59" s="369"/>
      <c r="N59" s="369"/>
      <c r="O59" s="370"/>
      <c r="P59" s="368"/>
      <c r="Q59" s="369"/>
      <c r="R59" s="369"/>
      <c r="S59" s="369"/>
      <c r="T59" s="369"/>
      <c r="U59" s="370"/>
      <c r="V59" s="368"/>
      <c r="W59" s="369"/>
      <c r="X59" s="369"/>
      <c r="Y59" s="369"/>
      <c r="Z59" s="369"/>
      <c r="AA59" s="370"/>
      <c r="AB59" s="368"/>
      <c r="AC59" s="369"/>
      <c r="AD59" s="369"/>
      <c r="AE59" s="369"/>
      <c r="AF59" s="369"/>
      <c r="AG59" s="370"/>
      <c r="AH59" s="368"/>
      <c r="AI59" s="369"/>
      <c r="AJ59" s="369"/>
      <c r="AK59" s="369"/>
      <c r="AL59" s="369"/>
      <c r="AM59" s="37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68"/>
      <c r="K60" s="369"/>
      <c r="L60" s="369"/>
      <c r="M60" s="369"/>
      <c r="N60" s="369"/>
      <c r="O60" s="370"/>
      <c r="P60" s="368"/>
      <c r="Q60" s="369"/>
      <c r="R60" s="369"/>
      <c r="S60" s="369"/>
      <c r="T60" s="369"/>
      <c r="U60" s="370"/>
      <c r="V60" s="368"/>
      <c r="W60" s="369"/>
      <c r="X60" s="369"/>
      <c r="Y60" s="369"/>
      <c r="Z60" s="369"/>
      <c r="AA60" s="370"/>
      <c r="AB60" s="368"/>
      <c r="AC60" s="369"/>
      <c r="AD60" s="369"/>
      <c r="AE60" s="369"/>
      <c r="AF60" s="369"/>
      <c r="AG60" s="370"/>
      <c r="AH60" s="368"/>
      <c r="AI60" s="369"/>
      <c r="AJ60" s="369"/>
      <c r="AK60" s="369"/>
      <c r="AL60" s="369"/>
      <c r="AM60" s="37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71"/>
      <c r="K61" s="372"/>
      <c r="L61" s="372"/>
      <c r="M61" s="372"/>
      <c r="N61" s="372"/>
      <c r="O61" s="373"/>
      <c r="P61" s="371"/>
      <c r="Q61" s="372"/>
      <c r="R61" s="372"/>
      <c r="S61" s="372"/>
      <c r="T61" s="372"/>
      <c r="U61" s="373"/>
      <c r="V61" s="371"/>
      <c r="W61" s="372"/>
      <c r="X61" s="372"/>
      <c r="Y61" s="372"/>
      <c r="Z61" s="372"/>
      <c r="AA61" s="373"/>
      <c r="AB61" s="371"/>
      <c r="AC61" s="372"/>
      <c r="AD61" s="372"/>
      <c r="AE61" s="372"/>
      <c r="AF61" s="372"/>
      <c r="AG61" s="373"/>
      <c r="AH61" s="371"/>
      <c r="AI61" s="372"/>
      <c r="AJ61" s="372"/>
      <c r="AK61" s="372"/>
      <c r="AL61" s="372"/>
      <c r="AM61" s="37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120" zoomScaleNormal="120" workbookViewId="0">
      <selection activeCell="C6" sqref="C6"/>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414" t="s">
        <v>107</v>
      </c>
      <c r="C1" s="414"/>
      <c r="D1" s="414"/>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108</v>
      </c>
      <c r="D3" s="12" t="s">
        <v>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109</v>
      </c>
      <c r="C4" s="14" t="s">
        <v>110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111</v>
      </c>
      <c r="C5" s="17" t="s">
        <v>112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113</v>
      </c>
      <c r="C6" s="17" t="s">
        <v>114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115</v>
      </c>
      <c r="C7" s="17" t="s">
        <v>116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117</v>
      </c>
      <c r="C8" s="17" t="s">
        <v>118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73" zoomScaleNormal="73" workbookViewId="0">
      <selection activeCell="D6" sqref="D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415" t="s">
        <v>119</v>
      </c>
      <c r="C1" s="415"/>
      <c r="D1" s="415"/>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120</v>
      </c>
      <c r="D3" s="36" t="s">
        <v>121</v>
      </c>
      <c r="E3" s="83"/>
      <c r="F3" s="83"/>
      <c r="G3" s="83"/>
      <c r="H3" s="83"/>
      <c r="I3" s="83"/>
      <c r="J3" s="83"/>
      <c r="K3" s="83"/>
      <c r="L3" s="83"/>
      <c r="M3" s="83"/>
      <c r="N3" s="83"/>
      <c r="O3" s="83"/>
      <c r="P3" s="83"/>
      <c r="Q3" s="83"/>
      <c r="R3" s="83"/>
      <c r="S3" s="83"/>
      <c r="T3" s="83"/>
      <c r="U3" s="83"/>
    </row>
    <row r="4" spans="1:21" ht="33.75" x14ac:dyDescent="0.25">
      <c r="A4" s="103" t="s">
        <v>122</v>
      </c>
      <c r="B4" s="39" t="s">
        <v>123</v>
      </c>
      <c r="C4" s="44" t="s">
        <v>124</v>
      </c>
      <c r="D4" s="37" t="s">
        <v>125</v>
      </c>
      <c r="E4" s="83"/>
      <c r="F4" s="83"/>
      <c r="G4" s="83"/>
      <c r="H4" s="83"/>
      <c r="I4" s="83"/>
      <c r="J4" s="83"/>
      <c r="K4" s="83"/>
      <c r="L4" s="83"/>
      <c r="M4" s="83"/>
      <c r="N4" s="83"/>
      <c r="O4" s="83"/>
      <c r="P4" s="83"/>
      <c r="Q4" s="83"/>
      <c r="R4" s="83"/>
      <c r="S4" s="83"/>
      <c r="T4" s="83"/>
      <c r="U4" s="83"/>
    </row>
    <row r="5" spans="1:21" ht="67.5" x14ac:dyDescent="0.25">
      <c r="A5" s="103" t="s">
        <v>126</v>
      </c>
      <c r="B5" s="40" t="s">
        <v>127</v>
      </c>
      <c r="C5" s="45" t="s">
        <v>128</v>
      </c>
      <c r="D5" s="38" t="s">
        <v>129</v>
      </c>
      <c r="E5" s="83"/>
      <c r="F5" s="83"/>
      <c r="G5" s="83"/>
      <c r="H5" s="83"/>
      <c r="I5" s="83"/>
      <c r="J5" s="83"/>
      <c r="K5" s="83"/>
      <c r="L5" s="83"/>
      <c r="M5" s="83"/>
      <c r="N5" s="83"/>
      <c r="O5" s="83"/>
      <c r="P5" s="83"/>
      <c r="Q5" s="83"/>
      <c r="R5" s="83"/>
      <c r="S5" s="83"/>
      <c r="T5" s="83"/>
      <c r="U5" s="83"/>
    </row>
    <row r="6" spans="1:21" ht="67.5" x14ac:dyDescent="0.25">
      <c r="A6" s="103" t="s">
        <v>97</v>
      </c>
      <c r="B6" s="41" t="s">
        <v>130</v>
      </c>
      <c r="C6" s="45" t="s">
        <v>131</v>
      </c>
      <c r="D6" s="38" t="s">
        <v>132</v>
      </c>
      <c r="E6" s="83"/>
      <c r="F6" s="83"/>
      <c r="G6" s="83"/>
      <c r="H6" s="83"/>
      <c r="I6" s="83"/>
      <c r="J6" s="83"/>
      <c r="K6" s="83"/>
      <c r="L6" s="83"/>
      <c r="M6" s="83"/>
      <c r="N6" s="83"/>
      <c r="O6" s="83"/>
      <c r="P6" s="83"/>
      <c r="Q6" s="83"/>
      <c r="R6" s="83"/>
      <c r="S6" s="83"/>
      <c r="T6" s="83"/>
      <c r="U6" s="83"/>
    </row>
    <row r="7" spans="1:21" ht="101.25" x14ac:dyDescent="0.25">
      <c r="A7" s="103" t="s">
        <v>133</v>
      </c>
      <c r="B7" s="42" t="s">
        <v>134</v>
      </c>
      <c r="C7" s="45" t="s">
        <v>135</v>
      </c>
      <c r="D7" s="38" t="s">
        <v>136</v>
      </c>
      <c r="E7" s="83"/>
      <c r="F7" s="83"/>
      <c r="G7" s="83"/>
      <c r="H7" s="83"/>
      <c r="I7" s="83"/>
      <c r="J7" s="83"/>
      <c r="K7" s="83"/>
      <c r="L7" s="83"/>
      <c r="M7" s="83"/>
      <c r="N7" s="83"/>
      <c r="O7" s="83"/>
      <c r="P7" s="83"/>
      <c r="Q7" s="83"/>
      <c r="R7" s="83"/>
      <c r="S7" s="83"/>
      <c r="T7" s="83"/>
      <c r="U7" s="83"/>
    </row>
    <row r="8" spans="1:21" ht="67.5" x14ac:dyDescent="0.25">
      <c r="A8" s="103" t="s">
        <v>137</v>
      </c>
      <c r="B8" s="43" t="s">
        <v>138</v>
      </c>
      <c r="C8" s="45" t="s">
        <v>139</v>
      </c>
      <c r="D8" s="38" t="s">
        <v>140</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141</v>
      </c>
      <c r="C11" s="103" t="s">
        <v>142</v>
      </c>
      <c r="D11" s="103" t="s">
        <v>143</v>
      </c>
      <c r="E11" s="83"/>
      <c r="F11" s="83"/>
      <c r="G11" s="83"/>
      <c r="H11" s="83"/>
      <c r="I11" s="83"/>
      <c r="J11" s="83"/>
      <c r="K11" s="83"/>
      <c r="L11" s="83"/>
      <c r="M11" s="83"/>
      <c r="N11" s="83"/>
      <c r="O11" s="83"/>
      <c r="P11" s="83"/>
      <c r="Q11" s="83"/>
      <c r="R11" s="83"/>
      <c r="S11" s="83"/>
      <c r="T11" s="83"/>
      <c r="U11" s="83"/>
    </row>
    <row r="12" spans="1:21" x14ac:dyDescent="0.25">
      <c r="A12" s="103"/>
      <c r="B12" s="103" t="s">
        <v>144</v>
      </c>
      <c r="C12" s="103" t="s">
        <v>145</v>
      </c>
      <c r="D12" s="103" t="s">
        <v>146</v>
      </c>
      <c r="E12" s="83"/>
      <c r="F12" s="83"/>
      <c r="G12" s="83"/>
      <c r="H12" s="83"/>
      <c r="I12" s="83"/>
      <c r="J12" s="83"/>
      <c r="K12" s="83"/>
      <c r="L12" s="83"/>
      <c r="M12" s="83"/>
      <c r="N12" s="83"/>
      <c r="O12" s="83"/>
      <c r="P12" s="83"/>
      <c r="Q12" s="83"/>
      <c r="R12" s="83"/>
      <c r="S12" s="83"/>
      <c r="T12" s="83"/>
      <c r="U12" s="83"/>
    </row>
    <row r="13" spans="1:21" x14ac:dyDescent="0.25">
      <c r="A13" s="103"/>
      <c r="B13" s="103"/>
      <c r="C13" s="103" t="s">
        <v>147</v>
      </c>
      <c r="D13" s="103" t="s">
        <v>148</v>
      </c>
      <c r="E13" s="83"/>
      <c r="F13" s="83"/>
      <c r="G13" s="83"/>
      <c r="H13" s="83"/>
      <c r="I13" s="83"/>
      <c r="J13" s="83"/>
      <c r="K13" s="83"/>
      <c r="L13" s="83"/>
      <c r="M13" s="83"/>
      <c r="N13" s="83"/>
      <c r="O13" s="83"/>
      <c r="P13" s="83"/>
      <c r="Q13" s="83"/>
      <c r="R13" s="83"/>
      <c r="S13" s="83"/>
      <c r="T13" s="83"/>
      <c r="U13" s="83"/>
    </row>
    <row r="14" spans="1:21" x14ac:dyDescent="0.25">
      <c r="A14" s="103"/>
      <c r="B14" s="103"/>
      <c r="C14" s="103" t="s">
        <v>149</v>
      </c>
      <c r="D14" s="103" t="s">
        <v>150</v>
      </c>
      <c r="E14" s="83"/>
      <c r="F14" s="83"/>
      <c r="G14" s="83"/>
      <c r="H14" s="83"/>
      <c r="I14" s="83"/>
      <c r="J14" s="83"/>
      <c r="K14" s="83"/>
      <c r="L14" s="83"/>
      <c r="M14" s="83"/>
      <c r="N14" s="83"/>
      <c r="O14" s="83"/>
      <c r="P14" s="83"/>
      <c r="Q14" s="83"/>
      <c r="R14" s="83"/>
      <c r="S14" s="83"/>
      <c r="T14" s="83"/>
      <c r="U14" s="83"/>
    </row>
    <row r="15" spans="1:21" x14ac:dyDescent="0.25">
      <c r="A15" s="103"/>
      <c r="B15" s="103"/>
      <c r="C15" s="103" t="s">
        <v>151</v>
      </c>
      <c r="D15" s="103" t="s">
        <v>152</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153</v>
      </c>
      <c r="C209" s="30" t="s">
        <v>154</v>
      </c>
      <c r="D209" s="33" t="s">
        <v>153</v>
      </c>
      <c r="E209" s="33" t="s">
        <v>154</v>
      </c>
    </row>
    <row r="210" spans="1:8" ht="21" x14ac:dyDescent="0.35">
      <c r="A210" s="83"/>
      <c r="B210" s="31" t="s">
        <v>155</v>
      </c>
      <c r="C210" s="31" t="s">
        <v>156</v>
      </c>
      <c r="D210" t="s">
        <v>155</v>
      </c>
      <c r="F210" t="str">
        <f>IF(NOT(ISBLANK(D210)),D210,IF(NOT(ISBLANK(E210)),"     "&amp;E210,FALSE))</f>
        <v>Afectación Económica o presupuestal</v>
      </c>
      <c r="G210" t="s">
        <v>155</v>
      </c>
      <c r="H210" t="str">
        <f>IF(NOT(ISERROR(MATCH(G210,_xlfn.ANCHORARRAY(B221),0))),F223&amp;"Por favor no seleccionar los criterios de impacto",G210)</f>
        <v>❌Por favor no seleccionar los criterios de impacto</v>
      </c>
    </row>
    <row r="211" spans="1:8" ht="21" x14ac:dyDescent="0.35">
      <c r="A211" s="83"/>
      <c r="B211" s="31" t="s">
        <v>155</v>
      </c>
      <c r="C211" s="31" t="s">
        <v>128</v>
      </c>
      <c r="E211" t="s">
        <v>156</v>
      </c>
      <c r="F211" t="str">
        <f t="shared" ref="F211:F221" si="0">IF(NOT(ISBLANK(D211)),D211,IF(NOT(ISBLANK(E211)),"     "&amp;E211,FALSE))</f>
        <v xml:space="preserve">     Afectación menor a 10 SMLMV .</v>
      </c>
    </row>
    <row r="212" spans="1:8" ht="21" x14ac:dyDescent="0.35">
      <c r="A212" s="83"/>
      <c r="B212" s="31" t="s">
        <v>155</v>
      </c>
      <c r="C212" s="31" t="s">
        <v>131</v>
      </c>
      <c r="E212" t="s">
        <v>128</v>
      </c>
      <c r="F212" t="str">
        <f t="shared" si="0"/>
        <v xml:space="preserve">     Entre 10 y 50 SMLMV </v>
      </c>
    </row>
    <row r="213" spans="1:8" ht="21" x14ac:dyDescent="0.35">
      <c r="A213" s="83"/>
      <c r="B213" s="31" t="s">
        <v>155</v>
      </c>
      <c r="C213" s="31" t="s">
        <v>135</v>
      </c>
      <c r="E213" t="s">
        <v>131</v>
      </c>
      <c r="F213" t="str">
        <f t="shared" si="0"/>
        <v xml:space="preserve">     Entre 50 y 100 SMLMV </v>
      </c>
    </row>
    <row r="214" spans="1:8" ht="21" x14ac:dyDescent="0.35">
      <c r="A214" s="83"/>
      <c r="B214" s="31" t="s">
        <v>155</v>
      </c>
      <c r="C214" s="31" t="s">
        <v>139</v>
      </c>
      <c r="E214" t="s">
        <v>135</v>
      </c>
      <c r="F214" t="str">
        <f t="shared" si="0"/>
        <v xml:space="preserve">     Entre 100 y 500 SMLMV </v>
      </c>
    </row>
    <row r="215" spans="1:8" ht="21" x14ac:dyDescent="0.35">
      <c r="A215" s="83"/>
      <c r="B215" s="31" t="s">
        <v>121</v>
      </c>
      <c r="C215" s="31" t="s">
        <v>125</v>
      </c>
      <c r="E215" t="s">
        <v>139</v>
      </c>
      <c r="F215" t="str">
        <f t="shared" si="0"/>
        <v xml:space="preserve">     Mayor a 500 SMLMV </v>
      </c>
    </row>
    <row r="216" spans="1:8" ht="21" x14ac:dyDescent="0.35">
      <c r="A216" s="83"/>
      <c r="B216" s="31" t="s">
        <v>121</v>
      </c>
      <c r="C216" s="31" t="s">
        <v>129</v>
      </c>
      <c r="D216" t="s">
        <v>121</v>
      </c>
      <c r="F216" t="str">
        <f t="shared" si="0"/>
        <v>Pérdida Reputacional</v>
      </c>
    </row>
    <row r="217" spans="1:8" ht="21" x14ac:dyDescent="0.35">
      <c r="A217" s="83"/>
      <c r="B217" s="31" t="s">
        <v>121</v>
      </c>
      <c r="C217" s="31" t="s">
        <v>132</v>
      </c>
      <c r="E217" t="s">
        <v>125</v>
      </c>
      <c r="F217" t="str">
        <f t="shared" si="0"/>
        <v xml:space="preserve">     El riesgo afecta la imagen de alguna área de la organización</v>
      </c>
    </row>
    <row r="218" spans="1:8" ht="21" x14ac:dyDescent="0.35">
      <c r="A218" s="83"/>
      <c r="B218" s="31" t="s">
        <v>121</v>
      </c>
      <c r="C218" s="31" t="s">
        <v>136</v>
      </c>
      <c r="E218" t="s">
        <v>129</v>
      </c>
      <c r="F218" t="str">
        <f t="shared" si="0"/>
        <v xml:space="preserve">     El riesgo afecta la imagen de la entidad internamente, de conocimiento general, nivel interno, de junta dircetiva y accionistas y/o de provedores</v>
      </c>
    </row>
    <row r="219" spans="1:8" ht="21" x14ac:dyDescent="0.35">
      <c r="A219" s="83"/>
      <c r="B219" s="31" t="s">
        <v>121</v>
      </c>
      <c r="C219" s="31" t="s">
        <v>140</v>
      </c>
      <c r="E219" t="s">
        <v>132</v>
      </c>
      <c r="F219" t="str">
        <f t="shared" si="0"/>
        <v xml:space="preserve">     El riesgo afecta la imagen de la entidad con algunos usuarios de relevancia frente al logro de los objetivos</v>
      </c>
    </row>
    <row r="220" spans="1:8" x14ac:dyDescent="0.25">
      <c r="A220" s="83"/>
      <c r="B220" s="32"/>
      <c r="C220" s="32"/>
      <c r="E220" t="s">
        <v>136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157</v>
      </c>
    </row>
    <row r="224" spans="1:8" x14ac:dyDescent="0.25">
      <c r="B224" s="22"/>
      <c r="C224" s="22"/>
      <c r="F224" s="35" t="s">
        <v>158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7"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416" t="s">
        <v>159</v>
      </c>
      <c r="C1" s="417"/>
      <c r="D1" s="417"/>
      <c r="E1" s="417"/>
      <c r="F1" s="418"/>
    </row>
    <row r="2" spans="2:6" ht="16.5" thickBot="1" x14ac:dyDescent="0.3">
      <c r="B2" s="89"/>
      <c r="C2" s="89"/>
      <c r="D2" s="89"/>
      <c r="E2" s="89"/>
      <c r="F2" s="89"/>
    </row>
    <row r="3" spans="2:6" ht="16.5" thickBot="1" x14ac:dyDescent="0.25">
      <c r="B3" s="420" t="s">
        <v>160</v>
      </c>
      <c r="C3" s="421"/>
      <c r="D3" s="421"/>
      <c r="E3" s="101" t="s">
        <v>161</v>
      </c>
      <c r="F3" s="102" t="s">
        <v>162</v>
      </c>
    </row>
    <row r="4" spans="2:6" ht="31.5" x14ac:dyDescent="0.2">
      <c r="B4" s="422" t="s">
        <v>163</v>
      </c>
      <c r="C4" s="424" t="s">
        <v>83</v>
      </c>
      <c r="D4" s="90" t="s">
        <v>164</v>
      </c>
      <c r="E4" s="91" t="s">
        <v>165</v>
      </c>
      <c r="F4" s="92">
        <v>0.25</v>
      </c>
    </row>
    <row r="5" spans="2:6" ht="47.25" x14ac:dyDescent="0.2">
      <c r="B5" s="423"/>
      <c r="C5" s="425"/>
      <c r="D5" s="93" t="s">
        <v>166</v>
      </c>
      <c r="E5" s="94" t="s">
        <v>167</v>
      </c>
      <c r="F5" s="95">
        <v>0.15</v>
      </c>
    </row>
    <row r="6" spans="2:6" ht="47.25" x14ac:dyDescent="0.2">
      <c r="B6" s="423"/>
      <c r="C6" s="425"/>
      <c r="D6" s="93" t="s">
        <v>168</v>
      </c>
      <c r="E6" s="94" t="s">
        <v>169</v>
      </c>
      <c r="F6" s="95">
        <v>0.1</v>
      </c>
    </row>
    <row r="7" spans="2:6" ht="63" x14ac:dyDescent="0.2">
      <c r="B7" s="423"/>
      <c r="C7" s="425" t="s">
        <v>84</v>
      </c>
      <c r="D7" s="93" t="s">
        <v>170</v>
      </c>
      <c r="E7" s="94" t="s">
        <v>171</v>
      </c>
      <c r="F7" s="95">
        <v>0.25</v>
      </c>
    </row>
    <row r="8" spans="2:6" ht="31.5" x14ac:dyDescent="0.2">
      <c r="B8" s="423"/>
      <c r="C8" s="425"/>
      <c r="D8" s="93" t="s">
        <v>172</v>
      </c>
      <c r="E8" s="94" t="s">
        <v>173</v>
      </c>
      <c r="F8" s="95">
        <v>0.15</v>
      </c>
    </row>
    <row r="9" spans="2:6" ht="47.25" x14ac:dyDescent="0.2">
      <c r="B9" s="423" t="s">
        <v>174</v>
      </c>
      <c r="C9" s="425" t="s">
        <v>86</v>
      </c>
      <c r="D9" s="93" t="s">
        <v>175</v>
      </c>
      <c r="E9" s="94" t="s">
        <v>176</v>
      </c>
      <c r="F9" s="96" t="s">
        <v>177</v>
      </c>
    </row>
    <row r="10" spans="2:6" ht="63" x14ac:dyDescent="0.2">
      <c r="B10" s="423"/>
      <c r="C10" s="425"/>
      <c r="D10" s="93" t="s">
        <v>178</v>
      </c>
      <c r="E10" s="94" t="s">
        <v>179</v>
      </c>
      <c r="F10" s="96" t="s">
        <v>177</v>
      </c>
    </row>
    <row r="11" spans="2:6" ht="47.25" x14ac:dyDescent="0.2">
      <c r="B11" s="423"/>
      <c r="C11" s="425" t="s">
        <v>87</v>
      </c>
      <c r="D11" s="93" t="s">
        <v>180</v>
      </c>
      <c r="E11" s="94" t="s">
        <v>181</v>
      </c>
      <c r="F11" s="96" t="s">
        <v>177</v>
      </c>
    </row>
    <row r="12" spans="2:6" ht="47.25" x14ac:dyDescent="0.2">
      <c r="B12" s="423"/>
      <c r="C12" s="425"/>
      <c r="D12" s="93" t="s">
        <v>182</v>
      </c>
      <c r="E12" s="94" t="s">
        <v>183</v>
      </c>
      <c r="F12" s="96" t="s">
        <v>177</v>
      </c>
    </row>
    <row r="13" spans="2:6" ht="31.5" x14ac:dyDescent="0.2">
      <c r="B13" s="423"/>
      <c r="C13" s="425" t="s">
        <v>88</v>
      </c>
      <c r="D13" s="93" t="s">
        <v>184</v>
      </c>
      <c r="E13" s="94" t="s">
        <v>185</v>
      </c>
      <c r="F13" s="96" t="s">
        <v>177</v>
      </c>
    </row>
    <row r="14" spans="2:6" ht="32.25" thickBot="1" x14ac:dyDescent="0.25">
      <c r="B14" s="426"/>
      <c r="C14" s="427"/>
      <c r="D14" s="97" t="s">
        <v>186</v>
      </c>
      <c r="E14" s="98" t="s">
        <v>187</v>
      </c>
      <c r="F14" s="99" t="s">
        <v>177</v>
      </c>
    </row>
    <row r="15" spans="2:6" ht="49.5" customHeight="1" x14ac:dyDescent="0.2">
      <c r="B15" s="419" t="s">
        <v>188</v>
      </c>
      <c r="C15" s="419"/>
      <c r="D15" s="419"/>
      <c r="E15" s="419"/>
      <c r="F15" s="419"/>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Contexto proceso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2022-04-05T16:24:31Z</dcterms:modified>
  <cp:category/>
  <cp:contentStatus/>
</cp:coreProperties>
</file>